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embeddings/oleObject1.bin" ContentType="application/vnd.openxmlformats-officedocument.oleObject"/>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ml.chartshapes+xml"/>
  <Override PartName="/xl/charts/chart4.xml" ContentType="application/vnd.openxmlformats-officedocument.drawingml.chart+xml"/>
  <Override PartName="/xl/drawings/drawing5.xml" ContentType="application/vnd.openxmlformats-officedocument.drawingml.chartshapes+xml"/>
  <Override PartName="/xl/charts/chart5.xml" ContentType="application/vnd.openxmlformats-officedocument.drawingml.chart+xml"/>
  <Override PartName="/xl/drawings/drawing6.xml" ContentType="application/vnd.openxmlformats-officedocument.drawingml.chartshapes+xml"/>
  <Override PartName="/xl/charts/chart6.xml" ContentType="application/vnd.openxmlformats-officedocument.drawingml.chart+xml"/>
  <Override PartName="/xl/drawings/drawing7.xml" ContentType="application/vnd.openxmlformats-officedocument.drawingml.chartshapes+xml"/>
  <Override PartName="/xl/charts/chart7.xml" ContentType="application/vnd.openxmlformats-officedocument.drawingml.chart+xml"/>
  <Override PartName="/xl/drawings/drawing8.xml" ContentType="application/vnd.openxmlformats-officedocument.drawingml.chartshapes+xml"/>
  <Override PartName="/xl/drawings/drawing9.xml" ContentType="application/vnd.openxmlformats-officedocument.drawing+xml"/>
  <Override PartName="/xl/charts/chart8.xml" ContentType="application/vnd.openxmlformats-officedocument.drawingml.chart+xml"/>
  <Override PartName="/xl/drawings/drawing10.xml" ContentType="application/vnd.openxmlformats-officedocument.drawingml.chartshapes+xml"/>
  <Override PartName="/xl/drawings/drawing11.xml" ContentType="application/vnd.openxmlformats-officedocument.drawing+xml"/>
  <Override PartName="/xl/embeddings/oleObject2.bin" ContentType="application/vnd.openxmlformats-officedocument.oleObject"/>
  <Override PartName="/xl/ctrlProps/ctrlProp7.xml" ContentType="application/vnd.ms-excel.controlproperties+xml"/>
  <Override PartName="/xl/comments3.xml" ContentType="application/vnd.openxmlformats-officedocument.spreadsheetml.comments+xml"/>
  <Override PartName="/xl/charts/chart9.xml" ContentType="application/vnd.openxmlformats-officedocument.drawingml.chart+xml"/>
  <Override PartName="/xl/drawings/drawing12.xml" ContentType="application/vnd.openxmlformats-officedocument.drawing+xml"/>
  <Override PartName="/xl/ctrlProps/ctrlProp8.xml" ContentType="application/vnd.ms-excel.controlproperties+xml"/>
  <Override PartName="/xl/comments4.xml" ContentType="application/vnd.openxmlformats-officedocument.spreadsheetml.comments+xml"/>
  <Override PartName="/xl/drawings/drawing13.xml" ContentType="application/vnd.openxmlformats-officedocument.drawing+xml"/>
  <Override PartName="/xl/comments5.xml" ContentType="application/vnd.openxmlformats-officedocument.spreadsheetml.comments+xml"/>
  <Override PartName="/xl/charts/chart10.xml" ContentType="application/vnd.openxmlformats-officedocument.drawingml.chart+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drawings/drawing14.xml" ContentType="application/vnd.openxmlformats-officedocument.drawing+xml"/>
  <Override PartName="/xl/embeddings/oleObject3.bin" ContentType="application/vnd.openxmlformats-officedocument.oleObject"/>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5" yWindow="3285" windowWidth="11970" windowHeight="3330" tabRatio="708" firstSheet="1" activeTab="5"/>
  </bookViews>
  <sheets>
    <sheet name="XXXXX" sheetId="19" state="veryHidden" r:id="rId1"/>
    <sheet name="Internal" sheetId="16" r:id="rId2"/>
    <sheet name="Assum" sheetId="1" r:id="rId3"/>
    <sheet name="Merchant" sheetId="22" r:id="rId4"/>
    <sheet name="EWCIRR" sheetId="21" r:id="rId5"/>
    <sheet name="EWCSum" sheetId="3" r:id="rId6"/>
    <sheet name="Srcs_Uses" sheetId="5" r:id="rId7"/>
    <sheet name="CashFlow" sheetId="6" r:id="rId8"/>
    <sheet name="Revolver" sheetId="20" r:id="rId9"/>
    <sheet name="SrDebt" sheetId="4" r:id="rId10"/>
    <sheet name="JrDebt" sheetId="14" r:id="rId11"/>
    <sheet name="Income" sheetId="7" r:id="rId12"/>
    <sheet name="CapAcc" sheetId="8" r:id="rId13"/>
    <sheet name="Basis" sheetId="13" r:id="rId14"/>
    <sheet name="Outside" sheetId="10" r:id="rId15"/>
    <sheet name="EWC" sheetId="9" r:id="rId16"/>
    <sheet name="RAC" sheetId="11" r:id="rId17"/>
    <sheet name="Draw" sheetId="12" r:id="rId18"/>
    <sheet name="ExecSum" sheetId="2" r:id="rId19"/>
  </sheets>
  <definedNames>
    <definedName name="Assum1">Assum!$A$1:$M$81</definedName>
    <definedName name="Assum2">Assum!$A$82:$N$146</definedName>
    <definedName name="Assum3">Assum!$A$147:$N$225</definedName>
    <definedName name="Assum4">Assum!$A$230:$P$312</definedName>
    <definedName name="Assum5">Assum!$A$313:$N$349</definedName>
    <definedName name="Basis">Basis!$A$1:$W$40</definedName>
    <definedName name="BS">Income!$A$54:$X$93</definedName>
    <definedName name="CapAcc">CapAcc!$A$1:$W$56</definedName>
    <definedName name="Cashflow">CashFlow!$A$1:$X$76</definedName>
    <definedName name="Draw">Draw!$A$1:$V$128</definedName>
    <definedName name="EWC">EWC!$A$1:$X$74</definedName>
    <definedName name="EWCSum">EWCSum!$A$1:$P$82</definedName>
    <definedName name="ExecSum">ExecSum!$A$1:$Q$82</definedName>
    <definedName name="Income">Income!$A$1:$X$52</definedName>
    <definedName name="INFL">Assum!$E$126:$AL$132</definedName>
    <definedName name="InternAssum1">Internal!$A$1:$U$89</definedName>
    <definedName name="InternAssum2">Internal!$A$90:$H$118</definedName>
    <definedName name="JR_COVRATIO">JrDebt!$E$28:$AI$30</definedName>
    <definedName name="JRDebt">JrDebt!$A$1:$X$76</definedName>
    <definedName name="MinGain">Basis!$A$42:$W$86</definedName>
    <definedName name="Outside">Outside!$A$1:$X$75</definedName>
    <definedName name="_xlnm.Print_Area" localSheetId="7">CashFlow!$A$1:$AI$76</definedName>
    <definedName name="_xlnm.Print_Area" localSheetId="17">Draw!$B$1:$S$127</definedName>
    <definedName name="_xlnm.Print_Area" localSheetId="5">EWCSum!$1:$1048576</definedName>
    <definedName name="_xlnm.Print_Area" localSheetId="11">Income!$A$1:$X$93</definedName>
    <definedName name="_xlnm.Print_Titles" localSheetId="9">SrDebt!$A:$B,SrDebt!$1:$2</definedName>
    <definedName name="RAC">RAC!$B$1:$Y$58</definedName>
    <definedName name="secure_index">Internal!$B$122</definedName>
    <definedName name="Sources_Uses">Srcs_Uses!$A$1:$K$34</definedName>
    <definedName name="SR_COVRATIO">SrDebt!$E$10:$AI$12</definedName>
    <definedName name="SR_COVRATIO_A">SrDebt!$E$10:$AI$12</definedName>
    <definedName name="SR_COVRATIO_B">SrDebt!$E$55:$AI$57</definedName>
    <definedName name="SRDebt">SrDebt!$A$1:$X$92</definedName>
    <definedName name="XIRR">RAC!$B$57:$Z$70</definedName>
    <definedName name="zcell1">Assum!$H$28</definedName>
    <definedName name="zcell10">Assum!$F$36</definedName>
    <definedName name="zcell11">Income!$E$5</definedName>
    <definedName name="zcell12">Income!$B$5</definedName>
    <definedName name="zcell13">Income!$E$6</definedName>
    <definedName name="zcell14">Income!$B$6</definedName>
    <definedName name="zcell15">Assum!$E$163</definedName>
    <definedName name="zcell2">Assum!$I$28</definedName>
    <definedName name="zcell3">Assum!$J$28</definedName>
    <definedName name="zcell4">Assum!$H$29</definedName>
    <definedName name="zcell5">Assum!$I$29</definedName>
    <definedName name="zcell6">Assum!$J$29</definedName>
    <definedName name="zcell7">Assum!$H$30</definedName>
    <definedName name="zcell8">Assum!$I$30</definedName>
    <definedName name="zcell9">Assum!$J$30</definedName>
  </definedNames>
  <calcPr calcId="152511" fullCalcOnLoad="1" iterate="1" calcOnSave="0"/>
</workbook>
</file>

<file path=xl/calcChain.xml><?xml version="1.0" encoding="utf-8"?>
<calcChain xmlns="http://schemas.openxmlformats.org/spreadsheetml/2006/main">
  <c r="F1" i="1" l="1"/>
  <c r="G1" i="1"/>
  <c r="H1" i="1" s="1"/>
  <c r="I1" i="1"/>
  <c r="J1" i="1" s="1"/>
  <c r="K1" i="1"/>
  <c r="L1" i="1" s="1"/>
  <c r="M1" i="1" s="1"/>
  <c r="N1" i="1" s="1"/>
  <c r="O1" i="1" s="1"/>
  <c r="P1" i="1" s="1"/>
  <c r="Q1" i="1" s="1"/>
  <c r="R1" i="1" s="1"/>
  <c r="S1" i="1" s="1"/>
  <c r="T1" i="1" s="1"/>
  <c r="U1" i="1" s="1"/>
  <c r="V1" i="1" s="1"/>
  <c r="W1" i="1" s="1"/>
  <c r="X1" i="1" s="1"/>
  <c r="Y1" i="1" s="1"/>
  <c r="Z1" i="1" s="1"/>
  <c r="AA1" i="1" s="1"/>
  <c r="AB1" i="1" s="1"/>
  <c r="AC1" i="1" s="1"/>
  <c r="AD1" i="1" s="1"/>
  <c r="AE1" i="1" s="1"/>
  <c r="AF1" i="1" s="1"/>
  <c r="AG1" i="1" s="1"/>
  <c r="AH1" i="1" s="1"/>
  <c r="AI1" i="1" s="1"/>
  <c r="E4" i="1"/>
  <c r="B5" i="1"/>
  <c r="B6" i="1"/>
  <c r="H23" i="1"/>
  <c r="H24" i="1" s="1"/>
  <c r="E212" i="1" s="1"/>
  <c r="H25" i="1"/>
  <c r="F39" i="1" s="1"/>
  <c r="H39" i="1" s="1"/>
  <c r="H28" i="1"/>
  <c r="I28" i="1"/>
  <c r="J28" i="1"/>
  <c r="H29" i="1"/>
  <c r="I29" i="1"/>
  <c r="J29" i="1"/>
  <c r="H30" i="1"/>
  <c r="I30" i="1"/>
  <c r="J30" i="1"/>
  <c r="I39" i="1"/>
  <c r="J39" i="1" s="1"/>
  <c r="K39" i="1" s="1"/>
  <c r="F40" i="1"/>
  <c r="F41" i="1"/>
  <c r="F42" i="1"/>
  <c r="F43" i="1"/>
  <c r="F44" i="1"/>
  <c r="F45" i="1"/>
  <c r="F46" i="1"/>
  <c r="F52" i="1" s="1"/>
  <c r="F47" i="1"/>
  <c r="F48" i="1"/>
  <c r="H48" i="1"/>
  <c r="F49" i="1"/>
  <c r="F50" i="1"/>
  <c r="F51" i="1"/>
  <c r="P57" i="1"/>
  <c r="H58" i="1"/>
  <c r="I58" i="1"/>
  <c r="I59" i="1"/>
  <c r="H63" i="1"/>
  <c r="E89" i="1"/>
  <c r="F89" i="1"/>
  <c r="G89" i="1" s="1"/>
  <c r="H89" i="1" s="1"/>
  <c r="I89" i="1" s="1"/>
  <c r="J89" i="1" s="1"/>
  <c r="K89" i="1" s="1"/>
  <c r="L89" i="1" s="1"/>
  <c r="M89" i="1"/>
  <c r="N89" i="1" s="1"/>
  <c r="O89" i="1" s="1"/>
  <c r="P89" i="1" s="1"/>
  <c r="Q89" i="1" s="1"/>
  <c r="R89" i="1" s="1"/>
  <c r="S89" i="1" s="1"/>
  <c r="T89" i="1" s="1"/>
  <c r="U89" i="1" s="1"/>
  <c r="V89" i="1" s="1"/>
  <c r="W89" i="1" s="1"/>
  <c r="X89" i="1" s="1"/>
  <c r="Y89" i="1" s="1"/>
  <c r="Z89" i="1" s="1"/>
  <c r="AA89" i="1" s="1"/>
  <c r="AB89" i="1" s="1"/>
  <c r="AC89" i="1"/>
  <c r="AD89" i="1" s="1"/>
  <c r="AE89" i="1" s="1"/>
  <c r="AF89" i="1" s="1"/>
  <c r="AG89" i="1" s="1"/>
  <c r="AH89" i="1" s="1"/>
  <c r="AI89" i="1" s="1"/>
  <c r="F90" i="1"/>
  <c r="G90" i="1"/>
  <c r="F91" i="1"/>
  <c r="F92" i="1"/>
  <c r="G92" i="1" s="1"/>
  <c r="H92" i="1"/>
  <c r="I92" i="1" s="1"/>
  <c r="J92" i="1" s="1"/>
  <c r="K92" i="1"/>
  <c r="L92" i="1" s="1"/>
  <c r="M92" i="1" s="1"/>
  <c r="N92" i="1"/>
  <c r="O92" i="1" s="1"/>
  <c r="P92" i="1" s="1"/>
  <c r="Q92" i="1" s="1"/>
  <c r="R92" i="1" s="1"/>
  <c r="S92" i="1"/>
  <c r="T92" i="1" s="1"/>
  <c r="U92" i="1" s="1"/>
  <c r="V92" i="1" s="1"/>
  <c r="W92" i="1" s="1"/>
  <c r="X92" i="1"/>
  <c r="Y92" i="1" s="1"/>
  <c r="Z92" i="1" s="1"/>
  <c r="AA92" i="1" s="1"/>
  <c r="AB92" i="1" s="1"/>
  <c r="AC92" i="1" s="1"/>
  <c r="AD92" i="1" s="1"/>
  <c r="AE92" i="1" s="1"/>
  <c r="AF92" i="1" s="1"/>
  <c r="AG92" i="1" s="1"/>
  <c r="AH92" i="1" s="1"/>
  <c r="AI92" i="1" s="1"/>
  <c r="F93" i="1"/>
  <c r="G93" i="1" s="1"/>
  <c r="H93" i="1" s="1"/>
  <c r="I93" i="1" s="1"/>
  <c r="J93" i="1"/>
  <c r="K93" i="1" s="1"/>
  <c r="L93" i="1" s="1"/>
  <c r="M93" i="1" s="1"/>
  <c r="N93" i="1" s="1"/>
  <c r="O93" i="1" s="1"/>
  <c r="P93" i="1" s="1"/>
  <c r="Q93" i="1" s="1"/>
  <c r="R93" i="1" s="1"/>
  <c r="S93" i="1" s="1"/>
  <c r="T93" i="1" s="1"/>
  <c r="U93" i="1" s="1"/>
  <c r="V93" i="1" s="1"/>
  <c r="W93" i="1" s="1"/>
  <c r="X93" i="1" s="1"/>
  <c r="Y93" i="1" s="1"/>
  <c r="Z93" i="1" s="1"/>
  <c r="AA93" i="1" s="1"/>
  <c r="AB93" i="1" s="1"/>
  <c r="AC93" i="1" s="1"/>
  <c r="AD93" i="1" s="1"/>
  <c r="AE93" i="1" s="1"/>
  <c r="AF93" i="1" s="1"/>
  <c r="AG93" i="1" s="1"/>
  <c r="AH93" i="1" s="1"/>
  <c r="AI93" i="1" s="1"/>
  <c r="F94" i="1"/>
  <c r="G94" i="1"/>
  <c r="H94" i="1" s="1"/>
  <c r="I94" i="1" s="1"/>
  <c r="J94" i="1" s="1"/>
  <c r="K94" i="1" s="1"/>
  <c r="L94" i="1" s="1"/>
  <c r="M94" i="1" s="1"/>
  <c r="N94" i="1" s="1"/>
  <c r="O94" i="1" s="1"/>
  <c r="P94" i="1"/>
  <c r="Q94" i="1" s="1"/>
  <c r="R94" i="1" s="1"/>
  <c r="S94" i="1" s="1"/>
  <c r="T94" i="1"/>
  <c r="U94" i="1" s="1"/>
  <c r="V94" i="1" s="1"/>
  <c r="W94" i="1" s="1"/>
  <c r="X94" i="1" s="1"/>
  <c r="Y94" i="1" s="1"/>
  <c r="Z94" i="1" s="1"/>
  <c r="AA94" i="1" s="1"/>
  <c r="AB94" i="1" s="1"/>
  <c r="AC94" i="1" s="1"/>
  <c r="AD94" i="1" s="1"/>
  <c r="AE94" i="1" s="1"/>
  <c r="AF94" i="1" s="1"/>
  <c r="AG94" i="1" s="1"/>
  <c r="AH94" i="1" s="1"/>
  <c r="AI94" i="1" s="1"/>
  <c r="F95" i="1"/>
  <c r="G95" i="1" s="1"/>
  <c r="H95" i="1" s="1"/>
  <c r="I95" i="1" s="1"/>
  <c r="J95" i="1" s="1"/>
  <c r="K95" i="1" s="1"/>
  <c r="L95" i="1"/>
  <c r="M95" i="1" s="1"/>
  <c r="N95" i="1" s="1"/>
  <c r="O95" i="1" s="1"/>
  <c r="P95" i="1" s="1"/>
  <c r="Q95" i="1" s="1"/>
  <c r="R95" i="1" s="1"/>
  <c r="S95" i="1" s="1"/>
  <c r="T95" i="1" s="1"/>
  <c r="U95" i="1" s="1"/>
  <c r="V95" i="1" s="1"/>
  <c r="W95" i="1" s="1"/>
  <c r="X95" i="1" s="1"/>
  <c r="Y95" i="1" s="1"/>
  <c r="Z95" i="1" s="1"/>
  <c r="AA95" i="1" s="1"/>
  <c r="AB95" i="1" s="1"/>
  <c r="AC95" i="1" s="1"/>
  <c r="AD95" i="1" s="1"/>
  <c r="AE95" i="1" s="1"/>
  <c r="AF95" i="1" s="1"/>
  <c r="AG95" i="1" s="1"/>
  <c r="AH95" i="1" s="1"/>
  <c r="AI95" i="1" s="1"/>
  <c r="F96" i="1"/>
  <c r="G96" i="1" s="1"/>
  <c r="H96" i="1"/>
  <c r="I96" i="1" s="1"/>
  <c r="J96" i="1" s="1"/>
  <c r="K96" i="1" s="1"/>
  <c r="L96" i="1" s="1"/>
  <c r="M96" i="1" s="1"/>
  <c r="N96" i="1" s="1"/>
  <c r="O96" i="1" s="1"/>
  <c r="P96" i="1" s="1"/>
  <c r="Q96" i="1" s="1"/>
  <c r="R96" i="1" s="1"/>
  <c r="S96" i="1" s="1"/>
  <c r="T96" i="1" s="1"/>
  <c r="U96" i="1" s="1"/>
  <c r="V96" i="1" s="1"/>
  <c r="W96" i="1" s="1"/>
  <c r="X96" i="1" s="1"/>
  <c r="Y96" i="1" s="1"/>
  <c r="Z96" i="1" s="1"/>
  <c r="AA96" i="1" s="1"/>
  <c r="AB96" i="1" s="1"/>
  <c r="AC96" i="1" s="1"/>
  <c r="AD96" i="1" s="1"/>
  <c r="AE96" i="1" s="1"/>
  <c r="AF96" i="1" s="1"/>
  <c r="AG96" i="1" s="1"/>
  <c r="AH96" i="1" s="1"/>
  <c r="AI96" i="1" s="1"/>
  <c r="F97" i="1"/>
  <c r="G97" i="1" s="1"/>
  <c r="H97" i="1"/>
  <c r="I97" i="1" s="1"/>
  <c r="J97" i="1"/>
  <c r="K97" i="1" s="1"/>
  <c r="L97" i="1" s="1"/>
  <c r="M97" i="1" s="1"/>
  <c r="N97" i="1" s="1"/>
  <c r="O97" i="1" s="1"/>
  <c r="P97" i="1" s="1"/>
  <c r="Q97" i="1" s="1"/>
  <c r="R97" i="1" s="1"/>
  <c r="S97" i="1" s="1"/>
  <c r="T97" i="1" s="1"/>
  <c r="U97" i="1" s="1"/>
  <c r="V97" i="1" s="1"/>
  <c r="W97" i="1" s="1"/>
  <c r="X97" i="1" s="1"/>
  <c r="Y97" i="1" s="1"/>
  <c r="Z97" i="1" s="1"/>
  <c r="AA97" i="1" s="1"/>
  <c r="AB97" i="1" s="1"/>
  <c r="AC97" i="1" s="1"/>
  <c r="AD97" i="1" s="1"/>
  <c r="AE97" i="1" s="1"/>
  <c r="AF97" i="1" s="1"/>
  <c r="AG97" i="1" s="1"/>
  <c r="AH97" i="1" s="1"/>
  <c r="AI97" i="1" s="1"/>
  <c r="F98" i="1"/>
  <c r="G98" i="1"/>
  <c r="H98" i="1" s="1"/>
  <c r="I98" i="1" s="1"/>
  <c r="J98" i="1" s="1"/>
  <c r="K98" i="1" s="1"/>
  <c r="L98" i="1" s="1"/>
  <c r="M98" i="1" s="1"/>
  <c r="N98" i="1" s="1"/>
  <c r="O98" i="1" s="1"/>
  <c r="P98" i="1"/>
  <c r="Q98" i="1" s="1"/>
  <c r="R98" i="1" s="1"/>
  <c r="S98" i="1"/>
  <c r="T98" i="1" s="1"/>
  <c r="U98" i="1" s="1"/>
  <c r="V98" i="1" s="1"/>
  <c r="W98" i="1" s="1"/>
  <c r="X98" i="1"/>
  <c r="Y98" i="1" s="1"/>
  <c r="Z98" i="1" s="1"/>
  <c r="AA98" i="1" s="1"/>
  <c r="AB98" i="1" s="1"/>
  <c r="AC98" i="1" s="1"/>
  <c r="AD98" i="1" s="1"/>
  <c r="AE98" i="1" s="1"/>
  <c r="AF98" i="1" s="1"/>
  <c r="AG98" i="1" s="1"/>
  <c r="AH98" i="1" s="1"/>
  <c r="AI98" i="1" s="1"/>
  <c r="E99" i="1"/>
  <c r="F101" i="1"/>
  <c r="G101" i="1" s="1"/>
  <c r="H101" i="1" s="1"/>
  <c r="I101" i="1" s="1"/>
  <c r="J101" i="1"/>
  <c r="K101" i="1" s="1"/>
  <c r="L101" i="1" s="1"/>
  <c r="M101" i="1" s="1"/>
  <c r="N101" i="1"/>
  <c r="O101" i="1" s="1"/>
  <c r="P101" i="1" s="1"/>
  <c r="Q101" i="1" s="1"/>
  <c r="R101" i="1" s="1"/>
  <c r="S101" i="1" s="1"/>
  <c r="T101" i="1" s="1"/>
  <c r="U101" i="1" s="1"/>
  <c r="V101" i="1" s="1"/>
  <c r="W101" i="1" s="1"/>
  <c r="X101" i="1" s="1"/>
  <c r="Y101" i="1" s="1"/>
  <c r="Z101" i="1" s="1"/>
  <c r="AA101" i="1" s="1"/>
  <c r="AB101" i="1" s="1"/>
  <c r="AC101" i="1" s="1"/>
  <c r="AD101" i="1" s="1"/>
  <c r="AE101" i="1" s="1"/>
  <c r="AF101" i="1" s="1"/>
  <c r="AG101" i="1" s="1"/>
  <c r="AH101" i="1" s="1"/>
  <c r="AI101" i="1" s="1"/>
  <c r="E107" i="1"/>
  <c r="F107" i="1" s="1"/>
  <c r="G107" i="1" s="1"/>
  <c r="H107" i="1" s="1"/>
  <c r="I107" i="1" s="1"/>
  <c r="J107" i="1" s="1"/>
  <c r="K107" i="1" s="1"/>
  <c r="L107" i="1" s="1"/>
  <c r="M107" i="1" s="1"/>
  <c r="N107" i="1" s="1"/>
  <c r="O107" i="1"/>
  <c r="P107" i="1" s="1"/>
  <c r="Q107" i="1" s="1"/>
  <c r="R107" i="1" s="1"/>
  <c r="S107" i="1" s="1"/>
  <c r="T107" i="1" s="1"/>
  <c r="U107" i="1" s="1"/>
  <c r="V107" i="1" s="1"/>
  <c r="W107" i="1" s="1"/>
  <c r="X107" i="1" s="1"/>
  <c r="Y107" i="1" s="1"/>
  <c r="Z107" i="1" s="1"/>
  <c r="AA107" i="1" s="1"/>
  <c r="AB107" i="1" s="1"/>
  <c r="AC107" i="1" s="1"/>
  <c r="AD107" i="1" s="1"/>
  <c r="AE107" i="1" s="1"/>
  <c r="AF107" i="1" s="1"/>
  <c r="AG107" i="1" s="1"/>
  <c r="AH107" i="1" s="1"/>
  <c r="AI107" i="1" s="1"/>
  <c r="F108" i="1"/>
  <c r="G108" i="1" s="1"/>
  <c r="H108" i="1" s="1"/>
  <c r="I108" i="1" s="1"/>
  <c r="J108" i="1" s="1"/>
  <c r="K108" i="1" s="1"/>
  <c r="L108" i="1" s="1"/>
  <c r="M108" i="1" s="1"/>
  <c r="N108" i="1" s="1"/>
  <c r="O108" i="1" s="1"/>
  <c r="P108" i="1" s="1"/>
  <c r="Q108" i="1" s="1"/>
  <c r="R108" i="1" s="1"/>
  <c r="S108" i="1" s="1"/>
  <c r="T108" i="1" s="1"/>
  <c r="U108" i="1" s="1"/>
  <c r="V108" i="1" s="1"/>
  <c r="W108" i="1"/>
  <c r="X108" i="1" s="1"/>
  <c r="Y108" i="1"/>
  <c r="Z108" i="1" s="1"/>
  <c r="AA108" i="1" s="1"/>
  <c r="AB108" i="1" s="1"/>
  <c r="AC108" i="1" s="1"/>
  <c r="AD108" i="1" s="1"/>
  <c r="AE108" i="1" s="1"/>
  <c r="AF108" i="1" s="1"/>
  <c r="AG108" i="1" s="1"/>
  <c r="AH108" i="1" s="1"/>
  <c r="AI108" i="1" s="1"/>
  <c r="E116" i="1"/>
  <c r="F116" i="1"/>
  <c r="E121" i="1"/>
  <c r="E123" i="1"/>
  <c r="F126" i="1"/>
  <c r="G126" i="1"/>
  <c r="H126" i="1"/>
  <c r="I126" i="1" s="1"/>
  <c r="J126" i="1" s="1"/>
  <c r="K126" i="1"/>
  <c r="L126" i="1" s="1"/>
  <c r="M126" i="1" s="1"/>
  <c r="N126" i="1" s="1"/>
  <c r="O126" i="1"/>
  <c r="P126" i="1" s="1"/>
  <c r="Q126" i="1" s="1"/>
  <c r="R126" i="1" s="1"/>
  <c r="S126" i="1" s="1"/>
  <c r="T126" i="1" s="1"/>
  <c r="U126" i="1" s="1"/>
  <c r="E131" i="1"/>
  <c r="F131" i="1"/>
  <c r="G131" i="1"/>
  <c r="H131" i="1"/>
  <c r="I131" i="1"/>
  <c r="J131" i="1"/>
  <c r="K131" i="1"/>
  <c r="L131" i="1"/>
  <c r="M131" i="1"/>
  <c r="N131" i="1"/>
  <c r="O131" i="1"/>
  <c r="P131" i="1"/>
  <c r="Q131" i="1"/>
  <c r="R131" i="1"/>
  <c r="S131" i="1"/>
  <c r="T131" i="1"/>
  <c r="U131" i="1"/>
  <c r="V131" i="1"/>
  <c r="W131" i="1"/>
  <c r="X131" i="1"/>
  <c r="Y131" i="1"/>
  <c r="Z131" i="1"/>
  <c r="AA131" i="1"/>
  <c r="AB131" i="1"/>
  <c r="AC131" i="1"/>
  <c r="AD131" i="1"/>
  <c r="AE131" i="1"/>
  <c r="AF131" i="1"/>
  <c r="AG131" i="1"/>
  <c r="AH131" i="1"/>
  <c r="AI131" i="1"/>
  <c r="AJ131" i="1"/>
  <c r="AK131" i="1"/>
  <c r="AL131" i="1"/>
  <c r="E132" i="1"/>
  <c r="F132" i="1"/>
  <c r="G132" i="1"/>
  <c r="H132" i="1"/>
  <c r="I132" i="1"/>
  <c r="J132" i="1"/>
  <c r="K132" i="1"/>
  <c r="L132" i="1"/>
  <c r="M132" i="1"/>
  <c r="N132" i="1"/>
  <c r="O132" i="1"/>
  <c r="P132" i="1"/>
  <c r="Q132" i="1"/>
  <c r="R132" i="1"/>
  <c r="S132" i="1"/>
  <c r="T132" i="1"/>
  <c r="U132" i="1"/>
  <c r="V132" i="1"/>
  <c r="W132" i="1"/>
  <c r="X132" i="1"/>
  <c r="Y132" i="1"/>
  <c r="Z132" i="1"/>
  <c r="AA132" i="1"/>
  <c r="AB132" i="1"/>
  <c r="AC132" i="1"/>
  <c r="AD132" i="1"/>
  <c r="AE132" i="1"/>
  <c r="AF132" i="1"/>
  <c r="AG132" i="1"/>
  <c r="AH132" i="1"/>
  <c r="AI132" i="1"/>
  <c r="AJ132" i="1"/>
  <c r="AK132" i="1"/>
  <c r="AL132" i="1"/>
  <c r="E136" i="1"/>
  <c r="F136" i="1" s="1"/>
  <c r="J138" i="1"/>
  <c r="K138" i="1"/>
  <c r="L138" i="1"/>
  <c r="M138" i="1"/>
  <c r="N138" i="1"/>
  <c r="O138" i="1"/>
  <c r="P138" i="1"/>
  <c r="Q138" i="1"/>
  <c r="R138" i="1"/>
  <c r="S138" i="1"/>
  <c r="T138" i="1"/>
  <c r="U138" i="1"/>
  <c r="V138" i="1"/>
  <c r="W138" i="1"/>
  <c r="X138" i="1"/>
  <c r="F152" i="1"/>
  <c r="G152" i="1" s="1"/>
  <c r="F155" i="1"/>
  <c r="U156" i="1"/>
  <c r="V156" i="1"/>
  <c r="W156" i="1" s="1"/>
  <c r="X156" i="1" s="1"/>
  <c r="Y156" i="1" s="1"/>
  <c r="Z156" i="1"/>
  <c r="AA156" i="1" s="1"/>
  <c r="AB156" i="1" s="1"/>
  <c r="AC156" i="1" s="1"/>
  <c r="AD156" i="1" s="1"/>
  <c r="AE156" i="1" s="1"/>
  <c r="AF156" i="1" s="1"/>
  <c r="AG156" i="1" s="1"/>
  <c r="AH156" i="1" s="1"/>
  <c r="AI156" i="1" s="1"/>
  <c r="AJ156" i="1" s="1"/>
  <c r="AK156" i="1" s="1"/>
  <c r="AL156" i="1" s="1"/>
  <c r="G157" i="1"/>
  <c r="H157" i="1"/>
  <c r="I157" i="1"/>
  <c r="J157" i="1"/>
  <c r="L157" i="1"/>
  <c r="M157" i="1"/>
  <c r="N157" i="1" s="1"/>
  <c r="O157" i="1" s="1"/>
  <c r="P157" i="1"/>
  <c r="Q157" i="1" s="1"/>
  <c r="R157" i="1" s="1"/>
  <c r="S157" i="1" s="1"/>
  <c r="T157" i="1"/>
  <c r="U157" i="1" s="1"/>
  <c r="V157" i="1" s="1"/>
  <c r="W157" i="1" s="1"/>
  <c r="X157" i="1" s="1"/>
  <c r="Y157" i="1" s="1"/>
  <c r="Z157" i="1" s="1"/>
  <c r="AA157" i="1"/>
  <c r="AB157" i="1" s="1"/>
  <c r="AC157" i="1"/>
  <c r="AD157" i="1" s="1"/>
  <c r="AE157" i="1" s="1"/>
  <c r="AF157" i="1" s="1"/>
  <c r="AG157" i="1" s="1"/>
  <c r="AH157" i="1" s="1"/>
  <c r="AI157" i="1" s="1"/>
  <c r="AJ157" i="1"/>
  <c r="AK157" i="1"/>
  <c r="AL157" i="1" s="1"/>
  <c r="F175" i="1"/>
  <c r="O175" i="1"/>
  <c r="O177" i="1" s="1"/>
  <c r="E177" i="1"/>
  <c r="N177" i="1"/>
  <c r="P177" i="1"/>
  <c r="Q177" i="1"/>
  <c r="R177" i="1"/>
  <c r="S177" i="1"/>
  <c r="T177" i="1"/>
  <c r="U177" i="1"/>
  <c r="V177" i="1"/>
  <c r="W177" i="1"/>
  <c r="X177" i="1"/>
  <c r="Y177" i="1"/>
  <c r="Z177" i="1"/>
  <c r="AA177" i="1"/>
  <c r="AB177" i="1"/>
  <c r="AC177" i="1"/>
  <c r="AD177" i="1"/>
  <c r="AE177" i="1"/>
  <c r="AF177" i="1"/>
  <c r="AG177" i="1"/>
  <c r="AH177" i="1"/>
  <c r="AI177" i="1"/>
  <c r="AJ177" i="1"/>
  <c r="AK177" i="1"/>
  <c r="AL177" i="1"/>
  <c r="E182" i="1"/>
  <c r="E188" i="1"/>
  <c r="E190" i="1"/>
  <c r="W191" i="1"/>
  <c r="X191" i="1"/>
  <c r="Y191" i="1"/>
  <c r="Z191" i="1"/>
  <c r="AA191" i="1"/>
  <c r="AB191" i="1"/>
  <c r="AC191" i="1"/>
  <c r="AD191" i="1"/>
  <c r="AE191" i="1"/>
  <c r="AF191" i="1"/>
  <c r="AG191" i="1"/>
  <c r="AH191" i="1"/>
  <c r="AI191" i="1"/>
  <c r="F192" i="1"/>
  <c r="O192" i="1"/>
  <c r="P192" i="1"/>
  <c r="Q192" i="1"/>
  <c r="R192" i="1"/>
  <c r="S192" i="1"/>
  <c r="T192" i="1"/>
  <c r="U192" i="1"/>
  <c r="V192" i="1"/>
  <c r="W192" i="1"/>
  <c r="X192" i="1"/>
  <c r="Y192" i="1"/>
  <c r="Z192" i="1"/>
  <c r="AA192" i="1"/>
  <c r="AB192" i="1"/>
  <c r="AC192" i="1"/>
  <c r="AD192" i="1"/>
  <c r="AE192" i="1"/>
  <c r="AF192" i="1"/>
  <c r="AG192" i="1"/>
  <c r="AH192" i="1"/>
  <c r="AI192" i="1"/>
  <c r="W193" i="1"/>
  <c r="X193" i="1"/>
  <c r="Y193" i="1"/>
  <c r="Z193" i="1"/>
  <c r="AA193" i="1"/>
  <c r="AB193" i="1"/>
  <c r="AC193" i="1"/>
  <c r="AD193" i="1"/>
  <c r="AE193" i="1"/>
  <c r="AF193" i="1"/>
  <c r="AG193" i="1"/>
  <c r="AH193" i="1"/>
  <c r="AI193" i="1"/>
  <c r="H194" i="1"/>
  <c r="I194" i="1" s="1"/>
  <c r="J194" i="1" s="1"/>
  <c r="K194" i="1"/>
  <c r="L194" i="1"/>
  <c r="M194" i="1"/>
  <c r="N194" i="1"/>
  <c r="O194" i="1" s="1"/>
  <c r="P194" i="1" s="1"/>
  <c r="Q194" i="1" s="1"/>
  <c r="R194" i="1" s="1"/>
  <c r="S194" i="1" s="1"/>
  <c r="T194" i="1" s="1"/>
  <c r="U194" i="1" s="1"/>
  <c r="V194" i="1" s="1"/>
  <c r="W194" i="1" s="1"/>
  <c r="X194" i="1" s="1"/>
  <c r="Y194" i="1" s="1"/>
  <c r="Z194" i="1" s="1"/>
  <c r="AA194" i="1" s="1"/>
  <c r="AB194" i="1" s="1"/>
  <c r="AC194" i="1" s="1"/>
  <c r="AD194" i="1"/>
  <c r="AE194" i="1" s="1"/>
  <c r="AF194" i="1" s="1"/>
  <c r="AG194" i="1" s="1"/>
  <c r="AH194" i="1" s="1"/>
  <c r="AI194" i="1" s="1"/>
  <c r="E202" i="1"/>
  <c r="G203" i="1"/>
  <c r="E203" i="1" s="1"/>
  <c r="E206" i="1"/>
  <c r="F206" i="1" s="1"/>
  <c r="E215" i="1"/>
  <c r="D216" i="1"/>
  <c r="D222" i="1"/>
  <c r="E222" i="1"/>
  <c r="E223" i="1" s="1"/>
  <c r="E224" i="1"/>
  <c r="C238" i="1"/>
  <c r="D238" i="1"/>
  <c r="E245" i="1"/>
  <c r="E246" i="1"/>
  <c r="E326" i="1" s="1"/>
  <c r="H248" i="1"/>
  <c r="I248" i="1"/>
  <c r="J248" i="1"/>
  <c r="K248" i="1" s="1"/>
  <c r="L248" i="1" s="1"/>
  <c r="M248" i="1" s="1"/>
  <c r="N248" i="1" s="1"/>
  <c r="O248" i="1" s="1"/>
  <c r="P248" i="1" s="1"/>
  <c r="Q248" i="1"/>
  <c r="R248" i="1" s="1"/>
  <c r="S248" i="1" s="1"/>
  <c r="T248" i="1" s="1"/>
  <c r="U248" i="1" s="1"/>
  <c r="V248" i="1" s="1"/>
  <c r="W248" i="1" s="1"/>
  <c r="X248" i="1" s="1"/>
  <c r="Y248" i="1" s="1"/>
  <c r="Z248" i="1" s="1"/>
  <c r="AA248" i="1" s="1"/>
  <c r="AB248" i="1" s="1"/>
  <c r="AC248" i="1" s="1"/>
  <c r="AD248" i="1" s="1"/>
  <c r="AE248" i="1" s="1"/>
  <c r="AF248" i="1" s="1"/>
  <c r="AG248" i="1" s="1"/>
  <c r="AH248" i="1" s="1"/>
  <c r="AI248" i="1" s="1"/>
  <c r="AJ248" i="1" s="1"/>
  <c r="AK248" i="1" s="1"/>
  <c r="AL248" i="1" s="1"/>
  <c r="AM248" i="1" s="1"/>
  <c r="F249" i="1"/>
  <c r="G249" i="1"/>
  <c r="H249" i="1" s="1"/>
  <c r="I249" i="1" s="1"/>
  <c r="J249" i="1" s="1"/>
  <c r="K249" i="1" s="1"/>
  <c r="L249" i="1" s="1"/>
  <c r="M249" i="1"/>
  <c r="N249" i="1" s="1"/>
  <c r="O249" i="1" s="1"/>
  <c r="P249" i="1" s="1"/>
  <c r="Q249" i="1" s="1"/>
  <c r="R249" i="1" s="1"/>
  <c r="S249" i="1" s="1"/>
  <c r="T249" i="1" s="1"/>
  <c r="U249" i="1" s="1"/>
  <c r="V249" i="1" s="1"/>
  <c r="W249" i="1" s="1"/>
  <c r="X249" i="1" s="1"/>
  <c r="Y249" i="1" s="1"/>
  <c r="Z249" i="1" s="1"/>
  <c r="AA249" i="1" s="1"/>
  <c r="AB249" i="1" s="1"/>
  <c r="AC249" i="1" s="1"/>
  <c r="AD249" i="1" s="1"/>
  <c r="AE249" i="1" s="1"/>
  <c r="AF249" i="1" s="1"/>
  <c r="AG249" i="1" s="1"/>
  <c r="AH249" i="1"/>
  <c r="AI249" i="1" s="1"/>
  <c r="AJ249" i="1" s="1"/>
  <c r="AK249" i="1" s="1"/>
  <c r="AL249" i="1" s="1"/>
  <c r="AM249" i="1" s="1"/>
  <c r="F250" i="1"/>
  <c r="G250" i="1" s="1"/>
  <c r="F251" i="1"/>
  <c r="G251" i="1"/>
  <c r="H251" i="1" s="1"/>
  <c r="I251" i="1" s="1"/>
  <c r="J251" i="1" s="1"/>
  <c r="K251" i="1" s="1"/>
  <c r="L251" i="1" s="1"/>
  <c r="M251" i="1" s="1"/>
  <c r="N251" i="1" s="1"/>
  <c r="O251" i="1" s="1"/>
  <c r="P251" i="1" s="1"/>
  <c r="Q251" i="1" s="1"/>
  <c r="R251" i="1" s="1"/>
  <c r="S251" i="1" s="1"/>
  <c r="T251" i="1" s="1"/>
  <c r="U251" i="1" s="1"/>
  <c r="V251" i="1" s="1"/>
  <c r="W251" i="1" s="1"/>
  <c r="X251" i="1" s="1"/>
  <c r="Y251" i="1" s="1"/>
  <c r="Z251" i="1" s="1"/>
  <c r="AA251" i="1" s="1"/>
  <c r="AB251" i="1" s="1"/>
  <c r="AC251" i="1" s="1"/>
  <c r="AD251" i="1" s="1"/>
  <c r="AE251" i="1" s="1"/>
  <c r="AF251" i="1" s="1"/>
  <c r="AG251" i="1" s="1"/>
  <c r="AH251" i="1" s="1"/>
  <c r="AI251" i="1" s="1"/>
  <c r="AJ251" i="1" s="1"/>
  <c r="AK251" i="1" s="1"/>
  <c r="AL251" i="1" s="1"/>
  <c r="AM251" i="1" s="1"/>
  <c r="F252" i="1"/>
  <c r="G252" i="1" s="1"/>
  <c r="H252" i="1"/>
  <c r="I252" i="1" s="1"/>
  <c r="J252" i="1" s="1"/>
  <c r="K252" i="1" s="1"/>
  <c r="L252" i="1" s="1"/>
  <c r="M252" i="1" s="1"/>
  <c r="N252" i="1" s="1"/>
  <c r="O252" i="1" s="1"/>
  <c r="P252" i="1" s="1"/>
  <c r="Q252" i="1" s="1"/>
  <c r="R252" i="1" s="1"/>
  <c r="S252" i="1" s="1"/>
  <c r="T252" i="1" s="1"/>
  <c r="U252" i="1" s="1"/>
  <c r="V252" i="1" s="1"/>
  <c r="W252" i="1" s="1"/>
  <c r="X252" i="1" s="1"/>
  <c r="Y252" i="1" s="1"/>
  <c r="Z252" i="1" s="1"/>
  <c r="AA252" i="1" s="1"/>
  <c r="AB252" i="1" s="1"/>
  <c r="AC252" i="1" s="1"/>
  <c r="AD252" i="1" s="1"/>
  <c r="AE252" i="1" s="1"/>
  <c r="AF252" i="1" s="1"/>
  <c r="AG252" i="1" s="1"/>
  <c r="AH252" i="1" s="1"/>
  <c r="AI252" i="1" s="1"/>
  <c r="AJ252" i="1" s="1"/>
  <c r="AK252" i="1" s="1"/>
  <c r="AL252" i="1" s="1"/>
  <c r="AM252" i="1" s="1"/>
  <c r="E253" i="1"/>
  <c r="F258" i="1"/>
  <c r="E264" i="1"/>
  <c r="E265" i="1"/>
  <c r="E266" i="1"/>
  <c r="F268" i="1"/>
  <c r="G268" i="1"/>
  <c r="H268" i="1" s="1"/>
  <c r="I268" i="1" s="1"/>
  <c r="J268" i="1"/>
  <c r="K268" i="1"/>
  <c r="L268" i="1"/>
  <c r="M268" i="1" s="1"/>
  <c r="N268" i="1" s="1"/>
  <c r="O268" i="1" s="1"/>
  <c r="P268" i="1" s="1"/>
  <c r="Q268" i="1" s="1"/>
  <c r="R268" i="1" s="1"/>
  <c r="S268" i="1" s="1"/>
  <c r="T268" i="1" s="1"/>
  <c r="U268" i="1" s="1"/>
  <c r="V268" i="1" s="1"/>
  <c r="W268" i="1"/>
  <c r="X268" i="1" s="1"/>
  <c r="Y268" i="1" s="1"/>
  <c r="Z268" i="1"/>
  <c r="AA268" i="1" s="1"/>
  <c r="AB268" i="1" s="1"/>
  <c r="AC268" i="1" s="1"/>
  <c r="AD268" i="1" s="1"/>
  <c r="AE268" i="1" s="1"/>
  <c r="AF268" i="1" s="1"/>
  <c r="AG268" i="1" s="1"/>
  <c r="AH268" i="1" s="1"/>
  <c r="AI268" i="1" s="1"/>
  <c r="AJ268" i="1" s="1"/>
  <c r="AK268" i="1" s="1"/>
  <c r="AL268" i="1" s="1"/>
  <c r="AM268" i="1" s="1"/>
  <c r="F269" i="1"/>
  <c r="G269" i="1"/>
  <c r="H269" i="1"/>
  <c r="I269" i="1" s="1"/>
  <c r="J269" i="1"/>
  <c r="K269" i="1"/>
  <c r="F270" i="1"/>
  <c r="G270" i="1"/>
  <c r="H270" i="1"/>
  <c r="I270" i="1" s="1"/>
  <c r="J270" i="1" s="1"/>
  <c r="F271" i="1"/>
  <c r="G271" i="1" s="1"/>
  <c r="H271" i="1" s="1"/>
  <c r="I271" i="1" s="1"/>
  <c r="J271" i="1" s="1"/>
  <c r="K271" i="1" s="1"/>
  <c r="L271" i="1" s="1"/>
  <c r="M271" i="1" s="1"/>
  <c r="N271" i="1" s="1"/>
  <c r="O271" i="1" s="1"/>
  <c r="P271" i="1" s="1"/>
  <c r="Q271" i="1" s="1"/>
  <c r="R271" i="1" s="1"/>
  <c r="S271" i="1" s="1"/>
  <c r="T271" i="1" s="1"/>
  <c r="U271" i="1" s="1"/>
  <c r="V271" i="1" s="1"/>
  <c r="W271" i="1" s="1"/>
  <c r="X271" i="1" s="1"/>
  <c r="Y271" i="1" s="1"/>
  <c r="Z271" i="1" s="1"/>
  <c r="AA271" i="1" s="1"/>
  <c r="AB271" i="1" s="1"/>
  <c r="AC271" i="1" s="1"/>
  <c r="AD271" i="1" s="1"/>
  <c r="AE271" i="1"/>
  <c r="AF271" i="1" s="1"/>
  <c r="AG271" i="1" s="1"/>
  <c r="AH271" i="1" s="1"/>
  <c r="AI271" i="1" s="1"/>
  <c r="AJ271" i="1" s="1"/>
  <c r="AK271" i="1" s="1"/>
  <c r="AL271" i="1" s="1"/>
  <c r="AM271" i="1" s="1"/>
  <c r="E272" i="1"/>
  <c r="C280" i="1"/>
  <c r="C281" i="1"/>
  <c r="E290" i="1"/>
  <c r="E291" i="1" s="1"/>
  <c r="E293" i="1"/>
  <c r="F298" i="1"/>
  <c r="E299" i="1"/>
  <c r="F301" i="1"/>
  <c r="G301" i="1"/>
  <c r="H301" i="1" s="1"/>
  <c r="I301" i="1" s="1"/>
  <c r="J301" i="1" s="1"/>
  <c r="K301" i="1"/>
  <c r="L301" i="1" s="1"/>
  <c r="M301" i="1" s="1"/>
  <c r="N301" i="1" s="1"/>
  <c r="O301" i="1" s="1"/>
  <c r="P301" i="1" s="1"/>
  <c r="Q301" i="1" s="1"/>
  <c r="R301" i="1" s="1"/>
  <c r="S301" i="1" s="1"/>
  <c r="T301" i="1" s="1"/>
  <c r="U301" i="1" s="1"/>
  <c r="V301" i="1" s="1"/>
  <c r="W301" i="1"/>
  <c r="X301" i="1" s="1"/>
  <c r="Y301" i="1" s="1"/>
  <c r="Z301" i="1" s="1"/>
  <c r="AA301" i="1" s="1"/>
  <c r="AB301" i="1" s="1"/>
  <c r="AC301" i="1" s="1"/>
  <c r="AD301" i="1" s="1"/>
  <c r="AE301" i="1" s="1"/>
  <c r="AF301" i="1" s="1"/>
  <c r="AG301" i="1" s="1"/>
  <c r="AH301" i="1" s="1"/>
  <c r="AI301" i="1" s="1"/>
  <c r="AJ301" i="1" s="1"/>
  <c r="AK301" i="1" s="1"/>
  <c r="AL301" i="1" s="1"/>
  <c r="AM301" i="1" s="1"/>
  <c r="F302" i="1"/>
  <c r="G302" i="1" s="1"/>
  <c r="H302" i="1" s="1"/>
  <c r="I302" i="1" s="1"/>
  <c r="J302" i="1" s="1"/>
  <c r="K302" i="1" s="1"/>
  <c r="L302" i="1"/>
  <c r="M302" i="1"/>
  <c r="N302" i="1" s="1"/>
  <c r="O302" i="1" s="1"/>
  <c r="P302" i="1" s="1"/>
  <c r="Q302" i="1" s="1"/>
  <c r="R302" i="1" s="1"/>
  <c r="S302" i="1" s="1"/>
  <c r="T302" i="1" s="1"/>
  <c r="U302" i="1" s="1"/>
  <c r="V302" i="1" s="1"/>
  <c r="W302" i="1" s="1"/>
  <c r="X302" i="1" s="1"/>
  <c r="Y302" i="1" s="1"/>
  <c r="Z302" i="1" s="1"/>
  <c r="AA302" i="1" s="1"/>
  <c r="AB302" i="1" s="1"/>
  <c r="AC302" i="1" s="1"/>
  <c r="AD302" i="1" s="1"/>
  <c r="AE302" i="1" s="1"/>
  <c r="AF302" i="1" s="1"/>
  <c r="AG302" i="1" s="1"/>
  <c r="AH302" i="1" s="1"/>
  <c r="AI302" i="1" s="1"/>
  <c r="AJ302" i="1" s="1"/>
  <c r="AK302" i="1"/>
  <c r="AL302" i="1" s="1"/>
  <c r="AM302" i="1" s="1"/>
  <c r="F303" i="1"/>
  <c r="G303" i="1"/>
  <c r="H303" i="1" s="1"/>
  <c r="I303" i="1" s="1"/>
  <c r="J303" i="1" s="1"/>
  <c r="K303" i="1" s="1"/>
  <c r="L303" i="1"/>
  <c r="M303" i="1"/>
  <c r="N303" i="1" s="1"/>
  <c r="O303" i="1" s="1"/>
  <c r="P303" i="1" s="1"/>
  <c r="Q303" i="1" s="1"/>
  <c r="R303" i="1" s="1"/>
  <c r="S303" i="1" s="1"/>
  <c r="T303" i="1" s="1"/>
  <c r="U303" i="1" s="1"/>
  <c r="V303" i="1" s="1"/>
  <c r="W303" i="1" s="1"/>
  <c r="X303" i="1" s="1"/>
  <c r="Y303" i="1" s="1"/>
  <c r="Z303" i="1" s="1"/>
  <c r="AA303" i="1" s="1"/>
  <c r="AB303" i="1"/>
  <c r="AC303" i="1" s="1"/>
  <c r="AD303" i="1" s="1"/>
  <c r="AE303" i="1" s="1"/>
  <c r="AF303" i="1" s="1"/>
  <c r="AG303" i="1" s="1"/>
  <c r="AH303" i="1" s="1"/>
  <c r="AI303" i="1" s="1"/>
  <c r="AJ303" i="1" s="1"/>
  <c r="AK303" i="1" s="1"/>
  <c r="AL303" i="1" s="1"/>
  <c r="AM303" i="1" s="1"/>
  <c r="F304" i="1"/>
  <c r="G304" i="1"/>
  <c r="H304" i="1"/>
  <c r="I304" i="1"/>
  <c r="J304" i="1" s="1"/>
  <c r="K304" i="1" s="1"/>
  <c r="L304" i="1" s="1"/>
  <c r="M304" i="1" s="1"/>
  <c r="N304" i="1" s="1"/>
  <c r="O304" i="1" s="1"/>
  <c r="P304" i="1"/>
  <c r="Q304" i="1" s="1"/>
  <c r="R304" i="1" s="1"/>
  <c r="S304" i="1" s="1"/>
  <c r="T304" i="1" s="1"/>
  <c r="U304" i="1" s="1"/>
  <c r="V304" i="1" s="1"/>
  <c r="W304" i="1" s="1"/>
  <c r="X304" i="1" s="1"/>
  <c r="Y304" i="1" s="1"/>
  <c r="Z304" i="1" s="1"/>
  <c r="AA304" i="1" s="1"/>
  <c r="AB304" i="1" s="1"/>
  <c r="AC304" i="1" s="1"/>
  <c r="AD304" i="1" s="1"/>
  <c r="AE304" i="1" s="1"/>
  <c r="AF304" i="1" s="1"/>
  <c r="AG304" i="1" s="1"/>
  <c r="AH304" i="1" s="1"/>
  <c r="AI304" i="1" s="1"/>
  <c r="AJ304" i="1" s="1"/>
  <c r="AK304" i="1" s="1"/>
  <c r="AL304" i="1" s="1"/>
  <c r="AM304" i="1" s="1"/>
  <c r="D334" i="1"/>
  <c r="E339" i="1"/>
  <c r="F339" i="1"/>
  <c r="G339" i="1" s="1"/>
  <c r="H339" i="1" s="1"/>
  <c r="I339" i="1" s="1"/>
  <c r="J339" i="1" s="1"/>
  <c r="K339" i="1"/>
  <c r="L339" i="1" s="1"/>
  <c r="M339" i="1" s="1"/>
  <c r="N339" i="1" s="1"/>
  <c r="O339" i="1" s="1"/>
  <c r="P339" i="1" s="1"/>
  <c r="Q339" i="1" s="1"/>
  <c r="R339" i="1" s="1"/>
  <c r="S339" i="1" s="1"/>
  <c r="T339" i="1" s="1"/>
  <c r="U339" i="1" s="1"/>
  <c r="V339" i="1" s="1"/>
  <c r="W339" i="1" s="1"/>
  <c r="X339" i="1" s="1"/>
  <c r="Y339" i="1" s="1"/>
  <c r="Z339" i="1" s="1"/>
  <c r="AA339" i="1" s="1"/>
  <c r="AB339" i="1" s="1"/>
  <c r="AC339" i="1" s="1"/>
  <c r="AD339" i="1" s="1"/>
  <c r="AE339" i="1" s="1"/>
  <c r="AF339" i="1" s="1"/>
  <c r="AG339" i="1" s="1"/>
  <c r="AH339" i="1" s="1"/>
  <c r="AI339" i="1"/>
  <c r="E341" i="1"/>
  <c r="F341" i="1"/>
  <c r="E342" i="1"/>
  <c r="F342" i="1"/>
  <c r="G342" i="1" s="1"/>
  <c r="G341" i="1" s="1"/>
  <c r="H342" i="1"/>
  <c r="H341" i="1" s="1"/>
  <c r="I342" i="1"/>
  <c r="E346" i="1"/>
  <c r="E348" i="1"/>
  <c r="D2" i="13"/>
  <c r="E2" i="13" s="1"/>
  <c r="F2" i="13"/>
  <c r="G2" i="13" s="1"/>
  <c r="H2" i="13" s="1"/>
  <c r="I2" i="13" s="1"/>
  <c r="J2" i="13" s="1"/>
  <c r="K2" i="13" s="1"/>
  <c r="L2" i="13" s="1"/>
  <c r="M2" i="13" s="1"/>
  <c r="N2" i="13" s="1"/>
  <c r="O2" i="13" s="1"/>
  <c r="P2" i="13" s="1"/>
  <c r="Q2" i="13" s="1"/>
  <c r="R2" i="13"/>
  <c r="S2" i="13" s="1"/>
  <c r="T2" i="13" s="1"/>
  <c r="U2" i="13" s="1"/>
  <c r="V2" i="13" s="1"/>
  <c r="W2" i="13" s="1"/>
  <c r="X2" i="13" s="1"/>
  <c r="Y2" i="13" s="1"/>
  <c r="Z2" i="13" s="1"/>
  <c r="AA2" i="13" s="1"/>
  <c r="AB2" i="13" s="1"/>
  <c r="AC2" i="13" s="1"/>
  <c r="AD2" i="13" s="1"/>
  <c r="AE2" i="13" s="1"/>
  <c r="AF2" i="13" s="1"/>
  <c r="AG2" i="13" s="1"/>
  <c r="AH2" i="13" s="1"/>
  <c r="D45" i="13"/>
  <c r="AI56" i="13"/>
  <c r="AJ56" i="13"/>
  <c r="AK56" i="13"/>
  <c r="AL56" i="13"/>
  <c r="AM56" i="13"/>
  <c r="D57" i="13"/>
  <c r="AI57" i="13"/>
  <c r="AJ57" i="13"/>
  <c r="AK57" i="13"/>
  <c r="AL57" i="13"/>
  <c r="AM57" i="13"/>
  <c r="AI60" i="13"/>
  <c r="AJ60" i="13"/>
  <c r="AK60" i="13"/>
  <c r="AL60" i="13"/>
  <c r="AI61" i="13"/>
  <c r="AJ61" i="13"/>
  <c r="AJ62" i="13" s="1"/>
  <c r="AK61" i="13"/>
  <c r="AK62" i="13" s="1"/>
  <c r="AK64" i="13" s="1"/>
  <c r="AL61" i="13"/>
  <c r="AL62" i="13" s="1"/>
  <c r="AI62" i="13"/>
  <c r="AJ64" i="13"/>
  <c r="AJ67" i="13"/>
  <c r="AJ81" i="13"/>
  <c r="AJ82" i="13"/>
  <c r="D2" i="8"/>
  <c r="E2" i="8" s="1"/>
  <c r="F2" i="8" s="1"/>
  <c r="G2" i="8" s="1"/>
  <c r="H2" i="8"/>
  <c r="I2" i="8" s="1"/>
  <c r="J2" i="8" s="1"/>
  <c r="K2" i="8" s="1"/>
  <c r="L2" i="8" s="1"/>
  <c r="M2" i="8"/>
  <c r="N2" i="8" s="1"/>
  <c r="O2" i="8" s="1"/>
  <c r="P2" i="8" s="1"/>
  <c r="Q2" i="8" s="1"/>
  <c r="R2" i="8" s="1"/>
  <c r="S2" i="8" s="1"/>
  <c r="T2" i="8" s="1"/>
  <c r="U2" i="8" s="1"/>
  <c r="V2" i="8" s="1"/>
  <c r="W2" i="8" s="1"/>
  <c r="X2" i="8" s="1"/>
  <c r="Y2" i="8" s="1"/>
  <c r="Z2" i="8" s="1"/>
  <c r="AA2" i="8" s="1"/>
  <c r="AB2" i="8" s="1"/>
  <c r="AC2" i="8" s="1"/>
  <c r="AD2" i="8" s="1"/>
  <c r="AE2" i="8" s="1"/>
  <c r="AF2" i="8" s="1"/>
  <c r="AG2" i="8" s="1"/>
  <c r="AH2" i="8" s="1"/>
  <c r="D6" i="8"/>
  <c r="E6" i="8"/>
  <c r="F6" i="8"/>
  <c r="G6" i="8"/>
  <c r="AH6" i="8"/>
  <c r="AH7" i="8"/>
  <c r="AH56" i="13" s="1"/>
  <c r="B13" i="8"/>
  <c r="D32" i="8"/>
  <c r="E32" i="8"/>
  <c r="F32" i="8"/>
  <c r="G32" i="8"/>
  <c r="AH32" i="8"/>
  <c r="D33" i="8"/>
  <c r="AH33" i="8"/>
  <c r="AH57" i="13" s="1"/>
  <c r="B39" i="8"/>
  <c r="E2" i="6"/>
  <c r="F2" i="6"/>
  <c r="B4" i="6"/>
  <c r="C4" i="6"/>
  <c r="E4" i="6"/>
  <c r="E6" i="6"/>
  <c r="E10" i="6"/>
  <c r="B12" i="6"/>
  <c r="B15" i="6"/>
  <c r="B16" i="6"/>
  <c r="B17" i="6"/>
  <c r="B18" i="6"/>
  <c r="B19" i="6"/>
  <c r="B20" i="6"/>
  <c r="E20" i="6"/>
  <c r="B21" i="6"/>
  <c r="B22" i="6"/>
  <c r="E22" i="6"/>
  <c r="B23" i="6"/>
  <c r="E23" i="6"/>
  <c r="B24" i="6"/>
  <c r="E24" i="6"/>
  <c r="B25" i="6"/>
  <c r="E25" i="6"/>
  <c r="B26" i="6"/>
  <c r="E26" i="6"/>
  <c r="B27" i="6"/>
  <c r="E27" i="6"/>
  <c r="B29" i="6"/>
  <c r="AI37" i="6"/>
  <c r="AI40" i="6"/>
  <c r="E41" i="6"/>
  <c r="AI52" i="6"/>
  <c r="E61" i="6"/>
  <c r="F61" i="6"/>
  <c r="H61" i="6"/>
  <c r="I61" i="6"/>
  <c r="J61" i="6"/>
  <c r="K61" i="6"/>
  <c r="L61" i="6"/>
  <c r="M61" i="6"/>
  <c r="N61" i="6"/>
  <c r="P61" i="6"/>
  <c r="Q61" i="6"/>
  <c r="R61" i="6"/>
  <c r="S61" i="6"/>
  <c r="T61" i="6"/>
  <c r="U61" i="6"/>
  <c r="V61" i="6"/>
  <c r="X61" i="6"/>
  <c r="Y61" i="6"/>
  <c r="Z61" i="6"/>
  <c r="AA61" i="6"/>
  <c r="AB61" i="6"/>
  <c r="AC61" i="6"/>
  <c r="AD61" i="6"/>
  <c r="AF61" i="6"/>
  <c r="AG61" i="6"/>
  <c r="AH61" i="6"/>
  <c r="AI61" i="6"/>
  <c r="E69" i="6"/>
  <c r="P69" i="6"/>
  <c r="Q69" i="6"/>
  <c r="R69" i="6"/>
  <c r="S69" i="6"/>
  <c r="T69" i="6"/>
  <c r="U69" i="6"/>
  <c r="V69" i="6"/>
  <c r="W69" i="6"/>
  <c r="X69" i="6"/>
  <c r="Y69" i="6"/>
  <c r="Z69" i="6"/>
  <c r="AA69" i="6"/>
  <c r="AB69" i="6"/>
  <c r="AC69" i="6"/>
  <c r="AD69" i="6"/>
  <c r="AE69" i="6"/>
  <c r="AF69" i="6"/>
  <c r="AG69" i="6"/>
  <c r="AH69" i="6"/>
  <c r="D2" i="12"/>
  <c r="E2" i="12"/>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AG2" i="12" s="1"/>
  <c r="E11" i="12"/>
  <c r="F11" i="12"/>
  <c r="G11" i="12" s="1"/>
  <c r="E12" i="12"/>
  <c r="F12" i="12"/>
  <c r="G12" i="12"/>
  <c r="H12" i="12"/>
  <c r="I12" i="12"/>
  <c r="J12" i="12"/>
  <c r="K12" i="12"/>
  <c r="L12" i="12"/>
  <c r="M12" i="12"/>
  <c r="N12" i="12"/>
  <c r="O12" i="12"/>
  <c r="P12" i="12"/>
  <c r="Q12" i="12"/>
  <c r="R12" i="12"/>
  <c r="S12" i="12"/>
  <c r="T12" i="12"/>
  <c r="U15" i="12"/>
  <c r="U16" i="12"/>
  <c r="C17" i="12"/>
  <c r="C63" i="12" s="1"/>
  <c r="U17" i="12"/>
  <c r="U18" i="12"/>
  <c r="U19" i="12"/>
  <c r="C20" i="12"/>
  <c r="C66" i="12" s="1"/>
  <c r="U20" i="12"/>
  <c r="C21" i="12"/>
  <c r="U21" i="12"/>
  <c r="U22" i="12"/>
  <c r="U23" i="12"/>
  <c r="U24" i="12"/>
  <c r="U25" i="12"/>
  <c r="U26" i="12"/>
  <c r="U27" i="12"/>
  <c r="U28" i="12"/>
  <c r="C29" i="12"/>
  <c r="E29" i="12"/>
  <c r="F29" i="12"/>
  <c r="G29" i="12"/>
  <c r="H29" i="12"/>
  <c r="I29" i="12"/>
  <c r="J29" i="12"/>
  <c r="K29" i="12"/>
  <c r="L29" i="12"/>
  <c r="M29" i="12"/>
  <c r="N29" i="12"/>
  <c r="O29" i="12"/>
  <c r="P29" i="12"/>
  <c r="Q29" i="12"/>
  <c r="R29" i="12"/>
  <c r="S29" i="12"/>
  <c r="T29" i="12"/>
  <c r="C30" i="12"/>
  <c r="E30" i="12"/>
  <c r="F30" i="12"/>
  <c r="G30" i="12"/>
  <c r="H30" i="12"/>
  <c r="H32" i="12" s="1"/>
  <c r="I30" i="12"/>
  <c r="J30" i="12"/>
  <c r="J32" i="12" s="1"/>
  <c r="K30" i="12"/>
  <c r="L30" i="12"/>
  <c r="M30" i="12"/>
  <c r="N30" i="12"/>
  <c r="O30" i="12"/>
  <c r="P30" i="12"/>
  <c r="Q30" i="12"/>
  <c r="Q32" i="12" s="1"/>
  <c r="R30" i="12"/>
  <c r="R32" i="12" s="1"/>
  <c r="S30" i="12"/>
  <c r="T30" i="12"/>
  <c r="C31" i="12"/>
  <c r="C75" i="12" s="1"/>
  <c r="E31" i="12"/>
  <c r="F31" i="12"/>
  <c r="G31" i="12"/>
  <c r="H31" i="12"/>
  <c r="I31" i="12"/>
  <c r="J31" i="12"/>
  <c r="K31" i="12"/>
  <c r="L31" i="12"/>
  <c r="M31" i="12"/>
  <c r="N31" i="12"/>
  <c r="O31" i="12"/>
  <c r="P31" i="12"/>
  <c r="Q31" i="12"/>
  <c r="R31" i="12"/>
  <c r="S31" i="12"/>
  <c r="T31" i="12"/>
  <c r="C32" i="12"/>
  <c r="C76" i="12" s="1"/>
  <c r="E32" i="12"/>
  <c r="F32" i="12"/>
  <c r="K32" i="12"/>
  <c r="L32" i="12"/>
  <c r="M32" i="12"/>
  <c r="N32" i="12"/>
  <c r="P32" i="12"/>
  <c r="S32" i="12"/>
  <c r="T32" i="12"/>
  <c r="C33" i="12"/>
  <c r="U33" i="12"/>
  <c r="C34" i="12"/>
  <c r="C78" i="12" s="1"/>
  <c r="U34" i="12"/>
  <c r="U35" i="12"/>
  <c r="U36" i="12"/>
  <c r="U37" i="12"/>
  <c r="U38" i="12"/>
  <c r="U39" i="12"/>
  <c r="U40" i="12"/>
  <c r="U41" i="12"/>
  <c r="U42" i="12"/>
  <c r="U43" i="12"/>
  <c r="U44" i="12"/>
  <c r="C45" i="12"/>
  <c r="U45" i="12"/>
  <c r="C46" i="12"/>
  <c r="C90" i="12" s="1"/>
  <c r="U46" i="12"/>
  <c r="C47" i="12"/>
  <c r="U47" i="12"/>
  <c r="C61" i="12"/>
  <c r="C74" i="12"/>
  <c r="C77" i="12"/>
  <c r="I78" i="12"/>
  <c r="N82" i="12"/>
  <c r="C89" i="12"/>
  <c r="C91" i="12"/>
  <c r="D91" i="12"/>
  <c r="E91" i="12"/>
  <c r="F91" i="12"/>
  <c r="G91" i="12"/>
  <c r="H91" i="12"/>
  <c r="I91" i="12"/>
  <c r="J91" i="12"/>
  <c r="K91" i="12"/>
  <c r="L91" i="12"/>
  <c r="M91" i="12"/>
  <c r="N91" i="12"/>
  <c r="O91" i="12"/>
  <c r="P91" i="12"/>
  <c r="Q91" i="12"/>
  <c r="R91" i="12"/>
  <c r="S91" i="12"/>
  <c r="T91" i="12"/>
  <c r="V91" i="12" s="1"/>
  <c r="C97" i="12"/>
  <c r="D97" i="12"/>
  <c r="E97" i="12"/>
  <c r="F97" i="12"/>
  <c r="G97" i="12"/>
  <c r="H97" i="12"/>
  <c r="I97" i="12"/>
  <c r="J97" i="12"/>
  <c r="K97" i="12"/>
  <c r="L97" i="12"/>
  <c r="M97" i="12"/>
  <c r="N97" i="12"/>
  <c r="O97" i="12"/>
  <c r="P97" i="12"/>
  <c r="Q97" i="12"/>
  <c r="R97" i="12"/>
  <c r="S97" i="12"/>
  <c r="T97" i="12"/>
  <c r="D106" i="12"/>
  <c r="E106" i="12"/>
  <c r="E115" i="12" s="1"/>
  <c r="F106" i="12"/>
  <c r="F115" i="12" s="1"/>
  <c r="F119" i="12" s="1"/>
  <c r="G106" i="12"/>
  <c r="H106" i="12"/>
  <c r="I106" i="12"/>
  <c r="J106" i="12"/>
  <c r="K106" i="12"/>
  <c r="L106" i="12"/>
  <c r="L115" i="12" s="1"/>
  <c r="L119" i="12" s="1"/>
  <c r="M106" i="12"/>
  <c r="M115" i="12" s="1"/>
  <c r="M119" i="12" s="1"/>
  <c r="N106" i="12"/>
  <c r="O106" i="12"/>
  <c r="P106" i="12"/>
  <c r="Q106" i="12"/>
  <c r="R106" i="12"/>
  <c r="R115" i="12" s="1"/>
  <c r="R119" i="12" s="1"/>
  <c r="S106" i="12"/>
  <c r="D108" i="12"/>
  <c r="E108" i="12"/>
  <c r="T108" i="12"/>
  <c r="T109" i="12" s="1"/>
  <c r="G115" i="12"/>
  <c r="H115" i="12"/>
  <c r="H119" i="12" s="1"/>
  <c r="I115" i="12"/>
  <c r="I119" i="12" s="1"/>
  <c r="J115" i="12"/>
  <c r="J119" i="12" s="1"/>
  <c r="K115" i="12"/>
  <c r="N115" i="12"/>
  <c r="N119" i="12" s="1"/>
  <c r="O115" i="12"/>
  <c r="P115" i="12"/>
  <c r="P119" i="12" s="1"/>
  <c r="Q115" i="12"/>
  <c r="Q119" i="12" s="1"/>
  <c r="S115" i="12"/>
  <c r="E119" i="12"/>
  <c r="G119" i="12"/>
  <c r="K119" i="12"/>
  <c r="O119" i="12"/>
  <c r="S119" i="12"/>
  <c r="E2" i="9"/>
  <c r="F2" i="9" s="1"/>
  <c r="G2" i="9" s="1"/>
  <c r="H2" i="9" s="1"/>
  <c r="I2" i="9" s="1"/>
  <c r="J2" i="9" s="1"/>
  <c r="K2" i="9" s="1"/>
  <c r="L2" i="9" s="1"/>
  <c r="M2" i="9" s="1"/>
  <c r="N2" i="9" s="1"/>
  <c r="O2" i="9" s="1"/>
  <c r="P2" i="9" s="1"/>
  <c r="Q2" i="9"/>
  <c r="R2" i="9" s="1"/>
  <c r="S2" i="9" s="1"/>
  <c r="T2" i="9" s="1"/>
  <c r="U2" i="9" s="1"/>
  <c r="V2" i="9" s="1"/>
  <c r="W2" i="9" s="1"/>
  <c r="X2" i="9" s="1"/>
  <c r="Y2" i="9" s="1"/>
  <c r="Z2" i="9" s="1"/>
  <c r="AA2" i="9" s="1"/>
  <c r="AB2" i="9" s="1"/>
  <c r="AC2" i="9" s="1"/>
  <c r="AD2" i="9" s="1"/>
  <c r="AE2" i="9" s="1"/>
  <c r="AF2" i="9" s="1"/>
  <c r="AG2" i="9" s="1"/>
  <c r="AH2" i="9" s="1"/>
  <c r="AI2" i="9" s="1"/>
  <c r="E8" i="9"/>
  <c r="F8" i="9"/>
  <c r="G8" i="9"/>
  <c r="H8" i="9"/>
  <c r="I8" i="9"/>
  <c r="J8" i="9"/>
  <c r="K8" i="9"/>
  <c r="L8" i="9"/>
  <c r="M8" i="9"/>
  <c r="N8" i="9"/>
  <c r="O8" i="9"/>
  <c r="P8" i="9"/>
  <c r="Q8" i="9"/>
  <c r="R8" i="9"/>
  <c r="S8" i="9"/>
  <c r="T8" i="9"/>
  <c r="U8" i="9"/>
  <c r="V8" i="9"/>
  <c r="W8" i="9"/>
  <c r="X8" i="9"/>
  <c r="Y8" i="9"/>
  <c r="Z8" i="9"/>
  <c r="AA8" i="9"/>
  <c r="AB8" i="9"/>
  <c r="AC8" i="9"/>
  <c r="AD8" i="9"/>
  <c r="AE8" i="9"/>
  <c r="AF8" i="9"/>
  <c r="AG8" i="9"/>
  <c r="AH8" i="9"/>
  <c r="AI8" i="9"/>
  <c r="AI12" i="9"/>
  <c r="AI14" i="9" s="1"/>
  <c r="AI23" i="9" s="1"/>
  <c r="E13" i="9"/>
  <c r="AI13" i="9"/>
  <c r="E34" i="9"/>
  <c r="D47" i="9"/>
  <c r="E47" i="9" s="1"/>
  <c r="D48" i="9"/>
  <c r="E48" i="9" s="1"/>
  <c r="I48" i="9"/>
  <c r="D49" i="9"/>
  <c r="E49" i="9" s="1"/>
  <c r="D50" i="9"/>
  <c r="E50" i="9" s="1"/>
  <c r="F47" i="9" s="1"/>
  <c r="F48" i="9" s="1"/>
  <c r="F49" i="9" s="1"/>
  <c r="F50" i="9" s="1"/>
  <c r="G47" i="9" s="1"/>
  <c r="G48" i="9" s="1"/>
  <c r="G49" i="9" s="1"/>
  <c r="G50" i="9" s="1"/>
  <c r="H47" i="9" s="1"/>
  <c r="H48" i="9" s="1"/>
  <c r="H49" i="9" s="1"/>
  <c r="H50" i="9"/>
  <c r="I47" i="9" s="1"/>
  <c r="C51" i="9"/>
  <c r="E51" i="9"/>
  <c r="F51" i="9"/>
  <c r="G51" i="9"/>
  <c r="H51" i="9"/>
  <c r="E64" i="9"/>
  <c r="F64" i="9"/>
  <c r="I3" i="21"/>
  <c r="M5" i="21"/>
  <c r="M7" i="21" s="1"/>
  <c r="I6" i="21"/>
  <c r="B7" i="21"/>
  <c r="I7" i="21"/>
  <c r="B8" i="21"/>
  <c r="B9" i="21" s="1"/>
  <c r="B10" i="21" s="1"/>
  <c r="B11" i="21" s="1"/>
  <c r="I8" i="21"/>
  <c r="M8" i="21"/>
  <c r="I9" i="21"/>
  <c r="I10" i="21"/>
  <c r="I11" i="21"/>
  <c r="B12" i="21"/>
  <c r="B13" i="21" s="1"/>
  <c r="B14" i="21" s="1"/>
  <c r="B15" i="21" s="1"/>
  <c r="B16" i="21" s="1"/>
  <c r="B17" i="21" s="1"/>
  <c r="B18" i="21" s="1"/>
  <c r="B19" i="21" s="1"/>
  <c r="B20" i="21" s="1"/>
  <c r="B21" i="21" s="1"/>
  <c r="B22" i="21" s="1"/>
  <c r="B23" i="21" s="1"/>
  <c r="B24" i="21" s="1"/>
  <c r="B25" i="21" s="1"/>
  <c r="B26" i="21" s="1"/>
  <c r="B27" i="21" s="1"/>
  <c r="B28" i="21" s="1"/>
  <c r="B29" i="21" s="1"/>
  <c r="B30" i="21" s="1"/>
  <c r="B31" i="21" s="1"/>
  <c r="B32" i="21" s="1"/>
  <c r="B33" i="21" s="1"/>
  <c r="B34" i="21" s="1"/>
  <c r="B35" i="21" s="1"/>
  <c r="B36" i="21" s="1"/>
  <c r="B37" i="21" s="1"/>
  <c r="B38" i="21" s="1"/>
  <c r="B39" i="21" s="1"/>
  <c r="B40" i="21" s="1"/>
  <c r="B41" i="21" s="1"/>
  <c r="B42" i="21" s="1"/>
  <c r="B43" i="21" s="1"/>
  <c r="B44" i="21" s="1"/>
  <c r="B45" i="21" s="1"/>
  <c r="B46" i="21" s="1"/>
  <c r="B47" i="21" s="1"/>
  <c r="B48" i="21" s="1"/>
  <c r="B49" i="21" s="1"/>
  <c r="B50" i="21" s="1"/>
  <c r="B51" i="21" s="1"/>
  <c r="B52" i="21" s="1"/>
  <c r="B53" i="21" s="1"/>
  <c r="B54" i="21" s="1"/>
  <c r="B55" i="21" s="1"/>
  <c r="B56" i="21" s="1"/>
  <c r="B57" i="21" s="1"/>
  <c r="B58" i="21" s="1"/>
  <c r="B59" i="21" s="1"/>
  <c r="B60" i="21" s="1"/>
  <c r="B61" i="21" s="1"/>
  <c r="B62" i="21" s="1"/>
  <c r="B63" i="21" s="1"/>
  <c r="B64" i="21" s="1"/>
  <c r="B65" i="21" s="1"/>
  <c r="B66" i="21" s="1"/>
  <c r="B67" i="21" s="1"/>
  <c r="B68" i="21" s="1"/>
  <c r="B69" i="21" s="1"/>
  <c r="B70" i="21" s="1"/>
  <c r="B71" i="21" s="1"/>
  <c r="B72" i="21" s="1"/>
  <c r="B73" i="21" s="1"/>
  <c r="B74" i="21" s="1"/>
  <c r="B75" i="21" s="1"/>
  <c r="B76" i="21" s="1"/>
  <c r="B77" i="21" s="1"/>
  <c r="B78" i="21" s="1"/>
  <c r="B79" i="21" s="1"/>
  <c r="B80" i="21" s="1"/>
  <c r="B81" i="21" s="1"/>
  <c r="B82" i="21" s="1"/>
  <c r="B83" i="21" s="1"/>
  <c r="B84" i="21" s="1"/>
  <c r="B85" i="21" s="1"/>
  <c r="B86" i="21" s="1"/>
  <c r="B87" i="21" s="1"/>
  <c r="B88" i="21" s="1"/>
  <c r="B89" i="21" s="1"/>
  <c r="B90" i="21" s="1"/>
  <c r="B91" i="21" s="1"/>
  <c r="I12" i="21"/>
  <c r="I13" i="21"/>
  <c r="I14" i="21"/>
  <c r="I15" i="21"/>
  <c r="I16" i="21"/>
  <c r="I17" i="21"/>
  <c r="I18" i="21"/>
  <c r="I19" i="21"/>
  <c r="I20" i="21"/>
  <c r="I21" i="21"/>
  <c r="I22" i="21"/>
  <c r="I23" i="21"/>
  <c r="I24" i="21"/>
  <c r="I25" i="21"/>
  <c r="I26" i="21"/>
  <c r="I27" i="21"/>
  <c r="I28" i="21"/>
  <c r="I29" i="21"/>
  <c r="I30" i="21"/>
  <c r="I31" i="21"/>
  <c r="I32" i="21"/>
  <c r="I33" i="21"/>
  <c r="I34" i="21"/>
  <c r="I35" i="21"/>
  <c r="I36" i="21"/>
  <c r="I37" i="21"/>
  <c r="I38" i="21"/>
  <c r="I39" i="21"/>
  <c r="I40" i="21"/>
  <c r="I41" i="21"/>
  <c r="I42" i="21"/>
  <c r="I43" i="21"/>
  <c r="I44" i="21"/>
  <c r="I45" i="21"/>
  <c r="I46" i="21"/>
  <c r="I47" i="21"/>
  <c r="I48" i="21"/>
  <c r="I49" i="21"/>
  <c r="I50" i="21"/>
  <c r="I51" i="21"/>
  <c r="I52" i="21"/>
  <c r="I53" i="21"/>
  <c r="I54" i="21"/>
  <c r="I55" i="21"/>
  <c r="I56" i="21"/>
  <c r="I57" i="21"/>
  <c r="I58" i="21"/>
  <c r="I59" i="21"/>
  <c r="I60" i="21"/>
  <c r="I61" i="21"/>
  <c r="I62" i="21"/>
  <c r="I63" i="21"/>
  <c r="I64" i="21"/>
  <c r="I65" i="21"/>
  <c r="I66" i="21"/>
  <c r="I67" i="21"/>
  <c r="I68" i="21"/>
  <c r="I69" i="21"/>
  <c r="I70" i="21"/>
  <c r="I71" i="21"/>
  <c r="I72" i="21"/>
  <c r="I73" i="21"/>
  <c r="I74" i="21"/>
  <c r="I75" i="21"/>
  <c r="I76" i="21"/>
  <c r="I77" i="21"/>
  <c r="I78" i="21"/>
  <c r="I79" i="21"/>
  <c r="I80" i="21"/>
  <c r="I81" i="21"/>
  <c r="I82" i="21"/>
  <c r="I83" i="21"/>
  <c r="I84" i="21"/>
  <c r="I85" i="21"/>
  <c r="I86" i="21"/>
  <c r="I87" i="21"/>
  <c r="I88" i="21"/>
  <c r="I89" i="21"/>
  <c r="I90" i="21"/>
  <c r="I91" i="21"/>
  <c r="F5" i="3"/>
  <c r="G5" i="3"/>
  <c r="H5" i="3"/>
  <c r="F6" i="3"/>
  <c r="G6" i="3"/>
  <c r="H6" i="3"/>
  <c r="D9" i="3"/>
  <c r="B10" i="3"/>
  <c r="D10" i="3"/>
  <c r="B11" i="3"/>
  <c r="D11" i="3"/>
  <c r="B12" i="3"/>
  <c r="D12" i="3"/>
  <c r="B13" i="3"/>
  <c r="C13" i="3"/>
  <c r="D13" i="3"/>
  <c r="L13" i="3"/>
  <c r="M14" i="3"/>
  <c r="C17" i="3"/>
  <c r="D17" i="3"/>
  <c r="E17" i="3"/>
  <c r="B18" i="3"/>
  <c r="B19" i="3"/>
  <c r="B20" i="3"/>
  <c r="B21" i="3"/>
  <c r="B23" i="3"/>
  <c r="B25" i="3"/>
  <c r="B28" i="3"/>
  <c r="J29" i="3"/>
  <c r="K29" i="3"/>
  <c r="N29" i="3"/>
  <c r="O29" i="3"/>
  <c r="B30" i="3"/>
  <c r="B31" i="3"/>
  <c r="B36" i="3"/>
  <c r="C36" i="3"/>
  <c r="L36" i="3"/>
  <c r="B37" i="3"/>
  <c r="L37" i="3"/>
  <c r="B38" i="3"/>
  <c r="C38" i="3"/>
  <c r="B39" i="3"/>
  <c r="B40" i="3"/>
  <c r="L45" i="3"/>
  <c r="L46" i="3"/>
  <c r="L47" i="3"/>
  <c r="L51" i="3"/>
  <c r="M51" i="3"/>
  <c r="D53" i="3"/>
  <c r="D54" i="3"/>
  <c r="D55" i="3"/>
  <c r="E61" i="3"/>
  <c r="F61" i="3" s="1"/>
  <c r="G61" i="3" s="1"/>
  <c r="H61" i="3"/>
  <c r="D62" i="3"/>
  <c r="E62" i="3" s="1"/>
  <c r="F62" i="3" s="1"/>
  <c r="G62" i="3" s="1"/>
  <c r="H62" i="3" s="1"/>
  <c r="C65" i="3"/>
  <c r="C73" i="3"/>
  <c r="F8" i="2"/>
  <c r="G8" i="2"/>
  <c r="H8" i="2"/>
  <c r="F9" i="2"/>
  <c r="G9" i="2"/>
  <c r="H9" i="2"/>
  <c r="D10" i="2"/>
  <c r="C11" i="2"/>
  <c r="D13" i="2"/>
  <c r="B19" i="2"/>
  <c r="C19" i="2"/>
  <c r="D19" i="2"/>
  <c r="E19" i="2"/>
  <c r="B20" i="2"/>
  <c r="J20" i="2"/>
  <c r="B21" i="2"/>
  <c r="J21" i="2"/>
  <c r="B22" i="2"/>
  <c r="B23" i="2"/>
  <c r="B24" i="2"/>
  <c r="B26" i="2"/>
  <c r="H28" i="2"/>
  <c r="L28" i="2"/>
  <c r="M28" i="2"/>
  <c r="B29" i="2"/>
  <c r="B32" i="2"/>
  <c r="B33" i="2"/>
  <c r="H36" i="2"/>
  <c r="I36" i="2"/>
  <c r="L36" i="2"/>
  <c r="M36" i="2"/>
  <c r="C44" i="2"/>
  <c r="B45" i="2"/>
  <c r="B48" i="2"/>
  <c r="D55" i="2"/>
  <c r="D56" i="2"/>
  <c r="F1" i="7"/>
  <c r="G1" i="7"/>
  <c r="H1" i="7" s="1"/>
  <c r="I1" i="7" s="1"/>
  <c r="J1" i="7" s="1"/>
  <c r="K1" i="7" s="1"/>
  <c r="L1" i="7" s="1"/>
  <c r="M1" i="7" s="1"/>
  <c r="N1" i="7" s="1"/>
  <c r="O1" i="7" s="1"/>
  <c r="P1" i="7" s="1"/>
  <c r="Q1" i="7" s="1"/>
  <c r="R1" i="7" s="1"/>
  <c r="S1" i="7" s="1"/>
  <c r="T1" i="7" s="1"/>
  <c r="U1" i="7" s="1"/>
  <c r="V1" i="7" s="1"/>
  <c r="W1" i="7" s="1"/>
  <c r="X1" i="7" s="1"/>
  <c r="Y1" i="7" s="1"/>
  <c r="Z1" i="7" s="1"/>
  <c r="AA1" i="7" s="1"/>
  <c r="AB1" i="7" s="1"/>
  <c r="AC1" i="7" s="1"/>
  <c r="AD1" i="7" s="1"/>
  <c r="AE1" i="7" s="1"/>
  <c r="AF1" i="7" s="1"/>
  <c r="AG1" i="7" s="1"/>
  <c r="AH1" i="7" s="1"/>
  <c r="AI1" i="7" s="1"/>
  <c r="E2" i="7"/>
  <c r="F2" i="7" s="1"/>
  <c r="G2" i="7"/>
  <c r="H2" i="7" s="1"/>
  <c r="I2" i="7" s="1"/>
  <c r="J2" i="7"/>
  <c r="K2" i="7" s="1"/>
  <c r="L2" i="7" s="1"/>
  <c r="M2" i="7" s="1"/>
  <c r="N2" i="7" s="1"/>
  <c r="O2" i="7" s="1"/>
  <c r="P2" i="7" s="1"/>
  <c r="Q2" i="7" s="1"/>
  <c r="R2" i="7" s="1"/>
  <c r="S2" i="7" s="1"/>
  <c r="T2" i="7" s="1"/>
  <c r="U2" i="7" s="1"/>
  <c r="V2" i="7" s="1"/>
  <c r="W2" i="7" s="1"/>
  <c r="X2" i="7" s="1"/>
  <c r="Y2" i="7" s="1"/>
  <c r="Z2" i="7" s="1"/>
  <c r="AA2" i="7" s="1"/>
  <c r="AB2" i="7" s="1"/>
  <c r="AC2" i="7" s="1"/>
  <c r="AD2" i="7" s="1"/>
  <c r="AE2" i="7" s="1"/>
  <c r="AF2" i="7" s="1"/>
  <c r="AG2" i="7" s="1"/>
  <c r="AH2" i="7" s="1"/>
  <c r="AI2" i="7" s="1"/>
  <c r="C10" i="7"/>
  <c r="D10" i="7"/>
  <c r="B20" i="7" s="1"/>
  <c r="C11" i="7"/>
  <c r="D11" i="7"/>
  <c r="C12" i="7"/>
  <c r="C13" i="7"/>
  <c r="D13" i="7"/>
  <c r="AM17" i="7"/>
  <c r="AN17" i="7"/>
  <c r="AO17" i="7"/>
  <c r="AP17" i="7"/>
  <c r="AQ17" i="7"/>
  <c r="AR17" i="7"/>
  <c r="AS17" i="7"/>
  <c r="AT17" i="7"/>
  <c r="AU17" i="7"/>
  <c r="AV17" i="7"/>
  <c r="AW17" i="7"/>
  <c r="AX17" i="7"/>
  <c r="AY17" i="7"/>
  <c r="AZ17" i="7"/>
  <c r="BA17" i="7"/>
  <c r="BB17" i="7"/>
  <c r="BC17" i="7"/>
  <c r="BD17" i="7"/>
  <c r="BE17" i="7"/>
  <c r="BF17" i="7"/>
  <c r="BG17" i="7"/>
  <c r="BH17" i="7"/>
  <c r="BI17" i="7"/>
  <c r="BJ17" i="7"/>
  <c r="BK17" i="7"/>
  <c r="BL17" i="7"/>
  <c r="BM17" i="7"/>
  <c r="BN17" i="7"/>
  <c r="BO17" i="7"/>
  <c r="BP17" i="7"/>
  <c r="BQ17" i="7"/>
  <c r="E18" i="7"/>
  <c r="F18" i="7" s="1"/>
  <c r="AM18" i="7"/>
  <c r="AN18" i="7"/>
  <c r="E19" i="7"/>
  <c r="E21" i="7" s="1"/>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AG20" i="7"/>
  <c r="AH20" i="7"/>
  <c r="AI20" i="7"/>
  <c r="Q27" i="7"/>
  <c r="R27" i="7"/>
  <c r="W27" i="7"/>
  <c r="AB27" i="7"/>
  <c r="AC27" i="7"/>
  <c r="AD27" i="7"/>
  <c r="AF27" i="7"/>
  <c r="Z29" i="7"/>
  <c r="AB29" i="7"/>
  <c r="AC29" i="7"/>
  <c r="AD29" i="7"/>
  <c r="AF29" i="7"/>
  <c r="AG29" i="7"/>
  <c r="AH29" i="7"/>
  <c r="AI37" i="7"/>
  <c r="E38" i="7"/>
  <c r="H1" i="16"/>
  <c r="I1" i="16" s="1"/>
  <c r="J1" i="16"/>
  <c r="K1" i="16" s="1"/>
  <c r="L1" i="16" s="1"/>
  <c r="M1" i="16"/>
  <c r="N1" i="16" s="1"/>
  <c r="O1" i="16"/>
  <c r="P1" i="16" s="1"/>
  <c r="Q1" i="16" s="1"/>
  <c r="R1" i="16" s="1"/>
  <c r="S1" i="16" s="1"/>
  <c r="T1" i="16" s="1"/>
  <c r="U1" i="16" s="1"/>
  <c r="V1" i="16" s="1"/>
  <c r="W1" i="16" s="1"/>
  <c r="X1" i="16"/>
  <c r="Y1" i="16" s="1"/>
  <c r="Z1" i="16" s="1"/>
  <c r="AA1" i="16" s="1"/>
  <c r="AB1" i="16" s="1"/>
  <c r="AC1" i="16" s="1"/>
  <c r="AD1" i="16" s="1"/>
  <c r="AE1" i="16" s="1"/>
  <c r="AF1" i="16" s="1"/>
  <c r="AG1" i="16"/>
  <c r="AH1" i="16" s="1"/>
  <c r="AI1" i="16" s="1"/>
  <c r="AJ1" i="16" s="1"/>
  <c r="AK1" i="16" s="1"/>
  <c r="G2" i="16"/>
  <c r="H2" i="16" s="1"/>
  <c r="I2" i="16" s="1"/>
  <c r="J2" i="16" s="1"/>
  <c r="K2" i="16" s="1"/>
  <c r="L2" i="16" s="1"/>
  <c r="M2" i="16" s="1"/>
  <c r="N2" i="16" s="1"/>
  <c r="O2" i="16" s="1"/>
  <c r="P2" i="16" s="1"/>
  <c r="Q2" i="16" s="1"/>
  <c r="R2" i="16" s="1"/>
  <c r="S2" i="16" s="1"/>
  <c r="T2" i="16" s="1"/>
  <c r="U2" i="16" s="1"/>
  <c r="V2" i="16" s="1"/>
  <c r="W2" i="16" s="1"/>
  <c r="X2" i="16" s="1"/>
  <c r="Y2" i="16" s="1"/>
  <c r="Z2" i="16" s="1"/>
  <c r="AA2" i="16" s="1"/>
  <c r="AB2" i="16" s="1"/>
  <c r="AC2" i="16" s="1"/>
  <c r="AD2" i="16" s="1"/>
  <c r="AE2" i="16" s="1"/>
  <c r="AF2" i="16" s="1"/>
  <c r="AG2" i="16" s="1"/>
  <c r="AH2" i="16" s="1"/>
  <c r="AI2" i="16" s="1"/>
  <c r="AJ2" i="16" s="1"/>
  <c r="AK2" i="16" s="1"/>
  <c r="G4" i="16"/>
  <c r="B5" i="16"/>
  <c r="B6" i="16"/>
  <c r="D18" i="16"/>
  <c r="I112" i="16" s="1"/>
  <c r="D19" i="16"/>
  <c r="F21" i="16"/>
  <c r="F24" i="16" s="1"/>
  <c r="G41" i="16" s="1"/>
  <c r="F26" i="16" s="1"/>
  <c r="G28" i="3" s="1"/>
  <c r="G21" i="16"/>
  <c r="H21" i="16"/>
  <c r="F34" i="16"/>
  <c r="F36" i="16"/>
  <c r="G31" i="3" s="1"/>
  <c r="G43" i="16"/>
  <c r="F45" i="16"/>
  <c r="F47" i="16"/>
  <c r="G59" i="16"/>
  <c r="G63" i="16"/>
  <c r="G68" i="16"/>
  <c r="G71" i="16"/>
  <c r="G76" i="16"/>
  <c r="B93" i="16"/>
  <c r="C15" i="12" s="1"/>
  <c r="K93" i="16"/>
  <c r="B94" i="16"/>
  <c r="K94" i="16"/>
  <c r="K95" i="16"/>
  <c r="B96" i="16"/>
  <c r="C18" i="12" s="1"/>
  <c r="C64" i="12" s="1"/>
  <c r="K96" i="16"/>
  <c r="B97" i="16"/>
  <c r="B98" i="16"/>
  <c r="B99" i="16"/>
  <c r="B34" i="3" s="1"/>
  <c r="K99" i="16"/>
  <c r="B100" i="16"/>
  <c r="B101" i="16"/>
  <c r="B102" i="16"/>
  <c r="C24" i="12" s="1"/>
  <c r="C69" i="12" s="1"/>
  <c r="K102" i="16"/>
  <c r="B103" i="16"/>
  <c r="B104" i="16"/>
  <c r="C26" i="12" s="1"/>
  <c r="C71" i="12" s="1"/>
  <c r="B105" i="16"/>
  <c r="B6" i="7" s="1"/>
  <c r="B106" i="16"/>
  <c r="K107" i="16"/>
  <c r="K108" i="16"/>
  <c r="B109" i="16"/>
  <c r="F109" i="16"/>
  <c r="B110" i="16"/>
  <c r="B111" i="16"/>
  <c r="K111" i="16" s="1"/>
  <c r="F112" i="16"/>
  <c r="K112" i="16"/>
  <c r="K113" i="16"/>
  <c r="B122" i="16"/>
  <c r="B123" i="16"/>
  <c r="B124" i="16"/>
  <c r="B125" i="16"/>
  <c r="B126" i="16"/>
  <c r="B127" i="16"/>
  <c r="B128" i="16"/>
  <c r="B129" i="16"/>
  <c r="B130" i="16"/>
  <c r="B135" i="16"/>
  <c r="E2" i="14"/>
  <c r="F2" i="14" s="1"/>
  <c r="G2" i="14" s="1"/>
  <c r="H2" i="14"/>
  <c r="I2" i="14" s="1"/>
  <c r="J2" i="14" s="1"/>
  <c r="K2" i="14" s="1"/>
  <c r="L2" i="14"/>
  <c r="M2" i="14" s="1"/>
  <c r="N2" i="14" s="1"/>
  <c r="O2" i="14" s="1"/>
  <c r="P2" i="14"/>
  <c r="Q2" i="14"/>
  <c r="R2" i="14" s="1"/>
  <c r="S2" i="14" s="1"/>
  <c r="T2" i="14" s="1"/>
  <c r="U2" i="14"/>
  <c r="V2" i="14" s="1"/>
  <c r="W2" i="14" s="1"/>
  <c r="X2" i="14" s="1"/>
  <c r="Y2" i="14" s="1"/>
  <c r="Z2" i="14" s="1"/>
  <c r="AA2" i="14" s="1"/>
  <c r="AB2" i="14" s="1"/>
  <c r="AC2" i="14" s="1"/>
  <c r="AD2" i="14" s="1"/>
  <c r="AE2" i="14" s="1"/>
  <c r="AF2" i="14" s="1"/>
  <c r="AG2" i="14" s="1"/>
  <c r="AH2" i="14" s="1"/>
  <c r="AI2" i="14" s="1"/>
  <c r="B7" i="14"/>
  <c r="E7" i="14"/>
  <c r="F7" i="14"/>
  <c r="G7" i="14"/>
  <c r="H7" i="14"/>
  <c r="I7" i="14"/>
  <c r="J7" i="14"/>
  <c r="K7" i="14"/>
  <c r="L7" i="14"/>
  <c r="M7" i="14"/>
  <c r="N7" i="14"/>
  <c r="O7" i="14"/>
  <c r="O8" i="14" s="1"/>
  <c r="O10" i="14" s="1"/>
  <c r="P7" i="14"/>
  <c r="P8" i="14" s="1"/>
  <c r="P10" i="14" s="1"/>
  <c r="Q7" i="14"/>
  <c r="R7" i="14"/>
  <c r="R8" i="14" s="1"/>
  <c r="R10" i="14" s="1"/>
  <c r="S7" i="14"/>
  <c r="T7" i="14"/>
  <c r="U7" i="14"/>
  <c r="V7" i="14"/>
  <c r="V8" i="14" s="1"/>
  <c r="V10" i="14" s="1"/>
  <c r="W7" i="14"/>
  <c r="W8" i="14" s="1"/>
  <c r="W10" i="14" s="1"/>
  <c r="X7" i="14"/>
  <c r="X8" i="14" s="1"/>
  <c r="Y7" i="14"/>
  <c r="Z7" i="14"/>
  <c r="Z8" i="14" s="1"/>
  <c r="AA7" i="14"/>
  <c r="AB7" i="14"/>
  <c r="AC7" i="14"/>
  <c r="AD7" i="14"/>
  <c r="AD8" i="14" s="1"/>
  <c r="AD10" i="14" s="1"/>
  <c r="AE7" i="14"/>
  <c r="AF7" i="14"/>
  <c r="AF8" i="14" s="1"/>
  <c r="AF10" i="14" s="1"/>
  <c r="AF11" i="14" s="1"/>
  <c r="AG7" i="14"/>
  <c r="AG8" i="14" s="1"/>
  <c r="AG10" i="14" s="1"/>
  <c r="AG11" i="14" s="1"/>
  <c r="AH7" i="14"/>
  <c r="AI7" i="14"/>
  <c r="Q8" i="14"/>
  <c r="Q10" i="14" s="1"/>
  <c r="Q11" i="14" s="1"/>
  <c r="S8" i="14"/>
  <c r="T8" i="14"/>
  <c r="U8" i="14"/>
  <c r="U10" i="14" s="1"/>
  <c r="U11" i="14" s="1"/>
  <c r="Y8" i="14"/>
  <c r="Y10" i="14" s="1"/>
  <c r="Y11" i="14" s="1"/>
  <c r="AA8" i="14"/>
  <c r="AA10" i="14" s="1"/>
  <c r="AB8" i="14"/>
  <c r="AC8" i="14"/>
  <c r="AC10" i="14" s="1"/>
  <c r="AC11" i="14" s="1"/>
  <c r="AE8" i="14"/>
  <c r="AE10" i="14" s="1"/>
  <c r="AH8" i="14"/>
  <c r="AI8" i="14"/>
  <c r="AI10" i="14" s="1"/>
  <c r="C9" i="14"/>
  <c r="J9" i="14"/>
  <c r="K9" i="14"/>
  <c r="L9" i="14"/>
  <c r="M9" i="14"/>
  <c r="N9" i="14"/>
  <c r="O9" i="14"/>
  <c r="P9" i="14"/>
  <c r="Q9" i="14"/>
  <c r="R9" i="14"/>
  <c r="R11" i="14" s="1"/>
  <c r="S9" i="14"/>
  <c r="S11" i="14" s="1"/>
  <c r="T9" i="14"/>
  <c r="U9" i="14"/>
  <c r="V9" i="14"/>
  <c r="W9" i="14"/>
  <c r="X9" i="14"/>
  <c r="Y9" i="14"/>
  <c r="Z9" i="14"/>
  <c r="AA9" i="14"/>
  <c r="AB9" i="14"/>
  <c r="AB11" i="14" s="1"/>
  <c r="AC9" i="14"/>
  <c r="AD9" i="14"/>
  <c r="AE9" i="14"/>
  <c r="AF9" i="14"/>
  <c r="AG9" i="14"/>
  <c r="AH9" i="14"/>
  <c r="AI9" i="14"/>
  <c r="AI11" i="14" s="1"/>
  <c r="C10" i="14"/>
  <c r="E10" i="14"/>
  <c r="F10" i="14"/>
  <c r="G10" i="14"/>
  <c r="H10" i="14"/>
  <c r="I10" i="14"/>
  <c r="S10" i="14"/>
  <c r="T10" i="14"/>
  <c r="X10" i="14"/>
  <c r="Z10" i="14"/>
  <c r="AB10" i="14"/>
  <c r="AH10" i="14"/>
  <c r="T11" i="14"/>
  <c r="V11" i="14"/>
  <c r="AA11" i="14"/>
  <c r="AD11" i="14"/>
  <c r="C13" i="14"/>
  <c r="C14" i="14"/>
  <c r="C15" i="14"/>
  <c r="B18" i="14"/>
  <c r="E18" i="14"/>
  <c r="F18" i="14"/>
  <c r="G18" i="14"/>
  <c r="H18" i="14"/>
  <c r="I18" i="14"/>
  <c r="J18" i="14"/>
  <c r="K18" i="14"/>
  <c r="L18" i="14"/>
  <c r="M18" i="14"/>
  <c r="N18" i="14"/>
  <c r="O18" i="14"/>
  <c r="O19" i="14" s="1"/>
  <c r="P18" i="14"/>
  <c r="Q18" i="14"/>
  <c r="Q19" i="14" s="1"/>
  <c r="R18" i="14"/>
  <c r="S18" i="14"/>
  <c r="T18" i="14"/>
  <c r="U18" i="14"/>
  <c r="V18" i="14"/>
  <c r="W18" i="14"/>
  <c r="X18" i="14"/>
  <c r="Y18" i="14"/>
  <c r="Y19" i="14" s="1"/>
  <c r="Z18" i="14"/>
  <c r="Z19" i="14" s="1"/>
  <c r="AA18" i="14"/>
  <c r="AB18" i="14"/>
  <c r="AC18" i="14"/>
  <c r="AC19" i="14" s="1"/>
  <c r="AD18" i="14"/>
  <c r="AE18" i="14"/>
  <c r="AF18" i="14"/>
  <c r="AG18" i="14"/>
  <c r="AG19" i="14" s="1"/>
  <c r="AH18" i="14"/>
  <c r="AI18" i="14"/>
  <c r="AI19" i="14" s="1"/>
  <c r="P19" i="14"/>
  <c r="R19" i="14"/>
  <c r="S19" i="14"/>
  <c r="T19" i="14"/>
  <c r="U19" i="14"/>
  <c r="V19" i="14"/>
  <c r="W19" i="14"/>
  <c r="X19" i="14"/>
  <c r="AA19" i="14"/>
  <c r="AB19" i="14"/>
  <c r="AD19" i="14"/>
  <c r="AE19" i="14"/>
  <c r="AF19" i="14"/>
  <c r="AH19" i="14"/>
  <c r="E23" i="14"/>
  <c r="F23" i="14"/>
  <c r="G23" i="14"/>
  <c r="H23" i="14"/>
  <c r="I23" i="14"/>
  <c r="J23" i="14"/>
  <c r="K23" i="14"/>
  <c r="L23" i="14"/>
  <c r="M23" i="14"/>
  <c r="N23" i="14"/>
  <c r="O23" i="14"/>
  <c r="P23" i="14"/>
  <c r="Q23" i="14"/>
  <c r="R23" i="14"/>
  <c r="S23" i="14"/>
  <c r="T23" i="14"/>
  <c r="U23" i="14"/>
  <c r="V23" i="14"/>
  <c r="W23" i="14"/>
  <c r="X23" i="14"/>
  <c r="Y23" i="14"/>
  <c r="Z23" i="14"/>
  <c r="AA23" i="14"/>
  <c r="AB23" i="14"/>
  <c r="AC23" i="14"/>
  <c r="AD23" i="14"/>
  <c r="AE23" i="14"/>
  <c r="AF23" i="14"/>
  <c r="AG23" i="14"/>
  <c r="AH23" i="14"/>
  <c r="AI23" i="14"/>
  <c r="E29" i="14"/>
  <c r="F29" i="14"/>
  <c r="G29" i="14"/>
  <c r="H29" i="14"/>
  <c r="I29" i="14"/>
  <c r="J29" i="14"/>
  <c r="K29" i="14"/>
  <c r="L29" i="14"/>
  <c r="M29" i="14"/>
  <c r="N29" i="14"/>
  <c r="O29" i="14"/>
  <c r="P29" i="14"/>
  <c r="Q29" i="14"/>
  <c r="R29" i="14"/>
  <c r="S29" i="14"/>
  <c r="T29" i="14"/>
  <c r="U29" i="14"/>
  <c r="V29" i="14"/>
  <c r="W29" i="14"/>
  <c r="X29" i="14"/>
  <c r="Y29" i="14"/>
  <c r="Z29" i="14"/>
  <c r="AA29" i="14"/>
  <c r="AB29" i="14"/>
  <c r="AC29" i="14"/>
  <c r="AD29" i="14"/>
  <c r="AE29" i="14"/>
  <c r="AF29" i="14"/>
  <c r="AG29" i="14"/>
  <c r="AH29" i="14"/>
  <c r="AI29" i="14"/>
  <c r="E32" i="14"/>
  <c r="E33" i="14" s="1"/>
  <c r="D35" i="14"/>
  <c r="E38" i="14"/>
  <c r="E41" i="14"/>
  <c r="F41" i="14"/>
  <c r="E42" i="14"/>
  <c r="F42" i="14"/>
  <c r="G42" i="14"/>
  <c r="H42" i="14"/>
  <c r="I42" i="14"/>
  <c r="J42" i="14"/>
  <c r="K42" i="14"/>
  <c r="L42" i="14"/>
  <c r="M42" i="14"/>
  <c r="N42" i="14"/>
  <c r="O42" i="14"/>
  <c r="P42" i="14"/>
  <c r="Q42" i="14"/>
  <c r="R42" i="14"/>
  <c r="S42" i="14"/>
  <c r="T42" i="14"/>
  <c r="U42" i="14"/>
  <c r="V42" i="14"/>
  <c r="W42" i="14"/>
  <c r="X42" i="14"/>
  <c r="Y42" i="14"/>
  <c r="Z42" i="14"/>
  <c r="AA42" i="14"/>
  <c r="AB42" i="14"/>
  <c r="AC42" i="14"/>
  <c r="AD42" i="14"/>
  <c r="AE42" i="14"/>
  <c r="AF42" i="14"/>
  <c r="AG42" i="14"/>
  <c r="AH42" i="14"/>
  <c r="AI42" i="14"/>
  <c r="E47" i="14"/>
  <c r="F47" i="14" s="1"/>
  <c r="G47" i="14" s="1"/>
  <c r="E53" i="14"/>
  <c r="E48" i="14" s="1"/>
  <c r="E65" i="14" s="1"/>
  <c r="D65" i="14" s="1"/>
  <c r="F53" i="14"/>
  <c r="D64" i="14"/>
  <c r="E64" i="14"/>
  <c r="E67" i="14"/>
  <c r="F67" i="14"/>
  <c r="G67" i="14"/>
  <c r="H67" i="14"/>
  <c r="I67" i="14" s="1"/>
  <c r="J67" i="14" s="1"/>
  <c r="K67" i="14" s="1"/>
  <c r="L67" i="14" s="1"/>
  <c r="M67" i="14" s="1"/>
  <c r="N67" i="14" s="1"/>
  <c r="O67" i="14" s="1"/>
  <c r="P67" i="14" s="1"/>
  <c r="Q67" i="14"/>
  <c r="R67" i="14"/>
  <c r="S67" i="14" s="1"/>
  <c r="T67" i="14" s="1"/>
  <c r="U67" i="14" s="1"/>
  <c r="V67" i="14" s="1"/>
  <c r="W67" i="14" s="1"/>
  <c r="X67" i="14" s="1"/>
  <c r="Y67" i="14" s="1"/>
  <c r="Z67" i="14" s="1"/>
  <c r="AA67" i="14"/>
  <c r="AB67" i="14" s="1"/>
  <c r="AC67" i="14" s="1"/>
  <c r="AD67" i="14" s="1"/>
  <c r="AE67" i="14" s="1"/>
  <c r="AF67" i="14" s="1"/>
  <c r="AG67" i="14" s="1"/>
  <c r="AH67" i="14" s="1"/>
  <c r="AI67" i="14" s="1"/>
  <c r="AJ67" i="14" s="1"/>
  <c r="D68" i="14"/>
  <c r="AJ68" i="14"/>
  <c r="D71" i="14"/>
  <c r="AJ71" i="14"/>
  <c r="D73" i="14"/>
  <c r="D74" i="14"/>
  <c r="B2" i="22"/>
  <c r="B7" i="22"/>
  <c r="C7" i="22"/>
  <c r="D7" i="22"/>
  <c r="D10" i="22"/>
  <c r="E10" i="22"/>
  <c r="F10" i="22"/>
  <c r="D13" i="22"/>
  <c r="E13" i="22"/>
  <c r="F13" i="22"/>
  <c r="G13" i="22"/>
  <c r="E2" i="10"/>
  <c r="F2" i="10"/>
  <c r="G2" i="10" s="1"/>
  <c r="H2" i="10"/>
  <c r="I2" i="10" s="1"/>
  <c r="J2" i="10" s="1"/>
  <c r="K2" i="10"/>
  <c r="L2" i="10" s="1"/>
  <c r="M2" i="10" s="1"/>
  <c r="N2" i="10" s="1"/>
  <c r="O2" i="10" s="1"/>
  <c r="P2" i="10" s="1"/>
  <c r="Q2" i="10" s="1"/>
  <c r="R2" i="10"/>
  <c r="S2" i="10" s="1"/>
  <c r="T2" i="10" s="1"/>
  <c r="U2" i="10"/>
  <c r="V2" i="10" s="1"/>
  <c r="W2" i="10" s="1"/>
  <c r="X2" i="10" s="1"/>
  <c r="Y2" i="10" s="1"/>
  <c r="Z2" i="10" s="1"/>
  <c r="AA2" i="10" s="1"/>
  <c r="AB2" i="10" s="1"/>
  <c r="AC2" i="10" s="1"/>
  <c r="AD2" i="10" s="1"/>
  <c r="AE2" i="10" s="1"/>
  <c r="AF2" i="10" s="1"/>
  <c r="AG2" i="10" s="1"/>
  <c r="AH2" i="10" s="1"/>
  <c r="AI2" i="10" s="1"/>
  <c r="E8" i="10"/>
  <c r="F8" i="10"/>
  <c r="G8" i="10"/>
  <c r="H8" i="10"/>
  <c r="I8" i="10"/>
  <c r="J8" i="10"/>
  <c r="K8" i="10"/>
  <c r="L8" i="10"/>
  <c r="M8" i="10"/>
  <c r="N8" i="10"/>
  <c r="O8" i="10"/>
  <c r="P8" i="10"/>
  <c r="Q8" i="10"/>
  <c r="R8" i="10"/>
  <c r="S8" i="10"/>
  <c r="T8" i="10"/>
  <c r="U8" i="10"/>
  <c r="V8" i="10"/>
  <c r="W8" i="10"/>
  <c r="X8" i="10"/>
  <c r="Y8" i="10"/>
  <c r="Z8" i="10"/>
  <c r="AA8" i="10"/>
  <c r="AB8" i="10"/>
  <c r="AC8" i="10"/>
  <c r="AD8" i="10"/>
  <c r="AE8" i="10"/>
  <c r="AF8" i="10"/>
  <c r="AG8" i="10"/>
  <c r="AH8" i="10"/>
  <c r="AI8" i="10"/>
  <c r="AI12" i="10"/>
  <c r="AI13" i="10"/>
  <c r="AI14" i="10"/>
  <c r="AI23" i="10" s="1"/>
  <c r="E34" i="10"/>
  <c r="D47" i="10"/>
  <c r="F47" i="10"/>
  <c r="F48" i="10"/>
  <c r="F49" i="10"/>
  <c r="F50" i="10" s="1"/>
  <c r="G47" i="10" s="1"/>
  <c r="G48" i="10" s="1"/>
  <c r="G49" i="10" s="1"/>
  <c r="G50" i="10" s="1"/>
  <c r="H47" i="10" s="1"/>
  <c r="H48" i="10" s="1"/>
  <c r="H49" i="10" s="1"/>
  <c r="H50" i="10" s="1"/>
  <c r="I47" i="10" s="1"/>
  <c r="I48" i="10" s="1"/>
  <c r="I49" i="10" s="1"/>
  <c r="I50" i="10" s="1"/>
  <c r="J47" i="10" s="1"/>
  <c r="J48" i="10" s="1"/>
  <c r="J49" i="10" s="1"/>
  <c r="J50" i="10" s="1"/>
  <c r="K47" i="10" s="1"/>
  <c r="K48" i="10" s="1"/>
  <c r="K49" i="10" s="1"/>
  <c r="K50" i="10" s="1"/>
  <c r="L47" i="10" s="1"/>
  <c r="L48" i="10" s="1"/>
  <c r="L49" i="10" s="1"/>
  <c r="L50" i="10" s="1"/>
  <c r="M47" i="10" s="1"/>
  <c r="M48" i="10" s="1"/>
  <c r="M49" i="10" s="1"/>
  <c r="M50" i="10" s="1"/>
  <c r="N47" i="10" s="1"/>
  <c r="N48" i="10" s="1"/>
  <c r="N49" i="10" s="1"/>
  <c r="N50" i="10" s="1"/>
  <c r="O47" i="10" s="1"/>
  <c r="O48" i="10" s="1"/>
  <c r="O49" i="10" s="1"/>
  <c r="O50" i="10" s="1"/>
  <c r="P47" i="10" s="1"/>
  <c r="P48" i="10" s="1"/>
  <c r="P49" i="10" s="1"/>
  <c r="P50" i="10" s="1"/>
  <c r="Q47" i="10" s="1"/>
  <c r="Q48" i="10" s="1"/>
  <c r="Q49" i="10" s="1"/>
  <c r="Q50" i="10" s="1"/>
  <c r="R47" i="10" s="1"/>
  <c r="R48" i="10" s="1"/>
  <c r="R49" i="10" s="1"/>
  <c r="R50" i="10" s="1"/>
  <c r="S47" i="10" s="1"/>
  <c r="S48" i="10" s="1"/>
  <c r="S49" i="10" s="1"/>
  <c r="S50" i="10" s="1"/>
  <c r="T47" i="10" s="1"/>
  <c r="T48" i="10" s="1"/>
  <c r="T49" i="10" s="1"/>
  <c r="T50" i="10" s="1"/>
  <c r="U47" i="10" s="1"/>
  <c r="U48" i="10" s="1"/>
  <c r="U49" i="10" s="1"/>
  <c r="U50" i="10" s="1"/>
  <c r="V47" i="10" s="1"/>
  <c r="V48" i="10" s="1"/>
  <c r="V49" i="10" s="1"/>
  <c r="V50" i="10" s="1"/>
  <c r="W47" i="10" s="1"/>
  <c r="W48" i="10" s="1"/>
  <c r="W49" i="10" s="1"/>
  <c r="W50" i="10" s="1"/>
  <c r="X47" i="10" s="1"/>
  <c r="X48" i="10" s="1"/>
  <c r="X49" i="10" s="1"/>
  <c r="X50" i="10" s="1"/>
  <c r="Y47" i="10" s="1"/>
  <c r="Y48" i="10" s="1"/>
  <c r="Y49" i="10" s="1"/>
  <c r="Y50" i="10" s="1"/>
  <c r="Z47" i="10" s="1"/>
  <c r="Z48" i="10" s="1"/>
  <c r="Z49" i="10" s="1"/>
  <c r="Z50" i="10" s="1"/>
  <c r="AA47" i="10" s="1"/>
  <c r="AA48" i="10" s="1"/>
  <c r="AA49" i="10" s="1"/>
  <c r="AA50" i="10" s="1"/>
  <c r="AB47" i="10" s="1"/>
  <c r="AB48" i="10" s="1"/>
  <c r="AB49" i="10" s="1"/>
  <c r="AB50" i="10" s="1"/>
  <c r="AC47" i="10" s="1"/>
  <c r="AC48" i="10" s="1"/>
  <c r="AC49" i="10" s="1"/>
  <c r="AC50" i="10" s="1"/>
  <c r="AD47" i="10" s="1"/>
  <c r="AD48" i="10" s="1"/>
  <c r="AD49" i="10" s="1"/>
  <c r="AD50" i="10" s="1"/>
  <c r="AE47" i="10" s="1"/>
  <c r="AE48" i="10" s="1"/>
  <c r="AE49" i="10" s="1"/>
  <c r="AE50" i="10" s="1"/>
  <c r="AF47" i="10" s="1"/>
  <c r="AF48" i="10" s="1"/>
  <c r="AF49" i="10" s="1"/>
  <c r="AF50" i="10" s="1"/>
  <c r="AG47" i="10" s="1"/>
  <c r="AG48" i="10" s="1"/>
  <c r="AG49" i="10" s="1"/>
  <c r="AG50" i="10" s="1"/>
  <c r="AH47" i="10" s="1"/>
  <c r="AH48" i="10" s="1"/>
  <c r="AH49" i="10" s="1"/>
  <c r="AH50" i="10" s="1"/>
  <c r="AI47" i="10" s="1"/>
  <c r="AI48" i="10" s="1"/>
  <c r="AI49" i="10" s="1"/>
  <c r="AI50" i="10" s="1"/>
  <c r="C51" i="10"/>
  <c r="E51" i="10"/>
  <c r="F51" i="10" s="1"/>
  <c r="G51" i="10" s="1"/>
  <c r="H51" i="10" s="1"/>
  <c r="I51" i="10" s="1"/>
  <c r="J51" i="10" s="1"/>
  <c r="K51" i="10"/>
  <c r="L51" i="10" s="1"/>
  <c r="M51" i="10" s="1"/>
  <c r="N51" i="10" s="1"/>
  <c r="O51" i="10" s="1"/>
  <c r="P51" i="10" s="1"/>
  <c r="Q51" i="10" s="1"/>
  <c r="R51" i="10" s="1"/>
  <c r="S51" i="10" s="1"/>
  <c r="T51" i="10" s="1"/>
  <c r="U51" i="10" s="1"/>
  <c r="V51" i="10" s="1"/>
  <c r="W51" i="10" s="1"/>
  <c r="X51" i="10" s="1"/>
  <c r="Y51" i="10" s="1"/>
  <c r="Z51" i="10" s="1"/>
  <c r="AA51" i="10" s="1"/>
  <c r="AB51" i="10" s="1"/>
  <c r="AC51" i="10" s="1"/>
  <c r="AD51" i="10" s="1"/>
  <c r="AE51" i="10" s="1"/>
  <c r="AF51" i="10" s="1"/>
  <c r="AG51" i="10" s="1"/>
  <c r="AH51" i="10" s="1"/>
  <c r="AI51" i="10" s="1"/>
  <c r="E64" i="10"/>
  <c r="F64" i="10"/>
  <c r="D99" i="10"/>
  <c r="F2" i="11"/>
  <c r="G2" i="11" s="1"/>
  <c r="H2" i="11" s="1"/>
  <c r="I2" i="11" s="1"/>
  <c r="J2" i="11"/>
  <c r="K2" i="11" s="1"/>
  <c r="L2" i="11" s="1"/>
  <c r="M2" i="11" s="1"/>
  <c r="N2" i="11" s="1"/>
  <c r="O2" i="11" s="1"/>
  <c r="P2" i="11" s="1"/>
  <c r="Q2" i="11" s="1"/>
  <c r="R2" i="11" s="1"/>
  <c r="S2" i="11" s="1"/>
  <c r="T2" i="11" s="1"/>
  <c r="U2" i="11" s="1"/>
  <c r="V2" i="11" s="1"/>
  <c r="W2" i="11" s="1"/>
  <c r="X2" i="11" s="1"/>
  <c r="Y2" i="11" s="1"/>
  <c r="Z2" i="11" s="1"/>
  <c r="AA2" i="11" s="1"/>
  <c r="AB2" i="11" s="1"/>
  <c r="AC2" i="11" s="1"/>
  <c r="AD2" i="11" s="1"/>
  <c r="AE2" i="11" s="1"/>
  <c r="AF2" i="11" s="1"/>
  <c r="AG2" i="11" s="1"/>
  <c r="AH2" i="11" s="1"/>
  <c r="AI2" i="11" s="1"/>
  <c r="F19" i="11"/>
  <c r="F28" i="11"/>
  <c r="G28" i="11"/>
  <c r="H28" i="11" s="1"/>
  <c r="I28" i="11" s="1"/>
  <c r="J28" i="11" s="1"/>
  <c r="K28" i="11"/>
  <c r="L28" i="11" s="1"/>
  <c r="M28" i="11"/>
  <c r="N28" i="11" s="1"/>
  <c r="O28" i="11" s="1"/>
  <c r="P28" i="11" s="1"/>
  <c r="Q28" i="11" s="1"/>
  <c r="R28" i="11" s="1"/>
  <c r="S28" i="11" s="1"/>
  <c r="T28" i="11" s="1"/>
  <c r="U28" i="11" s="1"/>
  <c r="V28" i="11" s="1"/>
  <c r="W28" i="11" s="1"/>
  <c r="X28" i="11" s="1"/>
  <c r="Y28" i="11" s="1"/>
  <c r="Z28" i="11" s="1"/>
  <c r="AA28" i="11"/>
  <c r="AB28" i="11" s="1"/>
  <c r="AC28" i="11" s="1"/>
  <c r="AD28" i="11" s="1"/>
  <c r="AE28" i="11" s="1"/>
  <c r="AF28" i="11" s="1"/>
  <c r="AG28" i="11" s="1"/>
  <c r="AH28" i="11" s="1"/>
  <c r="AI28" i="11" s="1"/>
  <c r="AJ28" i="11" s="1"/>
  <c r="F42" i="11"/>
  <c r="G42" i="11"/>
  <c r="H42" i="11"/>
  <c r="I42" i="11"/>
  <c r="J42" i="11"/>
  <c r="K42" i="11"/>
  <c r="L42" i="11"/>
  <c r="M42" i="11"/>
  <c r="N42" i="11"/>
  <c r="O42" i="11"/>
  <c r="P42" i="11"/>
  <c r="Q42" i="11"/>
  <c r="R42" i="11"/>
  <c r="S42" i="11"/>
  <c r="T42" i="11"/>
  <c r="U42" i="11"/>
  <c r="V42" i="11"/>
  <c r="W42" i="11"/>
  <c r="X42" i="11"/>
  <c r="Y42" i="11"/>
  <c r="Z42" i="11"/>
  <c r="AA42" i="11"/>
  <c r="AB42" i="11"/>
  <c r="AC42" i="11"/>
  <c r="AD42" i="11"/>
  <c r="AE42" i="11"/>
  <c r="AF42" i="11"/>
  <c r="AG42" i="11"/>
  <c r="AH42" i="11"/>
  <c r="AI42" i="11"/>
  <c r="AJ42" i="11"/>
  <c r="G57" i="11"/>
  <c r="H57" i="11"/>
  <c r="I57" i="11"/>
  <c r="J57" i="11"/>
  <c r="K57" i="11"/>
  <c r="E58" i="11"/>
  <c r="E59" i="11" s="1"/>
  <c r="E60" i="11" s="1"/>
  <c r="G58" i="11"/>
  <c r="H58" i="11"/>
  <c r="I58" i="11"/>
  <c r="J58" i="11"/>
  <c r="G59" i="11"/>
  <c r="H59" i="11"/>
  <c r="I59" i="11"/>
  <c r="J59" i="11"/>
  <c r="G60" i="11"/>
  <c r="H60" i="11"/>
  <c r="I60" i="11"/>
  <c r="J60" i="11"/>
  <c r="E61" i="11"/>
  <c r="G61" i="11"/>
  <c r="H61" i="11"/>
  <c r="H62" i="11" s="1"/>
  <c r="I61" i="11"/>
  <c r="I62" i="11" s="1"/>
  <c r="G62" i="11"/>
  <c r="E1" i="20"/>
  <c r="F1" i="20"/>
  <c r="G1" i="20" s="1"/>
  <c r="H1" i="20" s="1"/>
  <c r="I1" i="20" s="1"/>
  <c r="J1" i="20" s="1"/>
  <c r="K1" i="20"/>
  <c r="L1" i="20" s="1"/>
  <c r="M1" i="20" s="1"/>
  <c r="N1" i="20" s="1"/>
  <c r="O1" i="20" s="1"/>
  <c r="P1" i="20" s="1"/>
  <c r="Q1" i="20" s="1"/>
  <c r="R1" i="20" s="1"/>
  <c r="S1" i="20" s="1"/>
  <c r="T1" i="20" s="1"/>
  <c r="U1" i="20" s="1"/>
  <c r="V1" i="20" s="1"/>
  <c r="W1" i="20"/>
  <c r="X1" i="20" s="1"/>
  <c r="Y1" i="20"/>
  <c r="Z1" i="20" s="1"/>
  <c r="AA1" i="20" s="1"/>
  <c r="AB1" i="20" s="1"/>
  <c r="AC1" i="20" s="1"/>
  <c r="AD1" i="20" s="1"/>
  <c r="AE1" i="20" s="1"/>
  <c r="AF1" i="20" s="1"/>
  <c r="AG1" i="20" s="1"/>
  <c r="AH1" i="20" s="1"/>
  <c r="D2" i="20"/>
  <c r="E2" i="20" s="1"/>
  <c r="F2" i="20" s="1"/>
  <c r="G2" i="20" s="1"/>
  <c r="H2" i="20" s="1"/>
  <c r="I2" i="20" s="1"/>
  <c r="J2" i="20" s="1"/>
  <c r="K2" i="20" s="1"/>
  <c r="L2" i="20"/>
  <c r="M2" i="20" s="1"/>
  <c r="N2" i="20" s="1"/>
  <c r="O2" i="20" s="1"/>
  <c r="P2" i="20"/>
  <c r="Q2" i="20" s="1"/>
  <c r="R2" i="20" s="1"/>
  <c r="S2" i="20" s="1"/>
  <c r="T2" i="20" s="1"/>
  <c r="U2" i="20" s="1"/>
  <c r="V2" i="20" s="1"/>
  <c r="W2" i="20" s="1"/>
  <c r="X2" i="20" s="1"/>
  <c r="Y2" i="20" s="1"/>
  <c r="Z2" i="20" s="1"/>
  <c r="AA2" i="20" s="1"/>
  <c r="AB2" i="20" s="1"/>
  <c r="AC2" i="20" s="1"/>
  <c r="AD2" i="20" s="1"/>
  <c r="AE2" i="20" s="1"/>
  <c r="AF2" i="20" s="1"/>
  <c r="AG2" i="20" s="1"/>
  <c r="AH2" i="20" s="1"/>
  <c r="A4" i="20"/>
  <c r="D9" i="20"/>
  <c r="E50" i="7" s="1"/>
  <c r="D72" i="8" s="1"/>
  <c r="B3" i="5"/>
  <c r="D3" i="5"/>
  <c r="E3" i="5"/>
  <c r="B15" i="5"/>
  <c r="B30" i="2" s="1"/>
  <c r="B16" i="5"/>
  <c r="E16" i="5"/>
  <c r="B19" i="5"/>
  <c r="B34" i="2" s="1"/>
  <c r="I19" i="5"/>
  <c r="B20" i="5"/>
  <c r="B21" i="5"/>
  <c r="E21" i="5"/>
  <c r="B22" i="5"/>
  <c r="E22" i="5"/>
  <c r="B23" i="5"/>
  <c r="E23" i="5"/>
  <c r="B24" i="5"/>
  <c r="E24" i="5"/>
  <c r="B25" i="5"/>
  <c r="B26" i="5"/>
  <c r="E26" i="5"/>
  <c r="B27" i="5"/>
  <c r="E27" i="5"/>
  <c r="B28" i="5"/>
  <c r="B29" i="5"/>
  <c r="B44" i="2" s="1"/>
  <c r="E29" i="5"/>
  <c r="B30" i="5"/>
  <c r="B31" i="5"/>
  <c r="B46" i="2" s="1"/>
  <c r="B32" i="5"/>
  <c r="B47" i="2" s="1"/>
  <c r="D8"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AG11" i="4"/>
  <c r="AH11" i="4"/>
  <c r="AI11" i="4"/>
  <c r="E14" i="4"/>
  <c r="E15" i="4" s="1"/>
  <c r="W18" i="4"/>
  <c r="X18" i="4"/>
  <c r="Y18" i="4"/>
  <c r="Z18" i="4"/>
  <c r="AA18" i="4"/>
  <c r="AC18" i="4"/>
  <c r="AD18" i="4"/>
  <c r="AE18" i="4"/>
  <c r="AF18" i="4"/>
  <c r="AG18" i="4"/>
  <c r="AH18" i="4"/>
  <c r="AI18" i="4"/>
  <c r="E21" i="4"/>
  <c r="C23" i="4"/>
  <c r="C24" i="4" s="1"/>
  <c r="AH69" i="4" s="1"/>
  <c r="E27" i="4"/>
  <c r="H54" i="2" s="1"/>
  <c r="F27" i="4"/>
  <c r="I54" i="2" s="1"/>
  <c r="E33" i="4"/>
  <c r="F33" i="4" s="1"/>
  <c r="G33" i="4"/>
  <c r="AJ37" i="4"/>
  <c r="E39" i="4"/>
  <c r="D53" i="4"/>
  <c r="M53" i="4" s="1"/>
  <c r="E53" i="4"/>
  <c r="F53" i="4"/>
  <c r="H53" i="4"/>
  <c r="H62" i="4" s="1"/>
  <c r="J53" i="4"/>
  <c r="K53" i="4"/>
  <c r="K62" i="4" s="1"/>
  <c r="N53" i="4"/>
  <c r="O53" i="4"/>
  <c r="R53" i="4"/>
  <c r="R63" i="4" s="1"/>
  <c r="S53" i="4"/>
  <c r="T53" i="4"/>
  <c r="T62" i="4" s="1"/>
  <c r="V53" i="4"/>
  <c r="W53" i="4"/>
  <c r="W63" i="4" s="1"/>
  <c r="X53" i="4"/>
  <c r="X62" i="4" s="1"/>
  <c r="AA53" i="4"/>
  <c r="AA62" i="4" s="1"/>
  <c r="AB53" i="4"/>
  <c r="AC53" i="4"/>
  <c r="AE53" i="4"/>
  <c r="AF53" i="4"/>
  <c r="AH53" i="4"/>
  <c r="AH62" i="4" s="1"/>
  <c r="E56" i="4"/>
  <c r="F56" i="4"/>
  <c r="F62" i="4" s="1"/>
  <c r="F69" i="4" s="1"/>
  <c r="G56" i="4"/>
  <c r="H56" i="4"/>
  <c r="I56" i="4"/>
  <c r="J56" i="4"/>
  <c r="K56" i="4"/>
  <c r="L56" i="4"/>
  <c r="M56" i="4"/>
  <c r="N56" i="4"/>
  <c r="N62" i="4" s="1"/>
  <c r="O56" i="4"/>
  <c r="P56" i="4"/>
  <c r="Q56" i="4"/>
  <c r="R56" i="4"/>
  <c r="S56" i="4"/>
  <c r="T56" i="4"/>
  <c r="U56" i="4"/>
  <c r="V56" i="4"/>
  <c r="V62" i="4" s="1"/>
  <c r="V69" i="4" s="1"/>
  <c r="W56" i="4"/>
  <c r="X56" i="4"/>
  <c r="Y56" i="4"/>
  <c r="Z56" i="4"/>
  <c r="AA56" i="4"/>
  <c r="AB56" i="4"/>
  <c r="AC56" i="4"/>
  <c r="AD56" i="4"/>
  <c r="AE56" i="4"/>
  <c r="AF56" i="4"/>
  <c r="AG56" i="4"/>
  <c r="AH56" i="4"/>
  <c r="AI56" i="4"/>
  <c r="E59" i="4"/>
  <c r="E60" i="4" s="1"/>
  <c r="D62" i="4"/>
  <c r="O62" i="4"/>
  <c r="S62" i="4"/>
  <c r="W62" i="4"/>
  <c r="AB62" i="4"/>
  <c r="AE62" i="4"/>
  <c r="AE69" i="4" s="1"/>
  <c r="AF62" i="4"/>
  <c r="D63" i="4"/>
  <c r="O63" i="4"/>
  <c r="S63" i="4"/>
  <c r="Z63" i="4"/>
  <c r="AA63" i="4"/>
  <c r="AB63" i="4"/>
  <c r="AF63" i="4"/>
  <c r="AG63" i="4"/>
  <c r="AI63" i="4"/>
  <c r="E66" i="4"/>
  <c r="C68" i="4"/>
  <c r="C69" i="4"/>
  <c r="T69" i="4"/>
  <c r="E72" i="4"/>
  <c r="E73" i="4"/>
  <c r="E93" i="4" s="1"/>
  <c r="D93" i="4" s="1"/>
  <c r="E78" i="4"/>
  <c r="F78" i="4" s="1"/>
  <c r="E84" i="4"/>
  <c r="AJ97" i="4"/>
  <c r="AJ100" i="4"/>
  <c r="E108" i="4"/>
  <c r="F108" i="4"/>
  <c r="G108" i="4" s="1"/>
  <c r="H108" i="4" s="1"/>
  <c r="I108" i="4" s="1"/>
  <c r="J108" i="4" s="1"/>
  <c r="K108" i="4"/>
  <c r="L108" i="4" s="1"/>
  <c r="M108" i="4" s="1"/>
  <c r="N108" i="4" s="1"/>
  <c r="O108" i="4" s="1"/>
  <c r="P108" i="4" s="1"/>
  <c r="Q108" i="4" s="1"/>
  <c r="R108" i="4" s="1"/>
  <c r="S108" i="4" s="1"/>
  <c r="T108" i="4" s="1"/>
  <c r="U108" i="4" s="1"/>
  <c r="V108" i="4" s="1"/>
  <c r="W108" i="4" s="1"/>
  <c r="X108" i="4" s="1"/>
  <c r="Y108" i="4" s="1"/>
  <c r="Z108" i="4" s="1"/>
  <c r="AA108" i="4" s="1"/>
  <c r="AB108" i="4" s="1"/>
  <c r="AC108" i="4" s="1"/>
  <c r="AD108" i="4" s="1"/>
  <c r="AE108" i="4" s="1"/>
  <c r="AF108" i="4" s="1"/>
  <c r="AG108" i="4" s="1"/>
  <c r="AH108" i="4" s="1"/>
  <c r="AI108" i="4" s="1"/>
  <c r="AJ108" i="4" s="1"/>
  <c r="D109" i="4"/>
  <c r="D112" i="4"/>
  <c r="E114" i="4"/>
  <c r="F114" i="4"/>
  <c r="D115" i="4"/>
  <c r="D118" i="4"/>
  <c r="E120" i="4"/>
  <c r="F72" i="4" l="1"/>
  <c r="F84" i="4"/>
  <c r="E94" i="4"/>
  <c r="D94" i="4" s="1"/>
  <c r="E79" i="4"/>
  <c r="N63" i="4"/>
  <c r="R62" i="4"/>
  <c r="H87" i="12"/>
  <c r="P87" i="12"/>
  <c r="I87" i="12"/>
  <c r="Q87" i="12"/>
  <c r="J87" i="12"/>
  <c r="R87" i="12"/>
  <c r="D87" i="12"/>
  <c r="L87" i="12"/>
  <c r="S87" i="12"/>
  <c r="E87" i="12"/>
  <c r="O87" i="12"/>
  <c r="F87" i="12"/>
  <c r="G87" i="12"/>
  <c r="K87" i="12"/>
  <c r="N87" i="12"/>
  <c r="M87" i="12"/>
  <c r="C42" i="2"/>
  <c r="G27" i="5"/>
  <c r="E42" i="2" s="1"/>
  <c r="K68" i="4"/>
  <c r="K69" i="4"/>
  <c r="E59" i="6"/>
  <c r="C102" i="8"/>
  <c r="I84" i="12"/>
  <c r="Q84" i="12"/>
  <c r="J84" i="12"/>
  <c r="R84" i="12"/>
  <c r="K84" i="12"/>
  <c r="S84" i="12"/>
  <c r="E84" i="12"/>
  <c r="M84" i="12"/>
  <c r="L84" i="12"/>
  <c r="N84" i="12"/>
  <c r="H84" i="12"/>
  <c r="P84" i="12"/>
  <c r="C39" i="2"/>
  <c r="F84" i="12"/>
  <c r="D84" i="12"/>
  <c r="O84" i="12"/>
  <c r="D58" i="7"/>
  <c r="G84" i="12"/>
  <c r="E7" i="7"/>
  <c r="J81" i="12"/>
  <c r="R81" i="12"/>
  <c r="K81" i="12"/>
  <c r="S81" i="12"/>
  <c r="D81" i="12"/>
  <c r="L81" i="12"/>
  <c r="F81" i="12"/>
  <c r="N81" i="12"/>
  <c r="E81" i="12"/>
  <c r="G81" i="12"/>
  <c r="I81" i="12"/>
  <c r="M81" i="12"/>
  <c r="O81" i="12"/>
  <c r="P81" i="12"/>
  <c r="Q81" i="12"/>
  <c r="C36" i="2"/>
  <c r="H81" i="12"/>
  <c r="F63" i="4"/>
  <c r="M62" i="4"/>
  <c r="C25" i="12"/>
  <c r="C70" i="12" s="1"/>
  <c r="K103" i="16"/>
  <c r="F68" i="4"/>
  <c r="H68" i="4"/>
  <c r="AH68" i="4"/>
  <c r="O69" i="4"/>
  <c r="O68" i="4"/>
  <c r="H33" i="4"/>
  <c r="C43" i="12"/>
  <c r="C87" i="12" s="1"/>
  <c r="B42" i="2"/>
  <c r="F73" i="4"/>
  <c r="G78" i="4"/>
  <c r="AC62" i="4"/>
  <c r="V68" i="4"/>
  <c r="AF68" i="4"/>
  <c r="AF69" i="4"/>
  <c r="N68" i="4"/>
  <c r="N69" i="4"/>
  <c r="X69" i="4"/>
  <c r="X68" i="4"/>
  <c r="C35" i="12"/>
  <c r="C79" i="12" s="1"/>
  <c r="B31" i="2"/>
  <c r="W68" i="4"/>
  <c r="W69" i="4"/>
  <c r="J62" i="4"/>
  <c r="J63" i="4"/>
  <c r="AE68" i="4"/>
  <c r="AA68" i="4"/>
  <c r="AA69" i="4"/>
  <c r="I49" i="9"/>
  <c r="K58" i="11"/>
  <c r="G114" i="4"/>
  <c r="F120" i="4"/>
  <c r="H69" i="4"/>
  <c r="F28" i="4"/>
  <c r="B43" i="2"/>
  <c r="C44" i="12"/>
  <c r="C88" i="12" s="1"/>
  <c r="G82" i="12"/>
  <c r="O82" i="12"/>
  <c r="H82" i="12"/>
  <c r="P82" i="12"/>
  <c r="I82" i="12"/>
  <c r="Q82" i="12"/>
  <c r="K82" i="12"/>
  <c r="S82" i="12"/>
  <c r="R82" i="12"/>
  <c r="D82" i="12"/>
  <c r="F82" i="12"/>
  <c r="L82" i="12"/>
  <c r="M82" i="12"/>
  <c r="C37" i="2"/>
  <c r="J82" i="12"/>
  <c r="E82" i="12"/>
  <c r="G22" i="5"/>
  <c r="E37" i="2" s="1"/>
  <c r="F61" i="11"/>
  <c r="F60" i="11"/>
  <c r="F59" i="11"/>
  <c r="F57" i="11"/>
  <c r="F58" i="11"/>
  <c r="E62" i="11"/>
  <c r="F62" i="11"/>
  <c r="S68" i="4"/>
  <c r="S69" i="4"/>
  <c r="F39" i="4"/>
  <c r="E49" i="4"/>
  <c r="D49" i="4" s="1"/>
  <c r="H79" i="12"/>
  <c r="P79" i="12"/>
  <c r="I79" i="12"/>
  <c r="Q79" i="12"/>
  <c r="J79" i="12"/>
  <c r="R79" i="12"/>
  <c r="D79" i="12"/>
  <c r="L79" i="12"/>
  <c r="K79" i="12"/>
  <c r="M79" i="12"/>
  <c r="E79" i="12"/>
  <c r="F79" i="12"/>
  <c r="O79" i="12"/>
  <c r="S79" i="12"/>
  <c r="C31" i="2"/>
  <c r="G79" i="12"/>
  <c r="N79" i="12"/>
  <c r="AI12" i="14"/>
  <c r="AI14" i="14" s="1"/>
  <c r="AI13" i="14"/>
  <c r="AI15" i="14" s="1"/>
  <c r="C37" i="12"/>
  <c r="C81" i="12" s="1"/>
  <c r="B36" i="2"/>
  <c r="E47" i="10"/>
  <c r="D51" i="10"/>
  <c r="D49" i="10"/>
  <c r="E49" i="10" s="1"/>
  <c r="D50" i="10"/>
  <c r="E50" i="10" s="1"/>
  <c r="D48" i="10"/>
  <c r="E48" i="10" s="1"/>
  <c r="E63" i="4"/>
  <c r="E64" i="4" s="1"/>
  <c r="M63" i="4"/>
  <c r="AC63" i="4"/>
  <c r="P63" i="4"/>
  <c r="Y63" i="4"/>
  <c r="AH63" i="4"/>
  <c r="K63" i="4"/>
  <c r="T63" i="4"/>
  <c r="AD63" i="4"/>
  <c r="V63" i="4"/>
  <c r="L63" i="4"/>
  <c r="AE63" i="4"/>
  <c r="X63" i="4"/>
  <c r="I63" i="4"/>
  <c r="T68" i="4"/>
  <c r="E28" i="4"/>
  <c r="E48" i="4" s="1"/>
  <c r="D48" i="4" s="1"/>
  <c r="C42" i="12"/>
  <c r="C86" i="12" s="1"/>
  <c r="B41" i="2"/>
  <c r="C39" i="12"/>
  <c r="C83" i="12" s="1"/>
  <c r="B38" i="2"/>
  <c r="F48" i="14"/>
  <c r="H47" i="14"/>
  <c r="E154" i="1"/>
  <c r="G48" i="16"/>
  <c r="F99" i="16" s="1"/>
  <c r="AB69" i="4"/>
  <c r="AB68" i="4"/>
  <c r="K86" i="12"/>
  <c r="S86" i="12"/>
  <c r="D86" i="12"/>
  <c r="L86" i="12"/>
  <c r="E86" i="12"/>
  <c r="M86" i="12"/>
  <c r="G86" i="12"/>
  <c r="O86" i="12"/>
  <c r="F86" i="12"/>
  <c r="C41" i="2"/>
  <c r="H86" i="12"/>
  <c r="P86" i="12"/>
  <c r="R86" i="12"/>
  <c r="Q86" i="12"/>
  <c r="J86" i="12"/>
  <c r="N86" i="12"/>
  <c r="I86" i="12"/>
  <c r="D83" i="12"/>
  <c r="L83" i="12"/>
  <c r="E83" i="12"/>
  <c r="M83" i="12"/>
  <c r="F83" i="12"/>
  <c r="N83" i="12"/>
  <c r="H83" i="12"/>
  <c r="P83" i="12"/>
  <c r="O83" i="12"/>
  <c r="Q83" i="12"/>
  <c r="I83" i="12"/>
  <c r="K83" i="12"/>
  <c r="R83" i="12"/>
  <c r="G83" i="12"/>
  <c r="J83" i="12"/>
  <c r="S83" i="12"/>
  <c r="C38" i="2"/>
  <c r="G23" i="5"/>
  <c r="E38" i="2" s="1"/>
  <c r="H63" i="4"/>
  <c r="E62" i="4"/>
  <c r="E34" i="4"/>
  <c r="C36" i="12"/>
  <c r="C80" i="12" s="1"/>
  <c r="B35" i="2"/>
  <c r="I109" i="16"/>
  <c r="H109" i="16"/>
  <c r="I51" i="9"/>
  <c r="J61" i="11"/>
  <c r="J62" i="11" s="1"/>
  <c r="D17" i="4"/>
  <c r="C40" i="12"/>
  <c r="C84" i="12" s="1"/>
  <c r="B7" i="7"/>
  <c r="B39" i="2"/>
  <c r="F103" i="16"/>
  <c r="F94" i="16"/>
  <c r="F96" i="16"/>
  <c r="F106" i="16"/>
  <c r="F93" i="16"/>
  <c r="F101" i="16"/>
  <c r="F107" i="16"/>
  <c r="E20" i="5"/>
  <c r="E28" i="5"/>
  <c r="F104" i="16"/>
  <c r="E25" i="5"/>
  <c r="F102" i="16"/>
  <c r="F100" i="16"/>
  <c r="F105" i="16"/>
  <c r="F108" i="16"/>
  <c r="C23" i="12"/>
  <c r="C68" i="12" s="1"/>
  <c r="K101" i="16"/>
  <c r="G18" i="7"/>
  <c r="AO18" i="7"/>
  <c r="I53" i="4"/>
  <c r="I62" i="4" s="1"/>
  <c r="Q53" i="4"/>
  <c r="Y53" i="4"/>
  <c r="Y62" i="4" s="1"/>
  <c r="AG53" i="4"/>
  <c r="AG62" i="4" s="1"/>
  <c r="AD53" i="4"/>
  <c r="AD62" i="4" s="1"/>
  <c r="U53" i="4"/>
  <c r="U62" i="4" s="1"/>
  <c r="L53" i="4"/>
  <c r="L62" i="4" s="1"/>
  <c r="D18" i="4"/>
  <c r="D47" i="8"/>
  <c r="AJ73" i="14"/>
  <c r="AH11" i="14"/>
  <c r="Z11" i="14"/>
  <c r="G53" i="14"/>
  <c r="G41" i="14"/>
  <c r="AE11" i="14"/>
  <c r="W11" i="14"/>
  <c r="O11" i="14"/>
  <c r="C28" i="12"/>
  <c r="C73" i="12" s="1"/>
  <c r="K106" i="16"/>
  <c r="G36" i="3"/>
  <c r="E36" i="3"/>
  <c r="AI53" i="4"/>
  <c r="AI62" i="4" s="1"/>
  <c r="Z53" i="4"/>
  <c r="Z62" i="4" s="1"/>
  <c r="P53" i="4"/>
  <c r="P62" i="4" s="1"/>
  <c r="G53" i="4"/>
  <c r="G62" i="4" s="1"/>
  <c r="AJ74" i="14"/>
  <c r="P11" i="14"/>
  <c r="B33" i="3"/>
  <c r="B5" i="7"/>
  <c r="K98" i="16"/>
  <c r="B133" i="16"/>
  <c r="AB18" i="4"/>
  <c r="C38" i="12"/>
  <c r="C82" i="12" s="1"/>
  <c r="B37" i="2"/>
  <c r="G73" i="16"/>
  <c r="C41" i="12"/>
  <c r="C85" i="12" s="1"/>
  <c r="B40" i="2"/>
  <c r="G35" i="3"/>
  <c r="F111" i="16"/>
  <c r="X11" i="14"/>
  <c r="K104" i="16"/>
  <c r="C19" i="12"/>
  <c r="C65" i="12" s="1"/>
  <c r="K97" i="16"/>
  <c r="B32" i="3"/>
  <c r="M75" i="12"/>
  <c r="E75" i="12"/>
  <c r="U31" i="12"/>
  <c r="N74" i="12"/>
  <c r="G32" i="12"/>
  <c r="F74" i="12"/>
  <c r="S27" i="7"/>
  <c r="AA27" i="7"/>
  <c r="AI27" i="7"/>
  <c r="V27" i="7"/>
  <c r="AE27" i="7"/>
  <c r="X27" i="7"/>
  <c r="AG27" i="7"/>
  <c r="P27" i="7"/>
  <c r="Y27" i="7"/>
  <c r="AH27" i="7"/>
  <c r="T27" i="7"/>
  <c r="U27" i="7"/>
  <c r="Z27" i="7"/>
  <c r="O32" i="12"/>
  <c r="S75" i="12"/>
  <c r="K75" i="12"/>
  <c r="D109" i="12"/>
  <c r="C22" i="12"/>
  <c r="C67" i="12" s="1"/>
  <c r="K100" i="16"/>
  <c r="B29" i="3"/>
  <c r="C16" i="12"/>
  <c r="C62" i="12" s="1"/>
  <c r="F78" i="12"/>
  <c r="N78" i="12"/>
  <c r="J78" i="12"/>
  <c r="S78" i="12"/>
  <c r="K78" i="12"/>
  <c r="L78" i="12"/>
  <c r="E78" i="12"/>
  <c r="O78" i="12"/>
  <c r="M78" i="12"/>
  <c r="P78" i="12"/>
  <c r="R78" i="12"/>
  <c r="D78" i="12"/>
  <c r="D115" i="12"/>
  <c r="D107" i="12"/>
  <c r="E107" i="12" s="1"/>
  <c r="F107" i="12" s="1"/>
  <c r="G107" i="12" s="1"/>
  <c r="H107" i="12" s="1"/>
  <c r="I107" i="12" s="1"/>
  <c r="J107" i="12" s="1"/>
  <c r="K107" i="12" s="1"/>
  <c r="L107" i="12" s="1"/>
  <c r="M107" i="12" s="1"/>
  <c r="N107" i="12" s="1"/>
  <c r="O107" i="12" s="1"/>
  <c r="P107" i="12" s="1"/>
  <c r="Q107" i="12" s="1"/>
  <c r="R107" i="12" s="1"/>
  <c r="S107" i="12" s="1"/>
  <c r="Q78" i="12"/>
  <c r="P74" i="12"/>
  <c r="F108" i="12"/>
  <c r="H11" i="12"/>
  <c r="C27" i="12"/>
  <c r="C72" i="12" s="1"/>
  <c r="K105" i="16"/>
  <c r="H78" i="12"/>
  <c r="M11" i="21"/>
  <c r="G78" i="12"/>
  <c r="O75" i="12"/>
  <c r="G75" i="12"/>
  <c r="H74" i="12"/>
  <c r="M6" i="21"/>
  <c r="M10" i="21"/>
  <c r="M9" i="21"/>
  <c r="AA29" i="7"/>
  <c r="AI29" i="7"/>
  <c r="E38" i="3"/>
  <c r="AE29" i="7"/>
  <c r="N75" i="12"/>
  <c r="O74" i="12"/>
  <c r="U29" i="12"/>
  <c r="F6" i="6"/>
  <c r="G2" i="6"/>
  <c r="U30" i="12"/>
  <c r="D51" i="9"/>
  <c r="R74" i="12"/>
  <c r="J74" i="12"/>
  <c r="E12" i="6"/>
  <c r="F12" i="6"/>
  <c r="G61" i="6"/>
  <c r="O61" i="6"/>
  <c r="W61" i="6"/>
  <c r="AE61" i="6"/>
  <c r="AJ68" i="13"/>
  <c r="AK68" i="13"/>
  <c r="AK82" i="13"/>
  <c r="AK67" i="13"/>
  <c r="AK81" i="13"/>
  <c r="J342" i="1"/>
  <c r="I341" i="1"/>
  <c r="H6" i="8" s="1"/>
  <c r="H32" i="8"/>
  <c r="L269" i="1"/>
  <c r="K272" i="1"/>
  <c r="K59" i="4" s="1"/>
  <c r="K60" i="4" s="1"/>
  <c r="AL64" i="13"/>
  <c r="I272" i="1"/>
  <c r="I59" i="4" s="1"/>
  <c r="I60" i="4" s="1"/>
  <c r="F346" i="1"/>
  <c r="E345" i="1"/>
  <c r="K270" i="1"/>
  <c r="L270" i="1" s="1"/>
  <c r="M270" i="1" s="1"/>
  <c r="N270" i="1" s="1"/>
  <c r="O270" i="1" s="1"/>
  <c r="P270" i="1" s="1"/>
  <c r="Q270" i="1" s="1"/>
  <c r="R270" i="1" s="1"/>
  <c r="S270" i="1" s="1"/>
  <c r="T270" i="1" s="1"/>
  <c r="U270" i="1" s="1"/>
  <c r="V270" i="1" s="1"/>
  <c r="W270" i="1" s="1"/>
  <c r="X270" i="1" s="1"/>
  <c r="Y270" i="1" s="1"/>
  <c r="Z270" i="1" s="1"/>
  <c r="AA270" i="1" s="1"/>
  <c r="AB270" i="1" s="1"/>
  <c r="AC270" i="1" s="1"/>
  <c r="AD270" i="1" s="1"/>
  <c r="AE270" i="1" s="1"/>
  <c r="AF270" i="1" s="1"/>
  <c r="AG270" i="1" s="1"/>
  <c r="AH270" i="1" s="1"/>
  <c r="AI270" i="1" s="1"/>
  <c r="AJ270" i="1" s="1"/>
  <c r="AK270" i="1" s="1"/>
  <c r="AL270" i="1" s="1"/>
  <c r="AM270" i="1" s="1"/>
  <c r="J272" i="1"/>
  <c r="J59" i="4" s="1"/>
  <c r="J60" i="4" s="1"/>
  <c r="J64" i="4" s="1"/>
  <c r="H152" i="1"/>
  <c r="G253" i="1"/>
  <c r="G14" i="4" s="1"/>
  <c r="G15" i="4" s="1"/>
  <c r="H250" i="1"/>
  <c r="G155" i="1"/>
  <c r="F158" i="1"/>
  <c r="F188" i="1" s="1"/>
  <c r="F272" i="1"/>
  <c r="F59" i="4" s="1"/>
  <c r="F60" i="4" s="1"/>
  <c r="F64" i="4" s="1"/>
  <c r="G206" i="1"/>
  <c r="H206" i="1" s="1"/>
  <c r="I206" i="1" s="1"/>
  <c r="J206" i="1" s="1"/>
  <c r="K206" i="1" s="1"/>
  <c r="L206" i="1" s="1"/>
  <c r="M206" i="1" s="1"/>
  <c r="N206" i="1" s="1"/>
  <c r="O206" i="1" s="1"/>
  <c r="F223" i="1"/>
  <c r="G175" i="1"/>
  <c r="F177" i="1"/>
  <c r="G192" i="1"/>
  <c r="H192" i="1" s="1"/>
  <c r="I192" i="1" s="1"/>
  <c r="J192" i="1" s="1"/>
  <c r="K192" i="1" s="1"/>
  <c r="L192" i="1" s="1"/>
  <c r="M192" i="1" s="1"/>
  <c r="N192" i="1" s="1"/>
  <c r="V126" i="1"/>
  <c r="W126" i="1" s="1"/>
  <c r="X126" i="1" s="1"/>
  <c r="Y126" i="1" s="1"/>
  <c r="Z126" i="1" s="1"/>
  <c r="AA126" i="1" s="1"/>
  <c r="AB126" i="1" s="1"/>
  <c r="AC126" i="1" s="1"/>
  <c r="AD126" i="1" s="1"/>
  <c r="AE126" i="1" s="1"/>
  <c r="AF126" i="1" s="1"/>
  <c r="AG126" i="1" s="1"/>
  <c r="AH126" i="1" s="1"/>
  <c r="AI126" i="1" s="1"/>
  <c r="AJ126" i="1" s="1"/>
  <c r="AK126" i="1" s="1"/>
  <c r="AL126" i="1" s="1"/>
  <c r="F190" i="1"/>
  <c r="F191" i="1"/>
  <c r="G191" i="1" s="1"/>
  <c r="H191" i="1" s="1"/>
  <c r="I191" i="1" s="1"/>
  <c r="J191" i="1" s="1"/>
  <c r="K191" i="1" s="1"/>
  <c r="L191" i="1" s="1"/>
  <c r="M191" i="1" s="1"/>
  <c r="N191" i="1" s="1"/>
  <c r="O191" i="1" s="1"/>
  <c r="P191" i="1" s="1"/>
  <c r="Q191" i="1" s="1"/>
  <c r="F197" i="1"/>
  <c r="F137" i="1"/>
  <c r="G136" i="1"/>
  <c r="H136" i="1" s="1"/>
  <c r="I136" i="1" s="1"/>
  <c r="J136" i="1" s="1"/>
  <c r="K136" i="1" s="1"/>
  <c r="L136" i="1" s="1"/>
  <c r="M136" i="1" s="1"/>
  <c r="N136" i="1" s="1"/>
  <c r="O136" i="1" s="1"/>
  <c r="P136" i="1" s="1"/>
  <c r="Q136" i="1" s="1"/>
  <c r="R136" i="1" s="1"/>
  <c r="S136" i="1" s="1"/>
  <c r="T136" i="1" s="1"/>
  <c r="U136" i="1" s="1"/>
  <c r="V136" i="1" s="1"/>
  <c r="W136" i="1" s="1"/>
  <c r="X136" i="1" s="1"/>
  <c r="Y136" i="1" s="1"/>
  <c r="F299" i="1"/>
  <c r="F32" i="14" s="1"/>
  <c r="F33" i="14" s="1"/>
  <c r="G298" i="1"/>
  <c r="H272" i="1"/>
  <c r="H59" i="4" s="1"/>
  <c r="H60" i="4" s="1"/>
  <c r="G272" i="1"/>
  <c r="G59" i="4" s="1"/>
  <c r="G60" i="4" s="1"/>
  <c r="F253" i="1"/>
  <c r="F14" i="4" s="1"/>
  <c r="F15" i="4" s="1"/>
  <c r="F182" i="1"/>
  <c r="G182" i="1" s="1"/>
  <c r="H182" i="1" s="1"/>
  <c r="I182" i="1" s="1"/>
  <c r="J182" i="1" s="1"/>
  <c r="K182" i="1" s="1"/>
  <c r="L182" i="1" s="1"/>
  <c r="M182" i="1" s="1"/>
  <c r="N182" i="1" s="1"/>
  <c r="O182" i="1" s="1"/>
  <c r="P182" i="1" s="1"/>
  <c r="Q182" i="1" s="1"/>
  <c r="R182" i="1" s="1"/>
  <c r="S182" i="1" s="1"/>
  <c r="T182" i="1" s="1"/>
  <c r="U182" i="1" s="1"/>
  <c r="V182" i="1" s="1"/>
  <c r="W182" i="1" s="1"/>
  <c r="X182" i="1" s="1"/>
  <c r="Y182" i="1" s="1"/>
  <c r="Z182" i="1" s="1"/>
  <c r="AA182" i="1" s="1"/>
  <c r="AB182" i="1" s="1"/>
  <c r="AC182" i="1" s="1"/>
  <c r="AD182" i="1" s="1"/>
  <c r="AE182" i="1" s="1"/>
  <c r="AF182" i="1" s="1"/>
  <c r="AG182" i="1" s="1"/>
  <c r="AH182" i="1" s="1"/>
  <c r="AI182" i="1" s="1"/>
  <c r="F193" i="1"/>
  <c r="G193" i="1" s="1"/>
  <c r="H193" i="1" s="1"/>
  <c r="I193" i="1" s="1"/>
  <c r="J193" i="1" s="1"/>
  <c r="K193" i="1" s="1"/>
  <c r="L193" i="1" s="1"/>
  <c r="M193" i="1" s="1"/>
  <c r="N193" i="1" s="1"/>
  <c r="O193" i="1" s="1"/>
  <c r="P193" i="1" s="1"/>
  <c r="Q193" i="1" s="1"/>
  <c r="E102" i="1"/>
  <c r="E7" i="6" s="1"/>
  <c r="F30" i="1"/>
  <c r="H29" i="5" s="1"/>
  <c r="F31" i="1"/>
  <c r="G26" i="5" s="1"/>
  <c r="E41" i="2" s="1"/>
  <c r="G91" i="1"/>
  <c r="H91" i="1" s="1"/>
  <c r="I91" i="1" s="1"/>
  <c r="J91" i="1" s="1"/>
  <c r="K91" i="1" s="1"/>
  <c r="L91" i="1" s="1"/>
  <c r="M91" i="1" s="1"/>
  <c r="N91" i="1" s="1"/>
  <c r="O91" i="1" s="1"/>
  <c r="P91" i="1" s="1"/>
  <c r="Q91" i="1" s="1"/>
  <c r="R91" i="1" s="1"/>
  <c r="S91" i="1" s="1"/>
  <c r="T91" i="1" s="1"/>
  <c r="U91" i="1" s="1"/>
  <c r="V91" i="1" s="1"/>
  <c r="W91" i="1" s="1"/>
  <c r="X91" i="1" s="1"/>
  <c r="Y91" i="1" s="1"/>
  <c r="Z91" i="1" s="1"/>
  <c r="AA91" i="1" s="1"/>
  <c r="AB91" i="1" s="1"/>
  <c r="AC91" i="1" s="1"/>
  <c r="AD91" i="1" s="1"/>
  <c r="AE91" i="1" s="1"/>
  <c r="AF91" i="1" s="1"/>
  <c r="AG91" i="1" s="1"/>
  <c r="AH91" i="1" s="1"/>
  <c r="AI91" i="1" s="1"/>
  <c r="F99" i="1"/>
  <c r="F102" i="1" s="1"/>
  <c r="F7" i="6" s="1"/>
  <c r="G99" i="1"/>
  <c r="G102" i="1" s="1"/>
  <c r="H90" i="1"/>
  <c r="E2" i="1"/>
  <c r="F2" i="1" s="1"/>
  <c r="G2" i="1" s="1"/>
  <c r="H2" i="1" s="1"/>
  <c r="I2" i="1" s="1"/>
  <c r="J2" i="1" s="1"/>
  <c r="K2" i="1" s="1"/>
  <c r="L2" i="1" s="1"/>
  <c r="M2" i="1" s="1"/>
  <c r="N2" i="1" s="1"/>
  <c r="O2" i="1" s="1"/>
  <c r="P2" i="1" s="1"/>
  <c r="Q2" i="1" s="1"/>
  <c r="R2" i="1" s="1"/>
  <c r="S2" i="1" s="1"/>
  <c r="T2" i="1" s="1"/>
  <c r="U2" i="1" s="1"/>
  <c r="V2" i="1" s="1"/>
  <c r="W2" i="1" s="1"/>
  <c r="X2" i="1" s="1"/>
  <c r="Y2" i="1" s="1"/>
  <c r="Z2" i="1" s="1"/>
  <c r="AA2" i="1" s="1"/>
  <c r="AB2" i="1" s="1"/>
  <c r="AC2" i="1" s="1"/>
  <c r="AD2" i="1" s="1"/>
  <c r="AE2" i="1" s="1"/>
  <c r="AF2" i="1" s="1"/>
  <c r="AG2" i="1" s="1"/>
  <c r="AH2" i="1" s="1"/>
  <c r="AI2" i="1" s="1"/>
  <c r="E106" i="1"/>
  <c r="C34" i="3" l="1"/>
  <c r="H99" i="16"/>
  <c r="I99" i="16"/>
  <c r="H78" i="4"/>
  <c r="K64" i="4"/>
  <c r="H16" i="5"/>
  <c r="T115" i="12"/>
  <c r="D119" i="12"/>
  <c r="T119" i="12" s="1"/>
  <c r="T83" i="12"/>
  <c r="V83" i="12" s="1"/>
  <c r="H24" i="5"/>
  <c r="G137" i="1"/>
  <c r="F183" i="1"/>
  <c r="H2" i="6"/>
  <c r="G6" i="6"/>
  <c r="G47" i="16"/>
  <c r="F98" i="16" s="1"/>
  <c r="O184" i="1"/>
  <c r="F345" i="1"/>
  <c r="G346" i="1"/>
  <c r="E33" i="8"/>
  <c r="E57" i="13" s="1"/>
  <c r="F13" i="9"/>
  <c r="F22" i="6"/>
  <c r="F25" i="6"/>
  <c r="F16" i="6"/>
  <c r="F23" i="6"/>
  <c r="F41" i="6"/>
  <c r="F38" i="7" s="1"/>
  <c r="F24" i="6"/>
  <c r="F27" i="6"/>
  <c r="F15" i="6"/>
  <c r="F29" i="6"/>
  <c r="F39" i="7" s="1"/>
  <c r="F26" i="6"/>
  <c r="F19" i="7"/>
  <c r="F21" i="7" s="1"/>
  <c r="F43" i="16"/>
  <c r="Q62" i="4"/>
  <c r="Q63" i="4"/>
  <c r="K71" i="12"/>
  <c r="S71" i="12"/>
  <c r="F71" i="12"/>
  <c r="O71" i="12"/>
  <c r="G71" i="12"/>
  <c r="P71" i="12"/>
  <c r="H71" i="12"/>
  <c r="Q71" i="12"/>
  <c r="J71" i="12"/>
  <c r="D71" i="12"/>
  <c r="I71" i="12"/>
  <c r="H104" i="16"/>
  <c r="M71" i="12"/>
  <c r="N71" i="12"/>
  <c r="R71" i="12"/>
  <c r="I104" i="16"/>
  <c r="E71" i="12"/>
  <c r="L71" i="12"/>
  <c r="H64" i="12"/>
  <c r="P64" i="12"/>
  <c r="K64" i="12"/>
  <c r="L64" i="12"/>
  <c r="D64" i="12"/>
  <c r="M64" i="12"/>
  <c r="F64" i="12"/>
  <c r="O64" i="12"/>
  <c r="G64" i="12"/>
  <c r="I64" i="12"/>
  <c r="R64" i="12"/>
  <c r="H96" i="16"/>
  <c r="C31" i="3"/>
  <c r="E64" i="12"/>
  <c r="N64" i="12"/>
  <c r="J64" i="12"/>
  <c r="Q64" i="12"/>
  <c r="S64" i="12"/>
  <c r="I96" i="16"/>
  <c r="F71" i="16"/>
  <c r="T86" i="12"/>
  <c r="V86" i="12" s="1"/>
  <c r="G63" i="4"/>
  <c r="G64" i="4" s="1"/>
  <c r="T79" i="12"/>
  <c r="V79" i="12" s="1"/>
  <c r="G27" i="4"/>
  <c r="F34" i="4"/>
  <c r="G39" i="4"/>
  <c r="U69" i="4"/>
  <c r="U68" i="4"/>
  <c r="F68" i="16"/>
  <c r="D68" i="12"/>
  <c r="L68" i="12"/>
  <c r="H68" i="12"/>
  <c r="Q68" i="12"/>
  <c r="I68" i="12"/>
  <c r="R68" i="12"/>
  <c r="J68" i="12"/>
  <c r="S68" i="12"/>
  <c r="M68" i="12"/>
  <c r="E68" i="12"/>
  <c r="F68" i="12"/>
  <c r="O68" i="12"/>
  <c r="G68" i="12"/>
  <c r="N68" i="12"/>
  <c r="K68" i="12"/>
  <c r="P68" i="12"/>
  <c r="I101" i="16"/>
  <c r="H101" i="16"/>
  <c r="G45" i="16"/>
  <c r="F95" i="16" s="1"/>
  <c r="I50" i="9"/>
  <c r="K59" i="11"/>
  <c r="I90" i="1"/>
  <c r="H99" i="1"/>
  <c r="H102" i="1" s="1"/>
  <c r="I250" i="1"/>
  <c r="H253" i="1"/>
  <c r="H14" i="4" s="1"/>
  <c r="H15" i="4" s="1"/>
  <c r="AI68" i="4"/>
  <c r="AI69" i="4"/>
  <c r="I61" i="12"/>
  <c r="Q61" i="12"/>
  <c r="D61" i="12"/>
  <c r="M61" i="12"/>
  <c r="E61" i="12"/>
  <c r="N61" i="12"/>
  <c r="F61" i="12"/>
  <c r="O61" i="12"/>
  <c r="H61" i="12"/>
  <c r="R61" i="12"/>
  <c r="J61" i="12"/>
  <c r="K61" i="12"/>
  <c r="I93" i="16"/>
  <c r="G61" i="12"/>
  <c r="L61" i="12"/>
  <c r="P61" i="12"/>
  <c r="S61" i="12"/>
  <c r="C28" i="3"/>
  <c r="H93" i="16"/>
  <c r="T84" i="12"/>
  <c r="V84" i="12" s="1"/>
  <c r="F79" i="4"/>
  <c r="G84" i="4"/>
  <c r="G72" i="4"/>
  <c r="G73" i="4" s="1"/>
  <c r="G7" i="6"/>
  <c r="F196" i="1"/>
  <c r="AG69" i="4"/>
  <c r="AG68" i="4"/>
  <c r="E68" i="4"/>
  <c r="E69" i="4"/>
  <c r="F41" i="16"/>
  <c r="J68" i="4"/>
  <c r="J69" i="4"/>
  <c r="H69" i="11"/>
  <c r="H73" i="11" s="1"/>
  <c r="G177" i="1"/>
  <c r="G196" i="1" s="1"/>
  <c r="H175" i="1"/>
  <c r="D7" i="8"/>
  <c r="I28" i="2"/>
  <c r="C12" i="14"/>
  <c r="E13" i="10"/>
  <c r="Y68" i="4"/>
  <c r="Y69" i="4"/>
  <c r="F224" i="1"/>
  <c r="F69" i="6" s="1"/>
  <c r="F70" i="6" s="1"/>
  <c r="G223" i="1"/>
  <c r="H59" i="1"/>
  <c r="G197" i="1"/>
  <c r="H197" i="1" s="1"/>
  <c r="I197" i="1" s="1"/>
  <c r="J197" i="1" s="1"/>
  <c r="K197" i="1" s="1"/>
  <c r="L197" i="1" s="1"/>
  <c r="M197" i="1" s="1"/>
  <c r="N197" i="1" s="1"/>
  <c r="O197" i="1" s="1"/>
  <c r="P197" i="1" s="1"/>
  <c r="Q197" i="1" s="1"/>
  <c r="R197" i="1" s="1"/>
  <c r="S197" i="1" s="1"/>
  <c r="T197" i="1" s="1"/>
  <c r="U197" i="1" s="1"/>
  <c r="V197" i="1" s="1"/>
  <c r="W197" i="1" s="1"/>
  <c r="X197" i="1" s="1"/>
  <c r="Y197" i="1" s="1"/>
  <c r="Z197" i="1" s="1"/>
  <c r="AA197" i="1" s="1"/>
  <c r="AB197" i="1" s="1"/>
  <c r="AC197" i="1" s="1"/>
  <c r="AD197" i="1" s="1"/>
  <c r="AE197" i="1" s="1"/>
  <c r="AF197" i="1" s="1"/>
  <c r="AG197" i="1" s="1"/>
  <c r="AH197" i="1" s="1"/>
  <c r="AI197" i="1" s="1"/>
  <c r="T196" i="1"/>
  <c r="I64" i="4"/>
  <c r="E109" i="12"/>
  <c r="G108" i="12"/>
  <c r="G109" i="12" s="1"/>
  <c r="I11" i="12"/>
  <c r="F73" i="16"/>
  <c r="G75" i="16"/>
  <c r="G77" i="16" s="1"/>
  <c r="F36" i="3"/>
  <c r="I69" i="4"/>
  <c r="I68" i="4"/>
  <c r="L75" i="12"/>
  <c r="D75" i="12"/>
  <c r="H75" i="12"/>
  <c r="Q75" i="12"/>
  <c r="R75" i="12"/>
  <c r="F75" i="12"/>
  <c r="J75" i="12"/>
  <c r="I108" i="16"/>
  <c r="P75" i="12"/>
  <c r="H108" i="16"/>
  <c r="I75" i="12"/>
  <c r="E88" i="12"/>
  <c r="M88" i="12"/>
  <c r="F88" i="12"/>
  <c r="N88" i="12"/>
  <c r="G88" i="12"/>
  <c r="O88" i="12"/>
  <c r="I88" i="12"/>
  <c r="Q88" i="12"/>
  <c r="P88" i="12"/>
  <c r="C43" i="2"/>
  <c r="R88" i="12"/>
  <c r="D88" i="12"/>
  <c r="H88" i="12"/>
  <c r="L88" i="12"/>
  <c r="S88" i="12"/>
  <c r="J88" i="12"/>
  <c r="K88" i="12"/>
  <c r="H28" i="5"/>
  <c r="G28" i="5"/>
  <c r="E43" i="2" s="1"/>
  <c r="F62" i="12"/>
  <c r="N62" i="12"/>
  <c r="L62" i="12"/>
  <c r="D62" i="12"/>
  <c r="M62" i="12"/>
  <c r="E62" i="12"/>
  <c r="O62" i="12"/>
  <c r="H62" i="12"/>
  <c r="Q62" i="12"/>
  <c r="I62" i="12"/>
  <c r="J62" i="12"/>
  <c r="C29" i="3"/>
  <c r="G62" i="12"/>
  <c r="P62" i="12"/>
  <c r="R62" i="12"/>
  <c r="K62" i="12"/>
  <c r="H94" i="16"/>
  <c r="I94" i="16"/>
  <c r="S62" i="12"/>
  <c r="H26" i="5"/>
  <c r="G29" i="5"/>
  <c r="E44" i="2" s="1"/>
  <c r="I33" i="4"/>
  <c r="M69" i="4"/>
  <c r="M68" i="4"/>
  <c r="T81" i="12"/>
  <c r="V81" i="12" s="1"/>
  <c r="G24" i="5"/>
  <c r="E39" i="2" s="1"/>
  <c r="R69" i="4"/>
  <c r="R68" i="4"/>
  <c r="Z69" i="4"/>
  <c r="Z68" i="4"/>
  <c r="I69" i="12"/>
  <c r="Q69" i="12"/>
  <c r="G69" i="12"/>
  <c r="P69" i="12"/>
  <c r="H69" i="12"/>
  <c r="R69" i="12"/>
  <c r="J69" i="12"/>
  <c r="S69" i="12"/>
  <c r="L69" i="12"/>
  <c r="D69" i="12"/>
  <c r="E69" i="12"/>
  <c r="F69" i="12"/>
  <c r="N69" i="12"/>
  <c r="O69" i="12"/>
  <c r="K69" i="12"/>
  <c r="H102" i="16"/>
  <c r="M69" i="12"/>
  <c r="I102" i="16"/>
  <c r="H22" i="5"/>
  <c r="Y138" i="1"/>
  <c r="Z136" i="1"/>
  <c r="AA136" i="1" s="1"/>
  <c r="AB136" i="1" s="1"/>
  <c r="AC136" i="1" s="1"/>
  <c r="AD136" i="1" s="1"/>
  <c r="AE136" i="1" s="1"/>
  <c r="AF136" i="1" s="1"/>
  <c r="AG136" i="1" s="1"/>
  <c r="AH136" i="1" s="1"/>
  <c r="AI136" i="1" s="1"/>
  <c r="AJ136" i="1" s="1"/>
  <c r="AK136" i="1" s="1"/>
  <c r="AL136" i="1" s="1"/>
  <c r="F85" i="12"/>
  <c r="N85" i="12"/>
  <c r="G85" i="12"/>
  <c r="O85" i="12"/>
  <c r="H85" i="12"/>
  <c r="P85" i="12"/>
  <c r="J85" i="12"/>
  <c r="R85" i="12"/>
  <c r="I85" i="12"/>
  <c r="K85" i="12"/>
  <c r="M85" i="12"/>
  <c r="C40" i="2"/>
  <c r="S85" i="12"/>
  <c r="D85" i="12"/>
  <c r="E85" i="12"/>
  <c r="L85" i="12"/>
  <c r="Q85" i="12"/>
  <c r="G25" i="5"/>
  <c r="E40" i="2" s="1"/>
  <c r="H25" i="5"/>
  <c r="R191" i="1"/>
  <c r="S191" i="1" s="1"/>
  <c r="T191" i="1" s="1"/>
  <c r="U191" i="1" s="1"/>
  <c r="V191" i="1" s="1"/>
  <c r="AB196" i="1"/>
  <c r="J341" i="1"/>
  <c r="I6" i="8" s="1"/>
  <c r="K342" i="1"/>
  <c r="I32" i="8"/>
  <c r="F109" i="12"/>
  <c r="H111" i="16"/>
  <c r="I111" i="16"/>
  <c r="G69" i="4"/>
  <c r="G68" i="4"/>
  <c r="H53" i="14"/>
  <c r="H41" i="14"/>
  <c r="H72" i="12"/>
  <c r="P72" i="12"/>
  <c r="E72" i="12"/>
  <c r="N72" i="12"/>
  <c r="F72" i="12"/>
  <c r="O72" i="12"/>
  <c r="G72" i="12"/>
  <c r="Q72" i="12"/>
  <c r="J72" i="12"/>
  <c r="S72" i="12"/>
  <c r="L72" i="12"/>
  <c r="R72" i="12"/>
  <c r="D72" i="12"/>
  <c r="I72" i="12"/>
  <c r="M72" i="12"/>
  <c r="B134" i="16"/>
  <c r="K72" i="12"/>
  <c r="I105" i="16"/>
  <c r="E6" i="7"/>
  <c r="H105" i="16"/>
  <c r="E80" i="12"/>
  <c r="M80" i="12"/>
  <c r="F80" i="12"/>
  <c r="N80" i="12"/>
  <c r="G80" i="12"/>
  <c r="O80" i="12"/>
  <c r="I80" i="12"/>
  <c r="Q80" i="12"/>
  <c r="H80" i="12"/>
  <c r="C35" i="2"/>
  <c r="J80" i="12"/>
  <c r="D80" i="12"/>
  <c r="K80" i="12"/>
  <c r="P80" i="12"/>
  <c r="L80" i="12"/>
  <c r="S80" i="12"/>
  <c r="R80" i="12"/>
  <c r="H20" i="5"/>
  <c r="G20" i="5"/>
  <c r="E35" i="2" s="1"/>
  <c r="F70" i="12"/>
  <c r="N70" i="12"/>
  <c r="G70" i="12"/>
  <c r="P70" i="12"/>
  <c r="H70" i="12"/>
  <c r="Q70" i="12"/>
  <c r="I70" i="12"/>
  <c r="R70" i="12"/>
  <c r="K70" i="12"/>
  <c r="D70" i="12"/>
  <c r="J70" i="12"/>
  <c r="L70" i="12"/>
  <c r="E70" i="12"/>
  <c r="H103" i="16"/>
  <c r="O70" i="12"/>
  <c r="M70" i="12"/>
  <c r="I103" i="16"/>
  <c r="S70" i="12"/>
  <c r="U63" i="4"/>
  <c r="G120" i="4"/>
  <c r="H114" i="4"/>
  <c r="T87" i="12"/>
  <c r="V87" i="12" s="1"/>
  <c r="E84" i="1"/>
  <c r="E86" i="1" s="1"/>
  <c r="E171" i="1"/>
  <c r="I184" i="1"/>
  <c r="E183" i="1"/>
  <c r="E15" i="6" s="1"/>
  <c r="T184" i="1"/>
  <c r="F184" i="1"/>
  <c r="X184" i="1"/>
  <c r="E184" i="1"/>
  <c r="E16" i="6" s="1"/>
  <c r="R184" i="1"/>
  <c r="R196" i="1"/>
  <c r="Z196" i="1"/>
  <c r="AH196" i="1"/>
  <c r="G184" i="1"/>
  <c r="S184" i="1"/>
  <c r="S196" i="1"/>
  <c r="AA196" i="1"/>
  <c r="AI196" i="1"/>
  <c r="N184" i="1"/>
  <c r="P196" i="1"/>
  <c r="X196" i="1"/>
  <c r="AF196" i="1"/>
  <c r="H184" i="1"/>
  <c r="N196" i="1"/>
  <c r="J184" i="1"/>
  <c r="O196" i="1"/>
  <c r="V184" i="1"/>
  <c r="W196" i="1"/>
  <c r="L184" i="1"/>
  <c r="AG196" i="1"/>
  <c r="M184" i="1"/>
  <c r="Q196" i="1"/>
  <c r="P184" i="1"/>
  <c r="U184" i="1"/>
  <c r="V196" i="1"/>
  <c r="W184" i="1"/>
  <c r="Y196" i="1"/>
  <c r="AD196" i="1"/>
  <c r="AE196" i="1"/>
  <c r="E196" i="1"/>
  <c r="U10" i="12"/>
  <c r="D6" i="3"/>
  <c r="F57" i="16"/>
  <c r="F66" i="16"/>
  <c r="U9" i="12"/>
  <c r="T106" i="12" s="1"/>
  <c r="F38" i="3"/>
  <c r="D9" i="2"/>
  <c r="G46" i="16"/>
  <c r="F97" i="16" s="1"/>
  <c r="F55" i="16"/>
  <c r="F58" i="16"/>
  <c r="F69" i="16"/>
  <c r="F61" i="16"/>
  <c r="F52" i="16"/>
  <c r="F63" i="16"/>
  <c r="F56" i="16"/>
  <c r="G44" i="16"/>
  <c r="F62" i="16"/>
  <c r="F67" i="16"/>
  <c r="F53" i="16"/>
  <c r="F70" i="16"/>
  <c r="H14" i="5"/>
  <c r="H13" i="5"/>
  <c r="F54" i="16"/>
  <c r="G299" i="1"/>
  <c r="G32" i="14" s="1"/>
  <c r="G33" i="14" s="1"/>
  <c r="H298" i="1"/>
  <c r="H155" i="1"/>
  <c r="G158" i="1"/>
  <c r="G188" i="1" s="1"/>
  <c r="G20" i="6" s="1"/>
  <c r="AC196" i="1"/>
  <c r="E70" i="6"/>
  <c r="G69" i="11"/>
  <c r="G73" i="11" s="1"/>
  <c r="AD68" i="4"/>
  <c r="AD69" i="4"/>
  <c r="H21" i="5"/>
  <c r="Q184" i="1"/>
  <c r="L272" i="1"/>
  <c r="L59" i="4" s="1"/>
  <c r="L60" i="4" s="1"/>
  <c r="L64" i="4" s="1"/>
  <c r="M269" i="1"/>
  <c r="U32" i="12"/>
  <c r="E73" i="12"/>
  <c r="M73" i="12"/>
  <c r="D73" i="12"/>
  <c r="N73" i="12"/>
  <c r="F73" i="12"/>
  <c r="O73" i="12"/>
  <c r="G73" i="12"/>
  <c r="P73" i="12"/>
  <c r="I73" i="12"/>
  <c r="R73" i="12"/>
  <c r="S73" i="12"/>
  <c r="Q73" i="12"/>
  <c r="L73" i="12"/>
  <c r="H106" i="16"/>
  <c r="H73" i="12"/>
  <c r="J73" i="12"/>
  <c r="I106" i="16"/>
  <c r="K73" i="12"/>
  <c r="H27" i="5"/>
  <c r="R193" i="1"/>
  <c r="S193" i="1" s="1"/>
  <c r="T193" i="1" s="1"/>
  <c r="U193" i="1" s="1"/>
  <c r="V193" i="1" s="1"/>
  <c r="I152" i="1"/>
  <c r="K184" i="1"/>
  <c r="E52" i="1"/>
  <c r="E111" i="1"/>
  <c r="E8" i="6" s="1"/>
  <c r="E11" i="6" s="1"/>
  <c r="F106" i="1"/>
  <c r="E85" i="1"/>
  <c r="E163" i="1"/>
  <c r="E4" i="2"/>
  <c r="B1" i="16"/>
  <c r="B1" i="3"/>
  <c r="H112" i="16"/>
  <c r="G16" i="5"/>
  <c r="E31" i="2" s="1"/>
  <c r="H64" i="4"/>
  <c r="G190" i="1"/>
  <c r="H190" i="1" s="1"/>
  <c r="I190" i="1" s="1"/>
  <c r="J190" i="1" s="1"/>
  <c r="K190" i="1" s="1"/>
  <c r="L190" i="1" s="1"/>
  <c r="M190" i="1" s="1"/>
  <c r="N190" i="1" s="1"/>
  <c r="O190" i="1" s="1"/>
  <c r="P190" i="1" s="1"/>
  <c r="Q190" i="1" s="1"/>
  <c r="R190" i="1" s="1"/>
  <c r="S190" i="1" s="1"/>
  <c r="T190" i="1" s="1"/>
  <c r="U190" i="1" s="1"/>
  <c r="V190" i="1" s="1"/>
  <c r="W190" i="1" s="1"/>
  <c r="X190" i="1" s="1"/>
  <c r="Y190" i="1" s="1"/>
  <c r="Z190" i="1" s="1"/>
  <c r="AA190" i="1" s="1"/>
  <c r="AB190" i="1" s="1"/>
  <c r="AC190" i="1" s="1"/>
  <c r="AD190" i="1" s="1"/>
  <c r="AE190" i="1" s="1"/>
  <c r="AF190" i="1" s="1"/>
  <c r="AG190" i="1" s="1"/>
  <c r="AH190" i="1" s="1"/>
  <c r="AI190" i="1" s="1"/>
  <c r="F20" i="6"/>
  <c r="U196" i="1"/>
  <c r="AL67" i="13"/>
  <c r="AL68" i="13"/>
  <c r="AL82" i="13"/>
  <c r="AL81" i="13"/>
  <c r="T78" i="12"/>
  <c r="V78" i="12" s="1"/>
  <c r="F76" i="16"/>
  <c r="P68" i="4"/>
  <c r="P69" i="4"/>
  <c r="L69" i="4"/>
  <c r="L68" i="4"/>
  <c r="AP18" i="7"/>
  <c r="H18" i="7"/>
  <c r="G67" i="12"/>
  <c r="O67" i="12"/>
  <c r="I67" i="12"/>
  <c r="R67" i="12"/>
  <c r="J67" i="12"/>
  <c r="S67" i="12"/>
  <c r="K67" i="12"/>
  <c r="D67" i="12"/>
  <c r="M67" i="12"/>
  <c r="E67" i="12"/>
  <c r="F67" i="12"/>
  <c r="L67" i="12"/>
  <c r="H100" i="16"/>
  <c r="P67" i="12"/>
  <c r="Q67" i="12"/>
  <c r="N67" i="12"/>
  <c r="I100" i="16"/>
  <c r="H67" i="12"/>
  <c r="D74" i="12"/>
  <c r="M74" i="12"/>
  <c r="E74" i="12"/>
  <c r="Q74" i="12"/>
  <c r="S74" i="12"/>
  <c r="G74" i="12"/>
  <c r="I74" i="12"/>
  <c r="K74" i="12"/>
  <c r="L74" i="12"/>
  <c r="H107" i="16"/>
  <c r="I107" i="16"/>
  <c r="J51" i="9"/>
  <c r="K61" i="11"/>
  <c r="K62" i="11" s="1"/>
  <c r="H23" i="5"/>
  <c r="I47" i="14"/>
  <c r="G48" i="14"/>
  <c r="D116" i="4"/>
  <c r="D111" i="4"/>
  <c r="D110" i="4"/>
  <c r="D117" i="4"/>
  <c r="AI16" i="14"/>
  <c r="T82" i="12"/>
  <c r="V82" i="12" s="1"/>
  <c r="AC68" i="4"/>
  <c r="AC69" i="4"/>
  <c r="G21" i="5"/>
  <c r="E36" i="2" s="1"/>
  <c r="F77" i="16" l="1"/>
  <c r="E187" i="1"/>
  <c r="E19" i="6" s="1"/>
  <c r="E13" i="6"/>
  <c r="E12" i="9"/>
  <c r="E14" i="9" s="1"/>
  <c r="E23" i="9" s="1"/>
  <c r="E6" i="14"/>
  <c r="E12" i="10"/>
  <c r="E14" i="10" s="1"/>
  <c r="E23" i="10" s="1"/>
  <c r="E94" i="10" s="1"/>
  <c r="Z138" i="1"/>
  <c r="Y184" i="1"/>
  <c r="K63" i="12"/>
  <c r="S63" i="12"/>
  <c r="L63" i="12"/>
  <c r="D63" i="12"/>
  <c r="T63" i="12" s="1"/>
  <c r="V63" i="12" s="1"/>
  <c r="M63" i="12"/>
  <c r="E63" i="12"/>
  <c r="N63" i="12"/>
  <c r="G63" i="12"/>
  <c r="P63" i="12"/>
  <c r="H63" i="12"/>
  <c r="I63" i="12"/>
  <c r="O63" i="12"/>
  <c r="R63" i="12"/>
  <c r="C30" i="3"/>
  <c r="J63" i="12"/>
  <c r="Q63" i="12"/>
  <c r="I95" i="16"/>
  <c r="H95" i="16"/>
  <c r="F63" i="12"/>
  <c r="J66" i="12"/>
  <c r="R66" i="12"/>
  <c r="I66" i="12"/>
  <c r="S66" i="12"/>
  <c r="K66" i="12"/>
  <c r="L66" i="12"/>
  <c r="E66" i="12"/>
  <c r="N66" i="12"/>
  <c r="F66" i="12"/>
  <c r="G66" i="12"/>
  <c r="D66" i="12"/>
  <c r="M66" i="12"/>
  <c r="O66" i="12"/>
  <c r="C33" i="3"/>
  <c r="B132" i="16"/>
  <c r="P66" i="12"/>
  <c r="H98" i="16"/>
  <c r="H66" i="12"/>
  <c r="E5" i="7"/>
  <c r="Q66" i="12"/>
  <c r="I98" i="16"/>
  <c r="J152" i="1"/>
  <c r="N269" i="1"/>
  <c r="M272" i="1"/>
  <c r="M59" i="4" s="1"/>
  <c r="M60" i="4" s="1"/>
  <c r="M64" i="4" s="1"/>
  <c r="G49" i="16"/>
  <c r="Q5" i="21" s="1"/>
  <c r="E65" i="12"/>
  <c r="M65" i="12"/>
  <c r="J65" i="12"/>
  <c r="S65" i="12"/>
  <c r="K65" i="12"/>
  <c r="L65" i="12"/>
  <c r="F65" i="12"/>
  <c r="O65" i="12"/>
  <c r="G65" i="12"/>
  <c r="H65" i="12"/>
  <c r="D65" i="12"/>
  <c r="T65" i="12" s="1"/>
  <c r="V65" i="12" s="1"/>
  <c r="C32" i="3"/>
  <c r="I65" i="12"/>
  <c r="P65" i="12"/>
  <c r="Q65" i="12"/>
  <c r="R65" i="12"/>
  <c r="I97" i="16"/>
  <c r="N65" i="12"/>
  <c r="H97" i="16"/>
  <c r="E29" i="6"/>
  <c r="E39" i="7" s="1"/>
  <c r="E29" i="3"/>
  <c r="F29" i="3"/>
  <c r="T62" i="12"/>
  <c r="V62" i="12" s="1"/>
  <c r="H108" i="12"/>
  <c r="H109" i="12" s="1"/>
  <c r="J11" i="12"/>
  <c r="G224" i="1"/>
  <c r="G69" i="6" s="1"/>
  <c r="G70" i="6" s="1"/>
  <c r="F6" i="14" s="1"/>
  <c r="H223" i="1"/>
  <c r="D56" i="13"/>
  <c r="D21" i="8"/>
  <c r="T71" i="12"/>
  <c r="V71" i="12" s="1"/>
  <c r="K51" i="9"/>
  <c r="L61" i="11"/>
  <c r="L62" i="11" s="1"/>
  <c r="T80" i="12"/>
  <c r="V80" i="12" s="1"/>
  <c r="F12" i="9"/>
  <c r="F14" i="9" s="1"/>
  <c r="F23" i="9" s="1"/>
  <c r="E76" i="3" s="1"/>
  <c r="F12" i="10"/>
  <c r="F14" i="10" s="1"/>
  <c r="F23" i="10" s="1"/>
  <c r="F94" i="10" s="1"/>
  <c r="I175" i="1"/>
  <c r="H177" i="1"/>
  <c r="H196" i="1" s="1"/>
  <c r="G22" i="6"/>
  <c r="G24" i="6"/>
  <c r="G29" i="6"/>
  <c r="G39" i="7" s="1"/>
  <c r="G16" i="6"/>
  <c r="G19" i="7"/>
  <c r="G21" i="7" s="1"/>
  <c r="G26" i="6"/>
  <c r="G23" i="6"/>
  <c r="G41" i="6"/>
  <c r="G38" i="7" s="1"/>
  <c r="G12" i="6"/>
  <c r="G25" i="6"/>
  <c r="G27" i="6"/>
  <c r="I298" i="1"/>
  <c r="H299" i="1"/>
  <c r="H32" i="14" s="1"/>
  <c r="H33" i="14" s="1"/>
  <c r="T70" i="12"/>
  <c r="V70" i="12" s="1"/>
  <c r="T85" i="12"/>
  <c r="V85" i="12" s="1"/>
  <c r="T67" i="12"/>
  <c r="V67" i="12" s="1"/>
  <c r="AQ18" i="7"/>
  <c r="I18" i="7"/>
  <c r="B1" i="13"/>
  <c r="C1" i="12"/>
  <c r="B1" i="6"/>
  <c r="B1" i="9"/>
  <c r="B1" i="8"/>
  <c r="B1" i="14"/>
  <c r="B1" i="10"/>
  <c r="F1" i="5"/>
  <c r="B1" i="11"/>
  <c r="B1" i="4"/>
  <c r="B1" i="7"/>
  <c r="E185" i="1"/>
  <c r="E17" i="6" s="1"/>
  <c r="I114" i="4"/>
  <c r="H120" i="4"/>
  <c r="J33" i="4"/>
  <c r="T75" i="12"/>
  <c r="V75" i="12" s="1"/>
  <c r="C44" i="3"/>
  <c r="F110" i="16"/>
  <c r="F49" i="16"/>
  <c r="I69" i="11"/>
  <c r="I73" i="11" s="1"/>
  <c r="T61" i="12"/>
  <c r="I253" i="1"/>
  <c r="I14" i="4" s="1"/>
  <c r="I15" i="4" s="1"/>
  <c r="J250" i="1"/>
  <c r="T68" i="12"/>
  <c r="V68" i="12" s="1"/>
  <c r="F31" i="3"/>
  <c r="E31" i="3"/>
  <c r="T64" i="12"/>
  <c r="V64" i="12" s="1"/>
  <c r="H6" i="6"/>
  <c r="I2" i="6"/>
  <c r="J53" i="1"/>
  <c r="F74" i="1" s="1"/>
  <c r="H56" i="1"/>
  <c r="E168" i="1"/>
  <c r="E28" i="3"/>
  <c r="F28" i="3"/>
  <c r="C45" i="3"/>
  <c r="H7" i="6"/>
  <c r="Q68" i="4"/>
  <c r="Q69" i="4"/>
  <c r="H346" i="1"/>
  <c r="G345" i="1"/>
  <c r="F33" i="8"/>
  <c r="F57" i="13" s="1"/>
  <c r="G13" i="9"/>
  <c r="T88" i="12"/>
  <c r="V88" i="12" s="1"/>
  <c r="G79" i="4"/>
  <c r="H84" i="4"/>
  <c r="H72" i="4"/>
  <c r="H73" i="4" s="1"/>
  <c r="I99" i="1"/>
  <c r="J90" i="1"/>
  <c r="G34" i="4"/>
  <c r="H39" i="4"/>
  <c r="H27" i="4"/>
  <c r="E7" i="8"/>
  <c r="E56" i="13" s="1"/>
  <c r="F13" i="10"/>
  <c r="E34" i="3"/>
  <c r="F34" i="3"/>
  <c r="D110" i="12"/>
  <c r="M15" i="3"/>
  <c r="D15" i="2"/>
  <c r="I155" i="1"/>
  <c r="H158" i="1"/>
  <c r="H188" i="1" s="1"/>
  <c r="H20" i="6" s="1"/>
  <c r="T73" i="12"/>
  <c r="V73" i="12" s="1"/>
  <c r="F59" i="16"/>
  <c r="J47" i="14"/>
  <c r="H48" i="14"/>
  <c r="T74" i="12"/>
  <c r="V74" i="12" s="1"/>
  <c r="F111" i="1"/>
  <c r="G106" i="1"/>
  <c r="T72" i="12"/>
  <c r="V72" i="12" s="1"/>
  <c r="I41" i="14"/>
  <c r="I53" i="14"/>
  <c r="L342" i="1"/>
  <c r="K341" i="1"/>
  <c r="J6" i="8" s="1"/>
  <c r="J32" i="8"/>
  <c r="T69" i="12"/>
  <c r="V69" i="12" s="1"/>
  <c r="H137" i="1"/>
  <c r="G183" i="1"/>
  <c r="G15" i="6" s="1"/>
  <c r="I78" i="4"/>
  <c r="J47" i="9"/>
  <c r="K60" i="11"/>
  <c r="J54" i="2"/>
  <c r="G28" i="4"/>
  <c r="F8" i="14" l="1"/>
  <c r="F9" i="14" s="1"/>
  <c r="F19" i="14"/>
  <c r="F11" i="14"/>
  <c r="J48" i="9"/>
  <c r="L57" i="11"/>
  <c r="K47" i="14"/>
  <c r="I48" i="14"/>
  <c r="H34" i="4"/>
  <c r="I39" i="4"/>
  <c r="I27" i="4"/>
  <c r="J69" i="11"/>
  <c r="J73" i="11" s="1"/>
  <c r="E30" i="5"/>
  <c r="I120" i="4"/>
  <c r="J114" i="4"/>
  <c r="E30" i="3"/>
  <c r="F30" i="3"/>
  <c r="I72" i="4"/>
  <c r="I73" i="4" s="1"/>
  <c r="H79" i="4"/>
  <c r="I84" i="4"/>
  <c r="K250" i="1"/>
  <c r="J253" i="1"/>
  <c r="J14" i="4" s="1"/>
  <c r="J15" i="4" s="1"/>
  <c r="F32" i="3"/>
  <c r="E32" i="3"/>
  <c r="K152" i="1"/>
  <c r="E186" i="1"/>
  <c r="E18" i="6" s="1"/>
  <c r="E35" i="7"/>
  <c r="E85" i="10"/>
  <c r="H106" i="1"/>
  <c r="G111" i="1"/>
  <c r="J99" i="1"/>
  <c r="J102" i="1" s="1"/>
  <c r="K90" i="1"/>
  <c r="I102" i="1"/>
  <c r="D7" i="3"/>
  <c r="F7" i="8"/>
  <c r="F56" i="13" s="1"/>
  <c r="G13" i="10"/>
  <c r="I346" i="1"/>
  <c r="H345" i="1"/>
  <c r="G33" i="8"/>
  <c r="G57" i="13" s="1"/>
  <c r="H13" i="9"/>
  <c r="H224" i="1"/>
  <c r="H69" i="6" s="1"/>
  <c r="H70" i="6" s="1"/>
  <c r="I223" i="1"/>
  <c r="Q7" i="21"/>
  <c r="Q11" i="21"/>
  <c r="Q6" i="21"/>
  <c r="Q10" i="21"/>
  <c r="Q9" i="21"/>
  <c r="Q8" i="21"/>
  <c r="E11" i="14"/>
  <c r="E8" i="14"/>
  <c r="E9" i="14" s="1"/>
  <c r="E19" i="14"/>
  <c r="J78" i="4"/>
  <c r="J2" i="6"/>
  <c r="I6" i="6"/>
  <c r="I110" i="16"/>
  <c r="H110" i="16"/>
  <c r="C35" i="3"/>
  <c r="H183" i="1"/>
  <c r="I137" i="1"/>
  <c r="J155" i="1"/>
  <c r="I158" i="1"/>
  <c r="I188" i="1" s="1"/>
  <c r="I20" i="6" s="1"/>
  <c r="M342" i="1"/>
  <c r="L341" i="1"/>
  <c r="K6" i="8" s="1"/>
  <c r="K32" i="8"/>
  <c r="K33" i="4"/>
  <c r="J18" i="7"/>
  <c r="AR18" i="7"/>
  <c r="J298" i="1"/>
  <c r="I299" i="1"/>
  <c r="I32" i="14" s="1"/>
  <c r="I33" i="14" s="1"/>
  <c r="L51" i="9"/>
  <c r="M61" i="11"/>
  <c r="M62" i="11" s="1"/>
  <c r="G12" i="9"/>
  <c r="G14" i="9" s="1"/>
  <c r="G23" i="9" s="1"/>
  <c r="F76" i="3" s="1"/>
  <c r="G6" i="14"/>
  <c r="G12" i="10"/>
  <c r="G14" i="10" s="1"/>
  <c r="G23" i="10" s="1"/>
  <c r="G94" i="10" s="1"/>
  <c r="T66" i="12"/>
  <c r="V66" i="12" s="1"/>
  <c r="D76" i="3"/>
  <c r="Z184" i="1"/>
  <c r="AA138" i="1"/>
  <c r="H41" i="6"/>
  <c r="H38" i="7" s="1"/>
  <c r="H19" i="7"/>
  <c r="H21" i="7" s="1"/>
  <c r="H29" i="6"/>
  <c r="H39" i="7" s="1"/>
  <c r="H25" i="6"/>
  <c r="H27" i="6"/>
  <c r="H15" i="6"/>
  <c r="H23" i="6"/>
  <c r="H24" i="6"/>
  <c r="H12" i="6"/>
  <c r="H16" i="6"/>
  <c r="H26" i="6"/>
  <c r="H22" i="6"/>
  <c r="V61" i="12"/>
  <c r="E33" i="3"/>
  <c r="F33" i="3"/>
  <c r="F8" i="6"/>
  <c r="F185" i="1"/>
  <c r="F17" i="6" s="1"/>
  <c r="J53" i="14"/>
  <c r="J41" i="14"/>
  <c r="D112" i="12"/>
  <c r="E110" i="12"/>
  <c r="K54" i="2"/>
  <c r="H28" i="4"/>
  <c r="J175" i="1"/>
  <c r="I177" i="1"/>
  <c r="I196" i="1" s="1"/>
  <c r="K11" i="12"/>
  <c r="I108" i="12"/>
  <c r="I109" i="12" s="1"/>
  <c r="O269" i="1"/>
  <c r="N272" i="1"/>
  <c r="N59" i="4" s="1"/>
  <c r="N60" i="4" s="1"/>
  <c r="N64" i="4" s="1"/>
  <c r="L11" i="12" l="1"/>
  <c r="J108" i="12"/>
  <c r="J109" i="12" s="1"/>
  <c r="G11" i="14"/>
  <c r="G19" i="14"/>
  <c r="G8" i="14"/>
  <c r="G9" i="14" s="1"/>
  <c r="J6" i="6"/>
  <c r="K2" i="6"/>
  <c r="L152" i="1"/>
  <c r="G8" i="6"/>
  <c r="G11" i="6" s="1"/>
  <c r="G185" i="1"/>
  <c r="G17" i="6" s="1"/>
  <c r="O272" i="1"/>
  <c r="O59" i="4" s="1"/>
  <c r="O60" i="4" s="1"/>
  <c r="O64" i="4" s="1"/>
  <c r="P269" i="1"/>
  <c r="F11" i="6"/>
  <c r="J299" i="1"/>
  <c r="J32" i="14" s="1"/>
  <c r="J33" i="14" s="1"/>
  <c r="K298" i="1"/>
  <c r="E13" i="14"/>
  <c r="E15" i="14" s="1"/>
  <c r="E12" i="14"/>
  <c r="E14" i="14" s="1"/>
  <c r="D66" i="8"/>
  <c r="AN35" i="7"/>
  <c r="E82" i="7"/>
  <c r="AN38" i="7"/>
  <c r="K114" i="4"/>
  <c r="J120" i="4"/>
  <c r="J27" i="4"/>
  <c r="J39" i="4"/>
  <c r="I34" i="4"/>
  <c r="AN39" i="7"/>
  <c r="M341" i="1"/>
  <c r="L6" i="8" s="1"/>
  <c r="N342" i="1"/>
  <c r="L32" i="8"/>
  <c r="K253" i="1"/>
  <c r="K14" i="4" s="1"/>
  <c r="K15" i="4" s="1"/>
  <c r="L250" i="1"/>
  <c r="L33" i="4"/>
  <c r="K99" i="1"/>
  <c r="K102" i="1" s="1"/>
  <c r="L90" i="1"/>
  <c r="D116" i="12"/>
  <c r="D121" i="12"/>
  <c r="T121" i="12" s="1"/>
  <c r="K78" i="4"/>
  <c r="G7" i="8"/>
  <c r="G56" i="13" s="1"/>
  <c r="H13" i="10"/>
  <c r="J346" i="1"/>
  <c r="H33" i="8"/>
  <c r="H57" i="13" s="1"/>
  <c r="I345" i="1"/>
  <c r="I13" i="9"/>
  <c r="H12" i="9"/>
  <c r="H14" i="9" s="1"/>
  <c r="H23" i="9" s="1"/>
  <c r="G76" i="3" s="1"/>
  <c r="H12" i="10"/>
  <c r="H14" i="10" s="1"/>
  <c r="H23" i="10" s="1"/>
  <c r="H94" i="10" s="1"/>
  <c r="AS18" i="7"/>
  <c r="K18" i="7"/>
  <c r="I12" i="6"/>
  <c r="I27" i="6"/>
  <c r="I26" i="6"/>
  <c r="I41" i="6"/>
  <c r="I38" i="7" s="1"/>
  <c r="I19" i="7"/>
  <c r="I21" i="7" s="1"/>
  <c r="I25" i="6"/>
  <c r="I22" i="6"/>
  <c r="I29" i="6"/>
  <c r="I39" i="7" s="1"/>
  <c r="I24" i="6"/>
  <c r="I23" i="6"/>
  <c r="I16" i="6"/>
  <c r="I7" i="6"/>
  <c r="D8" i="3"/>
  <c r="I79" i="4"/>
  <c r="J72" i="4"/>
  <c r="J73" i="4" s="1"/>
  <c r="J84" i="4"/>
  <c r="C45" i="2"/>
  <c r="G30" i="5"/>
  <c r="E45" i="2" s="1"/>
  <c r="H30" i="5"/>
  <c r="J48" i="14"/>
  <c r="L47" i="14"/>
  <c r="J137" i="1"/>
  <c r="I183" i="1"/>
  <c r="I15" i="6" s="1"/>
  <c r="M51" i="9"/>
  <c r="N61" i="11"/>
  <c r="N62" i="11" s="1"/>
  <c r="E35" i="3"/>
  <c r="F35" i="3"/>
  <c r="I106" i="1"/>
  <c r="H111" i="1"/>
  <c r="E112" i="12"/>
  <c r="F110" i="12"/>
  <c r="K155" i="1"/>
  <c r="J158" i="1"/>
  <c r="J188" i="1" s="1"/>
  <c r="AB138" i="1"/>
  <c r="AA184" i="1"/>
  <c r="J177" i="1"/>
  <c r="J196" i="1" s="1"/>
  <c r="K175" i="1"/>
  <c r="J49" i="9"/>
  <c r="L58" i="11"/>
  <c r="K41" i="14"/>
  <c r="K53" i="14"/>
  <c r="I224" i="1"/>
  <c r="I69" i="6" s="1"/>
  <c r="I70" i="6" s="1"/>
  <c r="J223" i="1"/>
  <c r="L54" i="2"/>
  <c r="I28" i="4"/>
  <c r="F12" i="14"/>
  <c r="F14" i="14" s="1"/>
  <c r="F13" i="14"/>
  <c r="F15" i="14" s="1"/>
  <c r="K72" i="4" l="1"/>
  <c r="K73" i="4" s="1"/>
  <c r="K84" i="4"/>
  <c r="J79" i="4"/>
  <c r="J183" i="1"/>
  <c r="K137" i="1"/>
  <c r="L78" i="4"/>
  <c r="K27" i="4"/>
  <c r="K39" i="4"/>
  <c r="J34" i="4"/>
  <c r="D41" i="8"/>
  <c r="D49" i="13"/>
  <c r="D15" i="8"/>
  <c r="F16" i="14"/>
  <c r="J106" i="1"/>
  <c r="I111" i="1"/>
  <c r="M47" i="14"/>
  <c r="K48" i="14"/>
  <c r="M250" i="1"/>
  <c r="L253" i="1"/>
  <c r="L14" i="4" s="1"/>
  <c r="L15" i="4" s="1"/>
  <c r="M54" i="2"/>
  <c r="J28" i="4"/>
  <c r="E16" i="14"/>
  <c r="E73" i="14"/>
  <c r="F73" i="14"/>
  <c r="F45" i="6" s="1"/>
  <c r="P272" i="1"/>
  <c r="P59" i="4" s="1"/>
  <c r="P60" i="4" s="1"/>
  <c r="P64" i="4" s="1"/>
  <c r="Q269" i="1"/>
  <c r="AC138" i="1"/>
  <c r="AB184" i="1"/>
  <c r="E74" i="14"/>
  <c r="F74" i="14"/>
  <c r="F46" i="6" s="1"/>
  <c r="G12" i="14"/>
  <c r="G14" i="14" s="1"/>
  <c r="G13" i="14"/>
  <c r="G15" i="14" s="1"/>
  <c r="G74" i="14" s="1"/>
  <c r="G46" i="6" s="1"/>
  <c r="L114" i="4"/>
  <c r="K120" i="4"/>
  <c r="K299" i="1"/>
  <c r="K32" i="14" s="1"/>
  <c r="K33" i="14" s="1"/>
  <c r="L298" i="1"/>
  <c r="M152" i="1"/>
  <c r="L155" i="1"/>
  <c r="K158" i="1"/>
  <c r="K188" i="1" s="1"/>
  <c r="K20" i="6" s="1"/>
  <c r="K346" i="1"/>
  <c r="J345" i="1"/>
  <c r="I33" i="8"/>
  <c r="I57" i="13" s="1"/>
  <c r="J13" i="9"/>
  <c r="N341" i="1"/>
  <c r="M6" i="8" s="1"/>
  <c r="O342" i="1"/>
  <c r="M32" i="8"/>
  <c r="M11" i="12"/>
  <c r="K108" i="12"/>
  <c r="K109" i="12" s="1"/>
  <c r="H8" i="6"/>
  <c r="H11" i="6" s="1"/>
  <c r="H185" i="1"/>
  <c r="H17" i="6" s="1"/>
  <c r="L53" i="14"/>
  <c r="L41" i="14"/>
  <c r="L18" i="7"/>
  <c r="AT18" i="7"/>
  <c r="H7" i="8"/>
  <c r="H56" i="13" s="1"/>
  <c r="I13" i="10"/>
  <c r="G13" i="6"/>
  <c r="G187" i="1"/>
  <c r="G19" i="6" s="1"/>
  <c r="J20" i="6"/>
  <c r="K69" i="11"/>
  <c r="K73" i="11" s="1"/>
  <c r="J224" i="1"/>
  <c r="J69" i="6" s="1"/>
  <c r="K223" i="1"/>
  <c r="J50" i="9"/>
  <c r="L59" i="11"/>
  <c r="F112" i="12"/>
  <c r="G110" i="12"/>
  <c r="M90" i="1"/>
  <c r="L99" i="1"/>
  <c r="L102" i="1" s="1"/>
  <c r="AN82" i="7"/>
  <c r="M33" i="4"/>
  <c r="J15" i="6"/>
  <c r="J16" i="6"/>
  <c r="J29" i="6"/>
  <c r="J39" i="7" s="1"/>
  <c r="J25" i="6"/>
  <c r="J26" i="6"/>
  <c r="J27" i="6"/>
  <c r="J23" i="6"/>
  <c r="J24" i="6"/>
  <c r="J19" i="7"/>
  <c r="J21" i="7" s="1"/>
  <c r="J22" i="6"/>
  <c r="J41" i="6"/>
  <c r="J38" i="7" s="1"/>
  <c r="J12" i="6"/>
  <c r="J7" i="6"/>
  <c r="F13" i="21"/>
  <c r="F18" i="21"/>
  <c r="F26" i="21"/>
  <c r="F34" i="21"/>
  <c r="F42" i="21"/>
  <c r="F50" i="21"/>
  <c r="F58" i="21"/>
  <c r="F66" i="21"/>
  <c r="F74" i="21"/>
  <c r="F82" i="21"/>
  <c r="F90" i="21"/>
  <c r="F21" i="21"/>
  <c r="F29" i="21"/>
  <c r="F37" i="21"/>
  <c r="F45" i="21"/>
  <c r="F53" i="21"/>
  <c r="F61" i="21"/>
  <c r="F69" i="21"/>
  <c r="F77" i="21"/>
  <c r="F85" i="21"/>
  <c r="F23" i="21"/>
  <c r="F39" i="21"/>
  <c r="F55" i="21"/>
  <c r="F71" i="21"/>
  <c r="F87" i="21"/>
  <c r="F24" i="21"/>
  <c r="F27" i="21"/>
  <c r="F40" i="21"/>
  <c r="F43" i="21"/>
  <c r="F56" i="21"/>
  <c r="F59" i="21"/>
  <c r="F72" i="21"/>
  <c r="F75" i="21"/>
  <c r="F88" i="21"/>
  <c r="F91" i="21"/>
  <c r="F14" i="21"/>
  <c r="F22" i="21"/>
  <c r="F30" i="21"/>
  <c r="F38" i="21"/>
  <c r="F46" i="21"/>
  <c r="F54" i="21"/>
  <c r="F62" i="21"/>
  <c r="F70" i="21"/>
  <c r="F78" i="21"/>
  <c r="F15" i="21"/>
  <c r="F19" i="21"/>
  <c r="F31" i="21"/>
  <c r="F35" i="21"/>
  <c r="F47" i="21"/>
  <c r="F51" i="21"/>
  <c r="F63" i="21"/>
  <c r="F67" i="21"/>
  <c r="F79" i="21"/>
  <c r="F83" i="21"/>
  <c r="F16" i="21"/>
  <c r="F20" i="21"/>
  <c r="F32" i="21"/>
  <c r="F36" i="21"/>
  <c r="F48" i="21"/>
  <c r="F52" i="21"/>
  <c r="F64" i="21"/>
  <c r="F68" i="21"/>
  <c r="F80" i="21"/>
  <c r="F84" i="21"/>
  <c r="F25" i="21"/>
  <c r="F86" i="21"/>
  <c r="F44" i="21"/>
  <c r="F81" i="21"/>
  <c r="F33" i="21"/>
  <c r="F57" i="21"/>
  <c r="F28" i="21"/>
  <c r="F65" i="21"/>
  <c r="F17" i="21"/>
  <c r="F73" i="21"/>
  <c r="F60" i="21"/>
  <c r="F41" i="21"/>
  <c r="F89" i="21"/>
  <c r="F49" i="21"/>
  <c r="F76" i="21"/>
  <c r="I12" i="9"/>
  <c r="I14" i="9" s="1"/>
  <c r="I23" i="9" s="1"/>
  <c r="I12" i="10"/>
  <c r="I14" i="10" s="1"/>
  <c r="I23" i="10" s="1"/>
  <c r="I94" i="10" s="1"/>
  <c r="L175" i="1"/>
  <c r="K177" i="1"/>
  <c r="K196" i="1" s="1"/>
  <c r="E116" i="12"/>
  <c r="E121" i="12"/>
  <c r="N51" i="9"/>
  <c r="O61" i="11"/>
  <c r="O62" i="11" s="1"/>
  <c r="H6" i="14"/>
  <c r="K7" i="6"/>
  <c r="F187" i="1"/>
  <c r="F19" i="6" s="1"/>
  <c r="F13" i="6"/>
  <c r="K6" i="6"/>
  <c r="L2" i="6"/>
  <c r="F37" i="8" l="1"/>
  <c r="F28" i="13"/>
  <c r="G20" i="9"/>
  <c r="AU18" i="7"/>
  <c r="M18" i="7"/>
  <c r="G13" i="21"/>
  <c r="D5" i="22" s="1"/>
  <c r="N33" i="4"/>
  <c r="H110" i="12"/>
  <c r="G112" i="12"/>
  <c r="O341" i="1"/>
  <c r="N6" i="8" s="1"/>
  <c r="P342" i="1"/>
  <c r="N32" i="8"/>
  <c r="N152" i="1"/>
  <c r="E28" i="13"/>
  <c r="F20" i="9"/>
  <c r="E37" i="8"/>
  <c r="E45" i="6"/>
  <c r="N47" i="14"/>
  <c r="L48" i="14"/>
  <c r="G16" i="14"/>
  <c r="F116" i="12"/>
  <c r="F121" i="12"/>
  <c r="M2" i="6"/>
  <c r="L6" i="6"/>
  <c r="L299" i="1"/>
  <c r="L32" i="14" s="1"/>
  <c r="L33" i="14" s="1"/>
  <c r="M298" i="1"/>
  <c r="K47" i="9"/>
  <c r="L60" i="11"/>
  <c r="G186" i="1"/>
  <c r="G18" i="6" s="1"/>
  <c r="G35" i="7"/>
  <c r="G85" i="10"/>
  <c r="H13" i="6"/>
  <c r="H187" i="1"/>
  <c r="H19" i="6" s="1"/>
  <c r="AC184" i="1"/>
  <c r="AD138" i="1"/>
  <c r="G73" i="14"/>
  <c r="G45" i="6" s="1"/>
  <c r="N54" i="2"/>
  <c r="K28" i="4"/>
  <c r="N90" i="1"/>
  <c r="M99" i="1"/>
  <c r="M102" i="1" s="1"/>
  <c r="N11" i="12"/>
  <c r="L108" i="12"/>
  <c r="L109" i="12" s="1"/>
  <c r="L137" i="1"/>
  <c r="K183" i="1"/>
  <c r="M69" i="11"/>
  <c r="M73" i="11" s="1"/>
  <c r="L158" i="1"/>
  <c r="L188" i="1" s="1"/>
  <c r="M155" i="1"/>
  <c r="H8" i="14"/>
  <c r="H9" i="14" s="1"/>
  <c r="H11" i="14" s="1"/>
  <c r="H19" i="14"/>
  <c r="M41" i="14"/>
  <c r="M53" i="14"/>
  <c r="E46" i="6"/>
  <c r="L72" i="4"/>
  <c r="L73" i="4" s="1"/>
  <c r="K79" i="4"/>
  <c r="L84" i="4"/>
  <c r="L39" i="4"/>
  <c r="K34" i="4"/>
  <c r="L27" i="4"/>
  <c r="K24" i="6"/>
  <c r="K26" i="6"/>
  <c r="K15" i="6"/>
  <c r="K22" i="6"/>
  <c r="K25" i="6"/>
  <c r="K16" i="6"/>
  <c r="K29" i="6"/>
  <c r="K39" i="7" s="1"/>
  <c r="K12" i="6"/>
  <c r="K27" i="6"/>
  <c r="K23" i="6"/>
  <c r="K19" i="7"/>
  <c r="K21" i="7" s="1"/>
  <c r="K41" i="6"/>
  <c r="K38" i="7" s="1"/>
  <c r="L223" i="1"/>
  <c r="K224" i="1"/>
  <c r="K69" i="6" s="1"/>
  <c r="K70" i="6" s="1"/>
  <c r="I7" i="8"/>
  <c r="I56" i="13" s="1"/>
  <c r="J13" i="10"/>
  <c r="R269" i="1"/>
  <c r="Q272" i="1"/>
  <c r="Q59" i="4" s="1"/>
  <c r="Q60" i="4" s="1"/>
  <c r="Q64" i="4" s="1"/>
  <c r="M78" i="4"/>
  <c r="M175" i="1"/>
  <c r="M177" i="1" s="1"/>
  <c r="M196" i="1" s="1"/>
  <c r="L177" i="1"/>
  <c r="L196" i="1" s="1"/>
  <c r="E10" i="13"/>
  <c r="E11" i="8"/>
  <c r="E62" i="8"/>
  <c r="F73" i="6"/>
  <c r="F74" i="6" s="1"/>
  <c r="F20" i="10"/>
  <c r="H76" i="3"/>
  <c r="L69" i="11"/>
  <c r="L73" i="11" s="1"/>
  <c r="I8" i="6"/>
  <c r="I185" i="1"/>
  <c r="I17" i="6" s="1"/>
  <c r="P61" i="11"/>
  <c r="P62" i="11" s="1"/>
  <c r="O51" i="9"/>
  <c r="J111" i="1"/>
  <c r="K106" i="1"/>
  <c r="E164" i="1"/>
  <c r="F186" i="1"/>
  <c r="F18" i="6" s="1"/>
  <c r="F35" i="7"/>
  <c r="F85" i="10"/>
  <c r="L7" i="6"/>
  <c r="J70" i="6"/>
  <c r="K345" i="1"/>
  <c r="L346" i="1"/>
  <c r="J33" i="8"/>
  <c r="J57" i="13" s="1"/>
  <c r="K13" i="9"/>
  <c r="M114" i="4"/>
  <c r="L120" i="4"/>
  <c r="N250" i="1"/>
  <c r="M253" i="1"/>
  <c r="M14" i="4" s="1"/>
  <c r="M15" i="4" s="1"/>
  <c r="H13" i="14" l="1"/>
  <c r="H15" i="14" s="1"/>
  <c r="H12" i="14"/>
  <c r="H14" i="14" s="1"/>
  <c r="J8" i="6"/>
  <c r="J11" i="6" s="1"/>
  <c r="J185" i="1"/>
  <c r="J17" i="6" s="1"/>
  <c r="K48" i="9"/>
  <c r="M57" i="11"/>
  <c r="O33" i="4"/>
  <c r="E178" i="1"/>
  <c r="F59" i="1" s="1"/>
  <c r="E19" i="5" s="1"/>
  <c r="M158" i="1"/>
  <c r="M188" i="1" s="1"/>
  <c r="N155" i="1"/>
  <c r="M108" i="12"/>
  <c r="M109" i="12" s="1"/>
  <c r="O11" i="12"/>
  <c r="M120" i="4"/>
  <c r="N114" i="4"/>
  <c r="P51" i="9"/>
  <c r="Q61" i="11"/>
  <c r="Q62" i="11" s="1"/>
  <c r="K12" i="10"/>
  <c r="K14" i="10" s="1"/>
  <c r="K23" i="10" s="1"/>
  <c r="K94" i="10" s="1"/>
  <c r="K12" i="9"/>
  <c r="K14" i="9" s="1"/>
  <c r="K23" i="9" s="1"/>
  <c r="L20" i="6"/>
  <c r="M7" i="6"/>
  <c r="H186" i="1"/>
  <c r="H18" i="6" s="1"/>
  <c r="H35" i="7"/>
  <c r="H85" i="10"/>
  <c r="N298" i="1"/>
  <c r="M299" i="1"/>
  <c r="M32" i="14" s="1"/>
  <c r="M33" i="14" s="1"/>
  <c r="O152" i="1"/>
  <c r="D11" i="22"/>
  <c r="D8" i="22"/>
  <c r="D14" i="22"/>
  <c r="N253" i="1"/>
  <c r="N14" i="4" s="1"/>
  <c r="N15" i="4" s="1"/>
  <c r="O250" i="1"/>
  <c r="N69" i="11"/>
  <c r="N73" i="11" s="1"/>
  <c r="E66" i="8"/>
  <c r="AO35" i="7"/>
  <c r="F82" i="7"/>
  <c r="AO38" i="7"/>
  <c r="AO39" i="7"/>
  <c r="N78" i="4"/>
  <c r="M73" i="4"/>
  <c r="O54" i="2"/>
  <c r="L28" i="4"/>
  <c r="N99" i="1"/>
  <c r="N102" i="1" s="1"/>
  <c r="O90" i="1"/>
  <c r="N53" i="14"/>
  <c r="N41" i="14"/>
  <c r="F66" i="8"/>
  <c r="G82" i="7"/>
  <c r="AP35" i="7"/>
  <c r="AP38" i="7"/>
  <c r="AP39" i="7"/>
  <c r="L345" i="1"/>
  <c r="M346" i="1"/>
  <c r="K33" i="8"/>
  <c r="K57" i="13" s="1"/>
  <c r="L13" i="9"/>
  <c r="I11" i="6"/>
  <c r="M27" i="4"/>
  <c r="M39" i="4"/>
  <c r="L34" i="4"/>
  <c r="J7" i="8"/>
  <c r="J56" i="13" s="1"/>
  <c r="K13" i="10"/>
  <c r="F70" i="7"/>
  <c r="L79" i="4"/>
  <c r="M72" i="4"/>
  <c r="M84" i="4"/>
  <c r="F10" i="13"/>
  <c r="G70" i="7" s="1"/>
  <c r="F11" i="8"/>
  <c r="F62" i="8"/>
  <c r="G73" i="6"/>
  <c r="G74" i="6" s="1"/>
  <c r="G20" i="10"/>
  <c r="G121" i="12"/>
  <c r="G116" i="12"/>
  <c r="M223" i="1"/>
  <c r="L224" i="1"/>
  <c r="L69" i="6" s="1"/>
  <c r="L70" i="6" s="1"/>
  <c r="K6" i="14" s="1"/>
  <c r="D28" i="13"/>
  <c r="D37" i="8"/>
  <c r="E20" i="9"/>
  <c r="M48" i="14"/>
  <c r="O47" i="14"/>
  <c r="AV18" i="7"/>
  <c r="N18" i="7"/>
  <c r="E48" i="13"/>
  <c r="L12" i="6"/>
  <c r="L29" i="6"/>
  <c r="L39" i="7" s="1"/>
  <c r="L23" i="6"/>
  <c r="L19" i="7"/>
  <c r="L21" i="7" s="1"/>
  <c r="L15" i="6"/>
  <c r="L41" i="6"/>
  <c r="L38" i="7" s="1"/>
  <c r="L27" i="6"/>
  <c r="L26" i="6"/>
  <c r="L24" i="6"/>
  <c r="L22" i="6"/>
  <c r="L25" i="6"/>
  <c r="L16" i="6"/>
  <c r="P341" i="1"/>
  <c r="O6" i="8" s="1"/>
  <c r="Q342" i="1"/>
  <c r="O32" i="8"/>
  <c r="N2" i="6"/>
  <c r="M6" i="6"/>
  <c r="D10" i="13"/>
  <c r="D11" i="8"/>
  <c r="D62" i="8"/>
  <c r="E73" i="6"/>
  <c r="E74" i="6" s="1"/>
  <c r="E20" i="10"/>
  <c r="H57" i="1"/>
  <c r="H61" i="1" s="1"/>
  <c r="J54" i="1"/>
  <c r="E169" i="1"/>
  <c r="H60" i="1"/>
  <c r="E170" i="1"/>
  <c r="E167" i="1"/>
  <c r="E172" i="1" s="1"/>
  <c r="J12" i="9"/>
  <c r="J14" i="9" s="1"/>
  <c r="J23" i="9" s="1"/>
  <c r="J6" i="14"/>
  <c r="J12" i="10"/>
  <c r="J14" i="10" s="1"/>
  <c r="J23" i="10" s="1"/>
  <c r="J94" i="10" s="1"/>
  <c r="I6" i="14"/>
  <c r="K111" i="1"/>
  <c r="L106" i="1"/>
  <c r="S269" i="1"/>
  <c r="R272" i="1"/>
  <c r="R59" i="4" s="1"/>
  <c r="R60" i="4" s="1"/>
  <c r="R64" i="4" s="1"/>
  <c r="L183" i="1"/>
  <c r="M137" i="1"/>
  <c r="AE138" i="1"/>
  <c r="AD184" i="1"/>
  <c r="H112" i="12"/>
  <c r="I110" i="12"/>
  <c r="K19" i="14" l="1"/>
  <c r="K8" i="14"/>
  <c r="K10" i="14" s="1"/>
  <c r="K11" i="14" s="1"/>
  <c r="F49" i="13"/>
  <c r="F15" i="8"/>
  <c r="F41" i="8"/>
  <c r="O53" i="14"/>
  <c r="O41" i="14"/>
  <c r="N27" i="4"/>
  <c r="N39" i="4"/>
  <c r="M34" i="4"/>
  <c r="P11" i="12"/>
  <c r="N108" i="12"/>
  <c r="N109" i="12" s="1"/>
  <c r="P47" i="14"/>
  <c r="N48" i="14"/>
  <c r="P54" i="2"/>
  <c r="M28" i="4"/>
  <c r="O253" i="1"/>
  <c r="O14" i="4" s="1"/>
  <c r="O15" i="4" s="1"/>
  <c r="P250" i="1"/>
  <c r="N299" i="1"/>
  <c r="N32" i="14" s="1"/>
  <c r="N33" i="14" s="1"/>
  <c r="O298" i="1"/>
  <c r="M106" i="1"/>
  <c r="L111" i="1"/>
  <c r="N6" i="6"/>
  <c r="O2" i="6"/>
  <c r="I13" i="6"/>
  <c r="I187" i="1"/>
  <c r="I19" i="6" s="1"/>
  <c r="O155" i="1"/>
  <c r="N158" i="1"/>
  <c r="N188" i="1" s="1"/>
  <c r="J13" i="6"/>
  <c r="J187" i="1"/>
  <c r="J19" i="6" s="1"/>
  <c r="F57" i="1"/>
  <c r="H117" i="12"/>
  <c r="R342" i="1"/>
  <c r="Q341" i="1"/>
  <c r="P6" i="8" s="1"/>
  <c r="P32" i="8"/>
  <c r="F48" i="13"/>
  <c r="L12" i="9"/>
  <c r="L14" i="9" s="1"/>
  <c r="L23" i="9" s="1"/>
  <c r="L12" i="10"/>
  <c r="L14" i="10" s="1"/>
  <c r="L23" i="10" s="1"/>
  <c r="L94" i="10" s="1"/>
  <c r="N346" i="1"/>
  <c r="M345" i="1"/>
  <c r="L33" i="8"/>
  <c r="L57" i="13" s="1"/>
  <c r="M13" i="9"/>
  <c r="O69" i="11"/>
  <c r="O73" i="11" s="1"/>
  <c r="O18" i="7"/>
  <c r="AW18" i="7"/>
  <c r="N84" i="4"/>
  <c r="M79" i="4"/>
  <c r="N72" i="4"/>
  <c r="N73" i="4" s="1"/>
  <c r="K49" i="9"/>
  <c r="M58" i="11"/>
  <c r="I112" i="12"/>
  <c r="J110" i="12"/>
  <c r="K8" i="6"/>
  <c r="K185" i="1"/>
  <c r="K17" i="6" s="1"/>
  <c r="O99" i="1"/>
  <c r="O102" i="1" s="1"/>
  <c r="P90" i="1"/>
  <c r="AO82" i="7"/>
  <c r="G66" i="8"/>
  <c r="AQ35" i="7"/>
  <c r="H82" i="7"/>
  <c r="AQ38" i="7"/>
  <c r="AQ39" i="7"/>
  <c r="Q51" i="9"/>
  <c r="R61" i="11"/>
  <c r="R62" i="11" s="1"/>
  <c r="M20" i="6"/>
  <c r="H16" i="14"/>
  <c r="H73" i="14"/>
  <c r="AE184" i="1"/>
  <c r="AF138" i="1"/>
  <c r="O114" i="4"/>
  <c r="N120" i="4"/>
  <c r="N137" i="1"/>
  <c r="M183" i="1"/>
  <c r="M15" i="6" s="1"/>
  <c r="J8" i="14"/>
  <c r="J10" i="14" s="1"/>
  <c r="J19" i="14"/>
  <c r="J11" i="14"/>
  <c r="D48" i="13"/>
  <c r="E49" i="13"/>
  <c r="E41" i="8"/>
  <c r="E15" i="8"/>
  <c r="P33" i="4"/>
  <c r="M224" i="1"/>
  <c r="M69" i="6" s="1"/>
  <c r="M70" i="6" s="1"/>
  <c r="L6" i="14" s="1"/>
  <c r="N223" i="1"/>
  <c r="K7" i="8"/>
  <c r="K56" i="13" s="1"/>
  <c r="L13" i="10"/>
  <c r="P152" i="1"/>
  <c r="F189" i="1"/>
  <c r="E189" i="1"/>
  <c r="E21" i="6" s="1"/>
  <c r="E28" i="6" s="1"/>
  <c r="E70" i="7"/>
  <c r="O78" i="4"/>
  <c r="T269" i="1"/>
  <c r="S272" i="1"/>
  <c r="S59" i="4" s="1"/>
  <c r="S60" i="4" s="1"/>
  <c r="S64" i="4" s="1"/>
  <c r="M25" i="6"/>
  <c r="M26" i="6"/>
  <c r="M41" i="6"/>
  <c r="M38" i="7" s="1"/>
  <c r="M27" i="6"/>
  <c r="M19" i="7"/>
  <c r="M21" i="7" s="1"/>
  <c r="M12" i="6"/>
  <c r="M16" i="6"/>
  <c r="M23" i="6"/>
  <c r="M22" i="6"/>
  <c r="M29" i="6"/>
  <c r="M39" i="7" s="1"/>
  <c r="M24" i="6"/>
  <c r="H121" i="12"/>
  <c r="H116" i="12"/>
  <c r="I19" i="14"/>
  <c r="I8" i="14"/>
  <c r="I9" i="14" s="1"/>
  <c r="I11" i="14"/>
  <c r="AP82" i="7"/>
  <c r="N7" i="6"/>
  <c r="G90" i="12"/>
  <c r="O90" i="12"/>
  <c r="H90" i="12"/>
  <c r="P90" i="12"/>
  <c r="I90" i="12"/>
  <c r="Q90" i="12"/>
  <c r="K90" i="12"/>
  <c r="S90" i="12"/>
  <c r="F90" i="12"/>
  <c r="J90" i="12"/>
  <c r="C34" i="2"/>
  <c r="E90" i="12"/>
  <c r="L90" i="12"/>
  <c r="M90" i="12"/>
  <c r="N90" i="12"/>
  <c r="R90" i="12"/>
  <c r="D90" i="12"/>
  <c r="H19" i="5"/>
  <c r="G19" i="5"/>
  <c r="E34" i="2" s="1"/>
  <c r="H74" i="14"/>
  <c r="L8" i="14" l="1"/>
  <c r="L10" i="14" s="1"/>
  <c r="L11" i="14"/>
  <c r="L19" i="14"/>
  <c r="K13" i="14"/>
  <c r="K15" i="14" s="1"/>
  <c r="K12" i="14"/>
  <c r="K14" i="14" s="1"/>
  <c r="I12" i="14"/>
  <c r="I14" i="14" s="1"/>
  <c r="I13" i="14"/>
  <c r="I15" i="14" s="1"/>
  <c r="O223" i="1"/>
  <c r="O224" i="1" s="1"/>
  <c r="O69" i="6" s="1"/>
  <c r="N224" i="1"/>
  <c r="N69" i="6" s="1"/>
  <c r="N70" i="6" s="1"/>
  <c r="M6" i="14" s="1"/>
  <c r="I121" i="12"/>
  <c r="I116" i="12"/>
  <c r="T90" i="12"/>
  <c r="V90" i="12" s="1"/>
  <c r="P114" i="4"/>
  <c r="O120" i="4"/>
  <c r="J186" i="1"/>
  <c r="J18" i="6" s="1"/>
  <c r="J35" i="7"/>
  <c r="J85" i="10"/>
  <c r="O6" i="6"/>
  <c r="P2" i="6"/>
  <c r="P69" i="11"/>
  <c r="P73" i="11" s="1"/>
  <c r="R51" i="9"/>
  <c r="S61" i="11"/>
  <c r="S62" i="11" s="1"/>
  <c r="K50" i="9"/>
  <c r="M59" i="11"/>
  <c r="N20" i="6"/>
  <c r="Q33" i="4"/>
  <c r="J12" i="14"/>
  <c r="J14" i="14" s="1"/>
  <c r="J13" i="14"/>
  <c r="J15" i="14" s="1"/>
  <c r="AQ82" i="7"/>
  <c r="K11" i="6"/>
  <c r="O299" i="1"/>
  <c r="O32" i="14" s="1"/>
  <c r="O33" i="14" s="1"/>
  <c r="P298" i="1"/>
  <c r="P78" i="4"/>
  <c r="O137" i="1"/>
  <c r="N183" i="1"/>
  <c r="N15" i="6" s="1"/>
  <c r="J112" i="12"/>
  <c r="K110" i="12"/>
  <c r="AX18" i="7"/>
  <c r="P18" i="7"/>
  <c r="E17" i="5"/>
  <c r="I186" i="1"/>
  <c r="I18" i="6" s="1"/>
  <c r="I85" i="10"/>
  <c r="I35" i="7"/>
  <c r="Q11" i="12"/>
  <c r="O108" i="12"/>
  <c r="O109" i="12" s="1"/>
  <c r="G49" i="13"/>
  <c r="G15" i="8"/>
  <c r="G41" i="8"/>
  <c r="Q250" i="1"/>
  <c r="P253" i="1"/>
  <c r="P14" i="4" s="1"/>
  <c r="P15" i="4" s="1"/>
  <c r="E36" i="7"/>
  <c r="E30" i="6"/>
  <c r="O39" i="4"/>
  <c r="N34" i="4"/>
  <c r="O27" i="4"/>
  <c r="G189" i="1"/>
  <c r="F21" i="6"/>
  <c r="F28" i="6" s="1"/>
  <c r="N41" i="6"/>
  <c r="N38" i="7" s="1"/>
  <c r="N16" i="6"/>
  <c r="N25" i="6"/>
  <c r="N29" i="6"/>
  <c r="N39" i="7" s="1"/>
  <c r="N27" i="6"/>
  <c r="N22" i="6"/>
  <c r="N19" i="7"/>
  <c r="N21" i="7" s="1"/>
  <c r="N23" i="6"/>
  <c r="N26" i="6"/>
  <c r="N24" i="6"/>
  <c r="N12" i="6"/>
  <c r="Q54" i="2"/>
  <c r="N28" i="4"/>
  <c r="AG138" i="1"/>
  <c r="AF184" i="1"/>
  <c r="Q90" i="1"/>
  <c r="P99" i="1"/>
  <c r="P102" i="1" s="1"/>
  <c r="P155" i="1"/>
  <c r="O158" i="1"/>
  <c r="O188" i="1" s="1"/>
  <c r="O20" i="6" s="1"/>
  <c r="L8" i="6"/>
  <c r="L11" i="6" s="1"/>
  <c r="L185" i="1"/>
  <c r="L17" i="6" s="1"/>
  <c r="H46" i="6"/>
  <c r="Q152" i="1"/>
  <c r="O7" i="6"/>
  <c r="L7" i="8"/>
  <c r="L56" i="13" s="1"/>
  <c r="M13" i="10"/>
  <c r="M111" i="1"/>
  <c r="N106" i="1"/>
  <c r="P41" i="14"/>
  <c r="P53" i="14"/>
  <c r="M12" i="9"/>
  <c r="M14" i="9" s="1"/>
  <c r="M23" i="9" s="1"/>
  <c r="M12" i="10"/>
  <c r="M14" i="10" s="1"/>
  <c r="M23" i="10" s="1"/>
  <c r="M94" i="10" s="1"/>
  <c r="U269" i="1"/>
  <c r="T272" i="1"/>
  <c r="T59" i="4" s="1"/>
  <c r="T60" i="4" s="1"/>
  <c r="T64" i="4" s="1"/>
  <c r="H45" i="6"/>
  <c r="O72" i="4"/>
  <c r="O73" i="4" s="1"/>
  <c r="N79" i="4"/>
  <c r="O84" i="4"/>
  <c r="N345" i="1"/>
  <c r="O346" i="1"/>
  <c r="M33" i="8"/>
  <c r="M57" i="13" s="1"/>
  <c r="N13" i="9"/>
  <c r="R341" i="1"/>
  <c r="Q6" i="8" s="1"/>
  <c r="S342" i="1"/>
  <c r="Q32" i="8"/>
  <c r="Q47" i="14"/>
  <c r="O48" i="14"/>
  <c r="M8" i="14" l="1"/>
  <c r="M10" i="14" s="1"/>
  <c r="M11" i="14" s="1"/>
  <c r="M19" i="14"/>
  <c r="Q155" i="1"/>
  <c r="P158" i="1"/>
  <c r="P188" i="1" s="1"/>
  <c r="P20" i="6" s="1"/>
  <c r="K13" i="6"/>
  <c r="K187" i="1"/>
  <c r="K19" i="6" s="1"/>
  <c r="N111" i="1"/>
  <c r="O106" i="1"/>
  <c r="AH138" i="1"/>
  <c r="AG184" i="1"/>
  <c r="AY18" i="7"/>
  <c r="Q18" i="7"/>
  <c r="J16" i="14"/>
  <c r="K73" i="14"/>
  <c r="K45" i="6" s="1"/>
  <c r="R250" i="1"/>
  <c r="Q253" i="1"/>
  <c r="Q14" i="4" s="1"/>
  <c r="Q15" i="4" s="1"/>
  <c r="H189" i="1"/>
  <c r="G21" i="6"/>
  <c r="G28" i="6" s="1"/>
  <c r="T342" i="1"/>
  <c r="S341" i="1"/>
  <c r="R6" i="8" s="1"/>
  <c r="R32" i="8"/>
  <c r="O34" i="4"/>
  <c r="P39" i="4"/>
  <c r="P27" i="4"/>
  <c r="G10" i="13"/>
  <c r="H70" i="7" s="1"/>
  <c r="G11" i="8"/>
  <c r="G62" i="8"/>
  <c r="H73" i="6"/>
  <c r="H74" i="6" s="1"/>
  <c r="H20" i="10"/>
  <c r="G28" i="13"/>
  <c r="G37" i="8"/>
  <c r="H20" i="9"/>
  <c r="J74" i="14"/>
  <c r="J46" i="6" s="1"/>
  <c r="I74" i="14"/>
  <c r="P346" i="1"/>
  <c r="O345" i="1"/>
  <c r="O13" i="9"/>
  <c r="N33" i="8"/>
  <c r="N57" i="13" s="1"/>
  <c r="O13" i="14"/>
  <c r="O15" i="14" s="1"/>
  <c r="M8" i="6"/>
  <c r="M11" i="6" s="1"/>
  <c r="M185" i="1"/>
  <c r="M17" i="6" s="1"/>
  <c r="F36" i="7"/>
  <c r="F30" i="6"/>
  <c r="E5" i="4" s="1"/>
  <c r="R11" i="12"/>
  <c r="P108" i="12"/>
  <c r="P109" i="12" s="1"/>
  <c r="Q298" i="1"/>
  <c r="P299" i="1"/>
  <c r="P32" i="14" s="1"/>
  <c r="P33" i="14" s="1"/>
  <c r="Q114" i="4"/>
  <c r="P120" i="4"/>
  <c r="I16" i="14"/>
  <c r="J73" i="14"/>
  <c r="J45" i="6" s="1"/>
  <c r="I73" i="14"/>
  <c r="M7" i="8"/>
  <c r="M56" i="13" s="1"/>
  <c r="N13" i="10"/>
  <c r="V269" i="1"/>
  <c r="U272" i="1"/>
  <c r="U59" i="4" s="1"/>
  <c r="U60" i="4" s="1"/>
  <c r="U64" i="4" s="1"/>
  <c r="L13" i="6"/>
  <c r="L187" i="1"/>
  <c r="L19" i="6" s="1"/>
  <c r="H66" i="8"/>
  <c r="AR35" i="7"/>
  <c r="I82" i="7"/>
  <c r="AR38" i="7"/>
  <c r="AR39" i="7"/>
  <c r="L110" i="12"/>
  <c r="K112" i="12"/>
  <c r="R33" i="4"/>
  <c r="Q2" i="6"/>
  <c r="P6" i="6"/>
  <c r="R47" i="14"/>
  <c r="P48" i="14"/>
  <c r="O79" i="4"/>
  <c r="P72" i="4"/>
  <c r="P84" i="4"/>
  <c r="H58" i="2"/>
  <c r="O28" i="4"/>
  <c r="J116" i="12"/>
  <c r="J121" i="12"/>
  <c r="O23" i="6"/>
  <c r="O22" i="6"/>
  <c r="O12" i="6"/>
  <c r="O16" i="6"/>
  <c r="O24" i="6"/>
  <c r="O15" i="6"/>
  <c r="O19" i="7"/>
  <c r="O21" i="7" s="1"/>
  <c r="O29" i="6"/>
  <c r="O39" i="7" s="1"/>
  <c r="O41" i="6"/>
  <c r="O38" i="7" s="1"/>
  <c r="O26" i="6"/>
  <c r="O25" i="6"/>
  <c r="O27" i="6"/>
  <c r="K16" i="14"/>
  <c r="N12" i="9"/>
  <c r="N14" i="9" s="1"/>
  <c r="N23" i="9" s="1"/>
  <c r="N12" i="10"/>
  <c r="N14" i="10" s="1"/>
  <c r="N23" i="10" s="1"/>
  <c r="N94" i="10" s="1"/>
  <c r="R152" i="1"/>
  <c r="J89" i="12"/>
  <c r="R89" i="12"/>
  <c r="K89" i="12"/>
  <c r="S89" i="12"/>
  <c r="D89" i="12"/>
  <c r="L89" i="12"/>
  <c r="F89" i="12"/>
  <c r="N89" i="12"/>
  <c r="I89" i="12"/>
  <c r="M89" i="12"/>
  <c r="E89" i="12"/>
  <c r="G89" i="12"/>
  <c r="O89" i="12"/>
  <c r="P89" i="12"/>
  <c r="Q89" i="12"/>
  <c r="C32" i="2"/>
  <c r="H17" i="5"/>
  <c r="G17" i="5"/>
  <c r="E32" i="2" s="1"/>
  <c r="H89" i="12"/>
  <c r="Q69" i="11"/>
  <c r="Q73" i="11" s="1"/>
  <c r="P7" i="6"/>
  <c r="L47" i="9"/>
  <c r="M60" i="11"/>
  <c r="I66" i="8"/>
  <c r="J82" i="7"/>
  <c r="AS35" i="7"/>
  <c r="AS38" i="7"/>
  <c r="AS39" i="7"/>
  <c r="Q41" i="14"/>
  <c r="Q53" i="14"/>
  <c r="R90" i="1"/>
  <c r="Q99" i="1"/>
  <c r="Q102" i="1" s="1"/>
  <c r="E4" i="4"/>
  <c r="P137" i="1"/>
  <c r="O183" i="1"/>
  <c r="O70" i="6"/>
  <c r="N6" i="14" s="1"/>
  <c r="L12" i="14"/>
  <c r="L14" i="14" s="1"/>
  <c r="L13" i="14"/>
  <c r="L15" i="14" s="1"/>
  <c r="D67" i="8"/>
  <c r="AN36" i="7"/>
  <c r="E83" i="7"/>
  <c r="Q78" i="4"/>
  <c r="P73" i="4"/>
  <c r="K74" i="14"/>
  <c r="K46" i="6" s="1"/>
  <c r="S51" i="9"/>
  <c r="T61" i="11"/>
  <c r="T62" i="11" s="1"/>
  <c r="N8" i="14" l="1"/>
  <c r="N10" i="14" s="1"/>
  <c r="N11" i="14" s="1"/>
  <c r="N19" i="14"/>
  <c r="E8" i="4"/>
  <c r="M13" i="14"/>
  <c r="M15" i="14" s="1"/>
  <c r="M12" i="14"/>
  <c r="M14" i="14" s="1"/>
  <c r="J28" i="13"/>
  <c r="J37" i="8"/>
  <c r="K20" i="9"/>
  <c r="G48" i="13"/>
  <c r="L16" i="14"/>
  <c r="I46" i="6"/>
  <c r="R18" i="7"/>
  <c r="AZ18" i="7"/>
  <c r="R41" i="14"/>
  <c r="R53" i="14"/>
  <c r="L73" i="14"/>
  <c r="L45" i="6" s="1"/>
  <c r="I28" i="13"/>
  <c r="I37" i="8"/>
  <c r="J20" i="9"/>
  <c r="I189" i="1"/>
  <c r="H21" i="6"/>
  <c r="H28" i="6" s="1"/>
  <c r="R155" i="1"/>
  <c r="Q158" i="1"/>
  <c r="Q188" i="1" s="1"/>
  <c r="R69" i="11"/>
  <c r="R73" i="11" s="1"/>
  <c r="P70" i="6"/>
  <c r="S47" i="14"/>
  <c r="Q48" i="14"/>
  <c r="W269" i="1"/>
  <c r="V272" i="1"/>
  <c r="V59" i="4" s="1"/>
  <c r="V60" i="4" s="1"/>
  <c r="V64" i="4" s="1"/>
  <c r="P34" i="4"/>
  <c r="Q27" i="4"/>
  <c r="Q39" i="4"/>
  <c r="AI138" i="1"/>
  <c r="AH184" i="1"/>
  <c r="I10" i="13"/>
  <c r="I62" i="8"/>
  <c r="J73" i="6"/>
  <c r="J74" i="6" s="1"/>
  <c r="I11" i="8"/>
  <c r="J20" i="10"/>
  <c r="U342" i="1"/>
  <c r="T341" i="1"/>
  <c r="S6" i="8" s="1"/>
  <c r="S32" i="8"/>
  <c r="L74" i="14"/>
  <c r="L46" i="6" s="1"/>
  <c r="K116" i="12"/>
  <c r="K121" i="12"/>
  <c r="R78" i="4"/>
  <c r="Q73" i="4"/>
  <c r="L112" i="12"/>
  <c r="M110" i="12"/>
  <c r="L48" i="9"/>
  <c r="N57" i="11"/>
  <c r="M13" i="6"/>
  <c r="M187" i="1"/>
  <c r="M19" i="6" s="1"/>
  <c r="I58" i="2"/>
  <c r="P28" i="4"/>
  <c r="P183" i="1"/>
  <c r="P15" i="6" s="1"/>
  <c r="Q137" i="1"/>
  <c r="S152" i="1"/>
  <c r="P12" i="6"/>
  <c r="P41" i="6"/>
  <c r="P38" i="7" s="1"/>
  <c r="P19" i="7"/>
  <c r="P21" i="7" s="1"/>
  <c r="P29" i="6"/>
  <c r="P39" i="7" s="1"/>
  <c r="P25" i="6"/>
  <c r="P27" i="6"/>
  <c r="P26" i="6"/>
  <c r="P22" i="6"/>
  <c r="P24" i="6"/>
  <c r="P23" i="6"/>
  <c r="P16" i="6"/>
  <c r="AR82" i="7"/>
  <c r="R298" i="1"/>
  <c r="Q299" i="1"/>
  <c r="Q32" i="14" s="1"/>
  <c r="Q33" i="14" s="1"/>
  <c r="S250" i="1"/>
  <c r="R253" i="1"/>
  <c r="R14" i="4" s="1"/>
  <c r="R15" i="4" s="1"/>
  <c r="O111" i="1"/>
  <c r="P106" i="1"/>
  <c r="L186" i="1"/>
  <c r="L18" i="6" s="1"/>
  <c r="L85" i="10"/>
  <c r="L35" i="7"/>
  <c r="G36" i="7"/>
  <c r="G30" i="6"/>
  <c r="Q120" i="4"/>
  <c r="R114" i="4"/>
  <c r="D16" i="8"/>
  <c r="D42" i="8"/>
  <c r="T89" i="12"/>
  <c r="V89" i="12" s="1"/>
  <c r="Q6" i="6"/>
  <c r="Q7" i="6" s="1"/>
  <c r="R2" i="6"/>
  <c r="N8" i="6"/>
  <c r="N11" i="6" s="1"/>
  <c r="N185" i="1"/>
  <c r="N17" i="6" s="1"/>
  <c r="I49" i="13"/>
  <c r="I15" i="8"/>
  <c r="I41" i="8"/>
  <c r="P79" i="4"/>
  <c r="Q72" i="4"/>
  <c r="Q84" i="4"/>
  <c r="H15" i="8"/>
  <c r="H41" i="8"/>
  <c r="H49" i="13"/>
  <c r="F4" i="4"/>
  <c r="Q346" i="1"/>
  <c r="P345" i="1"/>
  <c r="O33" i="8"/>
  <c r="O57" i="13" s="1"/>
  <c r="P13" i="9"/>
  <c r="P13" i="14"/>
  <c r="P15" i="14" s="1"/>
  <c r="R99" i="1"/>
  <c r="R102" i="1" s="1"/>
  <c r="S90" i="1"/>
  <c r="E67" i="8"/>
  <c r="AO36" i="7"/>
  <c r="F83" i="7"/>
  <c r="K186" i="1"/>
  <c r="K18" i="6" s="1"/>
  <c r="K35" i="7"/>
  <c r="K85" i="10"/>
  <c r="O12" i="9"/>
  <c r="O14" i="9" s="1"/>
  <c r="O23" i="9" s="1"/>
  <c r="O12" i="10"/>
  <c r="O14" i="10" s="1"/>
  <c r="O23" i="10" s="1"/>
  <c r="O94" i="10" s="1"/>
  <c r="AN83" i="7"/>
  <c r="E86" i="10"/>
  <c r="T51" i="9"/>
  <c r="U61" i="11"/>
  <c r="U62" i="11" s="1"/>
  <c r="AS82" i="7"/>
  <c r="S33" i="4"/>
  <c r="I45" i="6"/>
  <c r="Q108" i="12"/>
  <c r="Q109" i="12" s="1"/>
  <c r="S11" i="12"/>
  <c r="N7" i="8"/>
  <c r="N56" i="13" s="1"/>
  <c r="O13" i="10"/>
  <c r="O12" i="14"/>
  <c r="O14" i="14" s="1"/>
  <c r="J11" i="8"/>
  <c r="J10" i="13"/>
  <c r="J62" i="8"/>
  <c r="K73" i="6"/>
  <c r="K74" i="6" s="1"/>
  <c r="K20" i="10"/>
  <c r="S69" i="11" l="1"/>
  <c r="S73" i="11" s="1"/>
  <c r="Q70" i="6"/>
  <c r="N13" i="14"/>
  <c r="N15" i="14" s="1"/>
  <c r="O74" i="14" s="1"/>
  <c r="O46" i="6" s="1"/>
  <c r="N12" i="14"/>
  <c r="N14" i="14" s="1"/>
  <c r="O16" i="14"/>
  <c r="P73" i="14"/>
  <c r="P45" i="6" s="1"/>
  <c r="G4" i="4"/>
  <c r="L116" i="12"/>
  <c r="L121" i="12"/>
  <c r="M16" i="14"/>
  <c r="N73" i="14"/>
  <c r="N45" i="6" s="1"/>
  <c r="K66" i="8"/>
  <c r="AU35" i="7"/>
  <c r="L82" i="7"/>
  <c r="AU38" i="7"/>
  <c r="AU39" i="7"/>
  <c r="R27" i="4"/>
  <c r="Q34" i="4"/>
  <c r="R39" i="4"/>
  <c r="M73" i="14"/>
  <c r="M45" i="6" s="1"/>
  <c r="T11" i="12"/>
  <c r="S108" i="12" s="1"/>
  <c r="S109" i="12" s="1"/>
  <c r="R108" i="12"/>
  <c r="R109" i="12" s="1"/>
  <c r="S298" i="1"/>
  <c r="R299" i="1"/>
  <c r="R32" i="14" s="1"/>
  <c r="R33" i="14" s="1"/>
  <c r="R73" i="4"/>
  <c r="S78" i="4"/>
  <c r="J58" i="2"/>
  <c r="Q28" i="4"/>
  <c r="E18" i="4"/>
  <c r="E19" i="4" s="1"/>
  <c r="E17" i="4"/>
  <c r="E16" i="8"/>
  <c r="E42" i="8"/>
  <c r="O7" i="8"/>
  <c r="O56" i="13" s="1"/>
  <c r="P13" i="10"/>
  <c r="P12" i="14"/>
  <c r="P14" i="14" s="1"/>
  <c r="S41" i="14"/>
  <c r="S53" i="14"/>
  <c r="J48" i="13"/>
  <c r="V61" i="11"/>
  <c r="V62" i="11" s="1"/>
  <c r="U51" i="9"/>
  <c r="R346" i="1"/>
  <c r="Q345" i="1"/>
  <c r="P33" i="8"/>
  <c r="P57" i="13" s="1"/>
  <c r="Q13" i="9"/>
  <c r="Q13" i="14"/>
  <c r="Q15" i="14" s="1"/>
  <c r="Q74" i="14" s="1"/>
  <c r="Q46" i="6" s="1"/>
  <c r="Q79" i="4"/>
  <c r="R84" i="4"/>
  <c r="R72" i="4"/>
  <c r="I48" i="13"/>
  <c r="P74" i="14"/>
  <c r="P46" i="6" s="1"/>
  <c r="Q20" i="6"/>
  <c r="M112" i="12"/>
  <c r="N110" i="12"/>
  <c r="AJ138" i="1"/>
  <c r="AK138" i="1" s="1"/>
  <c r="AL138" i="1" s="1"/>
  <c r="AI184" i="1"/>
  <c r="P12" i="9"/>
  <c r="P14" i="9" s="1"/>
  <c r="P23" i="9" s="1"/>
  <c r="P12" i="10"/>
  <c r="P14" i="10" s="1"/>
  <c r="P23" i="10" s="1"/>
  <c r="P94" i="10" s="1"/>
  <c r="D68" i="3"/>
  <c r="K10" i="13"/>
  <c r="K11" i="8"/>
  <c r="K62" i="8"/>
  <c r="L73" i="6"/>
  <c r="L74" i="6" s="1"/>
  <c r="L20" i="10"/>
  <c r="M186" i="1"/>
  <c r="M18" i="6" s="1"/>
  <c r="M35" i="7"/>
  <c r="M85" i="10"/>
  <c r="K70" i="7"/>
  <c r="H10" i="13"/>
  <c r="H11" i="8"/>
  <c r="I73" i="6"/>
  <c r="I74" i="6" s="1"/>
  <c r="H62" i="8"/>
  <c r="I20" i="10"/>
  <c r="T90" i="1"/>
  <c r="S99" i="1"/>
  <c r="S102" i="1" s="1"/>
  <c r="F5" i="4"/>
  <c r="R6" i="6"/>
  <c r="S2" i="6"/>
  <c r="S114" i="4"/>
  <c r="R120" i="4"/>
  <c r="Q106" i="1"/>
  <c r="P111" i="1"/>
  <c r="T152" i="1"/>
  <c r="K37" i="8"/>
  <c r="K28" i="13"/>
  <c r="L20" i="9"/>
  <c r="J70" i="7"/>
  <c r="S155" i="1"/>
  <c r="R158" i="1"/>
  <c r="R188" i="1" s="1"/>
  <c r="R20" i="6" s="1"/>
  <c r="J189" i="1"/>
  <c r="I21" i="6"/>
  <c r="I28" i="6" s="1"/>
  <c r="AO83" i="7"/>
  <c r="F86" i="10"/>
  <c r="F67" i="8"/>
  <c r="G83" i="7"/>
  <c r="AP36" i="7"/>
  <c r="T250" i="1"/>
  <c r="S253" i="1"/>
  <c r="S14" i="4" s="1"/>
  <c r="S15" i="4" s="1"/>
  <c r="U341" i="1"/>
  <c r="T6" i="8" s="1"/>
  <c r="V342" i="1"/>
  <c r="T32" i="8"/>
  <c r="R48" i="14"/>
  <c r="T47" i="14"/>
  <c r="H28" i="13"/>
  <c r="I20" i="9"/>
  <c r="H37" i="8"/>
  <c r="T33" i="4"/>
  <c r="J66" i="8"/>
  <c r="AT35" i="7"/>
  <c r="K82" i="7"/>
  <c r="AT39" i="7"/>
  <c r="AT38" i="7"/>
  <c r="R7" i="6"/>
  <c r="N13" i="6"/>
  <c r="N187" i="1"/>
  <c r="N19" i="6" s="1"/>
  <c r="Q27" i="6"/>
  <c r="Q24" i="6"/>
  <c r="Q26" i="6"/>
  <c r="Q22" i="6"/>
  <c r="Q19" i="7"/>
  <c r="Q21" i="7" s="1"/>
  <c r="Q16" i="6"/>
  <c r="Q41" i="6"/>
  <c r="Q38" i="7" s="1"/>
  <c r="Q25" i="6"/>
  <c r="Q12" i="6"/>
  <c r="Q29" i="6"/>
  <c r="Q39" i="7" s="1"/>
  <c r="Q23" i="6"/>
  <c r="O8" i="6"/>
  <c r="O11" i="6" s="1"/>
  <c r="O185" i="1"/>
  <c r="O17" i="6" s="1"/>
  <c r="R137" i="1"/>
  <c r="Q183" i="1"/>
  <c r="Q15" i="6" s="1"/>
  <c r="L49" i="9"/>
  <c r="N58" i="11"/>
  <c r="M74" i="14"/>
  <c r="W272" i="1"/>
  <c r="W59" i="4" s="1"/>
  <c r="W60" i="4" s="1"/>
  <c r="W64" i="4" s="1"/>
  <c r="X269" i="1"/>
  <c r="H36" i="7"/>
  <c r="H30" i="6"/>
  <c r="G5" i="4" s="1"/>
  <c r="G8" i="4" s="1"/>
  <c r="S18" i="7"/>
  <c r="BA18" i="7"/>
  <c r="G17" i="4" l="1"/>
  <c r="G18" i="4"/>
  <c r="G19" i="4" s="1"/>
  <c r="P28" i="13"/>
  <c r="P37" i="8"/>
  <c r="Q20" i="9"/>
  <c r="R106" i="1"/>
  <c r="Q111" i="1"/>
  <c r="O10" i="13"/>
  <c r="O11" i="8"/>
  <c r="O62" i="8"/>
  <c r="P20" i="10"/>
  <c r="G86" i="10"/>
  <c r="AP83" i="7"/>
  <c r="T41" i="14"/>
  <c r="T53" i="14"/>
  <c r="F16" i="8"/>
  <c r="F42" i="8"/>
  <c r="U33" i="4"/>
  <c r="S6" i="6"/>
  <c r="T2" i="6"/>
  <c r="N28" i="13"/>
  <c r="N37" i="8"/>
  <c r="O20" i="9"/>
  <c r="R29" i="6"/>
  <c r="R39" i="7" s="1"/>
  <c r="R25" i="6"/>
  <c r="R26" i="6"/>
  <c r="R19" i="7"/>
  <c r="R21" i="7" s="1"/>
  <c r="R27" i="6"/>
  <c r="R24" i="6"/>
  <c r="R41" i="6"/>
  <c r="R38" i="7" s="1"/>
  <c r="R22" i="6"/>
  <c r="R23" i="6"/>
  <c r="R12" i="6"/>
  <c r="R16" i="6"/>
  <c r="N112" i="12"/>
  <c r="O110" i="12"/>
  <c r="S72" i="4"/>
  <c r="S84" i="4"/>
  <c r="R79" i="4"/>
  <c r="V51" i="9"/>
  <c r="W61" i="11"/>
  <c r="W62" i="11" s="1"/>
  <c r="P16" i="14"/>
  <c r="E23" i="4"/>
  <c r="E24" i="4"/>
  <c r="T298" i="1"/>
  <c r="S299" i="1"/>
  <c r="S32" i="14" s="1"/>
  <c r="S33" i="14" s="1"/>
  <c r="AU82" i="7"/>
  <c r="N74" i="14"/>
  <c r="N46" i="6" s="1"/>
  <c r="G67" i="8"/>
  <c r="H83" i="7"/>
  <c r="AQ36" i="7"/>
  <c r="L66" i="8"/>
  <c r="AV35" i="7"/>
  <c r="M82" i="7"/>
  <c r="AV38" i="7"/>
  <c r="AV39" i="7"/>
  <c r="M10" i="13"/>
  <c r="M62" i="8"/>
  <c r="M11" i="8"/>
  <c r="N73" i="6"/>
  <c r="N74" i="6" s="1"/>
  <c r="N20" i="10"/>
  <c r="H48" i="13"/>
  <c r="I70" i="7"/>
  <c r="K48" i="13"/>
  <c r="M121" i="12"/>
  <c r="M116" i="12"/>
  <c r="Q12" i="10"/>
  <c r="Q14" i="10" s="1"/>
  <c r="Q23" i="10" s="1"/>
  <c r="Q94" i="10" s="1"/>
  <c r="Q12" i="9"/>
  <c r="Q14" i="9" s="1"/>
  <c r="Q23" i="9" s="1"/>
  <c r="U47" i="14"/>
  <c r="S48" i="14"/>
  <c r="T155" i="1"/>
  <c r="S158" i="1"/>
  <c r="S188" i="1" s="1"/>
  <c r="S20" i="6" s="1"/>
  <c r="U90" i="1"/>
  <c r="T99" i="1"/>
  <c r="T102" i="1" s="1"/>
  <c r="X272" i="1"/>
  <c r="X59" i="4" s="1"/>
  <c r="X60" i="4" s="1"/>
  <c r="X64" i="4" s="1"/>
  <c r="Y269" i="1"/>
  <c r="P7" i="8"/>
  <c r="P56" i="13" s="1"/>
  <c r="Q13" i="10"/>
  <c r="Q12" i="14"/>
  <c r="Q14" i="14" s="1"/>
  <c r="E68" i="3"/>
  <c r="K58" i="2"/>
  <c r="R28" i="4"/>
  <c r="O13" i="6"/>
  <c r="O187" i="1"/>
  <c r="O19" i="6" s="1"/>
  <c r="M46" i="6"/>
  <c r="L62" i="8" s="1"/>
  <c r="R70" i="6"/>
  <c r="T69" i="11"/>
  <c r="T73" i="11" s="1"/>
  <c r="V341" i="1"/>
  <c r="U6" i="8" s="1"/>
  <c r="W342" i="1"/>
  <c r="U32" i="8"/>
  <c r="L50" i="9"/>
  <c r="N59" i="11"/>
  <c r="T18" i="7"/>
  <c r="BB18" i="7"/>
  <c r="U250" i="1"/>
  <c r="T253" i="1"/>
  <c r="T14" i="4" s="1"/>
  <c r="T15" i="4" s="1"/>
  <c r="I36" i="7"/>
  <c r="I30" i="6"/>
  <c r="U152" i="1"/>
  <c r="F8" i="4"/>
  <c r="R74" i="14"/>
  <c r="R46" i="6" s="1"/>
  <c r="L10" i="13"/>
  <c r="L11" i="8"/>
  <c r="M73" i="6"/>
  <c r="M74" i="6" s="1"/>
  <c r="M20" i="10"/>
  <c r="J49" i="13"/>
  <c r="J41" i="8"/>
  <c r="J15" i="8"/>
  <c r="S73" i="4"/>
  <c r="T78" i="4"/>
  <c r="N186" i="1"/>
  <c r="N18" i="6" s="1"/>
  <c r="N35" i="7"/>
  <c r="N85" i="10"/>
  <c r="T114" i="4"/>
  <c r="S120" i="4"/>
  <c r="R345" i="1"/>
  <c r="S346" i="1"/>
  <c r="Q33" i="8"/>
  <c r="Q57" i="13" s="1"/>
  <c r="R13" i="9"/>
  <c r="R13" i="14"/>
  <c r="R15" i="14" s="1"/>
  <c r="N16" i="14"/>
  <c r="O73" i="14"/>
  <c r="O45" i="6" s="1"/>
  <c r="H4" i="4"/>
  <c r="H5" i="4"/>
  <c r="H8" i="4" s="1"/>
  <c r="S137" i="1"/>
  <c r="R183" i="1"/>
  <c r="R15" i="6" s="1"/>
  <c r="AT82" i="7"/>
  <c r="K189" i="1"/>
  <c r="J21" i="6"/>
  <c r="J28" i="6" s="1"/>
  <c r="P8" i="6"/>
  <c r="P11" i="6" s="1"/>
  <c r="P185" i="1"/>
  <c r="P17" i="6" s="1"/>
  <c r="L70" i="7"/>
  <c r="O28" i="13"/>
  <c r="O37" i="8"/>
  <c r="P20" i="9"/>
  <c r="S27" i="4"/>
  <c r="S39" i="4"/>
  <c r="R34" i="4"/>
  <c r="K49" i="13"/>
  <c r="K15" i="8"/>
  <c r="K41" i="8"/>
  <c r="L48" i="13" l="1"/>
  <c r="V250" i="1"/>
  <c r="U253" i="1"/>
  <c r="U14" i="4" s="1"/>
  <c r="U15" i="4" s="1"/>
  <c r="BC18" i="7"/>
  <c r="U18" i="7"/>
  <c r="W51" i="9"/>
  <c r="X61" i="11"/>
  <c r="X62" i="11" s="1"/>
  <c r="Q8" i="6"/>
  <c r="Q11" i="6" s="1"/>
  <c r="Q185" i="1"/>
  <c r="Q17" i="6" s="1"/>
  <c r="S106" i="1"/>
  <c r="R111" i="1"/>
  <c r="T120" i="4"/>
  <c r="U114" i="4"/>
  <c r="M47" i="9"/>
  <c r="N60" i="11"/>
  <c r="T48" i="14"/>
  <c r="V47" i="14"/>
  <c r="N70" i="7"/>
  <c r="AQ83" i="7"/>
  <c r="H86" i="10"/>
  <c r="M66" i="8"/>
  <c r="N82" i="7"/>
  <c r="AW35" i="7"/>
  <c r="AW39" i="7"/>
  <c r="AW38" i="7"/>
  <c r="X342" i="1"/>
  <c r="W341" i="1"/>
  <c r="V6" i="8" s="1"/>
  <c r="V32" i="8"/>
  <c r="O186" i="1"/>
  <c r="O18" i="6" s="1"/>
  <c r="O35" i="7"/>
  <c r="O85" i="10"/>
  <c r="Z269" i="1"/>
  <c r="Y272" i="1"/>
  <c r="Y59" i="4" s="1"/>
  <c r="Y60" i="4" s="1"/>
  <c r="Y64" i="4" s="1"/>
  <c r="P110" i="12"/>
  <c r="O112" i="12"/>
  <c r="P13" i="6"/>
  <c r="P187" i="1"/>
  <c r="P19" i="6" s="1"/>
  <c r="U41" i="14"/>
  <c r="U53" i="14"/>
  <c r="Q16" i="14"/>
  <c r="R73" i="14"/>
  <c r="R45" i="6" s="1"/>
  <c r="L189" i="1"/>
  <c r="K21" i="6"/>
  <c r="K28" i="6" s="1"/>
  <c r="T72" i="4"/>
  <c r="S79" i="4"/>
  <c r="T84" i="4"/>
  <c r="V152" i="1"/>
  <c r="I4" i="4"/>
  <c r="I5" i="4"/>
  <c r="G42" i="8"/>
  <c r="G16" i="8"/>
  <c r="Q73" i="14"/>
  <c r="Q45" i="6" s="1"/>
  <c r="N116" i="12"/>
  <c r="N121" i="12"/>
  <c r="F68" i="3"/>
  <c r="O48" i="13"/>
  <c r="Q7" i="8"/>
  <c r="Q56" i="13" s="1"/>
  <c r="R13" i="10"/>
  <c r="R12" i="14"/>
  <c r="R14" i="14" s="1"/>
  <c r="J36" i="7"/>
  <c r="J30" i="6"/>
  <c r="U155" i="1"/>
  <c r="T158" i="1"/>
  <c r="T188" i="1" s="1"/>
  <c r="L49" i="13"/>
  <c r="L41" i="8"/>
  <c r="L15" i="8"/>
  <c r="F17" i="4"/>
  <c r="F18" i="4"/>
  <c r="F19" i="4" s="1"/>
  <c r="L28" i="13"/>
  <c r="M70" i="7" s="1"/>
  <c r="L37" i="8"/>
  <c r="M20" i="9"/>
  <c r="M48" i="13"/>
  <c r="T299" i="1"/>
  <c r="T32" i="14" s="1"/>
  <c r="T33" i="14" s="1"/>
  <c r="U298" i="1"/>
  <c r="S183" i="1"/>
  <c r="T137" i="1"/>
  <c r="H67" i="8"/>
  <c r="AR36" i="7"/>
  <c r="I83" i="7"/>
  <c r="AV82" i="7"/>
  <c r="M28" i="13"/>
  <c r="M37" i="8"/>
  <c r="N20" i="9"/>
  <c r="T73" i="4"/>
  <c r="U78" i="4"/>
  <c r="S16" i="6"/>
  <c r="S25" i="6"/>
  <c r="S22" i="6"/>
  <c r="S29" i="6"/>
  <c r="S39" i="7" s="1"/>
  <c r="S23" i="6"/>
  <c r="S24" i="6"/>
  <c r="S15" i="6"/>
  <c r="S27" i="6"/>
  <c r="S26" i="6"/>
  <c r="S19" i="7"/>
  <c r="S21" i="7" s="1"/>
  <c r="S41" i="6"/>
  <c r="S38" i="7" s="1"/>
  <c r="S12" i="6"/>
  <c r="V33" i="4"/>
  <c r="N10" i="13"/>
  <c r="O70" i="7" s="1"/>
  <c r="N11" i="8"/>
  <c r="N62" i="8"/>
  <c r="O20" i="10"/>
  <c r="O73" i="6"/>
  <c r="O74" i="6" s="1"/>
  <c r="T39" i="4"/>
  <c r="T27" i="4"/>
  <c r="S34" i="4"/>
  <c r="S7" i="6"/>
  <c r="L58" i="2"/>
  <c r="S28" i="4"/>
  <c r="H18" i="4"/>
  <c r="H19" i="4" s="1"/>
  <c r="H17" i="4"/>
  <c r="S345" i="1"/>
  <c r="R33" i="8"/>
  <c r="R57" i="13" s="1"/>
  <c r="T346" i="1"/>
  <c r="S13" i="9"/>
  <c r="S13" i="14"/>
  <c r="S15" i="14" s="1"/>
  <c r="Q28" i="13"/>
  <c r="Q37" i="8"/>
  <c r="R20" i="9"/>
  <c r="R12" i="9"/>
  <c r="R14" i="9" s="1"/>
  <c r="R23" i="9" s="1"/>
  <c r="R12" i="10"/>
  <c r="R14" i="10" s="1"/>
  <c r="R23" i="10" s="1"/>
  <c r="R94" i="10" s="1"/>
  <c r="V90" i="1"/>
  <c r="U99" i="1"/>
  <c r="U102" i="1" s="1"/>
  <c r="U2" i="6"/>
  <c r="T6" i="6"/>
  <c r="P70" i="7"/>
  <c r="G23" i="4"/>
  <c r="G24" i="4"/>
  <c r="N48" i="13" l="1"/>
  <c r="U158" i="1"/>
  <c r="U188" i="1" s="1"/>
  <c r="U20" i="6" s="1"/>
  <c r="V155" i="1"/>
  <c r="H42" i="8"/>
  <c r="H16" i="8"/>
  <c r="G68" i="3"/>
  <c r="AA269" i="1"/>
  <c r="Z272" i="1"/>
  <c r="Z59" i="4" s="1"/>
  <c r="Z60" i="4" s="1"/>
  <c r="Z64" i="4" s="1"/>
  <c r="V18" i="7"/>
  <c r="BD18" i="7"/>
  <c r="T20" i="6"/>
  <c r="V41" i="14"/>
  <c r="V53" i="14"/>
  <c r="M48" i="9"/>
  <c r="O57" i="11"/>
  <c r="T79" i="4"/>
  <c r="U72" i="4"/>
  <c r="U73" i="4" s="1"/>
  <c r="U84" i="4"/>
  <c r="U120" i="4"/>
  <c r="V114" i="4"/>
  <c r="T22" i="6"/>
  <c r="T16" i="6"/>
  <c r="T41" i="6"/>
  <c r="T38" i="7" s="1"/>
  <c r="T29" i="6"/>
  <c r="T39" i="7" s="1"/>
  <c r="T24" i="6"/>
  <c r="T23" i="6"/>
  <c r="T19" i="7"/>
  <c r="T21" i="7" s="1"/>
  <c r="T27" i="6"/>
  <c r="T25" i="6"/>
  <c r="T12" i="6"/>
  <c r="T26" i="6"/>
  <c r="J4" i="4"/>
  <c r="I67" i="8"/>
  <c r="J83" i="7"/>
  <c r="AS36" i="7"/>
  <c r="W47" i="14"/>
  <c r="U48" i="14"/>
  <c r="W33" i="4"/>
  <c r="R16" i="14"/>
  <c r="K36" i="7"/>
  <c r="K30" i="6"/>
  <c r="J5" i="4" s="1"/>
  <c r="P112" i="12"/>
  <c r="Q110" i="12"/>
  <c r="M49" i="13"/>
  <c r="M15" i="8"/>
  <c r="M41" i="8"/>
  <c r="S111" i="1"/>
  <c r="T106" i="1"/>
  <c r="Q13" i="6"/>
  <c r="Q187" i="1"/>
  <c r="Q19" i="6" s="1"/>
  <c r="T74" i="14"/>
  <c r="T46" i="6" s="1"/>
  <c r="T183" i="1"/>
  <c r="T15" i="6" s="1"/>
  <c r="U137" i="1"/>
  <c r="N66" i="8"/>
  <c r="O82" i="7"/>
  <c r="AX35" i="7"/>
  <c r="AX38" i="7"/>
  <c r="AX39" i="7"/>
  <c r="V78" i="4"/>
  <c r="V253" i="1"/>
  <c r="V14" i="4" s="1"/>
  <c r="V15" i="4" s="1"/>
  <c r="W250" i="1"/>
  <c r="V2" i="6"/>
  <c r="U6" i="6"/>
  <c r="T345" i="1"/>
  <c r="U346" i="1"/>
  <c r="S33" i="8"/>
  <c r="S57" i="13" s="1"/>
  <c r="T13" i="9"/>
  <c r="T13" i="14"/>
  <c r="T15" i="14" s="1"/>
  <c r="S70" i="6"/>
  <c r="U69" i="11"/>
  <c r="U73" i="11" s="1"/>
  <c r="T7" i="6"/>
  <c r="F23" i="4"/>
  <c r="F24" i="4"/>
  <c r="P186" i="1"/>
  <c r="P18" i="6" s="1"/>
  <c r="P35" i="7"/>
  <c r="P85" i="10"/>
  <c r="O121" i="12"/>
  <c r="O116" i="12"/>
  <c r="AW82" i="7"/>
  <c r="R7" i="8"/>
  <c r="R56" i="13" s="1"/>
  <c r="S13" i="10"/>
  <c r="S12" i="14"/>
  <c r="S14" i="14" s="1"/>
  <c r="S73" i="14" s="1"/>
  <c r="S45" i="6" s="1"/>
  <c r="M58" i="2"/>
  <c r="T28" i="4"/>
  <c r="I86" i="10"/>
  <c r="AR83" i="7"/>
  <c r="W152" i="1"/>
  <c r="M189" i="1"/>
  <c r="L21" i="6"/>
  <c r="L28" i="6" s="1"/>
  <c r="S74" i="14"/>
  <c r="I8" i="4"/>
  <c r="U7" i="6"/>
  <c r="V99" i="1"/>
  <c r="V102" i="1" s="1"/>
  <c r="W90" i="1"/>
  <c r="V298" i="1"/>
  <c r="U299" i="1"/>
  <c r="U32" i="14" s="1"/>
  <c r="U33" i="14" s="1"/>
  <c r="P10" i="13"/>
  <c r="Q70" i="7" s="1"/>
  <c r="P11" i="8"/>
  <c r="P62" i="8"/>
  <c r="Q20" i="10"/>
  <c r="R8" i="6"/>
  <c r="R11" i="6" s="1"/>
  <c r="R185" i="1"/>
  <c r="R17" i="6" s="1"/>
  <c r="H24" i="4"/>
  <c r="H23" i="4"/>
  <c r="T34" i="4"/>
  <c r="U27" i="4"/>
  <c r="U39" i="4"/>
  <c r="Q10" i="13"/>
  <c r="R70" i="7" s="1"/>
  <c r="Q11" i="8"/>
  <c r="Q62" i="8"/>
  <c r="R20" i="10"/>
  <c r="X341" i="1"/>
  <c r="W6" i="8" s="1"/>
  <c r="Y342" i="1"/>
  <c r="W32" i="8"/>
  <c r="X51" i="9"/>
  <c r="Y61" i="11"/>
  <c r="Y62" i="11" s="1"/>
  <c r="R10" i="13" l="1"/>
  <c r="R11" i="8"/>
  <c r="R62" i="8"/>
  <c r="S20" i="10"/>
  <c r="J8" i="4"/>
  <c r="AB269" i="1"/>
  <c r="AA272" i="1"/>
  <c r="AA59" i="4" s="1"/>
  <c r="AA60" i="4" s="1"/>
  <c r="AA64" i="4" s="1"/>
  <c r="R13" i="6"/>
  <c r="R187" i="1"/>
  <c r="R19" i="6" s="1"/>
  <c r="W99" i="1"/>
  <c r="W102" i="1" s="1"/>
  <c r="X90" i="1"/>
  <c r="V346" i="1"/>
  <c r="U345" i="1"/>
  <c r="U13" i="9"/>
  <c r="T33" i="8"/>
  <c r="T57" i="13" s="1"/>
  <c r="U13" i="14"/>
  <c r="U15" i="14" s="1"/>
  <c r="W155" i="1"/>
  <c r="V158" i="1"/>
  <c r="V188" i="1" s="1"/>
  <c r="N58" i="2"/>
  <c r="U28" i="4"/>
  <c r="I18" i="4"/>
  <c r="I19" i="4" s="1"/>
  <c r="I17" i="4"/>
  <c r="U74" i="14"/>
  <c r="U46" i="6" s="1"/>
  <c r="N49" i="13"/>
  <c r="N15" i="8"/>
  <c r="N41" i="8"/>
  <c r="AS83" i="7"/>
  <c r="J86" i="10"/>
  <c r="Z342" i="1"/>
  <c r="Y341" i="1"/>
  <c r="X6" i="8" s="1"/>
  <c r="X32" i="8"/>
  <c r="V299" i="1"/>
  <c r="V32" i="14" s="1"/>
  <c r="V33" i="14" s="1"/>
  <c r="W298" i="1"/>
  <c r="V137" i="1"/>
  <c r="U183" i="1"/>
  <c r="U15" i="6" s="1"/>
  <c r="M49" i="9"/>
  <c r="O58" i="11"/>
  <c r="S46" i="6"/>
  <c r="S37" i="8"/>
  <c r="S28" i="13"/>
  <c r="T20" i="9"/>
  <c r="L36" i="7"/>
  <c r="L30" i="6"/>
  <c r="V69" i="11"/>
  <c r="V73" i="11" s="1"/>
  <c r="T70" i="6"/>
  <c r="S7" i="8"/>
  <c r="S56" i="13" s="1"/>
  <c r="T13" i="10"/>
  <c r="T12" i="14"/>
  <c r="T14" i="14" s="1"/>
  <c r="R110" i="12"/>
  <c r="Q112" i="12"/>
  <c r="W114" i="4"/>
  <c r="V120" i="4"/>
  <c r="W53" i="14"/>
  <c r="W41" i="14"/>
  <c r="P48" i="13"/>
  <c r="N189" i="1"/>
  <c r="M21" i="6"/>
  <c r="M28" i="6" s="1"/>
  <c r="U23" i="6"/>
  <c r="U27" i="6"/>
  <c r="U41" i="6"/>
  <c r="U38" i="7" s="1"/>
  <c r="U25" i="6"/>
  <c r="U26" i="6"/>
  <c r="U19" i="7"/>
  <c r="U21" i="7" s="1"/>
  <c r="U12" i="6"/>
  <c r="U24" i="6"/>
  <c r="U22" i="6"/>
  <c r="U16" i="6"/>
  <c r="U29" i="6"/>
  <c r="U39" i="7" s="1"/>
  <c r="Q186" i="1"/>
  <c r="Q18" i="6" s="1"/>
  <c r="Q35" i="7"/>
  <c r="Q85" i="10"/>
  <c r="P121" i="12"/>
  <c r="P116" i="12"/>
  <c r="X47" i="14"/>
  <c r="V48" i="14"/>
  <c r="V84" i="4"/>
  <c r="U79" i="4"/>
  <c r="V72" i="4"/>
  <c r="V73" i="4"/>
  <c r="W78" i="4"/>
  <c r="I16" i="8"/>
  <c r="I42" i="8"/>
  <c r="X33" i="4"/>
  <c r="Q48" i="13"/>
  <c r="U70" i="6"/>
  <c r="W69" i="11"/>
  <c r="W73" i="11" s="1"/>
  <c r="S16" i="14"/>
  <c r="T73" i="14"/>
  <c r="T45" i="6" s="1"/>
  <c r="S12" i="9"/>
  <c r="S14" i="9" s="1"/>
  <c r="S23" i="9" s="1"/>
  <c r="S12" i="10"/>
  <c r="S14" i="10" s="1"/>
  <c r="S23" i="10" s="1"/>
  <c r="S94" i="10" s="1"/>
  <c r="W2" i="6"/>
  <c r="V6" i="6"/>
  <c r="U106" i="1"/>
  <c r="T111" i="1"/>
  <c r="K5" i="4"/>
  <c r="K8" i="4" s="1"/>
  <c r="K4" i="4"/>
  <c r="Y51" i="9"/>
  <c r="Z61" i="11"/>
  <c r="Z62" i="11" s="1"/>
  <c r="U34" i="4"/>
  <c r="V27" i="4"/>
  <c r="V39" i="4"/>
  <c r="X152" i="1"/>
  <c r="O66" i="8"/>
  <c r="P82" i="7"/>
  <c r="AY35" i="7"/>
  <c r="AY39" i="7"/>
  <c r="AY38" i="7"/>
  <c r="W253" i="1"/>
  <c r="W14" i="4" s="1"/>
  <c r="W15" i="4" s="1"/>
  <c r="W19" i="4" s="1"/>
  <c r="X250" i="1"/>
  <c r="AX82" i="7"/>
  <c r="S8" i="6"/>
  <c r="S11" i="6" s="1"/>
  <c r="S185" i="1"/>
  <c r="S17" i="6" s="1"/>
  <c r="AT36" i="7"/>
  <c r="K83" i="7"/>
  <c r="J67" i="8"/>
  <c r="W18" i="7"/>
  <c r="BE18" i="7"/>
  <c r="H68" i="3"/>
  <c r="AT83" i="7" l="1"/>
  <c r="K86" i="10"/>
  <c r="Y152" i="1"/>
  <c r="X78" i="4"/>
  <c r="W73" i="4"/>
  <c r="S10" i="13"/>
  <c r="T70" i="7" s="1"/>
  <c r="S11" i="8"/>
  <c r="S62" i="8"/>
  <c r="T20" i="10"/>
  <c r="T28" i="13"/>
  <c r="T37" i="8"/>
  <c r="U20" i="9"/>
  <c r="AY82" i="7"/>
  <c r="U111" i="1"/>
  <c r="V106" i="1"/>
  <c r="P66" i="8"/>
  <c r="AZ35" i="7"/>
  <c r="Q82" i="7"/>
  <c r="AZ39" i="7"/>
  <c r="AZ38" i="7"/>
  <c r="X114" i="4"/>
  <c r="W120" i="4"/>
  <c r="M50" i="9"/>
  <c r="O59" i="11"/>
  <c r="W299" i="1"/>
  <c r="W32" i="14" s="1"/>
  <c r="W33" i="14" s="1"/>
  <c r="X298" i="1"/>
  <c r="T7" i="8"/>
  <c r="T56" i="13" s="1"/>
  <c r="U13" i="10"/>
  <c r="U12" i="14"/>
  <c r="U14" i="14" s="1"/>
  <c r="V79" i="4"/>
  <c r="W84" i="4"/>
  <c r="W72" i="4"/>
  <c r="Q121" i="12"/>
  <c r="Q116" i="12"/>
  <c r="L5" i="4"/>
  <c r="L8" i="4" s="1"/>
  <c r="L4" i="4"/>
  <c r="Z51" i="9"/>
  <c r="AA61" i="11"/>
  <c r="AA62" i="11" s="1"/>
  <c r="W6" i="6"/>
  <c r="X2" i="6"/>
  <c r="O189" i="1"/>
  <c r="N21" i="6"/>
  <c r="N28" i="6" s="1"/>
  <c r="S110" i="12"/>
  <c r="S112" i="12" s="1"/>
  <c r="R112" i="12"/>
  <c r="K67" i="8"/>
  <c r="AU36" i="7"/>
  <c r="L83" i="7"/>
  <c r="J17" i="4"/>
  <c r="J18" i="4"/>
  <c r="J19" i="4" s="1"/>
  <c r="Z341" i="1"/>
  <c r="Y6" i="8" s="1"/>
  <c r="AA342" i="1"/>
  <c r="Y32" i="8"/>
  <c r="X155" i="1"/>
  <c r="W158" i="1"/>
  <c r="W188" i="1" s="1"/>
  <c r="W20" i="6" s="1"/>
  <c r="S13" i="6"/>
  <c r="S187" i="1"/>
  <c r="S19" i="6" s="1"/>
  <c r="U12" i="9"/>
  <c r="U14" i="9" s="1"/>
  <c r="U23" i="9" s="1"/>
  <c r="U12" i="10"/>
  <c r="U14" i="10" s="1"/>
  <c r="U23" i="10" s="1"/>
  <c r="U94" i="10" s="1"/>
  <c r="V29" i="6"/>
  <c r="V39" i="7" s="1"/>
  <c r="V41" i="6"/>
  <c r="V38" i="7" s="1"/>
  <c r="V12" i="6"/>
  <c r="V26" i="6"/>
  <c r="V19" i="7"/>
  <c r="V21" i="7" s="1"/>
  <c r="V25" i="6"/>
  <c r="V27" i="6"/>
  <c r="V22" i="6"/>
  <c r="V23" i="6"/>
  <c r="V24" i="6"/>
  <c r="V16" i="6"/>
  <c r="M36" i="7"/>
  <c r="M30" i="6"/>
  <c r="V345" i="1"/>
  <c r="W346" i="1"/>
  <c r="U33" i="8"/>
  <c r="U57" i="13" s="1"/>
  <c r="V13" i="9"/>
  <c r="V13" i="14"/>
  <c r="V15" i="14" s="1"/>
  <c r="BF18" i="7"/>
  <c r="X18" i="7"/>
  <c r="O49" i="13"/>
  <c r="O15" i="8"/>
  <c r="O41" i="8"/>
  <c r="J42" i="8"/>
  <c r="J16" i="8"/>
  <c r="Y250" i="1"/>
  <c r="X253" i="1"/>
  <c r="X14" i="4" s="1"/>
  <c r="X15" i="4" s="1"/>
  <c r="X19" i="4" s="1"/>
  <c r="T16" i="14"/>
  <c r="V7" i="6"/>
  <c r="V20" i="6"/>
  <c r="Y90" i="1"/>
  <c r="X99" i="1"/>
  <c r="X102" i="1" s="1"/>
  <c r="R48" i="13"/>
  <c r="Y47" i="14"/>
  <c r="W48" i="14"/>
  <c r="K17" i="4"/>
  <c r="K18" i="4"/>
  <c r="K19" i="4" s="1"/>
  <c r="V74" i="14"/>
  <c r="V46" i="6" s="1"/>
  <c r="W27" i="4"/>
  <c r="V34" i="4"/>
  <c r="W39" i="4"/>
  <c r="Y33" i="4"/>
  <c r="X53" i="14"/>
  <c r="X41" i="14"/>
  <c r="T12" i="9"/>
  <c r="T14" i="9" s="1"/>
  <c r="T23" i="9" s="1"/>
  <c r="T12" i="10"/>
  <c r="T14" i="10" s="1"/>
  <c r="T23" i="10" s="1"/>
  <c r="T94" i="10" s="1"/>
  <c r="R28" i="13"/>
  <c r="R37" i="8"/>
  <c r="S20" i="9"/>
  <c r="W137" i="1"/>
  <c r="V183" i="1"/>
  <c r="V15" i="6" s="1"/>
  <c r="I23" i="4"/>
  <c r="I24" i="4"/>
  <c r="R186" i="1"/>
  <c r="R18" i="6" s="1"/>
  <c r="R35" i="7"/>
  <c r="R85" i="10"/>
  <c r="O58" i="2"/>
  <c r="V28" i="4"/>
  <c r="T8" i="6"/>
  <c r="T11" i="6" s="1"/>
  <c r="T185" i="1"/>
  <c r="T17" i="6" s="1"/>
  <c r="AB272" i="1"/>
  <c r="AB59" i="4" s="1"/>
  <c r="AB60" i="4" s="1"/>
  <c r="AB64" i="4" s="1"/>
  <c r="AC269" i="1"/>
  <c r="S70" i="7"/>
  <c r="T13" i="6" l="1"/>
  <c r="T187" i="1"/>
  <c r="T19" i="6" s="1"/>
  <c r="Z250" i="1"/>
  <c r="Y253" i="1"/>
  <c r="Y14" i="4" s="1"/>
  <c r="Y15" i="4" s="1"/>
  <c r="Y19" i="4" s="1"/>
  <c r="BA35" i="7"/>
  <c r="Q66" i="8"/>
  <c r="R82" i="7"/>
  <c r="BA39" i="7"/>
  <c r="BA38" i="7"/>
  <c r="Z47" i="14"/>
  <c r="X48" i="14"/>
  <c r="X6" i="6"/>
  <c r="Y2" i="6"/>
  <c r="AZ82" i="7"/>
  <c r="X39" i="4"/>
  <c r="X27" i="4"/>
  <c r="W34" i="4"/>
  <c r="W74" i="14"/>
  <c r="W46" i="6" s="1"/>
  <c r="K42" i="8"/>
  <c r="K16" i="8"/>
  <c r="W22" i="6"/>
  <c r="W23" i="6"/>
  <c r="W16" i="6"/>
  <c r="W24" i="6"/>
  <c r="W12" i="6"/>
  <c r="W29" i="6"/>
  <c r="W39" i="7" s="1"/>
  <c r="W19" i="7"/>
  <c r="W21" i="7" s="1"/>
  <c r="W41" i="6"/>
  <c r="W38" i="7" s="1"/>
  <c r="W26" i="6"/>
  <c r="W27" i="6"/>
  <c r="W25" i="6"/>
  <c r="Y78" i="4"/>
  <c r="S186" i="1"/>
  <c r="S18" i="6" s="1"/>
  <c r="S35" i="7"/>
  <c r="S85" i="10"/>
  <c r="Y155" i="1"/>
  <c r="X158" i="1"/>
  <c r="X188" i="1" s="1"/>
  <c r="R116" i="12"/>
  <c r="R121" i="12"/>
  <c r="X72" i="4"/>
  <c r="X73" i="4" s="1"/>
  <c r="X84" i="4"/>
  <c r="W79" i="4"/>
  <c r="N47" i="9"/>
  <c r="O60" i="11"/>
  <c r="P15" i="8"/>
  <c r="P49" i="13"/>
  <c r="P41" i="8"/>
  <c r="P58" i="2"/>
  <c r="W28" i="4"/>
  <c r="S116" i="12"/>
  <c r="T116" i="12" s="1"/>
  <c r="S121" i="12"/>
  <c r="T112" i="12"/>
  <c r="AA51" i="9"/>
  <c r="AB61" i="11"/>
  <c r="AB62" i="11" s="1"/>
  <c r="V111" i="1"/>
  <c r="W106" i="1"/>
  <c r="Z152" i="1"/>
  <c r="U28" i="13"/>
  <c r="U37" i="8"/>
  <c r="V20" i="9"/>
  <c r="Z90" i="1"/>
  <c r="Y99" i="1"/>
  <c r="Y102" i="1" s="1"/>
  <c r="X346" i="1"/>
  <c r="W345" i="1"/>
  <c r="V33" i="8"/>
  <c r="V57" i="13" s="1"/>
  <c r="W13" i="9"/>
  <c r="W13" i="14"/>
  <c r="W15" i="14" s="1"/>
  <c r="AB342" i="1"/>
  <c r="AA341" i="1"/>
  <c r="Z6" i="8" s="1"/>
  <c r="Z32" i="8"/>
  <c r="N36" i="7"/>
  <c r="N30" i="6"/>
  <c r="U16" i="14"/>
  <c r="V73" i="14"/>
  <c r="V45" i="6" s="1"/>
  <c r="Y114" i="4"/>
  <c r="X120" i="4"/>
  <c r="U8" i="6"/>
  <c r="U11" i="6" s="1"/>
  <c r="U185" i="1"/>
  <c r="U17" i="6" s="1"/>
  <c r="S48" i="13"/>
  <c r="AD269" i="1"/>
  <c r="AC272" i="1"/>
  <c r="AC59" i="4" s="1"/>
  <c r="AC60" i="4" s="1"/>
  <c r="AC64" i="4" s="1"/>
  <c r="Y41" i="14"/>
  <c r="Y53" i="14"/>
  <c r="U7" i="8"/>
  <c r="U56" i="13" s="1"/>
  <c r="V13" i="10"/>
  <c r="V12" i="14"/>
  <c r="V14" i="14" s="1"/>
  <c r="P189" i="1"/>
  <c r="O21" i="6"/>
  <c r="O28" i="6" s="1"/>
  <c r="L17" i="4"/>
  <c r="L18" i="4"/>
  <c r="L19" i="4" s="1"/>
  <c r="X137" i="1"/>
  <c r="W183" i="1"/>
  <c r="W15" i="6" s="1"/>
  <c r="Z33" i="4"/>
  <c r="K24" i="4"/>
  <c r="K23" i="4"/>
  <c r="V70" i="6"/>
  <c r="X69" i="11"/>
  <c r="X73" i="11" s="1"/>
  <c r="BG18" i="7"/>
  <c r="Y18" i="7"/>
  <c r="M4" i="4"/>
  <c r="M5" i="4"/>
  <c r="M8" i="4" s="1"/>
  <c r="L86" i="10"/>
  <c r="AU83" i="7"/>
  <c r="U73" i="14"/>
  <c r="U45" i="6" s="1"/>
  <c r="L67" i="8"/>
  <c r="AV36" i="7"/>
  <c r="M83" i="7"/>
  <c r="J23" i="4"/>
  <c r="J24" i="4"/>
  <c r="Y298" i="1"/>
  <c r="X299" i="1"/>
  <c r="X32" i="14" s="1"/>
  <c r="X33" i="14" s="1"/>
  <c r="W7" i="6"/>
  <c r="U62" i="8" l="1"/>
  <c r="U11" i="8"/>
  <c r="U10" i="13"/>
  <c r="V70" i="7" s="1"/>
  <c r="V20" i="10"/>
  <c r="AC342" i="1"/>
  <c r="AB341" i="1"/>
  <c r="AA6" i="8" s="1"/>
  <c r="AA32" i="8"/>
  <c r="X79" i="4"/>
  <c r="Y72" i="4"/>
  <c r="Y84" i="4"/>
  <c r="L23" i="4"/>
  <c r="L24" i="4"/>
  <c r="V28" i="13"/>
  <c r="V37" i="8"/>
  <c r="W20" i="9"/>
  <c r="L16" i="8"/>
  <c r="L42" i="8"/>
  <c r="BH18" i="7"/>
  <c r="Z18" i="7"/>
  <c r="Q189" i="1"/>
  <c r="P21" i="6"/>
  <c r="P28" i="6" s="1"/>
  <c r="AE269" i="1"/>
  <c r="AD272" i="1"/>
  <c r="AD59" i="4" s="1"/>
  <c r="AD60" i="4" s="1"/>
  <c r="AD64" i="4" s="1"/>
  <c r="Q58" i="2"/>
  <c r="X28" i="4"/>
  <c r="AA47" i="14"/>
  <c r="Y48" i="14"/>
  <c r="AA250" i="1"/>
  <c r="Z253" i="1"/>
  <c r="Z14" i="4" s="1"/>
  <c r="Z15" i="4" s="1"/>
  <c r="Z19" i="4" s="1"/>
  <c r="M17" i="4"/>
  <c r="M18" i="4"/>
  <c r="M19" i="4" s="1"/>
  <c r="Z41" i="14"/>
  <c r="Z53" i="14"/>
  <c r="Z99" i="1"/>
  <c r="Z102" i="1" s="1"/>
  <c r="AA90" i="1"/>
  <c r="X12" i="6"/>
  <c r="X41" i="6"/>
  <c r="X38" i="7" s="1"/>
  <c r="X19" i="7"/>
  <c r="X21" i="7" s="1"/>
  <c r="X24" i="6"/>
  <c r="X16" i="6"/>
  <c r="X22" i="6"/>
  <c r="X29" i="6"/>
  <c r="X39" i="7" s="1"/>
  <c r="X25" i="6"/>
  <c r="X27" i="6"/>
  <c r="X15" i="6"/>
  <c r="X23" i="6"/>
  <c r="X26" i="6"/>
  <c r="Y120" i="4"/>
  <c r="Z114" i="4"/>
  <c r="AB51" i="9"/>
  <c r="AC61" i="11"/>
  <c r="AC62" i="11" s="1"/>
  <c r="O36" i="7"/>
  <c r="O30" i="6"/>
  <c r="N5" i="4" s="1"/>
  <c r="N8" i="4" s="1"/>
  <c r="Y69" i="11"/>
  <c r="Y73" i="11" s="1"/>
  <c r="W70" i="6"/>
  <c r="Z298" i="1"/>
  <c r="Y299" i="1"/>
  <c r="Y32" i="14" s="1"/>
  <c r="Y33" i="14" s="1"/>
  <c r="T10" i="13"/>
  <c r="U70" i="7" s="1"/>
  <c r="T11" i="8"/>
  <c r="T62" i="8"/>
  <c r="U20" i="10"/>
  <c r="AA33" i="4"/>
  <c r="N4" i="4"/>
  <c r="X20" i="6"/>
  <c r="X34" i="4"/>
  <c r="Y39" i="4"/>
  <c r="Y27" i="4"/>
  <c r="Y28" i="4" s="1"/>
  <c r="X7" i="6"/>
  <c r="V16" i="14"/>
  <c r="W73" i="14"/>
  <c r="W45" i="6" s="1"/>
  <c r="M67" i="8"/>
  <c r="AW36" i="7"/>
  <c r="N83" i="7"/>
  <c r="V7" i="8"/>
  <c r="V56" i="13" s="1"/>
  <c r="W13" i="10"/>
  <c r="W12" i="14"/>
  <c r="W14" i="14" s="1"/>
  <c r="Z155" i="1"/>
  <c r="Y158" i="1"/>
  <c r="Y188" i="1" s="1"/>
  <c r="Y20" i="6" s="1"/>
  <c r="Y73" i="4"/>
  <c r="Z78" i="4"/>
  <c r="X183" i="1"/>
  <c r="Y137" i="1"/>
  <c r="Y346" i="1"/>
  <c r="X345" i="1"/>
  <c r="W33" i="8"/>
  <c r="W57" i="13" s="1"/>
  <c r="X13" i="9"/>
  <c r="X13" i="14"/>
  <c r="X15" i="14" s="1"/>
  <c r="X74" i="14" s="1"/>
  <c r="X46" i="6" s="1"/>
  <c r="X106" i="1"/>
  <c r="W111" i="1"/>
  <c r="N48" i="9"/>
  <c r="P57" i="11"/>
  <c r="BA82" i="7"/>
  <c r="T186" i="1"/>
  <c r="T18" i="6" s="1"/>
  <c r="T35" i="7"/>
  <c r="T85" i="10"/>
  <c r="AV83" i="7"/>
  <c r="M86" i="10"/>
  <c r="V12" i="9"/>
  <c r="V14" i="9" s="1"/>
  <c r="V23" i="9" s="1"/>
  <c r="V12" i="10"/>
  <c r="V14" i="10" s="1"/>
  <c r="V23" i="10" s="1"/>
  <c r="V94" i="10" s="1"/>
  <c r="U13" i="6"/>
  <c r="U187" i="1"/>
  <c r="U19" i="6" s="1"/>
  <c r="Y7" i="6"/>
  <c r="AA152" i="1"/>
  <c r="V8" i="6"/>
  <c r="V11" i="6" s="1"/>
  <c r="V185" i="1"/>
  <c r="V17" i="6" s="1"/>
  <c r="R66" i="8"/>
  <c r="BB35" i="7"/>
  <c r="S82" i="7"/>
  <c r="BB39" i="7"/>
  <c r="BB38" i="7"/>
  <c r="Z2" i="6"/>
  <c r="Y6" i="6"/>
  <c r="Q49" i="13"/>
  <c r="Q15" i="8"/>
  <c r="Q41" i="8"/>
  <c r="N18" i="4" l="1"/>
  <c r="N19" i="4" s="1"/>
  <c r="N17" i="4"/>
  <c r="W28" i="13"/>
  <c r="W37" i="8"/>
  <c r="X20" i="9"/>
  <c r="AA41" i="14"/>
  <c r="AA53" i="14"/>
  <c r="W7" i="8"/>
  <c r="W56" i="13" s="1"/>
  <c r="X13" i="10"/>
  <c r="X12" i="14"/>
  <c r="X14" i="14" s="1"/>
  <c r="AA155" i="1"/>
  <c r="Z158" i="1"/>
  <c r="Z188" i="1" s="1"/>
  <c r="W16" i="14"/>
  <c r="X73" i="14"/>
  <c r="X45" i="6" s="1"/>
  <c r="M24" i="4"/>
  <c r="M23" i="4"/>
  <c r="U186" i="1"/>
  <c r="U18" i="6" s="1"/>
  <c r="U35" i="7"/>
  <c r="U85" i="10"/>
  <c r="S66" i="8"/>
  <c r="BC35" i="7"/>
  <c r="T82" i="7"/>
  <c r="BC38" i="7"/>
  <c r="BC39" i="7"/>
  <c r="N49" i="9"/>
  <c r="P58" i="11"/>
  <c r="AA298" i="1"/>
  <c r="Z299" i="1"/>
  <c r="Z32" i="14" s="1"/>
  <c r="Z33" i="14" s="1"/>
  <c r="Y79" i="4"/>
  <c r="Z84" i="4"/>
  <c r="Z72" i="4"/>
  <c r="Z73" i="4" s="1"/>
  <c r="O4" i="4"/>
  <c r="O5" i="4"/>
  <c r="O8" i="4" s="1"/>
  <c r="AB152" i="1"/>
  <c r="M16" i="8"/>
  <c r="M42" i="8"/>
  <c r="N67" i="8"/>
  <c r="O83" i="7"/>
  <c r="AX36" i="7"/>
  <c r="BB82" i="7"/>
  <c r="AA69" i="11"/>
  <c r="AA73" i="11" s="1"/>
  <c r="Y70" i="6"/>
  <c r="V10" i="13"/>
  <c r="W70" i="7" s="1"/>
  <c r="V11" i="8"/>
  <c r="V62" i="8"/>
  <c r="W20" i="10"/>
  <c r="X33" i="8"/>
  <c r="X57" i="13" s="1"/>
  <c r="Y345" i="1"/>
  <c r="Y13" i="9"/>
  <c r="Z346" i="1"/>
  <c r="Y13" i="14"/>
  <c r="Y15" i="14" s="1"/>
  <c r="Y26" i="6"/>
  <c r="Y15" i="6"/>
  <c r="Y16" i="6"/>
  <c r="Y25" i="6"/>
  <c r="Y24" i="6"/>
  <c r="Y27" i="6"/>
  <c r="Y23" i="6"/>
  <c r="Y41" i="6"/>
  <c r="Y38" i="7" s="1"/>
  <c r="Y19" i="7"/>
  <c r="Y21" i="7" s="1"/>
  <c r="Y22" i="6"/>
  <c r="Y12" i="6"/>
  <c r="Y29" i="6"/>
  <c r="Y39" i="7" s="1"/>
  <c r="R41" i="8"/>
  <c r="R15" i="8"/>
  <c r="R49" i="13"/>
  <c r="W8" i="6"/>
  <c r="W11" i="6" s="1"/>
  <c r="W185" i="1"/>
  <c r="W17" i="6" s="1"/>
  <c r="Z137" i="1"/>
  <c r="Y183" i="1"/>
  <c r="Z69" i="11"/>
  <c r="Z73" i="11" s="1"/>
  <c r="X70" i="6"/>
  <c r="W12" i="9"/>
  <c r="W14" i="9" s="1"/>
  <c r="W23" i="9" s="1"/>
  <c r="W12" i="10"/>
  <c r="W14" i="10" s="1"/>
  <c r="W23" i="10" s="1"/>
  <c r="W94" i="10" s="1"/>
  <c r="AC51" i="9"/>
  <c r="AD61" i="11"/>
  <c r="AD62" i="11" s="1"/>
  <c r="AB250" i="1"/>
  <c r="AA253" i="1"/>
  <c r="AA14" i="4" s="1"/>
  <c r="AA15" i="4" s="1"/>
  <c r="AA19" i="4" s="1"/>
  <c r="AE272" i="1"/>
  <c r="AE59" i="4" s="1"/>
  <c r="AE60" i="4" s="1"/>
  <c r="AE64" i="4" s="1"/>
  <c r="AF269" i="1"/>
  <c r="Z6" i="6"/>
  <c r="AA2" i="6"/>
  <c r="Y106" i="1"/>
  <c r="X111" i="1"/>
  <c r="AW83" i="7"/>
  <c r="N86" i="10"/>
  <c r="AB33" i="4"/>
  <c r="AA114" i="4"/>
  <c r="Z120" i="4"/>
  <c r="AB90" i="1"/>
  <c r="AA99" i="1"/>
  <c r="AA102" i="1" s="1"/>
  <c r="P36" i="7"/>
  <c r="P30" i="6"/>
  <c r="T48" i="13"/>
  <c r="BI18" i="7"/>
  <c r="AA18" i="7"/>
  <c r="AC341" i="1"/>
  <c r="AB6" i="8" s="1"/>
  <c r="AD342" i="1"/>
  <c r="AB32" i="8"/>
  <c r="V13" i="6"/>
  <c r="V187" i="1"/>
  <c r="V19" i="6" s="1"/>
  <c r="Y74" i="14"/>
  <c r="Y46" i="6" s="1"/>
  <c r="AA78" i="4"/>
  <c r="Z27" i="4"/>
  <c r="Z28" i="4" s="1"/>
  <c r="Y34" i="4"/>
  <c r="Z39" i="4"/>
  <c r="Z7" i="6"/>
  <c r="Z48" i="14"/>
  <c r="AB47" i="14"/>
  <c r="R189" i="1"/>
  <c r="Q21" i="6"/>
  <c r="Q28" i="6" s="1"/>
  <c r="U48" i="13"/>
  <c r="O18" i="4" l="1"/>
  <c r="O19" i="4" s="1"/>
  <c r="O17" i="4"/>
  <c r="AC90" i="1"/>
  <c r="AB99" i="1"/>
  <c r="AB102" i="1" s="1"/>
  <c r="X12" i="9"/>
  <c r="X14" i="9" s="1"/>
  <c r="X23" i="9" s="1"/>
  <c r="X12" i="10"/>
  <c r="X14" i="10" s="1"/>
  <c r="X23" i="10" s="1"/>
  <c r="X94" i="10" s="1"/>
  <c r="AA84" i="4"/>
  <c r="Z79" i="4"/>
  <c r="AA72" i="4"/>
  <c r="Z106" i="1"/>
  <c r="Y111" i="1"/>
  <c r="BC82" i="7"/>
  <c r="Z20" i="6"/>
  <c r="N16" i="8"/>
  <c r="N42" i="8"/>
  <c r="W10" i="13"/>
  <c r="X70" i="7" s="1"/>
  <c r="W11" i="8"/>
  <c r="W62" i="8"/>
  <c r="X20" i="10"/>
  <c r="AB53" i="14"/>
  <c r="AB41" i="14"/>
  <c r="X8" i="6"/>
  <c r="X185" i="1"/>
  <c r="X17" i="6" s="1"/>
  <c r="Q36" i="7"/>
  <c r="Q30" i="6"/>
  <c r="V48" i="13"/>
  <c r="AB155" i="1"/>
  <c r="AA158" i="1"/>
  <c r="AA188" i="1" s="1"/>
  <c r="AA20" i="6" s="1"/>
  <c r="S189" i="1"/>
  <c r="R21" i="6"/>
  <c r="R28" i="6" s="1"/>
  <c r="AC33" i="4"/>
  <c r="AC250" i="1"/>
  <c r="AB253" i="1"/>
  <c r="AB14" i="4" s="1"/>
  <c r="AB15" i="4" s="1"/>
  <c r="AB19" i="4" s="1"/>
  <c r="Z345" i="1"/>
  <c r="AA346" i="1"/>
  <c r="Y33" i="8"/>
  <c r="Y57" i="13" s="1"/>
  <c r="Z13" i="9"/>
  <c r="Z13" i="14"/>
  <c r="Z15" i="14" s="1"/>
  <c r="Z74" i="14" s="1"/>
  <c r="Z46" i="6" s="1"/>
  <c r="X16" i="14"/>
  <c r="N50" i="9"/>
  <c r="P59" i="11"/>
  <c r="BJ18" i="7"/>
  <c r="AB18" i="7"/>
  <c r="V186" i="1"/>
  <c r="V18" i="6" s="1"/>
  <c r="V35" i="7"/>
  <c r="V85" i="10"/>
  <c r="P4" i="4"/>
  <c r="P5" i="4"/>
  <c r="P8" i="4" s="1"/>
  <c r="AA6" i="6"/>
  <c r="AB2" i="6"/>
  <c r="Z183" i="1"/>
  <c r="AA137" i="1"/>
  <c r="AX83" i="7"/>
  <c r="O86" i="10"/>
  <c r="AB298" i="1"/>
  <c r="AA299" i="1"/>
  <c r="AA32" i="14" s="1"/>
  <c r="AA33" i="14" s="1"/>
  <c r="S49" i="13"/>
  <c r="S15" i="8"/>
  <c r="S41" i="8"/>
  <c r="N23" i="4"/>
  <c r="N24" i="4"/>
  <c r="Z70" i="6"/>
  <c r="AB69" i="11"/>
  <c r="AB73" i="11" s="1"/>
  <c r="AD341" i="1"/>
  <c r="AC6" i="8" s="1"/>
  <c r="AC32" i="8"/>
  <c r="AE342" i="1"/>
  <c r="W13" i="6"/>
  <c r="W187" i="1"/>
  <c r="W19" i="6" s="1"/>
  <c r="T66" i="8"/>
  <c r="BD35" i="7"/>
  <c r="U82" i="7"/>
  <c r="BD38" i="7"/>
  <c r="BD39" i="7"/>
  <c r="AB78" i="4"/>
  <c r="AA73" i="4"/>
  <c r="AF272" i="1"/>
  <c r="AF59" i="4" s="1"/>
  <c r="AF60" i="4" s="1"/>
  <c r="AF64" i="4" s="1"/>
  <c r="AG269" i="1"/>
  <c r="X28" i="13"/>
  <c r="X37" i="8"/>
  <c r="Y20" i="9"/>
  <c r="AB114" i="4"/>
  <c r="AA120" i="4"/>
  <c r="AC47" i="14"/>
  <c r="AA48" i="14"/>
  <c r="AA27" i="4"/>
  <c r="AA28" i="4" s="1"/>
  <c r="Z34" i="4"/>
  <c r="AA39" i="4"/>
  <c r="O67" i="8"/>
  <c r="P83" i="7"/>
  <c r="AY36" i="7"/>
  <c r="Z24" i="6"/>
  <c r="Z22" i="6"/>
  <c r="Z26" i="6"/>
  <c r="Z27" i="6"/>
  <c r="Z19" i="7"/>
  <c r="Z21" i="7" s="1"/>
  <c r="Z25" i="6"/>
  <c r="Z29" i="6"/>
  <c r="Z39" i="7" s="1"/>
  <c r="Z16" i="6"/>
  <c r="Z12" i="6"/>
  <c r="Z23" i="6"/>
  <c r="Z15" i="6"/>
  <c r="Z41" i="6"/>
  <c r="Z38" i="7" s="1"/>
  <c r="AD51" i="9"/>
  <c r="AE61" i="11"/>
  <c r="AE62" i="11" s="1"/>
  <c r="X7" i="8"/>
  <c r="X56" i="13" s="1"/>
  <c r="Y13" i="10"/>
  <c r="Y12" i="14"/>
  <c r="Y14" i="14" s="1"/>
  <c r="Y12" i="9"/>
  <c r="Y14" i="9" s="1"/>
  <c r="Y23" i="9" s="1"/>
  <c r="Y12" i="10"/>
  <c r="Y14" i="10" s="1"/>
  <c r="Y23" i="10" s="1"/>
  <c r="Y94" i="10" s="1"/>
  <c r="AC152" i="1"/>
  <c r="Y37" i="8" l="1"/>
  <c r="Y28" i="13"/>
  <c r="Z20" i="9"/>
  <c r="AH269" i="1"/>
  <c r="AG272" i="1"/>
  <c r="AG59" i="4" s="1"/>
  <c r="AG60" i="4" s="1"/>
  <c r="AG64" i="4" s="1"/>
  <c r="AB120" i="4"/>
  <c r="AC114" i="4"/>
  <c r="W186" i="1"/>
  <c r="W18" i="6" s="1"/>
  <c r="W35" i="7"/>
  <c r="W85" i="10"/>
  <c r="AA12" i="6"/>
  <c r="AA25" i="6"/>
  <c r="AA29" i="6"/>
  <c r="AA39" i="7" s="1"/>
  <c r="AA26" i="6"/>
  <c r="AA27" i="6"/>
  <c r="AA19" i="7"/>
  <c r="AA21" i="7" s="1"/>
  <c r="AA24" i="6"/>
  <c r="AA41" i="6"/>
  <c r="AA38" i="7" s="1"/>
  <c r="AA23" i="6"/>
  <c r="AA22" i="6"/>
  <c r="AA16" i="6"/>
  <c r="AC41" i="14"/>
  <c r="AC53" i="14"/>
  <c r="O42" i="8"/>
  <c r="O16" i="8"/>
  <c r="AF342" i="1"/>
  <c r="AD32" i="8"/>
  <c r="AE341" i="1"/>
  <c r="AD6" i="8" s="1"/>
  <c r="P17" i="4"/>
  <c r="P18" i="4"/>
  <c r="P19" i="4" s="1"/>
  <c r="BK18" i="7"/>
  <c r="AC18" i="7"/>
  <c r="AD33" i="4"/>
  <c r="AB72" i="4"/>
  <c r="AB84" i="4"/>
  <c r="AA79" i="4"/>
  <c r="Z73" i="14"/>
  <c r="Z45" i="6" s="1"/>
  <c r="Y16" i="14"/>
  <c r="AB39" i="4"/>
  <c r="AB27" i="4"/>
  <c r="AB28" i="4" s="1"/>
  <c r="AA34" i="4"/>
  <c r="R36" i="7"/>
  <c r="R30" i="6"/>
  <c r="Q5" i="4" s="1"/>
  <c r="Q8" i="4" s="1"/>
  <c r="W48" i="13"/>
  <c r="AA74" i="14"/>
  <c r="AA46" i="6" s="1"/>
  <c r="BD82" i="7"/>
  <c r="T189" i="1"/>
  <c r="S21" i="6"/>
  <c r="S28" i="6" s="1"/>
  <c r="Q4" i="4"/>
  <c r="AA345" i="1"/>
  <c r="AB346" i="1"/>
  <c r="Z33" i="8"/>
  <c r="Z57" i="13" s="1"/>
  <c r="AA13" i="9"/>
  <c r="AA13" i="14"/>
  <c r="AA15" i="14" s="1"/>
  <c r="Y8" i="6"/>
  <c r="Y11" i="6" s="1"/>
  <c r="Y185" i="1"/>
  <c r="Y17" i="6" s="1"/>
  <c r="O47" i="9"/>
  <c r="P60" i="11"/>
  <c r="AC155" i="1"/>
  <c r="AB158" i="1"/>
  <c r="AB188" i="1" s="1"/>
  <c r="AA106" i="1"/>
  <c r="Z111" i="1"/>
  <c r="AD152" i="1"/>
  <c r="AA7" i="6"/>
  <c r="E119" i="1"/>
  <c r="X11" i="6"/>
  <c r="O24" i="4"/>
  <c r="O23" i="4"/>
  <c r="P67" i="8"/>
  <c r="AZ36" i="7"/>
  <c r="Q83" i="7"/>
  <c r="Z12" i="9"/>
  <c r="Z14" i="9" s="1"/>
  <c r="Z23" i="9" s="1"/>
  <c r="Z12" i="10"/>
  <c r="Z14" i="10" s="1"/>
  <c r="Z23" i="10" s="1"/>
  <c r="Z94" i="10" s="1"/>
  <c r="AB137" i="1"/>
  <c r="AA183" i="1"/>
  <c r="AA15" i="6" s="1"/>
  <c r="U66" i="8"/>
  <c r="BE35" i="7"/>
  <c r="V82" i="7"/>
  <c r="BE39" i="7"/>
  <c r="BE38" i="7"/>
  <c r="Y7" i="8"/>
  <c r="Y56" i="13" s="1"/>
  <c r="Z13" i="10"/>
  <c r="Z12" i="14"/>
  <c r="Z14" i="14" s="1"/>
  <c r="AD90" i="1"/>
  <c r="AC99" i="1"/>
  <c r="AC102" i="1" s="1"/>
  <c r="AD47" i="14"/>
  <c r="AB48" i="14"/>
  <c r="T41" i="8"/>
  <c r="T49" i="13"/>
  <c r="T15" i="8"/>
  <c r="AE51" i="9"/>
  <c r="AF61" i="11"/>
  <c r="AF62" i="11" s="1"/>
  <c r="AY83" i="7"/>
  <c r="P86" i="10"/>
  <c r="AB73" i="4"/>
  <c r="AC78" i="4"/>
  <c r="AB299" i="1"/>
  <c r="AB32" i="14" s="1"/>
  <c r="AB33" i="14" s="1"/>
  <c r="AC298" i="1"/>
  <c r="AC2" i="6"/>
  <c r="AB6" i="6"/>
  <c r="Y73" i="14"/>
  <c r="Y45" i="6" s="1"/>
  <c r="AD250" i="1"/>
  <c r="AC253" i="1"/>
  <c r="AC14" i="4" s="1"/>
  <c r="AC15" i="4" s="1"/>
  <c r="AC19" i="4" s="1"/>
  <c r="Q17" i="4" l="1"/>
  <c r="Q18" i="4"/>
  <c r="Q19" i="4" s="1"/>
  <c r="AC120" i="4"/>
  <c r="AD114" i="4"/>
  <c r="Z16" i="14"/>
  <c r="U49" i="13"/>
  <c r="U41" i="8"/>
  <c r="U15" i="8"/>
  <c r="AE152" i="1"/>
  <c r="Y13" i="6"/>
  <c r="Y187" i="1"/>
  <c r="Y19" i="6" s="1"/>
  <c r="AC27" i="4"/>
  <c r="AC28" i="4" s="1"/>
  <c r="AC39" i="4"/>
  <c r="AB34" i="4"/>
  <c r="P42" i="8"/>
  <c r="P16" i="8"/>
  <c r="AD2" i="6"/>
  <c r="AC6" i="6"/>
  <c r="AB183" i="1"/>
  <c r="AB15" i="6" s="1"/>
  <c r="AC137" i="1"/>
  <c r="AB106" i="1"/>
  <c r="AA111" i="1"/>
  <c r="AD41" i="14"/>
  <c r="AD53" i="14"/>
  <c r="X10" i="13"/>
  <c r="Y70" i="7" s="1"/>
  <c r="X11" i="8"/>
  <c r="X62" i="8"/>
  <c r="Y20" i="10"/>
  <c r="AB41" i="6"/>
  <c r="AB38" i="7" s="1"/>
  <c r="AB24" i="6"/>
  <c r="AB29" i="6"/>
  <c r="AB39" i="7" s="1"/>
  <c r="AB23" i="6"/>
  <c r="AB22" i="6"/>
  <c r="AB16" i="6"/>
  <c r="AB19" i="7"/>
  <c r="AB21" i="7" s="1"/>
  <c r="AB12" i="6"/>
  <c r="AB26" i="6"/>
  <c r="AB27" i="6"/>
  <c r="AB25" i="6"/>
  <c r="Z8" i="6"/>
  <c r="Z11" i="6" s="1"/>
  <c r="Z185" i="1"/>
  <c r="Z17" i="6" s="1"/>
  <c r="P23" i="4"/>
  <c r="P24" i="4"/>
  <c r="AD298" i="1"/>
  <c r="AC299" i="1"/>
  <c r="AC32" i="14" s="1"/>
  <c r="AC33" i="14" s="1"/>
  <c r="AC48" i="14"/>
  <c r="AE47" i="14"/>
  <c r="AB20" i="6"/>
  <c r="S36" i="7"/>
  <c r="S30" i="6"/>
  <c r="R4" i="4"/>
  <c r="R5" i="4"/>
  <c r="R8" i="4" s="1"/>
  <c r="AC72" i="4"/>
  <c r="AC73" i="4" s="1"/>
  <c r="AB79" i="4"/>
  <c r="AC84" i="4"/>
  <c r="AI269" i="1"/>
  <c r="AH272" i="1"/>
  <c r="AH59" i="4" s="1"/>
  <c r="AH60" i="4" s="1"/>
  <c r="AH64" i="4" s="1"/>
  <c r="AF51" i="9"/>
  <c r="AG61" i="11"/>
  <c r="AG62" i="11" s="1"/>
  <c r="X13" i="6"/>
  <c r="C5" i="22"/>
  <c r="X187" i="1"/>
  <c r="X19" i="6" s="1"/>
  <c r="AC158" i="1"/>
  <c r="AC188" i="1" s="1"/>
  <c r="AC20" i="6" s="1"/>
  <c r="AD155" i="1"/>
  <c r="U189" i="1"/>
  <c r="T21" i="6"/>
  <c r="T28" i="6" s="1"/>
  <c r="Q67" i="8"/>
  <c r="BA36" i="7"/>
  <c r="R83" i="7"/>
  <c r="AE33" i="4"/>
  <c r="V66" i="8"/>
  <c r="W82" i="7"/>
  <c r="BF35" i="7"/>
  <c r="BF38" i="7"/>
  <c r="BF39" i="7"/>
  <c r="Z28" i="13"/>
  <c r="Z37" i="8"/>
  <c r="AA20" i="9"/>
  <c r="AC7" i="6"/>
  <c r="BE82" i="7"/>
  <c r="AB7" i="6"/>
  <c r="M13" i="3"/>
  <c r="D11" i="2"/>
  <c r="AB345" i="1"/>
  <c r="AC346" i="1"/>
  <c r="AA33" i="8"/>
  <c r="AA57" i="13" s="1"/>
  <c r="AB13" i="9"/>
  <c r="AB13" i="14"/>
  <c r="AB15" i="14" s="1"/>
  <c r="AF341" i="1"/>
  <c r="AE6" i="8" s="1"/>
  <c r="AG342" i="1"/>
  <c r="AE32" i="8"/>
  <c r="AZ83" i="7"/>
  <c r="Q86" i="10"/>
  <c r="Y10" i="13"/>
  <c r="Z70" i="7" s="1"/>
  <c r="Y11" i="8"/>
  <c r="Y62" i="8"/>
  <c r="Z20" i="10"/>
  <c r="AD253" i="1"/>
  <c r="AD14" i="4" s="1"/>
  <c r="AD15" i="4" s="1"/>
  <c r="AD19" i="4" s="1"/>
  <c r="AE250" i="1"/>
  <c r="AD78" i="4"/>
  <c r="AD99" i="1"/>
  <c r="AD102" i="1" s="1"/>
  <c r="AE90" i="1"/>
  <c r="AC69" i="11"/>
  <c r="AC73" i="11" s="1"/>
  <c r="AA70" i="6"/>
  <c r="O48" i="9"/>
  <c r="Q57" i="11"/>
  <c r="Z7" i="8"/>
  <c r="Z56" i="13" s="1"/>
  <c r="AA13" i="10"/>
  <c r="AA12" i="14"/>
  <c r="AA14" i="14" s="1"/>
  <c r="AD18" i="7"/>
  <c r="BL18" i="7"/>
  <c r="X48" i="13" l="1"/>
  <c r="AF152" i="1"/>
  <c r="AD7" i="6"/>
  <c r="BF82" i="7"/>
  <c r="T36" i="7"/>
  <c r="T30" i="6"/>
  <c r="AG51" i="9"/>
  <c r="AH61" i="11"/>
  <c r="AH62" i="11" s="1"/>
  <c r="AD137" i="1"/>
  <c r="AC183" i="1"/>
  <c r="AE114" i="4"/>
  <c r="AD120" i="4"/>
  <c r="AE99" i="1"/>
  <c r="AE102" i="1" s="1"/>
  <c r="AF90" i="1"/>
  <c r="V189" i="1"/>
  <c r="U21" i="6"/>
  <c r="U28" i="6" s="1"/>
  <c r="AC70" i="6"/>
  <c r="AE69" i="11"/>
  <c r="AE73" i="11" s="1"/>
  <c r="AF33" i="4"/>
  <c r="AE155" i="1"/>
  <c r="AD158" i="1"/>
  <c r="AD188" i="1" s="1"/>
  <c r="AD20" i="6" s="1"/>
  <c r="AJ269" i="1"/>
  <c r="AI272" i="1"/>
  <c r="AI59" i="4" s="1"/>
  <c r="AI60" i="4" s="1"/>
  <c r="AI64" i="4" s="1"/>
  <c r="E65" i="4" s="1"/>
  <c r="E74" i="4" s="1"/>
  <c r="S4" i="4"/>
  <c r="AE53" i="14"/>
  <c r="AE41" i="14"/>
  <c r="AC27" i="6"/>
  <c r="AC15" i="6"/>
  <c r="AC26" i="6"/>
  <c r="AC25" i="6"/>
  <c r="AC24" i="6"/>
  <c r="AC41" i="6"/>
  <c r="AC38" i="7" s="1"/>
  <c r="AC22" i="6"/>
  <c r="AC23" i="6"/>
  <c r="AC16" i="6"/>
  <c r="AC19" i="7"/>
  <c r="AC21" i="7" s="1"/>
  <c r="AC12" i="6"/>
  <c r="AC29" i="6"/>
  <c r="AC39" i="7" s="1"/>
  <c r="AC34" i="4"/>
  <c r="AD39" i="4"/>
  <c r="AD27" i="4"/>
  <c r="AD28" i="4" s="1"/>
  <c r="K52" i="3" a="1"/>
  <c r="R17" i="4"/>
  <c r="R18" i="4"/>
  <c r="R19" i="4" s="1"/>
  <c r="AD299" i="1"/>
  <c r="AD32" i="14" s="1"/>
  <c r="AD33" i="14" s="1"/>
  <c r="AE298" i="1"/>
  <c r="R67" i="8"/>
  <c r="BB36" i="7"/>
  <c r="S83" i="7"/>
  <c r="AD6" i="6"/>
  <c r="AE2" i="6"/>
  <c r="AA12" i="9"/>
  <c r="AA14" i="9" s="1"/>
  <c r="AA23" i="9" s="1"/>
  <c r="AA12" i="10"/>
  <c r="AA14" i="10" s="1"/>
  <c r="AA23" i="10" s="1"/>
  <c r="AA94" i="10" s="1"/>
  <c r="AA7" i="8"/>
  <c r="AA56" i="13" s="1"/>
  <c r="AB13" i="10"/>
  <c r="AB12" i="14"/>
  <c r="AB14" i="14" s="1"/>
  <c r="BA83" i="7"/>
  <c r="R86" i="10"/>
  <c r="AD84" i="4"/>
  <c r="AC79" i="4"/>
  <c r="AD72" i="4"/>
  <c r="AD73" i="4" s="1"/>
  <c r="AB74" i="14"/>
  <c r="AB46" i="6" s="1"/>
  <c r="AA16" i="14"/>
  <c r="AB70" i="6"/>
  <c r="AD69" i="11"/>
  <c r="AD73" i="11" s="1"/>
  <c r="V49" i="13"/>
  <c r="V41" i="8"/>
  <c r="V15" i="8"/>
  <c r="O49" i="9"/>
  <c r="Q58" i="11"/>
  <c r="AE253" i="1"/>
  <c r="AE14" i="4" s="1"/>
  <c r="AE15" i="4" s="1"/>
  <c r="AE19" i="4" s="1"/>
  <c r="AF250" i="1"/>
  <c r="AD346" i="1"/>
  <c r="AC345" i="1"/>
  <c r="AB33" i="8"/>
  <c r="AB57" i="13" s="1"/>
  <c r="AC13" i="9"/>
  <c r="AC13" i="14"/>
  <c r="AC15" i="14" s="1"/>
  <c r="B5" i="22"/>
  <c r="C8" i="22"/>
  <c r="AA8" i="6"/>
  <c r="AA11" i="6" s="1"/>
  <c r="AA185" i="1"/>
  <c r="AA17" i="6" s="1"/>
  <c r="Q42" i="8"/>
  <c r="Q16" i="8"/>
  <c r="AE78" i="4"/>
  <c r="AE18" i="7"/>
  <c r="BM18" i="7"/>
  <c r="Y48" i="13"/>
  <c r="AH342" i="1"/>
  <c r="AG341" i="1"/>
  <c r="AF6" i="8" s="1"/>
  <c r="AF32" i="8"/>
  <c r="X186" i="1"/>
  <c r="X18" i="6" s="1"/>
  <c r="X35" i="7"/>
  <c r="X85" i="10"/>
  <c r="AD48" i="14"/>
  <c r="AF47" i="14"/>
  <c r="Z13" i="6"/>
  <c r="Z187" i="1"/>
  <c r="Z19" i="6" s="1"/>
  <c r="AC106" i="1"/>
  <c r="AB111" i="1"/>
  <c r="Y186" i="1"/>
  <c r="Y18" i="6" s="1"/>
  <c r="Y35" i="7"/>
  <c r="Y85" i="10"/>
  <c r="AA73" i="14"/>
  <c r="AA45" i="6" s="1"/>
  <c r="Q23" i="4"/>
  <c r="Q24" i="4"/>
  <c r="AF253" i="1" l="1"/>
  <c r="AF14" i="4" s="1"/>
  <c r="AF15" i="4" s="1"/>
  <c r="AF19" i="4" s="1"/>
  <c r="AG250" i="1"/>
  <c r="AB16" i="14"/>
  <c r="BB83" i="7"/>
  <c r="S86" i="10"/>
  <c r="U36" i="7"/>
  <c r="U30" i="6"/>
  <c r="AD70" i="6"/>
  <c r="AF69" i="11"/>
  <c r="AF73" i="11" s="1"/>
  <c r="AA13" i="6"/>
  <c r="AA187" i="1"/>
  <c r="AA19" i="6" s="1"/>
  <c r="AD34" i="4"/>
  <c r="AE27" i="4"/>
  <c r="AE28" i="4" s="1"/>
  <c r="AE39" i="4"/>
  <c r="AF155" i="1"/>
  <c r="AE158" i="1"/>
  <c r="AE188" i="1" s="1"/>
  <c r="W189" i="1"/>
  <c r="V21" i="6"/>
  <c r="V28" i="6" s="1"/>
  <c r="AH51" i="9"/>
  <c r="AI51" i="9" s="1"/>
  <c r="AI61" i="11"/>
  <c r="AI62" i="11" s="1"/>
  <c r="AE73" i="4"/>
  <c r="AF78" i="4"/>
  <c r="AF41" i="14"/>
  <c r="AF53" i="14"/>
  <c r="AG90" i="1"/>
  <c r="AF99" i="1"/>
  <c r="AF102" i="1" s="1"/>
  <c r="T5" i="4"/>
  <c r="T8" i="4" s="1"/>
  <c r="T4" i="4"/>
  <c r="AC111" i="1"/>
  <c r="AD106" i="1"/>
  <c r="Z186" i="1"/>
  <c r="Z18" i="6" s="1"/>
  <c r="Z35" i="7"/>
  <c r="Z85" i="10"/>
  <c r="O50" i="9"/>
  <c r="Q59" i="11"/>
  <c r="AB12" i="9"/>
  <c r="AB14" i="9" s="1"/>
  <c r="AB23" i="9" s="1"/>
  <c r="AB12" i="10"/>
  <c r="AB14" i="10" s="1"/>
  <c r="AB23" i="10" s="1"/>
  <c r="AB94" i="10" s="1"/>
  <c r="R16" i="8"/>
  <c r="R42" i="8"/>
  <c r="AE299" i="1"/>
  <c r="AE32" i="14" s="1"/>
  <c r="AE33" i="14" s="1"/>
  <c r="AF298" i="1"/>
  <c r="S5" i="4"/>
  <c r="S8" i="4" s="1"/>
  <c r="AG33" i="4"/>
  <c r="S67" i="8"/>
  <c r="BC36" i="7"/>
  <c r="T83" i="7"/>
  <c r="AG152" i="1"/>
  <c r="BN18" i="7"/>
  <c r="AF18" i="7"/>
  <c r="Z10" i="13"/>
  <c r="AA70" i="7" s="1"/>
  <c r="Z11" i="8"/>
  <c r="Z62" i="8"/>
  <c r="AA20" i="10"/>
  <c r="AG47" i="14"/>
  <c r="AE48" i="14"/>
  <c r="AH341" i="1"/>
  <c r="AG6" i="8" s="1"/>
  <c r="AG32" i="8"/>
  <c r="B8" i="22"/>
  <c r="AB73" i="14"/>
  <c r="AB45" i="6" s="1"/>
  <c r="AF2" i="6"/>
  <c r="AE6" i="6"/>
  <c r="AC12" i="9"/>
  <c r="AC14" i="9" s="1"/>
  <c r="AC23" i="9" s="1"/>
  <c r="AC12" i="10"/>
  <c r="AC14" i="10" s="1"/>
  <c r="AC23" i="10" s="1"/>
  <c r="AC94" i="10" s="1"/>
  <c r="AF114" i="4"/>
  <c r="AE120" i="4"/>
  <c r="AD79" i="4"/>
  <c r="AE72" i="4"/>
  <c r="AE84" i="4"/>
  <c r="X66" i="8"/>
  <c r="BH35" i="7"/>
  <c r="Y82" i="7"/>
  <c r="BH39" i="7"/>
  <c r="BH38" i="7"/>
  <c r="AB7" i="8"/>
  <c r="AB56" i="13" s="1"/>
  <c r="AC13" i="10"/>
  <c r="AC12" i="14"/>
  <c r="AC14" i="14" s="1"/>
  <c r="AD23" i="6"/>
  <c r="AD29" i="6"/>
  <c r="AD39" i="7" s="1"/>
  <c r="AD25" i="6"/>
  <c r="AD26" i="6"/>
  <c r="AD41" i="6"/>
  <c r="AD38" i="7" s="1"/>
  <c r="AD27" i="6"/>
  <c r="AD19" i="7"/>
  <c r="AD21" i="7" s="1"/>
  <c r="AD12" i="6"/>
  <c r="AD16" i="6"/>
  <c r="AD22" i="6"/>
  <c r="AD24" i="6"/>
  <c r="R23" i="4"/>
  <c r="R24" i="4"/>
  <c r="E85" i="4"/>
  <c r="E75" i="4"/>
  <c r="E115" i="4"/>
  <c r="AC74" i="14"/>
  <c r="AC46" i="6" s="1"/>
  <c r="AB8" i="6"/>
  <c r="AB11" i="6" s="1"/>
  <c r="AB185" i="1"/>
  <c r="AB17" i="6" s="1"/>
  <c r="W66" i="8"/>
  <c r="X82" i="7"/>
  <c r="BG35" i="7"/>
  <c r="BG39" i="7"/>
  <c r="BG38" i="7"/>
  <c r="AD345" i="1"/>
  <c r="AE346" i="1"/>
  <c r="AC33" i="8"/>
  <c r="AC57" i="13" s="1"/>
  <c r="AD13" i="9"/>
  <c r="AD13" i="14"/>
  <c r="AD15" i="14" s="1"/>
  <c r="AA37" i="8"/>
  <c r="AA28" i="13"/>
  <c r="AB20" i="9"/>
  <c r="K58" i="3"/>
  <c r="K60" i="3"/>
  <c r="K61" i="3"/>
  <c r="K69" i="3"/>
  <c r="K76" i="3"/>
  <c r="K62" i="3"/>
  <c r="K70" i="3"/>
  <c r="K54" i="3"/>
  <c r="K66" i="3"/>
  <c r="K72" i="3"/>
  <c r="K73" i="3"/>
  <c r="K56" i="3"/>
  <c r="K59" i="3"/>
  <c r="K53" i="3"/>
  <c r="K74" i="3"/>
  <c r="K57" i="3"/>
  <c r="K67" i="3"/>
  <c r="K71" i="3"/>
  <c r="K63" i="3"/>
  <c r="K64" i="3"/>
  <c r="K55" i="3"/>
  <c r="K68" i="3"/>
  <c r="K52" i="3"/>
  <c r="K65" i="3"/>
  <c r="K75" i="3"/>
  <c r="AK269" i="1"/>
  <c r="AJ272" i="1"/>
  <c r="AE137" i="1"/>
  <c r="AD183" i="1"/>
  <c r="AD15" i="6" s="1"/>
  <c r="P47" i="9" l="1"/>
  <c r="Q60" i="11"/>
  <c r="AL269" i="1"/>
  <c r="AK272" i="1"/>
  <c r="AF346" i="1"/>
  <c r="AE345" i="1"/>
  <c r="AD33" i="8"/>
  <c r="AD57" i="13" s="1"/>
  <c r="AE13" i="9"/>
  <c r="AE13" i="14"/>
  <c r="AE15" i="14" s="1"/>
  <c r="AH152" i="1"/>
  <c r="V36" i="7"/>
  <c r="V30" i="6"/>
  <c r="AB13" i="6"/>
  <c r="AB187" i="1"/>
  <c r="AB19" i="6" s="1"/>
  <c r="Z48" i="13"/>
  <c r="BC83" i="7"/>
  <c r="T86" i="10"/>
  <c r="AH90" i="1"/>
  <c r="AG99" i="1"/>
  <c r="AG102" i="1" s="1"/>
  <c r="X189" i="1"/>
  <c r="W21" i="6"/>
  <c r="W28" i="6" s="1"/>
  <c r="AA186" i="1"/>
  <c r="AA18" i="6" s="1"/>
  <c r="AA35" i="7"/>
  <c r="AA85" i="10"/>
  <c r="X15" i="8"/>
  <c r="X49" i="13"/>
  <c r="X41" i="8"/>
  <c r="S17" i="4"/>
  <c r="S18" i="4"/>
  <c r="S19" i="4" s="1"/>
  <c r="AB28" i="13"/>
  <c r="AB37" i="8"/>
  <c r="AC20" i="9"/>
  <c r="AC16" i="14"/>
  <c r="BH82" i="7"/>
  <c r="AF120" i="4"/>
  <c r="AG114" i="4"/>
  <c r="AG298" i="1"/>
  <c r="AF299" i="1"/>
  <c r="AF32" i="14" s="1"/>
  <c r="AF33" i="14" s="1"/>
  <c r="AD111" i="1"/>
  <c r="AE106" i="1"/>
  <c r="AG53" i="14"/>
  <c r="AG41" i="14"/>
  <c r="AE20" i="6"/>
  <c r="S42" i="8"/>
  <c r="S16" i="8"/>
  <c r="AC7" i="8"/>
  <c r="AC56" i="13" s="1"/>
  <c r="AD13" i="10"/>
  <c r="AD12" i="14"/>
  <c r="AD14" i="14" s="1"/>
  <c r="AD73" i="14" s="1"/>
  <c r="AD45" i="6" s="1"/>
  <c r="AC8" i="6"/>
  <c r="AC11" i="6" s="1"/>
  <c r="AC185" i="1"/>
  <c r="AC17" i="6" s="1"/>
  <c r="AF158" i="1"/>
  <c r="AF188" i="1" s="1"/>
  <c r="AG155" i="1"/>
  <c r="AC73" i="14"/>
  <c r="AC45" i="6" s="1"/>
  <c r="AE74" i="14"/>
  <c r="AE46" i="6" s="1"/>
  <c r="AF84" i="4"/>
  <c r="AF72" i="4"/>
  <c r="AE79" i="4"/>
  <c r="AE34" i="4"/>
  <c r="AF39" i="4"/>
  <c r="AF27" i="4"/>
  <c r="AF28" i="4" s="1"/>
  <c r="AG253" i="1"/>
  <c r="AG14" i="4" s="1"/>
  <c r="AG15" i="4" s="1"/>
  <c r="AG19" i="4" s="1"/>
  <c r="AH250" i="1"/>
  <c r="AE183" i="1"/>
  <c r="AF137" i="1"/>
  <c r="BG82" i="7"/>
  <c r="AG2" i="6"/>
  <c r="AF6" i="6"/>
  <c r="AH33" i="4"/>
  <c r="T17" i="4"/>
  <c r="T18" i="4"/>
  <c r="T19" i="4" s="1"/>
  <c r="U5" i="4"/>
  <c r="U8" i="4" s="1"/>
  <c r="U4" i="4"/>
  <c r="E76" i="4"/>
  <c r="AG78" i="4"/>
  <c r="AF73" i="4"/>
  <c r="AE29" i="6"/>
  <c r="AE39" i="7" s="1"/>
  <c r="AE19" i="7"/>
  <c r="AE21" i="7" s="1"/>
  <c r="AE22" i="6"/>
  <c r="AE25" i="6"/>
  <c r="AE23" i="6"/>
  <c r="AE27" i="6"/>
  <c r="AE24" i="6"/>
  <c r="AE15" i="6"/>
  <c r="AE41" i="6"/>
  <c r="AE38" i="7" s="1"/>
  <c r="AE26" i="6"/>
  <c r="AE16" i="6"/>
  <c r="AE12" i="6"/>
  <c r="BO18" i="7"/>
  <c r="AG18" i="7"/>
  <c r="AE7" i="6"/>
  <c r="AD74" i="14"/>
  <c r="AD46" i="6" s="1"/>
  <c r="AD12" i="9"/>
  <c r="AD14" i="9" s="1"/>
  <c r="AD23" i="9" s="1"/>
  <c r="AD12" i="10"/>
  <c r="AD14" i="10" s="1"/>
  <c r="AD23" i="10" s="1"/>
  <c r="AD94" i="10" s="1"/>
  <c r="W49" i="13"/>
  <c r="W15" i="8"/>
  <c r="W41" i="8"/>
  <c r="AA10" i="13"/>
  <c r="AB70" i="7" s="1"/>
  <c r="AA62" i="8"/>
  <c r="AA11" i="8"/>
  <c r="AB20" i="10"/>
  <c r="AH47" i="14"/>
  <c r="AF48" i="14"/>
  <c r="Y66" i="8"/>
  <c r="Z82" i="7"/>
  <c r="BI35" i="7"/>
  <c r="BI39" i="7"/>
  <c r="BI38" i="7"/>
  <c r="T67" i="8"/>
  <c r="U83" i="7"/>
  <c r="BD36" i="7"/>
  <c r="AC11" i="8" l="1"/>
  <c r="AC62" i="8"/>
  <c r="AC10" i="13"/>
  <c r="AD20" i="10"/>
  <c r="T24" i="4"/>
  <c r="T23" i="4"/>
  <c r="BD83" i="7"/>
  <c r="U86" i="10"/>
  <c r="AG69" i="11"/>
  <c r="AG73" i="11" s="1"/>
  <c r="AE70" i="6"/>
  <c r="AI250" i="1"/>
  <c r="AH253" i="1"/>
  <c r="AH14" i="4" s="1"/>
  <c r="AH15" i="4" s="1"/>
  <c r="AH19" i="4" s="1"/>
  <c r="AD7" i="8"/>
  <c r="AD56" i="13" s="1"/>
  <c r="AE13" i="10"/>
  <c r="AE12" i="14"/>
  <c r="AE14" i="14" s="1"/>
  <c r="AF41" i="6"/>
  <c r="AF38" i="7" s="1"/>
  <c r="AF19" i="7"/>
  <c r="AF21" i="7" s="1"/>
  <c r="AF16" i="6"/>
  <c r="AF22" i="6"/>
  <c r="AF24" i="6"/>
  <c r="AF12" i="6"/>
  <c r="AF26" i="6"/>
  <c r="AF29" i="6"/>
  <c r="AF39" i="7" s="1"/>
  <c r="AF25" i="6"/>
  <c r="AF23" i="6"/>
  <c r="AF27" i="6"/>
  <c r="AB10" i="13"/>
  <c r="AC70" i="7" s="1"/>
  <c r="AB11" i="8"/>
  <c r="AB62" i="8"/>
  <c r="AC20" i="10"/>
  <c r="AF7" i="6"/>
  <c r="S24" i="4"/>
  <c r="S23" i="4"/>
  <c r="AB186" i="1"/>
  <c r="AB18" i="6" s="1"/>
  <c r="AB35" i="7"/>
  <c r="AB85" i="10"/>
  <c r="AG346" i="1"/>
  <c r="AE33" i="8"/>
  <c r="AE57" i="13" s="1"/>
  <c r="AF345" i="1"/>
  <c r="AF13" i="9"/>
  <c r="AF13" i="14"/>
  <c r="AF15" i="14" s="1"/>
  <c r="T16" i="8"/>
  <c r="T42" i="8"/>
  <c r="AG6" i="6"/>
  <c r="AH2" i="6"/>
  <c r="AH155" i="1"/>
  <c r="AG158" i="1"/>
  <c r="AG188" i="1" s="1"/>
  <c r="AH41" i="14"/>
  <c r="AH53" i="14"/>
  <c r="Z66" i="8"/>
  <c r="BJ35" i="7"/>
  <c r="AA82" i="7"/>
  <c r="BJ39" i="7"/>
  <c r="BJ38" i="7"/>
  <c r="V4" i="4"/>
  <c r="W36" i="7"/>
  <c r="W30" i="6"/>
  <c r="Y15" i="8"/>
  <c r="Y41" i="8"/>
  <c r="Y49" i="13"/>
  <c r="AD37" i="8"/>
  <c r="AD28" i="13"/>
  <c r="AE20" i="9"/>
  <c r="AH18" i="7"/>
  <c r="BP18" i="7"/>
  <c r="U18" i="4"/>
  <c r="U19" i="4" s="1"/>
  <c r="U17" i="4"/>
  <c r="AG48" i="14"/>
  <c r="AI47" i="14"/>
  <c r="AH78" i="4"/>
  <c r="AF34" i="4"/>
  <c r="AG27" i="4"/>
  <c r="AG28" i="4" s="1"/>
  <c r="AG39" i="4"/>
  <c r="AF20" i="6"/>
  <c r="AF106" i="1"/>
  <c r="AE111" i="1"/>
  <c r="U67" i="8"/>
  <c r="BE36" i="7"/>
  <c r="V83" i="7"/>
  <c r="AM269" i="1"/>
  <c r="AM272" i="1" s="1"/>
  <c r="AL272" i="1"/>
  <c r="E77" i="4"/>
  <c r="E80" i="4" s="1"/>
  <c r="AD8" i="6"/>
  <c r="AD11" i="6" s="1"/>
  <c r="AD185" i="1"/>
  <c r="AD17" i="6" s="1"/>
  <c r="AC13" i="6"/>
  <c r="AC187" i="1"/>
  <c r="AC19" i="6" s="1"/>
  <c r="Y189" i="1"/>
  <c r="X21" i="6"/>
  <c r="X28" i="6" s="1"/>
  <c r="AF74" i="14"/>
  <c r="AF46" i="6" s="1"/>
  <c r="BI82" i="7"/>
  <c r="AA48" i="13"/>
  <c r="AF183" i="1"/>
  <c r="AF15" i="6" s="1"/>
  <c r="AG137" i="1"/>
  <c r="AD16" i="14"/>
  <c r="AE73" i="14"/>
  <c r="AE45" i="6" s="1"/>
  <c r="AH298" i="1"/>
  <c r="AG299" i="1"/>
  <c r="AG32" i="14" s="1"/>
  <c r="AG33" i="14" s="1"/>
  <c r="P48" i="9"/>
  <c r="R57" i="11"/>
  <c r="AI152" i="1"/>
  <c r="AC28" i="13"/>
  <c r="AC37" i="8"/>
  <c r="AD20" i="9"/>
  <c r="AI33" i="4"/>
  <c r="AG72" i="4"/>
  <c r="AG73" i="4" s="1"/>
  <c r="AG84" i="4"/>
  <c r="AF79" i="4"/>
  <c r="AG120" i="4"/>
  <c r="AH114" i="4"/>
  <c r="AH99" i="1"/>
  <c r="AH102" i="1" s="1"/>
  <c r="AI90" i="1"/>
  <c r="AI99" i="1" s="1"/>
  <c r="AI102" i="1" s="1"/>
  <c r="AI298" i="1" l="1"/>
  <c r="AH299" i="1"/>
  <c r="AH32" i="14" s="1"/>
  <c r="AH33" i="14" s="1"/>
  <c r="AD10" i="13"/>
  <c r="AE70" i="7" s="1"/>
  <c r="AD62" i="8"/>
  <c r="AE20" i="10"/>
  <c r="AD11" i="8"/>
  <c r="U16" i="8"/>
  <c r="U42" i="8"/>
  <c r="AG25" i="6"/>
  <c r="AG12" i="6"/>
  <c r="AG24" i="6"/>
  <c r="AG16" i="6"/>
  <c r="AG23" i="6"/>
  <c r="AG27" i="6"/>
  <c r="AG19" i="7"/>
  <c r="AG21" i="7" s="1"/>
  <c r="AG22" i="6"/>
  <c r="AG26" i="6"/>
  <c r="AG41" i="6"/>
  <c r="AG38" i="7" s="1"/>
  <c r="AG29" i="6"/>
  <c r="AG39" i="7" s="1"/>
  <c r="AE7" i="8"/>
  <c r="AE56" i="13" s="1"/>
  <c r="AF13" i="10"/>
  <c r="AF12" i="14"/>
  <c r="AF14" i="14" s="1"/>
  <c r="AI253" i="1"/>
  <c r="AI14" i="4" s="1"/>
  <c r="AI15" i="4" s="1"/>
  <c r="AI19" i="4" s="1"/>
  <c r="AJ250" i="1"/>
  <c r="AJ33" i="4"/>
  <c r="AE28" i="13"/>
  <c r="AE37" i="8"/>
  <c r="AF20" i="9"/>
  <c r="W4" i="4"/>
  <c r="W5" i="4"/>
  <c r="W8" i="4" s="1"/>
  <c r="W17" i="4" s="1"/>
  <c r="V5" i="4"/>
  <c r="V8" i="4" s="1"/>
  <c r="AH69" i="11"/>
  <c r="AH73" i="11" s="1"/>
  <c r="AF70" i="6"/>
  <c r="AE12" i="9"/>
  <c r="AE14" i="9" s="1"/>
  <c r="AE23" i="9" s="1"/>
  <c r="AE12" i="10"/>
  <c r="AE14" i="10" s="1"/>
  <c r="AE23" i="10" s="1"/>
  <c r="AE94" i="10" s="1"/>
  <c r="AG79" i="4"/>
  <c r="AH84" i="4"/>
  <c r="AH72" i="4"/>
  <c r="E81" i="4"/>
  <c r="E86" i="4"/>
  <c r="AH6" i="6"/>
  <c r="AI2" i="6"/>
  <c r="AI6" i="6" s="1"/>
  <c r="AH73" i="4"/>
  <c r="AI78" i="4"/>
  <c r="AJ152" i="1"/>
  <c r="AK152" i="1" s="1"/>
  <c r="AL152" i="1" s="1"/>
  <c r="AG183" i="1"/>
  <c r="AG15" i="6" s="1"/>
  <c r="AH137" i="1"/>
  <c r="X36" i="7"/>
  <c r="X30" i="6"/>
  <c r="AE8" i="6"/>
  <c r="AE11" i="6" s="1"/>
  <c r="AE185" i="1"/>
  <c r="AE17" i="6" s="1"/>
  <c r="AH48" i="14"/>
  <c r="AJ47" i="14"/>
  <c r="AI48" i="14" s="1"/>
  <c r="V67" i="8"/>
  <c r="W83" i="7"/>
  <c r="BF36" i="7"/>
  <c r="Z41" i="8"/>
  <c r="Z15" i="8"/>
  <c r="Z49" i="13"/>
  <c r="AG345" i="1"/>
  <c r="AH346" i="1"/>
  <c r="AF33" i="8"/>
  <c r="AF57" i="13" s="1"/>
  <c r="AG13" i="9"/>
  <c r="AG13" i="14"/>
  <c r="AG15" i="14" s="1"/>
  <c r="AG74" i="14" s="1"/>
  <c r="AG46" i="6" s="1"/>
  <c r="BQ18" i="7"/>
  <c r="AI18" i="7"/>
  <c r="BJ82" i="7"/>
  <c r="AG106" i="1"/>
  <c r="AF111" i="1"/>
  <c r="P49" i="9"/>
  <c r="R58" i="11"/>
  <c r="AC186" i="1"/>
  <c r="AC18" i="6" s="1"/>
  <c r="AC35" i="7"/>
  <c r="AC85" i="10"/>
  <c r="U23" i="4"/>
  <c r="U24" i="4"/>
  <c r="AA66" i="8"/>
  <c r="BK35" i="7"/>
  <c r="AB82" i="7"/>
  <c r="BK39" i="7"/>
  <c r="BK38" i="7"/>
  <c r="AE16" i="14"/>
  <c r="AF73" i="14"/>
  <c r="AF45" i="6" s="1"/>
  <c r="AD70" i="7"/>
  <c r="Z189" i="1"/>
  <c r="Y21" i="6"/>
  <c r="Y28" i="6" s="1"/>
  <c r="AG7" i="6"/>
  <c r="AH39" i="4"/>
  <c r="AH27" i="4"/>
  <c r="AH28" i="4" s="1"/>
  <c r="AG34" i="4"/>
  <c r="AG20" i="6"/>
  <c r="AC48" i="13"/>
  <c r="AI114" i="4"/>
  <c r="AH120" i="4"/>
  <c r="AI41" i="14"/>
  <c r="AI53" i="14"/>
  <c r="AB48" i="13"/>
  <c r="AD13" i="6"/>
  <c r="AD187" i="1"/>
  <c r="AD19" i="6" s="1"/>
  <c r="BE83" i="7"/>
  <c r="V86" i="10"/>
  <c r="AI155" i="1"/>
  <c r="AH158" i="1"/>
  <c r="AH188" i="1" s="1"/>
  <c r="AH20" i="6" s="1"/>
  <c r="AF28" i="13" l="1"/>
  <c r="AF37" i="8"/>
  <c r="AG20" i="9"/>
  <c r="AI27" i="4"/>
  <c r="AI28" i="4" s="1"/>
  <c r="AH34" i="4"/>
  <c r="AI39" i="4"/>
  <c r="AA189" i="1"/>
  <c r="Z21" i="6"/>
  <c r="Z28" i="6" s="1"/>
  <c r="V16" i="8"/>
  <c r="V42" i="8"/>
  <c r="AD186" i="1"/>
  <c r="AD18" i="6" s="1"/>
  <c r="AD85" i="10"/>
  <c r="AD35" i="7"/>
  <c r="AI69" i="11"/>
  <c r="AI73" i="11" s="1"/>
  <c r="C73" i="11" s="1"/>
  <c r="AG70" i="6"/>
  <c r="AA49" i="13"/>
  <c r="AA15" i="8"/>
  <c r="AA41" i="8"/>
  <c r="Y36" i="7"/>
  <c r="Y30" i="6"/>
  <c r="AI22" i="6"/>
  <c r="AI16" i="6"/>
  <c r="AI29" i="6"/>
  <c r="AI39" i="7" s="1"/>
  <c r="AI24" i="6"/>
  <c r="AI25" i="6"/>
  <c r="AI26" i="6"/>
  <c r="AI27" i="6"/>
  <c r="AI19" i="7"/>
  <c r="AI21" i="7" s="1"/>
  <c r="AI23" i="6"/>
  <c r="AI12" i="6"/>
  <c r="AI41" i="6"/>
  <c r="AK250" i="1"/>
  <c r="AJ253" i="1"/>
  <c r="AH16" i="6"/>
  <c r="AH27" i="6"/>
  <c r="AH26" i="6"/>
  <c r="AH15" i="6"/>
  <c r="AH22" i="6"/>
  <c r="AH23" i="6"/>
  <c r="AH19" i="7"/>
  <c r="AH21" i="7" s="1"/>
  <c r="AH25" i="6"/>
  <c r="AH24" i="6"/>
  <c r="AH12" i="6"/>
  <c r="AH29" i="6"/>
  <c r="AH39" i="7" s="1"/>
  <c r="AH41" i="6"/>
  <c r="AH38" i="7" s="1"/>
  <c r="AE10" i="13"/>
  <c r="AF70" i="7" s="1"/>
  <c r="AE11" i="8"/>
  <c r="AE62" i="8"/>
  <c r="AF20" i="10"/>
  <c r="P50" i="9"/>
  <c r="R59" i="11"/>
  <c r="E82" i="4"/>
  <c r="E89" i="4"/>
  <c r="E116" i="4"/>
  <c r="AF16" i="14"/>
  <c r="AD48" i="13"/>
  <c r="AJ114" i="4"/>
  <c r="AJ120" i="4" s="1"/>
  <c r="AI120" i="4"/>
  <c r="AI137" i="1"/>
  <c r="AH183" i="1"/>
  <c r="AI158" i="1"/>
  <c r="AI188" i="1" s="1"/>
  <c r="AI20" i="6" s="1"/>
  <c r="AJ155" i="1"/>
  <c r="AF8" i="6"/>
  <c r="AF11" i="6" s="1"/>
  <c r="AF185" i="1"/>
  <c r="AF17" i="6" s="1"/>
  <c r="AE13" i="6"/>
  <c r="AE187" i="1"/>
  <c r="AE19" i="6" s="1"/>
  <c r="AI73" i="4"/>
  <c r="AJ78" i="4"/>
  <c r="AH7" i="6"/>
  <c r="AF12" i="9"/>
  <c r="AF14" i="9" s="1"/>
  <c r="AF23" i="9" s="1"/>
  <c r="AF12" i="10"/>
  <c r="AF14" i="10" s="1"/>
  <c r="AF23" i="10" s="1"/>
  <c r="AF94" i="10" s="1"/>
  <c r="AJ41" i="14"/>
  <c r="AJ53" i="14"/>
  <c r="AH106" i="1"/>
  <c r="AG111" i="1"/>
  <c r="X4" i="4"/>
  <c r="X5" i="4"/>
  <c r="X8" i="4" s="1"/>
  <c r="X17" i="4" s="1"/>
  <c r="AI299" i="1"/>
  <c r="AI32" i="14" s="1"/>
  <c r="AI33" i="14" s="1"/>
  <c r="AJ298" i="1"/>
  <c r="AF7" i="8"/>
  <c r="AF56" i="13" s="1"/>
  <c r="AG13" i="10"/>
  <c r="AG12" i="14"/>
  <c r="AG14" i="14" s="1"/>
  <c r="AG73" i="14" s="1"/>
  <c r="AG45" i="6" s="1"/>
  <c r="W23" i="4"/>
  <c r="W24" i="4"/>
  <c r="BK82" i="7"/>
  <c r="AB66" i="8"/>
  <c r="BL35" i="7"/>
  <c r="AC82" i="7"/>
  <c r="BL38" i="7"/>
  <c r="BL39" i="7"/>
  <c r="AH345" i="1"/>
  <c r="AG33" i="8"/>
  <c r="AG57" i="13" s="1"/>
  <c r="AH13" i="9"/>
  <c r="AH13" i="14"/>
  <c r="AH15" i="14" s="1"/>
  <c r="AI74" i="14" s="1"/>
  <c r="BF83" i="7"/>
  <c r="W86" i="10"/>
  <c r="W67" i="8"/>
  <c r="BG36" i="7"/>
  <c r="X83" i="7"/>
  <c r="AI84" i="4"/>
  <c r="AH79" i="4"/>
  <c r="AI72" i="4"/>
  <c r="V18" i="4"/>
  <c r="V19" i="4" s="1"/>
  <c r="E20" i="4" s="1"/>
  <c r="E29" i="4" s="1"/>
  <c r="V17" i="4"/>
  <c r="AI7" i="6"/>
  <c r="E30" i="4" l="1"/>
  <c r="E109" i="4"/>
  <c r="E97" i="4"/>
  <c r="E40" i="4"/>
  <c r="AF10" i="13"/>
  <c r="AG70" i="7" s="1"/>
  <c r="AF11" i="8"/>
  <c r="AF62" i="8"/>
  <c r="AG20" i="10"/>
  <c r="E90" i="4"/>
  <c r="E117" i="4"/>
  <c r="E83" i="4"/>
  <c r="F74" i="4" s="1"/>
  <c r="X23" i="4"/>
  <c r="X24" i="4"/>
  <c r="AE186" i="1"/>
  <c r="AE18" i="6" s="1"/>
  <c r="AE35" i="7"/>
  <c r="AE85" i="10"/>
  <c r="Q47" i="9"/>
  <c r="R60" i="11"/>
  <c r="V23" i="4"/>
  <c r="V24" i="4"/>
  <c r="BG83" i="7"/>
  <c r="X86" i="10"/>
  <c r="AF13" i="6"/>
  <c r="AF187" i="1"/>
  <c r="AF19" i="6" s="1"/>
  <c r="AE48" i="13"/>
  <c r="W16" i="8"/>
  <c r="W42" i="8"/>
  <c r="AI38" i="7"/>
  <c r="AI42" i="6"/>
  <c r="AI46" i="6"/>
  <c r="AG16" i="14"/>
  <c r="AG12" i="9"/>
  <c r="AG14" i="9" s="1"/>
  <c r="AG23" i="9" s="1"/>
  <c r="AG12" i="10"/>
  <c r="AG14" i="10" s="1"/>
  <c r="AG23" i="10" s="1"/>
  <c r="AG94" i="10" s="1"/>
  <c r="AB49" i="13"/>
  <c r="AB15" i="8"/>
  <c r="AB41" i="8"/>
  <c r="AG8" i="6"/>
  <c r="AG11" i="6" s="1"/>
  <c r="AG185" i="1"/>
  <c r="AG17" i="6" s="1"/>
  <c r="AH74" i="14"/>
  <c r="AH46" i="6" s="1"/>
  <c r="E34" i="6"/>
  <c r="Y4" i="4"/>
  <c r="AB189" i="1"/>
  <c r="AA21" i="6"/>
  <c r="AA28" i="6" s="1"/>
  <c r="AJ39" i="4"/>
  <c r="AI34" i="4"/>
  <c r="AJ27" i="4"/>
  <c r="BL82" i="7"/>
  <c r="AJ72" i="4"/>
  <c r="AI79" i="4"/>
  <c r="AJ84" i="4"/>
  <c r="AH70" i="6"/>
  <c r="AG7" i="8"/>
  <c r="AG56" i="13" s="1"/>
  <c r="AH13" i="10"/>
  <c r="AH12" i="14"/>
  <c r="AH14" i="14" s="1"/>
  <c r="AJ299" i="1"/>
  <c r="AK298" i="1"/>
  <c r="AH111" i="1"/>
  <c r="AI106" i="1"/>
  <c r="AI111" i="1" s="1"/>
  <c r="AK155" i="1"/>
  <c r="AJ158" i="1"/>
  <c r="AJ137" i="1"/>
  <c r="AK137" i="1" s="1"/>
  <c r="AL137" i="1" s="1"/>
  <c r="AI183" i="1"/>
  <c r="AI15" i="6" s="1"/>
  <c r="AL250" i="1"/>
  <c r="AK253" i="1"/>
  <c r="X67" i="8"/>
  <c r="BH36" i="7"/>
  <c r="Y83" i="7"/>
  <c r="AC66" i="8"/>
  <c r="BM35" i="7"/>
  <c r="AD82" i="7"/>
  <c r="BM38" i="7"/>
  <c r="BM39" i="7"/>
  <c r="Z36" i="7"/>
  <c r="Z30" i="6"/>
  <c r="Y5" i="4" s="1"/>
  <c r="Y8" i="4" s="1"/>
  <c r="Y17" i="4" s="1"/>
  <c r="Y23" i="4" l="1"/>
  <c r="Y24" i="4"/>
  <c r="AH8" i="6"/>
  <c r="AH11" i="6" s="1"/>
  <c r="AH185" i="1"/>
  <c r="AH17" i="6" s="1"/>
  <c r="AC49" i="13"/>
  <c r="AC41" i="8"/>
  <c r="AC15" i="8"/>
  <c r="AA36" i="7"/>
  <c r="AA30" i="6"/>
  <c r="AK158" i="1"/>
  <c r="AL155" i="1"/>
  <c r="AL158" i="1" s="1"/>
  <c r="AG13" i="6"/>
  <c r="AG187" i="1"/>
  <c r="AG19" i="6" s="1"/>
  <c r="AH28" i="13"/>
  <c r="AH37" i="8"/>
  <c r="AI20" i="9"/>
  <c r="AD66" i="8"/>
  <c r="AE82" i="7"/>
  <c r="BN35" i="7"/>
  <c r="BN38" i="7"/>
  <c r="BN39" i="7"/>
  <c r="AF48" i="13"/>
  <c r="X16" i="8"/>
  <c r="X42" i="8"/>
  <c r="AI8" i="6"/>
  <c r="AI11" i="6" s="1"/>
  <c r="AI185" i="1"/>
  <c r="AI17" i="6" s="1"/>
  <c r="AH12" i="9"/>
  <c r="AH14" i="9" s="1"/>
  <c r="AH23" i="9" s="1"/>
  <c r="E55" i="3" s="1"/>
  <c r="AH12" i="10"/>
  <c r="AH14" i="10" s="1"/>
  <c r="AH23" i="10" s="1"/>
  <c r="AH94" i="10" s="1"/>
  <c r="F75" i="4"/>
  <c r="F85" i="4"/>
  <c r="AH68" i="8"/>
  <c r="AI84" i="7"/>
  <c r="E35" i="6"/>
  <c r="E118" i="4"/>
  <c r="F115" i="4" s="1"/>
  <c r="AL253" i="1"/>
  <c r="AM250" i="1"/>
  <c r="AM253" i="1" s="1"/>
  <c r="AK299" i="1"/>
  <c r="AL298" i="1"/>
  <c r="BM82" i="7"/>
  <c r="AH16" i="14"/>
  <c r="AI73" i="14"/>
  <c r="AC189" i="1"/>
  <c r="AB21" i="6"/>
  <c r="AB28" i="6" s="1"/>
  <c r="Q48" i="9"/>
  <c r="S57" i="11"/>
  <c r="AH73" i="14"/>
  <c r="AH45" i="6" s="1"/>
  <c r="AF186" i="1"/>
  <c r="AF18" i="6" s="1"/>
  <c r="AF85" i="10"/>
  <c r="AF35" i="7"/>
  <c r="E121" i="4"/>
  <c r="Z5" i="4"/>
  <c r="Z8" i="4" s="1"/>
  <c r="Z17" i="4" s="1"/>
  <c r="Z4" i="4"/>
  <c r="AG37" i="8"/>
  <c r="AG28" i="13"/>
  <c r="AH20" i="9"/>
  <c r="Y67" i="8"/>
  <c r="BI36" i="7"/>
  <c r="Z83" i="7"/>
  <c r="Y86" i="10"/>
  <c r="BH83" i="7"/>
  <c r="E91" i="4"/>
  <c r="E57" i="4" s="1"/>
  <c r="C74" i="14"/>
  <c r="E31" i="4"/>
  <c r="AG186" i="1" l="1"/>
  <c r="AG18" i="6" s="1"/>
  <c r="AG35" i="7"/>
  <c r="AG85" i="10"/>
  <c r="BI83" i="7"/>
  <c r="Z86" i="10"/>
  <c r="AD189" i="1"/>
  <c r="AC21" i="6"/>
  <c r="AC28" i="6" s="1"/>
  <c r="F76" i="4"/>
  <c r="BN82" i="7"/>
  <c r="AG10" i="13"/>
  <c r="AH70" i="7" s="1"/>
  <c r="AG11" i="8"/>
  <c r="AG62" i="8"/>
  <c r="AH20" i="10"/>
  <c r="AD49" i="13"/>
  <c r="AD41" i="8"/>
  <c r="AD15" i="8"/>
  <c r="AA4" i="4"/>
  <c r="Y42" i="8"/>
  <c r="Y16" i="8"/>
  <c r="AI45" i="6"/>
  <c r="C73" i="14"/>
  <c r="AL299" i="1"/>
  <c r="AM298" i="1"/>
  <c r="AM299" i="1" s="1"/>
  <c r="Z67" i="8"/>
  <c r="BJ36" i="7"/>
  <c r="AA83" i="7"/>
  <c r="AH13" i="6"/>
  <c r="AH187" i="1"/>
  <c r="AH19" i="6" s="1"/>
  <c r="Z23" i="4"/>
  <c r="Z24" i="4"/>
  <c r="AE66" i="8"/>
  <c r="BO35" i="7"/>
  <c r="AF82" i="7"/>
  <c r="BO38" i="7"/>
  <c r="BO39" i="7"/>
  <c r="E32" i="4"/>
  <c r="E35" i="4" s="1"/>
  <c r="AB36" i="7"/>
  <c r="AB30" i="6"/>
  <c r="AA5" i="4" s="1"/>
  <c r="AA8" i="4" s="1"/>
  <c r="AA17" i="4" s="1"/>
  <c r="S58" i="11"/>
  <c r="Q49" i="9"/>
  <c r="AH17" i="8"/>
  <c r="AH43" i="8"/>
  <c r="AI13" i="6"/>
  <c r="AI187" i="1"/>
  <c r="AI19" i="6" s="1"/>
  <c r="AA24" i="4" l="1"/>
  <c r="AA23" i="4"/>
  <c r="AI186" i="1"/>
  <c r="AI18" i="6" s="1"/>
  <c r="AI35" i="7"/>
  <c r="AG48" i="13"/>
  <c r="F77" i="4"/>
  <c r="F80" i="4" s="1"/>
  <c r="Z42" i="8"/>
  <c r="Z16" i="8"/>
  <c r="AA67" i="8"/>
  <c r="BK36" i="7"/>
  <c r="AB83" i="7"/>
  <c r="AH10" i="13"/>
  <c r="AI70" i="7" s="1"/>
  <c r="AH11" i="8"/>
  <c r="AH62" i="8"/>
  <c r="AH48" i="13" s="1"/>
  <c r="AI20" i="10"/>
  <c r="E41" i="4"/>
  <c r="E36" i="4"/>
  <c r="AH186" i="1"/>
  <c r="AH18" i="6" s="1"/>
  <c r="AH35" i="7"/>
  <c r="AH85" i="10"/>
  <c r="BO82" i="7"/>
  <c r="BJ83" i="7"/>
  <c r="AA86" i="10"/>
  <c r="AF66" i="8"/>
  <c r="BP35" i="7"/>
  <c r="AG82" i="7"/>
  <c r="BP38" i="7"/>
  <c r="BP39" i="7"/>
  <c r="AB4" i="4"/>
  <c r="AB5" i="4"/>
  <c r="AB8" i="4" s="1"/>
  <c r="AB17" i="4" s="1"/>
  <c r="Q50" i="9"/>
  <c r="S59" i="11"/>
  <c r="AC36" i="7"/>
  <c r="AC30" i="6"/>
  <c r="AE49" i="13"/>
  <c r="AE15" i="8"/>
  <c r="AE41" i="8"/>
  <c r="AE189" i="1"/>
  <c r="AD21" i="6"/>
  <c r="AD28" i="6" s="1"/>
  <c r="AB86" i="10" l="1"/>
  <c r="BK83" i="7"/>
  <c r="AH66" i="8"/>
  <c r="AI82" i="7"/>
  <c r="BR35" i="7"/>
  <c r="BR37" i="7"/>
  <c r="BR39" i="7"/>
  <c r="BR38" i="7"/>
  <c r="AB67" i="8"/>
  <c r="AC83" i="7"/>
  <c r="BL36" i="7"/>
  <c r="E37" i="4"/>
  <c r="E44" i="4"/>
  <c r="E110" i="4"/>
  <c r="F81" i="4"/>
  <c r="F86" i="4"/>
  <c r="AG66" i="8"/>
  <c r="BQ35" i="7"/>
  <c r="AH82" i="7"/>
  <c r="BQ39" i="7"/>
  <c r="BQ38" i="7"/>
  <c r="AD36" i="7"/>
  <c r="AD30" i="6"/>
  <c r="AC4" i="4"/>
  <c r="AC5" i="4"/>
  <c r="AC8" i="4" s="1"/>
  <c r="AC17" i="4" s="1"/>
  <c r="AF189" i="1"/>
  <c r="AE21" i="6"/>
  <c r="AE28" i="6" s="1"/>
  <c r="BP82" i="7"/>
  <c r="AA42" i="8"/>
  <c r="AA16" i="8"/>
  <c r="R47" i="9"/>
  <c r="S60" i="11"/>
  <c r="AB23" i="4"/>
  <c r="AB24" i="4"/>
  <c r="AF49" i="13"/>
  <c r="AF41" i="8"/>
  <c r="AF15" i="8"/>
  <c r="F82" i="4" l="1"/>
  <c r="F89" i="4"/>
  <c r="F116" i="4"/>
  <c r="BL83" i="7"/>
  <c r="AC86" i="10"/>
  <c r="BQ82" i="7"/>
  <c r="R48" i="9"/>
  <c r="T57" i="11"/>
  <c r="AE36" i="7"/>
  <c r="AE30" i="6"/>
  <c r="AD5" i="4"/>
  <c r="AD8" i="4" s="1"/>
  <c r="AD17" i="4" s="1"/>
  <c r="AD4" i="4"/>
  <c r="AG49" i="13"/>
  <c r="AG15" i="8"/>
  <c r="AG41" i="8"/>
  <c r="AG189" i="1"/>
  <c r="AF21" i="6"/>
  <c r="AF28" i="6" s="1"/>
  <c r="AC67" i="8"/>
  <c r="BM36" i="7"/>
  <c r="AD83" i="7"/>
  <c r="E45" i="4"/>
  <c r="E111" i="4"/>
  <c r="E38" i="4"/>
  <c r="F29" i="4" s="1"/>
  <c r="AC24" i="4"/>
  <c r="AC23" i="4"/>
  <c r="AB16" i="8"/>
  <c r="AB42" i="8"/>
  <c r="BR82" i="7"/>
  <c r="BR84" i="7"/>
  <c r="E32" i="6"/>
  <c r="E122" i="4"/>
  <c r="AH41" i="8"/>
  <c r="AH15" i="8"/>
  <c r="AH49" i="13"/>
  <c r="E46" i="4"/>
  <c r="E12" i="4" s="1"/>
  <c r="E98" i="4"/>
  <c r="F34" i="6" l="1"/>
  <c r="E33" i="6"/>
  <c r="E36" i="6" s="1"/>
  <c r="E123" i="4"/>
  <c r="E112" i="4"/>
  <c r="AH189" i="1"/>
  <c r="AG21" i="6"/>
  <c r="AG28" i="6" s="1"/>
  <c r="AE4" i="4"/>
  <c r="H55" i="2"/>
  <c r="E48" i="7"/>
  <c r="E99" i="4"/>
  <c r="E101" i="4" s="1"/>
  <c r="AD67" i="8"/>
  <c r="AE83" i="7"/>
  <c r="BN36" i="7"/>
  <c r="AD86" i="10"/>
  <c r="BM83" i="7"/>
  <c r="AC16" i="8"/>
  <c r="AC42" i="8"/>
  <c r="F91" i="4"/>
  <c r="F57" i="4" s="1"/>
  <c r="R49" i="9"/>
  <c r="T58" i="11"/>
  <c r="F40" i="4"/>
  <c r="F97" i="4"/>
  <c r="F30" i="4"/>
  <c r="AF36" i="7"/>
  <c r="AF30" i="6"/>
  <c r="AD23" i="4"/>
  <c r="AD24" i="4"/>
  <c r="F90" i="4"/>
  <c r="F117" i="4"/>
  <c r="F83" i="4"/>
  <c r="G74" i="4" s="1"/>
  <c r="D70" i="8" l="1"/>
  <c r="AN48" i="7"/>
  <c r="AG36" i="7"/>
  <c r="AG30" i="6"/>
  <c r="AF5" i="4" s="1"/>
  <c r="AF8" i="4" s="1"/>
  <c r="AF17" i="4" s="1"/>
  <c r="AF4" i="4"/>
  <c r="BN83" i="7"/>
  <c r="AE86" i="10"/>
  <c r="AI189" i="1"/>
  <c r="AI21" i="6" s="1"/>
  <c r="AI28" i="6" s="1"/>
  <c r="AH21" i="6"/>
  <c r="AH28" i="6" s="1"/>
  <c r="AE67" i="8"/>
  <c r="BO36" i="7"/>
  <c r="AF83" i="7"/>
  <c r="R50" i="9"/>
  <c r="T59" i="11"/>
  <c r="F109" i="4"/>
  <c r="E124" i="4"/>
  <c r="G75" i="4"/>
  <c r="G85" i="4"/>
  <c r="F31" i="4"/>
  <c r="AD16" i="8"/>
  <c r="AD42" i="8"/>
  <c r="AE5" i="4"/>
  <c r="AE8" i="4" s="1"/>
  <c r="AE17" i="4" s="1"/>
  <c r="F35" i="6"/>
  <c r="F118" i="4"/>
  <c r="G115" i="4" s="1"/>
  <c r="E100" i="4"/>
  <c r="AF23" i="4" l="1"/>
  <c r="AF24" i="4"/>
  <c r="AE16" i="8"/>
  <c r="AE42" i="8"/>
  <c r="D52" i="13"/>
  <c r="D60" i="13" s="1"/>
  <c r="E63" i="7"/>
  <c r="F32" i="4"/>
  <c r="F35" i="4" s="1"/>
  <c r="AE24" i="4"/>
  <c r="AE23" i="4"/>
  <c r="S47" i="9"/>
  <c r="T60" i="11"/>
  <c r="BO83" i="7"/>
  <c r="AF86" i="10"/>
  <c r="D45" i="8"/>
  <c r="D19" i="8"/>
  <c r="F121" i="4"/>
  <c r="AH36" i="7"/>
  <c r="AH30" i="6"/>
  <c r="AG5" i="4"/>
  <c r="AG8" i="4" s="1"/>
  <c r="AG17" i="4" s="1"/>
  <c r="AG4" i="4"/>
  <c r="G76" i="4"/>
  <c r="AI36" i="7"/>
  <c r="AI30" i="6"/>
  <c r="AF67" i="8"/>
  <c r="BP36" i="7"/>
  <c r="AG83" i="7"/>
  <c r="BP83" i="7" l="1"/>
  <c r="AG86" i="10"/>
  <c r="AG23" i="4"/>
  <c r="AG24" i="4"/>
  <c r="AI4" i="4"/>
  <c r="AI5" i="4"/>
  <c r="AH67" i="8"/>
  <c r="BR36" i="7"/>
  <c r="AI40" i="7"/>
  <c r="AI83" i="7"/>
  <c r="AH4" i="4"/>
  <c r="AH5" i="4"/>
  <c r="AH8" i="4" s="1"/>
  <c r="AH17" i="4" s="1"/>
  <c r="AG67" i="8"/>
  <c r="BQ36" i="7"/>
  <c r="AH83" i="7"/>
  <c r="G77" i="4"/>
  <c r="G80" i="4" s="1"/>
  <c r="F41" i="4"/>
  <c r="F36" i="4"/>
  <c r="AF16" i="8"/>
  <c r="AF42" i="8"/>
  <c r="S48" i="9"/>
  <c r="U57" i="11"/>
  <c r="G86" i="4" l="1"/>
  <c r="G81" i="4"/>
  <c r="AH42" i="8"/>
  <c r="AH16" i="8"/>
  <c r="S49" i="9"/>
  <c r="U58" i="11"/>
  <c r="AI8" i="4"/>
  <c r="AI17" i="4" s="1"/>
  <c r="D5" i="4"/>
  <c r="BQ83" i="7"/>
  <c r="AH86" i="10"/>
  <c r="D4" i="4"/>
  <c r="BR83" i="7"/>
  <c r="AI85" i="7"/>
  <c r="F37" i="4"/>
  <c r="F110" i="4"/>
  <c r="F44" i="4"/>
  <c r="BR40" i="7"/>
  <c r="AI41" i="7"/>
  <c r="AG16" i="8"/>
  <c r="AG42" i="8"/>
  <c r="AH23" i="4"/>
  <c r="AH24" i="4"/>
  <c r="F32" i="6" l="1"/>
  <c r="F122" i="4"/>
  <c r="F45" i="4"/>
  <c r="F111" i="4"/>
  <c r="F38" i="4"/>
  <c r="G29" i="4" s="1"/>
  <c r="AI23" i="4"/>
  <c r="AI24" i="4"/>
  <c r="BR85" i="7"/>
  <c r="G82" i="4"/>
  <c r="G116" i="4"/>
  <c r="G89" i="4"/>
  <c r="S50" i="9"/>
  <c r="U59" i="11"/>
  <c r="F98" i="4"/>
  <c r="F46" i="4"/>
  <c r="F12" i="4" s="1"/>
  <c r="BR41" i="7"/>
  <c r="G117" i="4" l="1"/>
  <c r="G90" i="4"/>
  <c r="G91" i="4" s="1"/>
  <c r="G57" i="4" s="1"/>
  <c r="G83" i="4"/>
  <c r="H74" i="4" s="1"/>
  <c r="F33" i="6"/>
  <c r="F123" i="4"/>
  <c r="F112" i="4"/>
  <c r="F99" i="4"/>
  <c r="T47" i="9"/>
  <c r="U60" i="11"/>
  <c r="F48" i="7"/>
  <c r="I55" i="2"/>
  <c r="F36" i="6"/>
  <c r="G40" i="4"/>
  <c r="G97" i="4"/>
  <c r="G30" i="4"/>
  <c r="G34" i="6"/>
  <c r="F101" i="4"/>
  <c r="G31" i="4" l="1"/>
  <c r="F124" i="4"/>
  <c r="G109" i="4"/>
  <c r="E37" i="6"/>
  <c r="H75" i="4"/>
  <c r="H85" i="4"/>
  <c r="T48" i="9"/>
  <c r="V57" i="11"/>
  <c r="E70" i="8"/>
  <c r="AO48" i="7"/>
  <c r="F100" i="4"/>
  <c r="G35" i="6"/>
  <c r="G118" i="4"/>
  <c r="H115" i="4" s="1"/>
  <c r="H76" i="4" l="1"/>
  <c r="G121" i="4"/>
  <c r="F63" i="7"/>
  <c r="G32" i="4"/>
  <c r="G35" i="4" s="1"/>
  <c r="T49" i="9"/>
  <c r="V58" i="11"/>
  <c r="E45" i="8"/>
  <c r="E19" i="8"/>
  <c r="E40" i="6"/>
  <c r="E42" i="6" s="1"/>
  <c r="E38" i="6"/>
  <c r="E43" i="6" s="1"/>
  <c r="E47" i="6" l="1"/>
  <c r="T50" i="9"/>
  <c r="V59" i="11"/>
  <c r="G41" i="4"/>
  <c r="G36" i="4"/>
  <c r="H77" i="4"/>
  <c r="H80" i="4" s="1"/>
  <c r="H81" i="4" l="1"/>
  <c r="H86" i="4"/>
  <c r="U47" i="9"/>
  <c r="V60" i="11"/>
  <c r="G37" i="4"/>
  <c r="G44" i="4"/>
  <c r="G110" i="4"/>
  <c r="G46" i="4" l="1"/>
  <c r="G12" i="4" s="1"/>
  <c r="G98" i="4"/>
  <c r="G45" i="4"/>
  <c r="G111" i="4"/>
  <c r="G38" i="4"/>
  <c r="H29" i="4" s="1"/>
  <c r="U48" i="9"/>
  <c r="W57" i="11"/>
  <c r="G32" i="6"/>
  <c r="G122" i="4"/>
  <c r="H82" i="4"/>
  <c r="H89" i="4"/>
  <c r="H116" i="4"/>
  <c r="J55" i="2" l="1"/>
  <c r="H34" i="6"/>
  <c r="H30" i="4"/>
  <c r="H97" i="4"/>
  <c r="H40" i="4"/>
  <c r="U49" i="9"/>
  <c r="W58" i="11"/>
  <c r="H91" i="4"/>
  <c r="H57" i="4" s="1"/>
  <c r="G33" i="6"/>
  <c r="G123" i="4"/>
  <c r="G112" i="4"/>
  <c r="H90" i="4"/>
  <c r="H117" i="4"/>
  <c r="H83" i="4"/>
  <c r="I74" i="4" s="1"/>
  <c r="G99" i="4"/>
  <c r="G48" i="7"/>
  <c r="G36" i="6"/>
  <c r="G101" i="4"/>
  <c r="H35" i="6" l="1"/>
  <c r="H118" i="4"/>
  <c r="I115" i="4" s="1"/>
  <c r="U50" i="9"/>
  <c r="W59" i="11"/>
  <c r="G124" i="4"/>
  <c r="H109" i="4"/>
  <c r="F70" i="8"/>
  <c r="AP48" i="7"/>
  <c r="G100" i="4"/>
  <c r="H31" i="4"/>
  <c r="I75" i="4"/>
  <c r="I85" i="4"/>
  <c r="F37" i="6"/>
  <c r="F19" i="8" l="1"/>
  <c r="F45" i="8"/>
  <c r="H121" i="4"/>
  <c r="G63" i="7"/>
  <c r="H32" i="4"/>
  <c r="H35" i="4" s="1"/>
  <c r="F40" i="6"/>
  <c r="F42" i="6" s="1"/>
  <c r="F38" i="6"/>
  <c r="F43" i="6" s="1"/>
  <c r="V47" i="9"/>
  <c r="W60" i="11"/>
  <c r="I76" i="4"/>
  <c r="V48" i="9" l="1"/>
  <c r="X57" i="11"/>
  <c r="F47" i="6"/>
  <c r="E22" i="14"/>
  <c r="E24" i="14" s="1"/>
  <c r="E26" i="14" s="1"/>
  <c r="E35" i="14" s="1"/>
  <c r="I77" i="4"/>
  <c r="I80" i="4" s="1"/>
  <c r="H36" i="4"/>
  <c r="H41" i="4"/>
  <c r="E36" i="14" l="1"/>
  <c r="I86" i="4"/>
  <c r="I81" i="4"/>
  <c r="V49" i="9"/>
  <c r="X58" i="11"/>
  <c r="H37" i="4"/>
  <c r="H110" i="4"/>
  <c r="H44" i="4"/>
  <c r="V50" i="9" l="1"/>
  <c r="X59" i="11"/>
  <c r="I82" i="4"/>
  <c r="I116" i="4"/>
  <c r="I89" i="4"/>
  <c r="H98" i="4"/>
  <c r="H32" i="6"/>
  <c r="H122" i="4"/>
  <c r="H45" i="4"/>
  <c r="H46" i="4" s="1"/>
  <c r="H12" i="4" s="1"/>
  <c r="H111" i="4"/>
  <c r="H38" i="4"/>
  <c r="I29" i="4" s="1"/>
  <c r="K55" i="2" l="1"/>
  <c r="I34" i="6"/>
  <c r="W47" i="9"/>
  <c r="X60" i="11"/>
  <c r="H99" i="4"/>
  <c r="H48" i="7"/>
  <c r="I117" i="4"/>
  <c r="I90" i="4"/>
  <c r="I91" i="4" s="1"/>
  <c r="I57" i="4" s="1"/>
  <c r="I83" i="4"/>
  <c r="J74" i="4" s="1"/>
  <c r="I97" i="4"/>
  <c r="I40" i="4"/>
  <c r="I30" i="4"/>
  <c r="H33" i="6"/>
  <c r="H36" i="6" s="1"/>
  <c r="H123" i="4"/>
  <c r="H112" i="4"/>
  <c r="G37" i="6" l="1"/>
  <c r="H100" i="4"/>
  <c r="I35" i="6"/>
  <c r="I118" i="4"/>
  <c r="J115" i="4" s="1"/>
  <c r="H101" i="4"/>
  <c r="I31" i="4"/>
  <c r="W48" i="9"/>
  <c r="Y57" i="11"/>
  <c r="J85" i="4"/>
  <c r="J75" i="4"/>
  <c r="G70" i="8"/>
  <c r="AQ48" i="7"/>
  <c r="I109" i="4"/>
  <c r="H124" i="4"/>
  <c r="J76" i="4" l="1"/>
  <c r="W49" i="9"/>
  <c r="Y58" i="11"/>
  <c r="I32" i="4"/>
  <c r="I35" i="4" s="1"/>
  <c r="G19" i="8"/>
  <c r="G45" i="8"/>
  <c r="H63" i="7"/>
  <c r="I121" i="4"/>
  <c r="G40" i="6"/>
  <c r="G42" i="6" s="1"/>
  <c r="G38" i="6"/>
  <c r="G43" i="6" s="1"/>
  <c r="I36" i="4" l="1"/>
  <c r="I41" i="4"/>
  <c r="W50" i="9"/>
  <c r="Y59" i="11"/>
  <c r="G47" i="6"/>
  <c r="F22" i="14"/>
  <c r="F24" i="14" s="1"/>
  <c r="F26" i="14" s="1"/>
  <c r="F35" i="14" s="1"/>
  <c r="J77" i="4"/>
  <c r="J80" i="4" s="1"/>
  <c r="J81" i="4" l="1"/>
  <c r="J86" i="4"/>
  <c r="X47" i="9"/>
  <c r="Y60" i="11"/>
  <c r="F36" i="14"/>
  <c r="I37" i="4"/>
  <c r="I44" i="4"/>
  <c r="I110" i="4"/>
  <c r="J82" i="4" l="1"/>
  <c r="J116" i="4"/>
  <c r="J34" i="6" s="1"/>
  <c r="J89" i="4"/>
  <c r="I45" i="4"/>
  <c r="I111" i="4"/>
  <c r="I38" i="4"/>
  <c r="J29" i="4" s="1"/>
  <c r="I32" i="6"/>
  <c r="I122" i="4"/>
  <c r="X48" i="9"/>
  <c r="Z57" i="11"/>
  <c r="I98" i="4"/>
  <c r="I46" i="4"/>
  <c r="I12" i="4" s="1"/>
  <c r="J90" i="4" l="1"/>
  <c r="J91" i="4" s="1"/>
  <c r="J57" i="4" s="1"/>
  <c r="J117" i="4"/>
  <c r="J83" i="4"/>
  <c r="K74" i="4" s="1"/>
  <c r="L55" i="2"/>
  <c r="I99" i="4"/>
  <c r="I101" i="4" s="1"/>
  <c r="X49" i="9"/>
  <c r="Z58" i="11"/>
  <c r="J40" i="4"/>
  <c r="J97" i="4"/>
  <c r="J30" i="4"/>
  <c r="I33" i="6"/>
  <c r="I36" i="6" s="1"/>
  <c r="I123" i="4"/>
  <c r="I112" i="4"/>
  <c r="I48" i="7"/>
  <c r="H37" i="6" l="1"/>
  <c r="H70" i="8"/>
  <c r="AR48" i="7"/>
  <c r="J31" i="4"/>
  <c r="I124" i="4"/>
  <c r="J109" i="4"/>
  <c r="K85" i="4"/>
  <c r="K75" i="4"/>
  <c r="X50" i="9"/>
  <c r="Z59" i="11"/>
  <c r="J35" i="6"/>
  <c r="J118" i="4"/>
  <c r="K115" i="4" s="1"/>
  <c r="I100" i="4"/>
  <c r="K76" i="4" l="1"/>
  <c r="J121" i="4"/>
  <c r="H45" i="8"/>
  <c r="H19" i="8"/>
  <c r="I63" i="7"/>
  <c r="Y47" i="9"/>
  <c r="Z60" i="11"/>
  <c r="J32" i="4"/>
  <c r="J35" i="4" s="1"/>
  <c r="H40" i="6"/>
  <c r="H42" i="6" s="1"/>
  <c r="H38" i="6"/>
  <c r="J36" i="4" l="1"/>
  <c r="J41" i="4"/>
  <c r="K77" i="4"/>
  <c r="K80" i="4" s="1"/>
  <c r="H43" i="6"/>
  <c r="Y48" i="9"/>
  <c r="AA57" i="11"/>
  <c r="Y49" i="9" l="1"/>
  <c r="AA58" i="11"/>
  <c r="H47" i="6"/>
  <c r="G22" i="14"/>
  <c r="G24" i="14" s="1"/>
  <c r="G26" i="14" s="1"/>
  <c r="G35" i="14" s="1"/>
  <c r="J37" i="4"/>
  <c r="J110" i="4"/>
  <c r="J44" i="4"/>
  <c r="K81" i="4"/>
  <c r="K86" i="4"/>
  <c r="Y50" i="9" l="1"/>
  <c r="AA59" i="11"/>
  <c r="J32" i="6"/>
  <c r="J122" i="4"/>
  <c r="J48" i="7" s="1"/>
  <c r="J45" i="4"/>
  <c r="J99" i="4" s="1"/>
  <c r="J100" i="4" s="1"/>
  <c r="J111" i="4"/>
  <c r="J38" i="4"/>
  <c r="K29" i="4" s="1"/>
  <c r="G36" i="14"/>
  <c r="K82" i="4"/>
  <c r="K116" i="4"/>
  <c r="K34" i="6" s="1"/>
  <c r="K89" i="4"/>
  <c r="J98" i="4"/>
  <c r="J101" i="4" s="1"/>
  <c r="J46" i="4"/>
  <c r="J12" i="4" s="1"/>
  <c r="M55" i="2" s="1"/>
  <c r="Z47" i="9" l="1"/>
  <c r="AA60" i="11"/>
  <c r="K40" i="4"/>
  <c r="K97" i="4"/>
  <c r="K30" i="4"/>
  <c r="J33" i="6"/>
  <c r="J36" i="6" s="1"/>
  <c r="J123" i="4"/>
  <c r="J112" i="4"/>
  <c r="K90" i="4"/>
  <c r="K91" i="4" s="1"/>
  <c r="K57" i="4" s="1"/>
  <c r="K117" i="4"/>
  <c r="K83" i="4"/>
  <c r="L74" i="4" s="1"/>
  <c r="I70" i="8"/>
  <c r="AS48" i="7"/>
  <c r="I37" i="6" l="1"/>
  <c r="I19" i="8"/>
  <c r="I45" i="8"/>
  <c r="L75" i="4"/>
  <c r="L85" i="4"/>
  <c r="K31" i="4"/>
  <c r="K35" i="6"/>
  <c r="K118" i="4"/>
  <c r="L115" i="4" s="1"/>
  <c r="K109" i="4"/>
  <c r="J124" i="4"/>
  <c r="Z48" i="9"/>
  <c r="AB57" i="11"/>
  <c r="K121" i="4" l="1"/>
  <c r="K32" i="4"/>
  <c r="K35" i="4" s="1"/>
  <c r="L76" i="4"/>
  <c r="Z49" i="9"/>
  <c r="AB58" i="11"/>
  <c r="I40" i="6"/>
  <c r="I42" i="6" s="1"/>
  <c r="I38" i="6"/>
  <c r="I43" i="6" s="1"/>
  <c r="J63" i="7"/>
  <c r="I47" i="6" l="1"/>
  <c r="H22" i="14"/>
  <c r="H24" i="14" s="1"/>
  <c r="H26" i="14" s="1"/>
  <c r="H35" i="14" s="1"/>
  <c r="K41" i="4"/>
  <c r="K36" i="4"/>
  <c r="Z50" i="9"/>
  <c r="AB59" i="11"/>
  <c r="L77" i="4"/>
  <c r="L80" i="4" s="1"/>
  <c r="AA47" i="9" l="1"/>
  <c r="AB60" i="11"/>
  <c r="K37" i="4"/>
  <c r="K44" i="4"/>
  <c r="K110" i="4"/>
  <c r="L86" i="4"/>
  <c r="L81" i="4"/>
  <c r="H36" i="14"/>
  <c r="L82" i="4" l="1"/>
  <c r="L116" i="4"/>
  <c r="L34" i="6" s="1"/>
  <c r="L89" i="4"/>
  <c r="K45" i="4"/>
  <c r="K99" i="4" s="1"/>
  <c r="K100" i="4" s="1"/>
  <c r="K111" i="4"/>
  <c r="K38" i="4"/>
  <c r="L29" i="4" s="1"/>
  <c r="K32" i="6"/>
  <c r="K122" i="4"/>
  <c r="K48" i="7" s="1"/>
  <c r="K98" i="4"/>
  <c r="AA48" i="9"/>
  <c r="AC57" i="11"/>
  <c r="K36" i="6" l="1"/>
  <c r="L40" i="4"/>
  <c r="L97" i="4"/>
  <c r="L30" i="4"/>
  <c r="K33" i="6"/>
  <c r="K123" i="4"/>
  <c r="K112" i="4"/>
  <c r="AA49" i="9"/>
  <c r="AC58" i="11"/>
  <c r="K46" i="4"/>
  <c r="K12" i="4" s="1"/>
  <c r="N55" i="2" s="1"/>
  <c r="L91" i="4"/>
  <c r="L57" i="4" s="1"/>
  <c r="K101" i="4"/>
  <c r="J70" i="8"/>
  <c r="AT48" i="7"/>
  <c r="L117" i="4"/>
  <c r="L90" i="4"/>
  <c r="L83" i="4"/>
  <c r="M74" i="4" s="1"/>
  <c r="M75" i="4" l="1"/>
  <c r="M85" i="4"/>
  <c r="L31" i="4"/>
  <c r="L35" i="6"/>
  <c r="L118" i="4"/>
  <c r="M115" i="4" s="1"/>
  <c r="L109" i="4"/>
  <c r="K124" i="4"/>
  <c r="J19" i="8"/>
  <c r="J45" i="8"/>
  <c r="AA50" i="9"/>
  <c r="AC59" i="11"/>
  <c r="J37" i="6"/>
  <c r="AB47" i="9" l="1"/>
  <c r="AC60" i="11"/>
  <c r="K63" i="7"/>
  <c r="L121" i="4"/>
  <c r="L32" i="4"/>
  <c r="L35" i="4" s="1"/>
  <c r="J40" i="6"/>
  <c r="J42" i="6" s="1"/>
  <c r="J38" i="6"/>
  <c r="J43" i="6" s="1"/>
  <c r="M76" i="4"/>
  <c r="AB48" i="9" l="1"/>
  <c r="AD57" i="11"/>
  <c r="J47" i="6"/>
  <c r="I22" i="14"/>
  <c r="I24" i="14" s="1"/>
  <c r="I26" i="14" s="1"/>
  <c r="I35" i="14" s="1"/>
  <c r="L36" i="4"/>
  <c r="L41" i="4"/>
  <c r="M77" i="4"/>
  <c r="M80" i="4" s="1"/>
  <c r="L37" i="4" l="1"/>
  <c r="L44" i="4"/>
  <c r="L110" i="4"/>
  <c r="M86" i="4"/>
  <c r="M81" i="4"/>
  <c r="I36" i="14"/>
  <c r="AB49" i="9"/>
  <c r="AD58" i="11"/>
  <c r="M82" i="4" l="1"/>
  <c r="M116" i="4"/>
  <c r="M34" i="6" s="1"/>
  <c r="M89" i="4"/>
  <c r="AB50" i="9"/>
  <c r="AD59" i="11"/>
  <c r="L32" i="6"/>
  <c r="L122" i="4"/>
  <c r="L48" i="7" s="1"/>
  <c r="L46" i="4"/>
  <c r="L12" i="4" s="1"/>
  <c r="O55" i="2" s="1"/>
  <c r="L98" i="4"/>
  <c r="L101" i="4" s="1"/>
  <c r="L111" i="4"/>
  <c r="L45" i="4"/>
  <c r="L99" i="4" s="1"/>
  <c r="L100" i="4" s="1"/>
  <c r="L38" i="4"/>
  <c r="M29" i="4" s="1"/>
  <c r="L36" i="6" l="1"/>
  <c r="AC47" i="9"/>
  <c r="AD60" i="11"/>
  <c r="K70" i="8"/>
  <c r="AU48" i="7"/>
  <c r="M30" i="4"/>
  <c r="M40" i="4"/>
  <c r="M97" i="4"/>
  <c r="L33" i="6"/>
  <c r="L123" i="4"/>
  <c r="L112" i="4"/>
  <c r="M91" i="4"/>
  <c r="M57" i="4" s="1"/>
  <c r="M90" i="4"/>
  <c r="M117" i="4"/>
  <c r="M83" i="4"/>
  <c r="N74" i="4" s="1"/>
  <c r="N75" i="4" l="1"/>
  <c r="N85" i="4"/>
  <c r="M35" i="6"/>
  <c r="M118" i="4"/>
  <c r="N115" i="4" s="1"/>
  <c r="K37" i="6"/>
  <c r="M31" i="4"/>
  <c r="L124" i="4"/>
  <c r="M109" i="4"/>
  <c r="K19" i="8"/>
  <c r="K45" i="8"/>
  <c r="AC48" i="9"/>
  <c r="AE57" i="11"/>
  <c r="AC49" i="9" l="1"/>
  <c r="AE58" i="11"/>
  <c r="N76" i="4"/>
  <c r="K40" i="6"/>
  <c r="K42" i="6" s="1"/>
  <c r="K38" i="6"/>
  <c r="K43" i="6" s="1"/>
  <c r="L63" i="7"/>
  <c r="M32" i="4"/>
  <c r="M35" i="4" s="1"/>
  <c r="M121" i="4"/>
  <c r="M41" i="4" l="1"/>
  <c r="M36" i="4"/>
  <c r="K47" i="6"/>
  <c r="J22" i="14"/>
  <c r="J24" i="14" s="1"/>
  <c r="J26" i="14" s="1"/>
  <c r="J35" i="14" s="1"/>
  <c r="AC50" i="9"/>
  <c r="AE59" i="11"/>
  <c r="N77" i="4"/>
  <c r="N80" i="4" s="1"/>
  <c r="J36" i="14" l="1"/>
  <c r="AD47" i="9"/>
  <c r="AE60" i="11"/>
  <c r="N81" i="4"/>
  <c r="N86" i="4"/>
  <c r="M37" i="4"/>
  <c r="M110" i="4"/>
  <c r="M44" i="4"/>
  <c r="AD48" i="9" l="1"/>
  <c r="AF57" i="11"/>
  <c r="M45" i="4"/>
  <c r="M99" i="4" s="1"/>
  <c r="M100" i="4" s="1"/>
  <c r="M111" i="4"/>
  <c r="M38" i="4"/>
  <c r="N29" i="4" s="1"/>
  <c r="N82" i="4"/>
  <c r="N89" i="4"/>
  <c r="N116" i="4"/>
  <c r="N34" i="6" s="1"/>
  <c r="M46" i="4"/>
  <c r="M12" i="4" s="1"/>
  <c r="P55" i="2" s="1"/>
  <c r="M98" i="4"/>
  <c r="M101" i="4" s="1"/>
  <c r="M32" i="6"/>
  <c r="M122" i="4"/>
  <c r="M48" i="7" s="1"/>
  <c r="AD49" i="9" l="1"/>
  <c r="AF58" i="11"/>
  <c r="N90" i="4"/>
  <c r="N117" i="4"/>
  <c r="N83" i="4"/>
  <c r="O74" i="4" s="1"/>
  <c r="L70" i="8"/>
  <c r="AV48" i="7"/>
  <c r="N30" i="4"/>
  <c r="N40" i="4"/>
  <c r="N97" i="4"/>
  <c r="M36" i="6"/>
  <c r="M33" i="6"/>
  <c r="M123" i="4"/>
  <c r="M112" i="4"/>
  <c r="N91" i="4"/>
  <c r="N57" i="4" s="1"/>
  <c r="M124" i="4" l="1"/>
  <c r="N109" i="4"/>
  <c r="L45" i="8"/>
  <c r="L19" i="8"/>
  <c r="L37" i="6"/>
  <c r="O75" i="4"/>
  <c r="O85" i="4"/>
  <c r="N35" i="6"/>
  <c r="N118" i="4"/>
  <c r="O115" i="4" s="1"/>
  <c r="N31" i="4"/>
  <c r="AD50" i="9"/>
  <c r="AF59" i="11"/>
  <c r="L40" i="6" l="1"/>
  <c r="L42" i="6" s="1"/>
  <c r="L38" i="6"/>
  <c r="AE47" i="9"/>
  <c r="AF60" i="11"/>
  <c r="O76" i="4"/>
  <c r="N121" i="4"/>
  <c r="N32" i="4"/>
  <c r="N35" i="4" s="1"/>
  <c r="M63" i="7"/>
  <c r="O77" i="4" l="1"/>
  <c r="O80" i="4" s="1"/>
  <c r="N36" i="4"/>
  <c r="N41" i="4"/>
  <c r="AE48" i="9"/>
  <c r="AG57" i="11"/>
  <c r="L43" i="6"/>
  <c r="O86" i="4" l="1"/>
  <c r="O81" i="4"/>
  <c r="AE49" i="9"/>
  <c r="AG58" i="11"/>
  <c r="N37" i="4"/>
  <c r="N110" i="4"/>
  <c r="N44" i="4"/>
  <c r="L47" i="6"/>
  <c r="K22" i="14"/>
  <c r="K24" i="14" s="1"/>
  <c r="K26" i="14" s="1"/>
  <c r="K35" i="14" s="1"/>
  <c r="N32" i="6" l="1"/>
  <c r="N122" i="4"/>
  <c r="N48" i="7" s="1"/>
  <c r="N45" i="4"/>
  <c r="N99" i="4" s="1"/>
  <c r="N100" i="4" s="1"/>
  <c r="N111" i="4"/>
  <c r="N38" i="4"/>
  <c r="O29" i="4" s="1"/>
  <c r="AE50" i="9"/>
  <c r="AG59" i="11"/>
  <c r="K36" i="14"/>
  <c r="O82" i="4"/>
  <c r="O116" i="4"/>
  <c r="O34" i="6" s="1"/>
  <c r="O89" i="4"/>
  <c r="N46" i="4"/>
  <c r="N12" i="4" s="1"/>
  <c r="Q55" i="2" s="1"/>
  <c r="N98" i="4"/>
  <c r="N101" i="4" s="1"/>
  <c r="O40" i="4" l="1"/>
  <c r="O30" i="4"/>
  <c r="O97" i="4"/>
  <c r="N33" i="6"/>
  <c r="N123" i="4"/>
  <c r="N112" i="4"/>
  <c r="O90" i="4"/>
  <c r="O91" i="4" s="1"/>
  <c r="O57" i="4" s="1"/>
  <c r="O117" i="4"/>
  <c r="O83" i="4"/>
  <c r="P74" i="4" s="1"/>
  <c r="AF47" i="9"/>
  <c r="AG60" i="11"/>
  <c r="M70" i="8"/>
  <c r="AW48" i="7"/>
  <c r="N36" i="6"/>
  <c r="M37" i="6" l="1"/>
  <c r="O109" i="4"/>
  <c r="N124" i="4"/>
  <c r="M45" i="8"/>
  <c r="M19" i="8"/>
  <c r="AF48" i="9"/>
  <c r="AH57" i="11"/>
  <c r="P75" i="4"/>
  <c r="P85" i="4"/>
  <c r="O31" i="4"/>
  <c r="O35" i="6"/>
  <c r="O118" i="4"/>
  <c r="P115" i="4" s="1"/>
  <c r="AF49" i="9" l="1"/>
  <c r="AH58" i="11"/>
  <c r="P76" i="4"/>
  <c r="N63" i="7"/>
  <c r="O121" i="4"/>
  <c r="O32" i="4"/>
  <c r="O35" i="4" s="1"/>
  <c r="M40" i="6"/>
  <c r="M42" i="6" s="1"/>
  <c r="M38" i="6"/>
  <c r="O41" i="4" l="1"/>
  <c r="O36" i="4"/>
  <c r="P77" i="4"/>
  <c r="P80" i="4" s="1"/>
  <c r="M43" i="6"/>
  <c r="AF50" i="9"/>
  <c r="AH59" i="11"/>
  <c r="M47" i="6" l="1"/>
  <c r="L22" i="14"/>
  <c r="L24" i="14" s="1"/>
  <c r="L26" i="14" s="1"/>
  <c r="L35" i="14" s="1"/>
  <c r="P81" i="4"/>
  <c r="P86" i="4"/>
  <c r="O37" i="4"/>
  <c r="O110" i="4"/>
  <c r="O44" i="4"/>
  <c r="AG47" i="9"/>
  <c r="AH60" i="11"/>
  <c r="O98" i="4" l="1"/>
  <c r="O101" i="4" s="1"/>
  <c r="O46" i="4"/>
  <c r="O12" i="4" s="1"/>
  <c r="H59" i="2" s="1"/>
  <c r="O32" i="6"/>
  <c r="O122" i="4"/>
  <c r="O48" i="7" s="1"/>
  <c r="O111" i="4"/>
  <c r="O45" i="4"/>
  <c r="O99" i="4" s="1"/>
  <c r="O100" i="4" s="1"/>
  <c r="O38" i="4"/>
  <c r="P29" i="4" s="1"/>
  <c r="P82" i="4"/>
  <c r="P116" i="4"/>
  <c r="P34" i="6" s="1"/>
  <c r="P89" i="4"/>
  <c r="AG48" i="9"/>
  <c r="AI57" i="11"/>
  <c r="L36" i="14"/>
  <c r="P97" i="4" l="1"/>
  <c r="P30" i="4"/>
  <c r="P40" i="4"/>
  <c r="O33" i="6"/>
  <c r="O36" i="6" s="1"/>
  <c r="O123" i="4"/>
  <c r="O112" i="4"/>
  <c r="AG49" i="9"/>
  <c r="AI58" i="11"/>
  <c r="N70" i="8"/>
  <c r="AX48" i="7"/>
  <c r="P90" i="4"/>
  <c r="P91" i="4" s="1"/>
  <c r="P57" i="4" s="1"/>
  <c r="P117" i="4"/>
  <c r="P83" i="4"/>
  <c r="Q74" i="4" s="1"/>
  <c r="N37" i="6" l="1"/>
  <c r="AG50" i="9"/>
  <c r="AI59" i="11"/>
  <c r="O124" i="4"/>
  <c r="P109" i="4"/>
  <c r="P35" i="6"/>
  <c r="P118" i="4"/>
  <c r="Q115" i="4" s="1"/>
  <c r="P31" i="4"/>
  <c r="Q75" i="4"/>
  <c r="Q85" i="4"/>
  <c r="N19" i="8"/>
  <c r="N45" i="8"/>
  <c r="Q76" i="4" l="1"/>
  <c r="P121" i="4"/>
  <c r="N40" i="6"/>
  <c r="N42" i="6" s="1"/>
  <c r="N38" i="6"/>
  <c r="N43" i="6" s="1"/>
  <c r="P32" i="4"/>
  <c r="P35" i="4" s="1"/>
  <c r="O63" i="7"/>
  <c r="AH47" i="9"/>
  <c r="AH48" i="9" s="1"/>
  <c r="AH49" i="9" s="1"/>
  <c r="AH50" i="9" s="1"/>
  <c r="AI47" i="9" s="1"/>
  <c r="AI48" i="9" s="1"/>
  <c r="AI49" i="9" s="1"/>
  <c r="AI50" i="9" s="1"/>
  <c r="AI60" i="11"/>
  <c r="N47" i="6" l="1"/>
  <c r="M22" i="14"/>
  <c r="M24" i="14" s="1"/>
  <c r="M26" i="14" s="1"/>
  <c r="M35" i="14" s="1"/>
  <c r="P41" i="4"/>
  <c r="P36" i="4"/>
  <c r="Q77" i="4"/>
  <c r="Q80" i="4" s="1"/>
  <c r="Q81" i="4" l="1"/>
  <c r="Q86" i="4"/>
  <c r="P37" i="4"/>
  <c r="P110" i="4"/>
  <c r="P44" i="4"/>
  <c r="M36" i="14"/>
  <c r="P46" i="4" l="1"/>
  <c r="P12" i="4" s="1"/>
  <c r="I59" i="2" s="1"/>
  <c r="P98" i="4"/>
  <c r="P101" i="4" s="1"/>
  <c r="P32" i="6"/>
  <c r="P122" i="4"/>
  <c r="P48" i="7" s="1"/>
  <c r="P45" i="4"/>
  <c r="P99" i="4" s="1"/>
  <c r="P100" i="4" s="1"/>
  <c r="P111" i="4"/>
  <c r="P38" i="4"/>
  <c r="Q29" i="4" s="1"/>
  <c r="Q82" i="4"/>
  <c r="Q89" i="4"/>
  <c r="Q116" i="4"/>
  <c r="Q34" i="6" s="1"/>
  <c r="Q30" i="4" l="1"/>
  <c r="Q97" i="4"/>
  <c r="Q40" i="4"/>
  <c r="P33" i="6"/>
  <c r="P36" i="6" s="1"/>
  <c r="P123" i="4"/>
  <c r="P112" i="4"/>
  <c r="Q117" i="4"/>
  <c r="Q90" i="4"/>
  <c r="Q91" i="4" s="1"/>
  <c r="Q57" i="4" s="1"/>
  <c r="Q83" i="4"/>
  <c r="R74" i="4" s="1"/>
  <c r="O70" i="8"/>
  <c r="AY48" i="7"/>
  <c r="O37" i="6" l="1"/>
  <c r="R85" i="4"/>
  <c r="R75" i="4"/>
  <c r="Q35" i="6"/>
  <c r="Q118" i="4"/>
  <c r="R115" i="4" s="1"/>
  <c r="Q109" i="4"/>
  <c r="P124" i="4"/>
  <c r="O19" i="8"/>
  <c r="O45" i="8"/>
  <c r="Q31" i="4"/>
  <c r="Q32" i="4" l="1"/>
  <c r="Q35" i="4" s="1"/>
  <c r="Q121" i="4"/>
  <c r="P63" i="7"/>
  <c r="R76" i="4"/>
  <c r="O40" i="6"/>
  <c r="O42" i="6" s="1"/>
  <c r="O38" i="6"/>
  <c r="O43" i="6" l="1"/>
  <c r="R77" i="4"/>
  <c r="R80" i="4" s="1"/>
  <c r="Q36" i="4"/>
  <c r="Q41" i="4"/>
  <c r="Q37" i="4" l="1"/>
  <c r="Q44" i="4"/>
  <c r="Q110" i="4"/>
  <c r="R81" i="4"/>
  <c r="R86" i="4"/>
  <c r="O47" i="6"/>
  <c r="N22" i="14"/>
  <c r="N24" i="14" s="1"/>
  <c r="N26" i="14" s="1"/>
  <c r="N35" i="14" s="1"/>
  <c r="Q46" i="4" l="1"/>
  <c r="Q12" i="4" s="1"/>
  <c r="J59" i="2" s="1"/>
  <c r="Q98" i="4"/>
  <c r="R82" i="4"/>
  <c r="R116" i="4"/>
  <c r="R34" i="6" s="1"/>
  <c r="R89" i="4"/>
  <c r="Q32" i="6"/>
  <c r="Q122" i="4"/>
  <c r="Q48" i="7" s="1"/>
  <c r="Q111" i="4"/>
  <c r="Q45" i="4"/>
  <c r="Q99" i="4" s="1"/>
  <c r="Q100" i="4" s="1"/>
  <c r="Q38" i="4"/>
  <c r="R29" i="4" s="1"/>
  <c r="N36" i="14"/>
  <c r="Q33" i="6" l="1"/>
  <c r="Q36" i="6" s="1"/>
  <c r="Q123" i="4"/>
  <c r="Q112" i="4"/>
  <c r="P70" i="8"/>
  <c r="AZ48" i="7"/>
  <c r="R30" i="4"/>
  <c r="R97" i="4"/>
  <c r="R40" i="4"/>
  <c r="R90" i="4"/>
  <c r="R91" i="4" s="1"/>
  <c r="R57" i="4" s="1"/>
  <c r="R117" i="4"/>
  <c r="R83" i="4"/>
  <c r="S74" i="4" s="1"/>
  <c r="Q101" i="4"/>
  <c r="P37" i="6" l="1"/>
  <c r="R31" i="4"/>
  <c r="S85" i="4"/>
  <c r="S75" i="4"/>
  <c r="R35" i="6"/>
  <c r="R118" i="4"/>
  <c r="S115" i="4" s="1"/>
  <c r="P19" i="8"/>
  <c r="P45" i="8"/>
  <c r="R109" i="4"/>
  <c r="Q124" i="4"/>
  <c r="P40" i="6" l="1"/>
  <c r="P42" i="6" s="1"/>
  <c r="P38" i="6"/>
  <c r="P43" i="6" s="1"/>
  <c r="Q63" i="7"/>
  <c r="R121" i="4"/>
  <c r="R32" i="4"/>
  <c r="R35" i="4" s="1"/>
  <c r="S76" i="4"/>
  <c r="S77" i="4" l="1"/>
  <c r="S80" i="4" s="1"/>
  <c r="R36" i="4"/>
  <c r="R41" i="4"/>
  <c r="P47" i="6"/>
  <c r="O22" i="14"/>
  <c r="O24" i="14" s="1"/>
  <c r="O26" i="14" s="1"/>
  <c r="O35" i="14" s="1"/>
  <c r="S81" i="4" l="1"/>
  <c r="S86" i="4"/>
  <c r="R37" i="4"/>
  <c r="R44" i="4"/>
  <c r="R110" i="4"/>
  <c r="O36" i="14"/>
  <c r="R111" i="4" l="1"/>
  <c r="R45" i="4"/>
  <c r="R99" i="4" s="1"/>
  <c r="R100" i="4" s="1"/>
  <c r="R38" i="4"/>
  <c r="S29" i="4" s="1"/>
  <c r="R32" i="6"/>
  <c r="R122" i="4"/>
  <c r="R48" i="7" s="1"/>
  <c r="R46" i="4"/>
  <c r="R12" i="4" s="1"/>
  <c r="K59" i="2" s="1"/>
  <c r="R98" i="4"/>
  <c r="R101" i="4" s="1"/>
  <c r="S82" i="4"/>
  <c r="S89" i="4"/>
  <c r="S116" i="4"/>
  <c r="S34" i="6" s="1"/>
  <c r="Q70" i="8" l="1"/>
  <c r="BA48" i="7"/>
  <c r="R36" i="6"/>
  <c r="R33" i="6"/>
  <c r="R123" i="4"/>
  <c r="R112" i="4"/>
  <c r="S40" i="4"/>
  <c r="S97" i="4"/>
  <c r="S30" i="4"/>
  <c r="S117" i="4"/>
  <c r="S90" i="4"/>
  <c r="S91" i="4" s="1"/>
  <c r="S57" i="4" s="1"/>
  <c r="S83" i="4"/>
  <c r="T74" i="4" s="1"/>
  <c r="S35" i="6" l="1"/>
  <c r="S118" i="4"/>
  <c r="T115" i="4" s="1"/>
  <c r="T75" i="4"/>
  <c r="T85" i="4"/>
  <c r="R124" i="4"/>
  <c r="S109" i="4"/>
  <c r="Q37" i="6"/>
  <c r="S31" i="4"/>
  <c r="Q45" i="8"/>
  <c r="Q19" i="8"/>
  <c r="S121" i="4" l="1"/>
  <c r="R63" i="7"/>
  <c r="T76" i="4"/>
  <c r="S32" i="4"/>
  <c r="S35" i="4" s="1"/>
  <c r="Q40" i="6"/>
  <c r="Q42" i="6" s="1"/>
  <c r="Q38" i="6"/>
  <c r="Q43" i="6" l="1"/>
  <c r="T77" i="4"/>
  <c r="T80" i="4" s="1"/>
  <c r="S36" i="4"/>
  <c r="S41" i="4"/>
  <c r="Q47" i="6" l="1"/>
  <c r="P22" i="14"/>
  <c r="P24" i="14" s="1"/>
  <c r="P26" i="14" s="1"/>
  <c r="P35" i="14" s="1"/>
  <c r="S37" i="4"/>
  <c r="S44" i="4"/>
  <c r="S110" i="4"/>
  <c r="T86" i="4"/>
  <c r="T81" i="4"/>
  <c r="T82" i="4" l="1"/>
  <c r="T89" i="4"/>
  <c r="T116" i="4"/>
  <c r="T34" i="6" s="1"/>
  <c r="S32" i="6"/>
  <c r="S122" i="4"/>
  <c r="S48" i="7" s="1"/>
  <c r="S98" i="4"/>
  <c r="S45" i="4"/>
  <c r="S99" i="4" s="1"/>
  <c r="S100" i="4" s="1"/>
  <c r="S111" i="4"/>
  <c r="S38" i="4"/>
  <c r="T29" i="4" s="1"/>
  <c r="P36" i="14"/>
  <c r="S46" i="4" l="1"/>
  <c r="S12" i="4" s="1"/>
  <c r="L59" i="2" s="1"/>
  <c r="S101" i="4"/>
  <c r="R70" i="8"/>
  <c r="BB48" i="7"/>
  <c r="T40" i="4"/>
  <c r="T97" i="4"/>
  <c r="T30" i="4"/>
  <c r="S33" i="6"/>
  <c r="S36" i="6" s="1"/>
  <c r="S123" i="4"/>
  <c r="S112" i="4"/>
  <c r="T117" i="4"/>
  <c r="T90" i="4"/>
  <c r="T91" i="4" s="1"/>
  <c r="T57" i="4" s="1"/>
  <c r="T83" i="4"/>
  <c r="U74" i="4" s="1"/>
  <c r="R37" i="6" l="1"/>
  <c r="T35" i="6"/>
  <c r="T118" i="4"/>
  <c r="U115" i="4" s="1"/>
  <c r="U75" i="4"/>
  <c r="U85" i="4"/>
  <c r="T109" i="4"/>
  <c r="S124" i="4"/>
  <c r="R45" i="8"/>
  <c r="R19" i="8"/>
  <c r="T31" i="4"/>
  <c r="U76" i="4" l="1"/>
  <c r="R40" i="6"/>
  <c r="R42" i="6" s="1"/>
  <c r="R38" i="6"/>
  <c r="T32" i="4"/>
  <c r="T35" i="4" s="1"/>
  <c r="S63" i="7"/>
  <c r="T121" i="4"/>
  <c r="R43" i="6" l="1"/>
  <c r="T41" i="4"/>
  <c r="T36" i="4"/>
  <c r="U77" i="4"/>
  <c r="U80" i="4" s="1"/>
  <c r="R47" i="6" l="1"/>
  <c r="Q22" i="14"/>
  <c r="Q24" i="14" s="1"/>
  <c r="Q26" i="14" s="1"/>
  <c r="Q35" i="14" s="1"/>
  <c r="U86" i="4"/>
  <c r="U81" i="4"/>
  <c r="T37" i="4"/>
  <c r="T44" i="4"/>
  <c r="T110" i="4"/>
  <c r="U82" i="4" l="1"/>
  <c r="U116" i="4"/>
  <c r="U34" i="6" s="1"/>
  <c r="U89" i="4"/>
  <c r="T32" i="6"/>
  <c r="T122" i="4"/>
  <c r="T48" i="7" s="1"/>
  <c r="T98" i="4"/>
  <c r="T111" i="4"/>
  <c r="T45" i="4"/>
  <c r="T99" i="4" s="1"/>
  <c r="T100" i="4" s="1"/>
  <c r="T38" i="4"/>
  <c r="U29" i="4" s="1"/>
  <c r="Q36" i="14"/>
  <c r="T36" i="6" l="1"/>
  <c r="U30" i="4"/>
  <c r="U40" i="4"/>
  <c r="U97" i="4"/>
  <c r="T101" i="4"/>
  <c r="T46" i="4"/>
  <c r="T12" i="4" s="1"/>
  <c r="M59" i="2" s="1"/>
  <c r="S70" i="8"/>
  <c r="BC48" i="7"/>
  <c r="T33" i="6"/>
  <c r="T123" i="4"/>
  <c r="T112" i="4"/>
  <c r="U90" i="4"/>
  <c r="U91" i="4" s="1"/>
  <c r="U57" i="4" s="1"/>
  <c r="U117" i="4"/>
  <c r="U83" i="4"/>
  <c r="V74" i="4" s="1"/>
  <c r="U35" i="6" l="1"/>
  <c r="U118" i="4"/>
  <c r="V115" i="4" s="1"/>
  <c r="S19" i="8"/>
  <c r="S45" i="8"/>
  <c r="T124" i="4"/>
  <c r="U109" i="4"/>
  <c r="V75" i="4"/>
  <c r="V85" i="4"/>
  <c r="U31" i="4"/>
  <c r="S37" i="6"/>
  <c r="S40" i="6" l="1"/>
  <c r="S42" i="6" s="1"/>
  <c r="S38" i="6"/>
  <c r="U121" i="4"/>
  <c r="T63" i="7"/>
  <c r="U32" i="4"/>
  <c r="U35" i="4" s="1"/>
  <c r="V76" i="4"/>
  <c r="V77" i="4" l="1"/>
  <c r="V80" i="4" s="1"/>
  <c r="U41" i="4"/>
  <c r="U36" i="4"/>
  <c r="S43" i="6"/>
  <c r="U37" i="4" l="1"/>
  <c r="U44" i="4"/>
  <c r="U110" i="4"/>
  <c r="S47" i="6"/>
  <c r="R22" i="14"/>
  <c r="R24" i="14" s="1"/>
  <c r="R26" i="14" s="1"/>
  <c r="R35" i="14" s="1"/>
  <c r="V81" i="4"/>
  <c r="V86" i="4"/>
  <c r="V82" i="4" l="1"/>
  <c r="V89" i="4"/>
  <c r="V116" i="4"/>
  <c r="V34" i="6" s="1"/>
  <c r="R36" i="14"/>
  <c r="U46" i="4"/>
  <c r="U12" i="4" s="1"/>
  <c r="N59" i="2" s="1"/>
  <c r="U98" i="4"/>
  <c r="U101" i="4" s="1"/>
  <c r="U32" i="6"/>
  <c r="U122" i="4"/>
  <c r="U48" i="7" s="1"/>
  <c r="U111" i="4"/>
  <c r="U45" i="4"/>
  <c r="U99" i="4" s="1"/>
  <c r="U100" i="4" s="1"/>
  <c r="U38" i="4"/>
  <c r="V29" i="4" s="1"/>
  <c r="U36" i="6" l="1"/>
  <c r="V91" i="4"/>
  <c r="V57" i="4" s="1"/>
  <c r="V30" i="4"/>
  <c r="V97" i="4"/>
  <c r="V40" i="4"/>
  <c r="U33" i="6"/>
  <c r="U123" i="4"/>
  <c r="U112" i="4"/>
  <c r="T70" i="8"/>
  <c r="BD48" i="7"/>
  <c r="V117" i="4"/>
  <c r="V90" i="4"/>
  <c r="V83" i="4"/>
  <c r="W74" i="4" s="1"/>
  <c r="U124" i="4" l="1"/>
  <c r="V109" i="4"/>
  <c r="W75" i="4"/>
  <c r="W85" i="4"/>
  <c r="V35" i="6"/>
  <c r="V118" i="4"/>
  <c r="W115" i="4" s="1"/>
  <c r="V31" i="4"/>
  <c r="T19" i="8"/>
  <c r="T45" i="8"/>
  <c r="T37" i="6"/>
  <c r="T40" i="6" l="1"/>
  <c r="T42" i="6" s="1"/>
  <c r="T38" i="6"/>
  <c r="W76" i="4"/>
  <c r="V32" i="4"/>
  <c r="V35" i="4" s="1"/>
  <c r="V121" i="4"/>
  <c r="U63" i="7"/>
  <c r="W77" i="4" l="1"/>
  <c r="W80" i="4" s="1"/>
  <c r="V36" i="4"/>
  <c r="V41" i="4"/>
  <c r="T43" i="6"/>
  <c r="V37" i="4" l="1"/>
  <c r="V44" i="4"/>
  <c r="V110" i="4"/>
  <c r="W86" i="4"/>
  <c r="W81" i="4"/>
  <c r="T47" i="6"/>
  <c r="S22" i="14"/>
  <c r="S24" i="14" s="1"/>
  <c r="S26" i="14" s="1"/>
  <c r="S35" i="14" s="1"/>
  <c r="S36" i="14" l="1"/>
  <c r="V98" i="4"/>
  <c r="V101" i="4" s="1"/>
  <c r="W82" i="4"/>
  <c r="W89" i="4"/>
  <c r="W116" i="4"/>
  <c r="W34" i="6" s="1"/>
  <c r="V32" i="6"/>
  <c r="V122" i="4"/>
  <c r="V48" i="7" s="1"/>
  <c r="V45" i="4"/>
  <c r="V99" i="4" s="1"/>
  <c r="V100" i="4" s="1"/>
  <c r="V111" i="4"/>
  <c r="V38" i="4"/>
  <c r="W29" i="4" s="1"/>
  <c r="W90" i="4" l="1"/>
  <c r="W117" i="4"/>
  <c r="W83" i="4"/>
  <c r="X74" i="4" s="1"/>
  <c r="V46" i="4"/>
  <c r="V12" i="4" s="1"/>
  <c r="U70" i="8"/>
  <c r="BE48" i="7"/>
  <c r="W30" i="4"/>
  <c r="W40" i="4"/>
  <c r="W97" i="4"/>
  <c r="W91" i="4"/>
  <c r="W57" i="4" s="1"/>
  <c r="V33" i="6"/>
  <c r="V36" i="6" s="1"/>
  <c r="V123" i="4"/>
  <c r="V112" i="4"/>
  <c r="U37" i="6" l="1"/>
  <c r="U45" i="8"/>
  <c r="U19" i="8"/>
  <c r="C236" i="1"/>
  <c r="O59" i="2"/>
  <c r="W31" i="4"/>
  <c r="W35" i="6"/>
  <c r="W118" i="4"/>
  <c r="X115" i="4" s="1"/>
  <c r="X85" i="4"/>
  <c r="X75" i="4"/>
  <c r="V124" i="4"/>
  <c r="W109" i="4"/>
  <c r="W121" i="4" l="1"/>
  <c r="U40" i="6"/>
  <c r="U42" i="6" s="1"/>
  <c r="U38" i="6"/>
  <c r="V63" i="7"/>
  <c r="W32" i="4"/>
  <c r="W35" i="4" s="1"/>
  <c r="X76" i="4"/>
  <c r="X77" i="4" l="1"/>
  <c r="X80" i="4" s="1"/>
  <c r="U43" i="6"/>
  <c r="W41" i="4"/>
  <c r="W36" i="4"/>
  <c r="U47" i="6" l="1"/>
  <c r="T22" i="14"/>
  <c r="T24" i="14" s="1"/>
  <c r="T26" i="14" s="1"/>
  <c r="T35" i="14" s="1"/>
  <c r="X81" i="4"/>
  <c r="X86" i="4"/>
  <c r="W37" i="4"/>
  <c r="W110" i="4"/>
  <c r="W44" i="4"/>
  <c r="W32" i="6" l="1"/>
  <c r="W122" i="4"/>
  <c r="W48" i="7" s="1"/>
  <c r="W45" i="4"/>
  <c r="W99" i="4" s="1"/>
  <c r="W100" i="4" s="1"/>
  <c r="W111" i="4"/>
  <c r="W38" i="4"/>
  <c r="X29" i="4" s="1"/>
  <c r="T36" i="14"/>
  <c r="W98" i="4"/>
  <c r="W101" i="4" s="1"/>
  <c r="W46" i="4"/>
  <c r="W12" i="4" s="1"/>
  <c r="X82" i="4"/>
  <c r="X89" i="4"/>
  <c r="X116" i="4"/>
  <c r="X34" i="6" s="1"/>
  <c r="X40" i="4" l="1"/>
  <c r="X97" i="4"/>
  <c r="X30" i="4"/>
  <c r="W33" i="6"/>
  <c r="W123" i="4"/>
  <c r="W112" i="4"/>
  <c r="X90" i="4"/>
  <c r="X91" i="4" s="1"/>
  <c r="X57" i="4" s="1"/>
  <c r="D236" i="1" s="1"/>
  <c r="X117" i="4"/>
  <c r="X83" i="4"/>
  <c r="Y74" i="4" s="1"/>
  <c r="C237" i="1"/>
  <c r="P59" i="2"/>
  <c r="V70" i="8"/>
  <c r="BF48" i="7"/>
  <c r="W36" i="6"/>
  <c r="V19" i="8" l="1"/>
  <c r="V45" i="8"/>
  <c r="X31" i="4"/>
  <c r="Y85" i="4"/>
  <c r="Y75" i="4"/>
  <c r="W124" i="4"/>
  <c r="X109" i="4"/>
  <c r="V37" i="6"/>
  <c r="X35" i="6"/>
  <c r="X118" i="4"/>
  <c r="Y115" i="4" s="1"/>
  <c r="V40" i="6" l="1"/>
  <c r="V42" i="6" s="1"/>
  <c r="V38" i="6"/>
  <c r="X32" i="4"/>
  <c r="X35" i="4" s="1"/>
  <c r="X121" i="4"/>
  <c r="W63" i="7"/>
  <c r="Y76" i="4"/>
  <c r="X41" i="4" l="1"/>
  <c r="X36" i="4"/>
  <c r="V43" i="6"/>
  <c r="Y77" i="4"/>
  <c r="Y80" i="4" s="1"/>
  <c r="V47" i="6" l="1"/>
  <c r="U22" i="14"/>
  <c r="U24" i="14" s="1"/>
  <c r="U26" i="14" s="1"/>
  <c r="U35" i="14" s="1"/>
  <c r="Y86" i="4"/>
  <c r="Y81" i="4"/>
  <c r="X37" i="4"/>
  <c r="X44" i="4"/>
  <c r="X110" i="4"/>
  <c r="X32" i="6" l="1"/>
  <c r="X122" i="4"/>
  <c r="X48" i="7" s="1"/>
  <c r="X111" i="4"/>
  <c r="X45" i="4"/>
  <c r="X99" i="4" s="1"/>
  <c r="X100" i="4" s="1"/>
  <c r="X38" i="4"/>
  <c r="Y29" i="4" s="1"/>
  <c r="Y82" i="4"/>
  <c r="Y89" i="4"/>
  <c r="Y116" i="4"/>
  <c r="Y34" i="6" s="1"/>
  <c r="X98" i="4"/>
  <c r="X46" i="4"/>
  <c r="X12" i="4" s="1"/>
  <c r="Q59" i="2" s="1"/>
  <c r="U36" i="14"/>
  <c r="W70" i="8" l="1"/>
  <c r="BG48" i="7"/>
  <c r="Y90" i="4"/>
  <c r="Y91" i="4" s="1"/>
  <c r="Y57" i="4" s="1"/>
  <c r="D237" i="1" s="1"/>
  <c r="Y117" i="4"/>
  <c r="Y83" i="4"/>
  <c r="Z74" i="4" s="1"/>
  <c r="X101" i="4"/>
  <c r="X33" i="6"/>
  <c r="X36" i="6" s="1"/>
  <c r="X123" i="4"/>
  <c r="X112" i="4"/>
  <c r="Y97" i="4"/>
  <c r="Y40" i="4"/>
  <c r="Y30" i="4"/>
  <c r="W37" i="6" l="1"/>
  <c r="W19" i="8"/>
  <c r="W45" i="8"/>
  <c r="Y31" i="4"/>
  <c r="Z75" i="4"/>
  <c r="Z85" i="4"/>
  <c r="Y35" i="6"/>
  <c r="Y118" i="4"/>
  <c r="Z115" i="4" s="1"/>
  <c r="Y109" i="4"/>
  <c r="X124" i="4"/>
  <c r="W40" i="6" l="1"/>
  <c r="W42" i="6" s="1"/>
  <c r="W38" i="6"/>
  <c r="W43" i="6" s="1"/>
  <c r="Y32" i="4"/>
  <c r="Y35" i="4" s="1"/>
  <c r="Y121" i="4"/>
  <c r="Z76" i="4"/>
  <c r="X63" i="7"/>
  <c r="Y41" i="4" l="1"/>
  <c r="Y36" i="4"/>
  <c r="Z77" i="4"/>
  <c r="Z80" i="4" s="1"/>
  <c r="W47" i="6"/>
  <c r="V22" i="14"/>
  <c r="V24" i="14" s="1"/>
  <c r="V26" i="14" s="1"/>
  <c r="V35" i="14" s="1"/>
  <c r="Z86" i="4" l="1"/>
  <c r="Z81" i="4"/>
  <c r="V36" i="14"/>
  <c r="Y37" i="4"/>
  <c r="Y110" i="4"/>
  <c r="Y44" i="4"/>
  <c r="Y32" i="6" l="1"/>
  <c r="Y122" i="4"/>
  <c r="Y48" i="7" s="1"/>
  <c r="Y45" i="4"/>
  <c r="Y99" i="4" s="1"/>
  <c r="Y100" i="4" s="1"/>
  <c r="Y111" i="4"/>
  <c r="Y38" i="4"/>
  <c r="Z29" i="4" s="1"/>
  <c r="Z82" i="4"/>
  <c r="Z89" i="4"/>
  <c r="Z116" i="4"/>
  <c r="Z34" i="6" s="1"/>
  <c r="Y98" i="4"/>
  <c r="Y101" i="4" s="1"/>
  <c r="Z90" i="4" l="1"/>
  <c r="Z117" i="4"/>
  <c r="Z83" i="4"/>
  <c r="AA74" i="4" s="1"/>
  <c r="Y33" i="6"/>
  <c r="Y36" i="6" s="1"/>
  <c r="Y123" i="4"/>
  <c r="Y112" i="4"/>
  <c r="Y46" i="4"/>
  <c r="Y12" i="4" s="1"/>
  <c r="Z91" i="4"/>
  <c r="Z57" i="4" s="1"/>
  <c r="Z30" i="4"/>
  <c r="Z40" i="4"/>
  <c r="Z97" i="4"/>
  <c r="X70" i="8"/>
  <c r="BH48" i="7"/>
  <c r="X37" i="6" l="1"/>
  <c r="X45" i="8"/>
  <c r="X19" i="8"/>
  <c r="Z35" i="6"/>
  <c r="Z118" i="4"/>
  <c r="AA115" i="4" s="1"/>
  <c r="Z109" i="4"/>
  <c r="Y124" i="4"/>
  <c r="AA75" i="4"/>
  <c r="AA85" i="4"/>
  <c r="Z31" i="4"/>
  <c r="Z32" i="4" l="1"/>
  <c r="Z35" i="4" s="1"/>
  <c r="Z121" i="4"/>
  <c r="AA76" i="4"/>
  <c r="Y63" i="7"/>
  <c r="X40" i="6"/>
  <c r="X42" i="6" s="1"/>
  <c r="X38" i="6"/>
  <c r="X43" i="6" s="1"/>
  <c r="X47" i="6" l="1"/>
  <c r="W22" i="14"/>
  <c r="W24" i="14" s="1"/>
  <c r="W26" i="14" s="1"/>
  <c r="W35" i="14" s="1"/>
  <c r="Z36" i="4"/>
  <c r="Z41" i="4"/>
  <c r="AA77" i="4"/>
  <c r="AA80" i="4" s="1"/>
  <c r="Z37" i="4" l="1"/>
  <c r="Z110" i="4"/>
  <c r="Z44" i="4"/>
  <c r="W36" i="14"/>
  <c r="AA81" i="4"/>
  <c r="AA86" i="4"/>
  <c r="AA82" i="4" l="1"/>
  <c r="AA116" i="4"/>
  <c r="AA34" i="6" s="1"/>
  <c r="AA89" i="4"/>
  <c r="Z98" i="4"/>
  <c r="Z45" i="4"/>
  <c r="Z99" i="4" s="1"/>
  <c r="Z100" i="4" s="1"/>
  <c r="Z111" i="4"/>
  <c r="Z38" i="4"/>
  <c r="AA29" i="4" s="1"/>
  <c r="Z32" i="6"/>
  <c r="Z122" i="4"/>
  <c r="Z48" i="7" s="1"/>
  <c r="Z33" i="6" l="1"/>
  <c r="Z36" i="6" s="1"/>
  <c r="Z123" i="4"/>
  <c r="Z112" i="4"/>
  <c r="Z46" i="4"/>
  <c r="Z12" i="4" s="1"/>
  <c r="Z101" i="4"/>
  <c r="Y70" i="8"/>
  <c r="BI48" i="7"/>
  <c r="AA30" i="4"/>
  <c r="AA40" i="4"/>
  <c r="AA97" i="4"/>
  <c r="AA117" i="4"/>
  <c r="AA90" i="4"/>
  <c r="AA91" i="4" s="1"/>
  <c r="AA57" i="4" s="1"/>
  <c r="AA83" i="4"/>
  <c r="AB74" i="4" s="1"/>
  <c r="Y37" i="6" l="1"/>
  <c r="AA35" i="6"/>
  <c r="AA118" i="4"/>
  <c r="AB115" i="4" s="1"/>
  <c r="Y19" i="8"/>
  <c r="Y45" i="8"/>
  <c r="AA31" i="4"/>
  <c r="Z124" i="4"/>
  <c r="AA109" i="4"/>
  <c r="AB75" i="4"/>
  <c r="AB85" i="4"/>
  <c r="AB76" i="4" l="1"/>
  <c r="Y40" i="6"/>
  <c r="Y42" i="6" s="1"/>
  <c r="Y38" i="6"/>
  <c r="Y43" i="6" s="1"/>
  <c r="AA121" i="4"/>
  <c r="Z63" i="7"/>
  <c r="AA32" i="4"/>
  <c r="AA35" i="4" s="1"/>
  <c r="Y47" i="6" l="1"/>
  <c r="X22" i="14"/>
  <c r="X24" i="14" s="1"/>
  <c r="X26" i="14" s="1"/>
  <c r="X35" i="14" s="1"/>
  <c r="AA36" i="4"/>
  <c r="AA41" i="4"/>
  <c r="AB77" i="4"/>
  <c r="AB80" i="4" s="1"/>
  <c r="AB86" i="4" l="1"/>
  <c r="AB81" i="4"/>
  <c r="AA37" i="4"/>
  <c r="AA110" i="4"/>
  <c r="AA44" i="4"/>
  <c r="X36" i="14"/>
  <c r="AA32" i="6" l="1"/>
  <c r="AA122" i="4"/>
  <c r="AA48" i="7" s="1"/>
  <c r="AB82" i="4"/>
  <c r="AB89" i="4"/>
  <c r="AB116" i="4"/>
  <c r="AB34" i="6" s="1"/>
  <c r="AA111" i="4"/>
  <c r="AA45" i="4"/>
  <c r="AA99" i="4" s="1"/>
  <c r="AA100" i="4" s="1"/>
  <c r="AA38" i="4"/>
  <c r="AB29" i="4" s="1"/>
  <c r="AA98" i="4"/>
  <c r="AB40" i="4" l="1"/>
  <c r="AB97" i="4"/>
  <c r="AB30" i="4"/>
  <c r="AA33" i="6"/>
  <c r="AA123" i="4"/>
  <c r="AA112" i="4"/>
  <c r="AA46" i="4"/>
  <c r="AA12" i="4" s="1"/>
  <c r="AA36" i="6"/>
  <c r="AA101" i="4"/>
  <c r="AB90" i="4"/>
  <c r="AB91" i="4" s="1"/>
  <c r="AB57" i="4" s="1"/>
  <c r="AB117" i="4"/>
  <c r="AB83" i="4"/>
  <c r="AC74" i="4" s="1"/>
  <c r="Z70" i="8"/>
  <c r="BJ48" i="7"/>
  <c r="AC75" i="4" l="1"/>
  <c r="AC85" i="4"/>
  <c r="AB109" i="4"/>
  <c r="AA124" i="4"/>
  <c r="AB31" i="4"/>
  <c r="Z19" i="8"/>
  <c r="Z45" i="8"/>
  <c r="AB35" i="6"/>
  <c r="AB118" i="4"/>
  <c r="AC115" i="4" s="1"/>
  <c r="Z37" i="6"/>
  <c r="Z40" i="6" l="1"/>
  <c r="Z42" i="6" s="1"/>
  <c r="Z38" i="6"/>
  <c r="Z43" i="6" s="1"/>
  <c r="AA63" i="7"/>
  <c r="AB121" i="4"/>
  <c r="AB32" i="4"/>
  <c r="AB35" i="4" s="1"/>
  <c r="AC76" i="4"/>
  <c r="AB36" i="4" l="1"/>
  <c r="AB41" i="4"/>
  <c r="Z47" i="6"/>
  <c r="Y22" i="14"/>
  <c r="Y24" i="14" s="1"/>
  <c r="Y26" i="14" s="1"/>
  <c r="Y35" i="14" s="1"/>
  <c r="AC77" i="4"/>
  <c r="AC80" i="4" s="1"/>
  <c r="Y36" i="14" l="1"/>
  <c r="AC81" i="4"/>
  <c r="AC86" i="4"/>
  <c r="AB37" i="4"/>
  <c r="AB44" i="4"/>
  <c r="AB110" i="4"/>
  <c r="AB32" i="6" l="1"/>
  <c r="AB122" i="4"/>
  <c r="AB48" i="7" s="1"/>
  <c r="AB111" i="4"/>
  <c r="AB45" i="4"/>
  <c r="AB99" i="4" s="1"/>
  <c r="AB100" i="4" s="1"/>
  <c r="AB38" i="4"/>
  <c r="AC29" i="4" s="1"/>
  <c r="AC82" i="4"/>
  <c r="AC89" i="4"/>
  <c r="AC116" i="4"/>
  <c r="AC34" i="6" s="1"/>
  <c r="AB46" i="4"/>
  <c r="AB12" i="4" s="1"/>
  <c r="AB98" i="4"/>
  <c r="AB101" i="4" s="1"/>
  <c r="AC90" i="4" l="1"/>
  <c r="AC91" i="4" s="1"/>
  <c r="AC57" i="4" s="1"/>
  <c r="M52" i="3" s="1" a="1"/>
  <c r="AC117" i="4"/>
  <c r="AC83" i="4"/>
  <c r="AD74" i="4" s="1"/>
  <c r="AC30" i="4"/>
  <c r="AC40" i="4"/>
  <c r="AC97" i="4"/>
  <c r="AB33" i="6"/>
  <c r="AB123" i="4"/>
  <c r="AB112" i="4"/>
  <c r="AA70" i="8"/>
  <c r="BK48" i="7"/>
  <c r="AB36" i="6"/>
  <c r="M52" i="3" l="1"/>
  <c r="M53" i="3"/>
  <c r="M63" i="3"/>
  <c r="M67" i="3"/>
  <c r="M74" i="3"/>
  <c r="M56" i="3"/>
  <c r="M68" i="3"/>
  <c r="M75" i="3"/>
  <c r="M54" i="3"/>
  <c r="M66" i="3"/>
  <c r="M72" i="3"/>
  <c r="M73" i="3"/>
  <c r="M64" i="3"/>
  <c r="M65" i="3"/>
  <c r="M71" i="3"/>
  <c r="M55" i="3"/>
  <c r="M59" i="3"/>
  <c r="M62" i="3"/>
  <c r="M76" i="3"/>
  <c r="M69" i="3"/>
  <c r="M58" i="3"/>
  <c r="M60" i="3"/>
  <c r="M61" i="3"/>
  <c r="M70" i="3"/>
  <c r="M57" i="3"/>
  <c r="AA37" i="6"/>
  <c r="AA45" i="8"/>
  <c r="AA19" i="8"/>
  <c r="AC31" i="4"/>
  <c r="AD75" i="4"/>
  <c r="AD85" i="4"/>
  <c r="AB124" i="4"/>
  <c r="AC109" i="4"/>
  <c r="AC35" i="6"/>
  <c r="AC118" i="4"/>
  <c r="AD115" i="4" s="1"/>
  <c r="AA40" i="6" l="1"/>
  <c r="AA42" i="6" s="1"/>
  <c r="AA38" i="6"/>
  <c r="AC32" i="4"/>
  <c r="AC35" i="4" s="1"/>
  <c r="AC121" i="4"/>
  <c r="AB63" i="7"/>
  <c r="AD76" i="4"/>
  <c r="AC41" i="4" l="1"/>
  <c r="AC36" i="4"/>
  <c r="AA43" i="6"/>
  <c r="AD77" i="4"/>
  <c r="AD80" i="4" s="1"/>
  <c r="AD81" i="4" l="1"/>
  <c r="AD86" i="4"/>
  <c r="AA47" i="6"/>
  <c r="Z22" i="14"/>
  <c r="Z24" i="14" s="1"/>
  <c r="Z26" i="14" s="1"/>
  <c r="Z35" i="14" s="1"/>
  <c r="AC37" i="4"/>
  <c r="AC110" i="4"/>
  <c r="AC44" i="4"/>
  <c r="AC32" i="6" l="1"/>
  <c r="AC122" i="4"/>
  <c r="AC48" i="7" s="1"/>
  <c r="AC45" i="4"/>
  <c r="AC99" i="4" s="1"/>
  <c r="AC100" i="4" s="1"/>
  <c r="AC111" i="4"/>
  <c r="AC38" i="4"/>
  <c r="AD29" i="4" s="1"/>
  <c r="Z36" i="14"/>
  <c r="AC46" i="4"/>
  <c r="AC12" i="4" s="1"/>
  <c r="L52" i="3" s="1" a="1"/>
  <c r="AC98" i="4"/>
  <c r="AC101" i="4" s="1"/>
  <c r="AD82" i="4"/>
  <c r="AD89" i="4"/>
  <c r="AD116" i="4"/>
  <c r="AD34" i="6" s="1"/>
  <c r="L56" i="3" l="1"/>
  <c r="L68" i="3"/>
  <c r="L75" i="3"/>
  <c r="L58" i="3"/>
  <c r="L60" i="3"/>
  <c r="L61" i="3"/>
  <c r="L69" i="3"/>
  <c r="L76" i="3"/>
  <c r="L63" i="3"/>
  <c r="L67" i="3"/>
  <c r="L74" i="3"/>
  <c r="L64" i="3"/>
  <c r="L65" i="3"/>
  <c r="L71" i="3"/>
  <c r="L62" i="3"/>
  <c r="L70" i="3"/>
  <c r="L72" i="3"/>
  <c r="L53" i="3"/>
  <c r="L54" i="3"/>
  <c r="L59" i="3"/>
  <c r="L66" i="3"/>
  <c r="L52" i="3"/>
  <c r="L55" i="3"/>
  <c r="L73" i="3"/>
  <c r="L57" i="3"/>
  <c r="AD40" i="4"/>
  <c r="AD30" i="4"/>
  <c r="AD97" i="4"/>
  <c r="AD91" i="4"/>
  <c r="AD57" i="4" s="1"/>
  <c r="AC33" i="6"/>
  <c r="AC36" i="6" s="1"/>
  <c r="AC123" i="4"/>
  <c r="AC112" i="4"/>
  <c r="AD90" i="4"/>
  <c r="AD117" i="4"/>
  <c r="AD83" i="4"/>
  <c r="AE74" i="4" s="1"/>
  <c r="AB70" i="8"/>
  <c r="BL48" i="7"/>
  <c r="AB37" i="6" l="1"/>
  <c r="AB19" i="8"/>
  <c r="AB45" i="8"/>
  <c r="AE75" i="4"/>
  <c r="AE85" i="4"/>
  <c r="AD35" i="6"/>
  <c r="AD118" i="4"/>
  <c r="AE115" i="4" s="1"/>
  <c r="AD31" i="4"/>
  <c r="AD109" i="4"/>
  <c r="AC124" i="4"/>
  <c r="AD32" i="4" l="1"/>
  <c r="AD35" i="4" s="1"/>
  <c r="AD121" i="4"/>
  <c r="AE76" i="4"/>
  <c r="AC63" i="7"/>
  <c r="AB40" i="6"/>
  <c r="AB42" i="6" s="1"/>
  <c r="AB38" i="6"/>
  <c r="AB43" i="6" s="1"/>
  <c r="AB47" i="6" l="1"/>
  <c r="AA22" i="14"/>
  <c r="AA24" i="14" s="1"/>
  <c r="AA26" i="14" s="1"/>
  <c r="AA35" i="14" s="1"/>
  <c r="AD41" i="4"/>
  <c r="AD36" i="4"/>
  <c r="AE77" i="4"/>
  <c r="AE80" i="4" s="1"/>
  <c r="AD37" i="4" l="1"/>
  <c r="AD110" i="4"/>
  <c r="AD44" i="4"/>
  <c r="AE86" i="4"/>
  <c r="AE81" i="4"/>
  <c r="AA36" i="14"/>
  <c r="AD32" i="6" l="1"/>
  <c r="AD122" i="4"/>
  <c r="AD48" i="7" s="1"/>
  <c r="AE82" i="4"/>
  <c r="AE116" i="4"/>
  <c r="AE34" i="6" s="1"/>
  <c r="AE89" i="4"/>
  <c r="AD111" i="4"/>
  <c r="AD45" i="4"/>
  <c r="AD99" i="4" s="1"/>
  <c r="AD100" i="4" s="1"/>
  <c r="AD38" i="4"/>
  <c r="AE29" i="4" s="1"/>
  <c r="AD98" i="4"/>
  <c r="AE30" i="4" l="1"/>
  <c r="AE97" i="4"/>
  <c r="AE40" i="4"/>
  <c r="AD33" i="6"/>
  <c r="AD123" i="4"/>
  <c r="AD112" i="4"/>
  <c r="AD101" i="4"/>
  <c r="AD36" i="6"/>
  <c r="AE91" i="4"/>
  <c r="AE57" i="4" s="1"/>
  <c r="AD46" i="4"/>
  <c r="AD12" i="4" s="1"/>
  <c r="AE117" i="4"/>
  <c r="AE90" i="4"/>
  <c r="AE83" i="4"/>
  <c r="AF74" i="4" s="1"/>
  <c r="AC70" i="8"/>
  <c r="BM48" i="7"/>
  <c r="AC19" i="8" l="1"/>
  <c r="AC45" i="8"/>
  <c r="AF85" i="4"/>
  <c r="AF75" i="4"/>
  <c r="AE35" i="6"/>
  <c r="AE118" i="4"/>
  <c r="AF115" i="4" s="1"/>
  <c r="AC37" i="6"/>
  <c r="AE109" i="4"/>
  <c r="AD124" i="4"/>
  <c r="AE31" i="4"/>
  <c r="AC40" i="6" l="1"/>
  <c r="AC42" i="6" s="1"/>
  <c r="AC38" i="6"/>
  <c r="AF76" i="4"/>
  <c r="AE121" i="4"/>
  <c r="AE32" i="4"/>
  <c r="AE35" i="4" s="1"/>
  <c r="AD63" i="7"/>
  <c r="AF77" i="4" l="1"/>
  <c r="AF80" i="4" s="1"/>
  <c r="AE36" i="4"/>
  <c r="AE41" i="4"/>
  <c r="AC43" i="6"/>
  <c r="AE37" i="4" l="1"/>
  <c r="AE44" i="4"/>
  <c r="AE110" i="4"/>
  <c r="AF81" i="4"/>
  <c r="AF86" i="4"/>
  <c r="AC47" i="6"/>
  <c r="AB22" i="14"/>
  <c r="AB24" i="14" s="1"/>
  <c r="AB26" i="14" s="1"/>
  <c r="AB35" i="14" s="1"/>
  <c r="AE32" i="6" l="1"/>
  <c r="AE122" i="4"/>
  <c r="AE48" i="7" s="1"/>
  <c r="AF82" i="4"/>
  <c r="AF89" i="4"/>
  <c r="AF116" i="4"/>
  <c r="AF34" i="6" s="1"/>
  <c r="AB36" i="14"/>
  <c r="AE98" i="4"/>
  <c r="AE45" i="4"/>
  <c r="AE99" i="4" s="1"/>
  <c r="AE100" i="4" s="1"/>
  <c r="AE111" i="4"/>
  <c r="AE38" i="4"/>
  <c r="AF29" i="4" s="1"/>
  <c r="AF97" i="4" l="1"/>
  <c r="AF30" i="4"/>
  <c r="AF40" i="4"/>
  <c r="AE33" i="6"/>
  <c r="AE36" i="6" s="1"/>
  <c r="AE123" i="4"/>
  <c r="AE112" i="4"/>
  <c r="AF90" i="4"/>
  <c r="AF117" i="4"/>
  <c r="AF83" i="4"/>
  <c r="AG74" i="4" s="1"/>
  <c r="AF91" i="4"/>
  <c r="AF57" i="4" s="1"/>
  <c r="AE46" i="4"/>
  <c r="AE12" i="4" s="1"/>
  <c r="AE101" i="4"/>
  <c r="AD70" i="8"/>
  <c r="BN48" i="7"/>
  <c r="AD37" i="6" l="1"/>
  <c r="AD19" i="8"/>
  <c r="AD45" i="8"/>
  <c r="AE124" i="4"/>
  <c r="AF109" i="4"/>
  <c r="AG75" i="4"/>
  <c r="AG85" i="4"/>
  <c r="AF31" i="4"/>
  <c r="AF35" i="6"/>
  <c r="AF118" i="4"/>
  <c r="AG115" i="4" s="1"/>
  <c r="AF121" i="4" l="1"/>
  <c r="AF32" i="4"/>
  <c r="AF35" i="4" s="1"/>
  <c r="AE63" i="7"/>
  <c r="AG76" i="4"/>
  <c r="AD40" i="6"/>
  <c r="AD42" i="6" s="1"/>
  <c r="AD38" i="6"/>
  <c r="AD43" i="6" s="1"/>
  <c r="AD47" i="6" l="1"/>
  <c r="AC22" i="14"/>
  <c r="AC24" i="14" s="1"/>
  <c r="AC26" i="14" s="1"/>
  <c r="AC35" i="14" s="1"/>
  <c r="AF36" i="4"/>
  <c r="AF41" i="4"/>
  <c r="AG77" i="4"/>
  <c r="AG80" i="4" s="1"/>
  <c r="AG86" i="4" l="1"/>
  <c r="AG81" i="4"/>
  <c r="AC36" i="14"/>
  <c r="AF37" i="4"/>
  <c r="AF44" i="4"/>
  <c r="AF110" i="4"/>
  <c r="AG82" i="4" l="1"/>
  <c r="AG89" i="4"/>
  <c r="AG116" i="4"/>
  <c r="AG34" i="6" s="1"/>
  <c r="AF45" i="4"/>
  <c r="AF99" i="4" s="1"/>
  <c r="AF100" i="4" s="1"/>
  <c r="AF111" i="4"/>
  <c r="AF38" i="4"/>
  <c r="AG29" i="4" s="1"/>
  <c r="AF32" i="6"/>
  <c r="AF122" i="4"/>
  <c r="AF48" i="7" s="1"/>
  <c r="AF98" i="4"/>
  <c r="AF101" i="4" s="1"/>
  <c r="AF46" i="4"/>
  <c r="AF12" i="4" s="1"/>
  <c r="AE70" i="8" l="1"/>
  <c r="BO48" i="7"/>
  <c r="AG91" i="4"/>
  <c r="AG57" i="4" s="1"/>
  <c r="AG117" i="4"/>
  <c r="AG90" i="4"/>
  <c r="AG83" i="4"/>
  <c r="AH74" i="4" s="1"/>
  <c r="AG40" i="4"/>
  <c r="AG97" i="4"/>
  <c r="AG30" i="4"/>
  <c r="AF33" i="6"/>
  <c r="AF123" i="4"/>
  <c r="AF112" i="4"/>
  <c r="AF36" i="6"/>
  <c r="AE19" i="8" l="1"/>
  <c r="AE45" i="8"/>
  <c r="AE37" i="6"/>
  <c r="AG109" i="4"/>
  <c r="AF124" i="4"/>
  <c r="AG31" i="4"/>
  <c r="AH85" i="4"/>
  <c r="AH75" i="4"/>
  <c r="AG35" i="6"/>
  <c r="AG118" i="4"/>
  <c r="AH115" i="4" s="1"/>
  <c r="AG32" i="4" l="1"/>
  <c r="AG35" i="4" s="1"/>
  <c r="AE40" i="6"/>
  <c r="AE42" i="6" s="1"/>
  <c r="AE38" i="6"/>
  <c r="AE43" i="6" s="1"/>
  <c r="AF63" i="7"/>
  <c r="AG121" i="4"/>
  <c r="AH76" i="4"/>
  <c r="AH77" i="4" l="1"/>
  <c r="AH80" i="4" s="1"/>
  <c r="AE47" i="6"/>
  <c r="AD22" i="14"/>
  <c r="AD24" i="14" s="1"/>
  <c r="AD26" i="14" s="1"/>
  <c r="AD35" i="14" s="1"/>
  <c r="AG36" i="4"/>
  <c r="AG41" i="4"/>
  <c r="AD36" i="14" l="1"/>
  <c r="AH86" i="4"/>
  <c r="AH81" i="4"/>
  <c r="AG37" i="4"/>
  <c r="AG44" i="4"/>
  <c r="AG110" i="4"/>
  <c r="AG45" i="4" l="1"/>
  <c r="AG99" i="4" s="1"/>
  <c r="AG100" i="4" s="1"/>
  <c r="AG111" i="4"/>
  <c r="AG38" i="4"/>
  <c r="AH29" i="4" s="1"/>
  <c r="AG32" i="6"/>
  <c r="AG122" i="4"/>
  <c r="AG48" i="7" s="1"/>
  <c r="AG98" i="4"/>
  <c r="AH82" i="4"/>
  <c r="AH89" i="4"/>
  <c r="AH116" i="4"/>
  <c r="AH34" i="6" s="1"/>
  <c r="AG46" i="4" l="1"/>
  <c r="AG12" i="4" s="1"/>
  <c r="AF70" i="8"/>
  <c r="BP48" i="7"/>
  <c r="AH90" i="4"/>
  <c r="AH117" i="4"/>
  <c r="AH83" i="4"/>
  <c r="AI74" i="4" s="1"/>
  <c r="AG101" i="4"/>
  <c r="AH40" i="4"/>
  <c r="AH97" i="4"/>
  <c r="AH30" i="4"/>
  <c r="AG33" i="6"/>
  <c r="AG36" i="6" s="1"/>
  <c r="AG123" i="4"/>
  <c r="AG112" i="4"/>
  <c r="AH91" i="4"/>
  <c r="AH57" i="4" s="1"/>
  <c r="AF37" i="6" l="1"/>
  <c r="AI75" i="4"/>
  <c r="AI85" i="4"/>
  <c r="AH31" i="4"/>
  <c r="AG124" i="4"/>
  <c r="AH109" i="4"/>
  <c r="AH35" i="6"/>
  <c r="AH118" i="4"/>
  <c r="AI115" i="4" s="1"/>
  <c r="AF19" i="8"/>
  <c r="AF45" i="8"/>
  <c r="AG63" i="7" l="1"/>
  <c r="AH32" i="4"/>
  <c r="AH35" i="4" s="1"/>
  <c r="AH121" i="4"/>
  <c r="AI76" i="4"/>
  <c r="AF40" i="6"/>
  <c r="AF42" i="6" s="1"/>
  <c r="AF38" i="6"/>
  <c r="AF43" i="6" s="1"/>
  <c r="AF47" i="6" l="1"/>
  <c r="AE22" i="14"/>
  <c r="AE24" i="14" s="1"/>
  <c r="AE26" i="14" s="1"/>
  <c r="AE35" i="14" s="1"/>
  <c r="AH36" i="4"/>
  <c r="AH41" i="4"/>
  <c r="AI77" i="4"/>
  <c r="AI80" i="4" s="1"/>
  <c r="AE36" i="14" l="1"/>
  <c r="AI81" i="4"/>
  <c r="AI86" i="4"/>
  <c r="G66" i="4" s="1"/>
  <c r="E87" i="4"/>
  <c r="AH37" i="4"/>
  <c r="AH44" i="4"/>
  <c r="AH110" i="4"/>
  <c r="AH45" i="4" l="1"/>
  <c r="AH99" i="4" s="1"/>
  <c r="AH100" i="4" s="1"/>
  <c r="AH111" i="4"/>
  <c r="AH38" i="4"/>
  <c r="AI29" i="4" s="1"/>
  <c r="AH32" i="6"/>
  <c r="AH122" i="4"/>
  <c r="AH48" i="7" s="1"/>
  <c r="D235" i="1"/>
  <c r="K46" i="3"/>
  <c r="AI82" i="4"/>
  <c r="AI116" i="4"/>
  <c r="AI89" i="4"/>
  <c r="AJ116" i="4"/>
  <c r="AH46" i="4"/>
  <c r="AH12" i="4" s="1"/>
  <c r="AH98" i="4"/>
  <c r="AH101" i="4" s="1"/>
  <c r="AI30" i="4" l="1"/>
  <c r="AI97" i="4"/>
  <c r="AI40" i="4"/>
  <c r="AJ117" i="4"/>
  <c r="AI117" i="4"/>
  <c r="AI90" i="4"/>
  <c r="C90" i="4" s="1"/>
  <c r="AI83" i="4"/>
  <c r="AG70" i="8"/>
  <c r="BQ48" i="7"/>
  <c r="AH36" i="6"/>
  <c r="AI91" i="4"/>
  <c r="AI57" i="4" s="1"/>
  <c r="C89" i="4"/>
  <c r="AH33" i="6"/>
  <c r="AH123" i="4"/>
  <c r="AH112" i="4"/>
  <c r="AI34" i="6"/>
  <c r="C116" i="4"/>
  <c r="AI35" i="6" l="1"/>
  <c r="C117" i="4"/>
  <c r="AI118" i="4"/>
  <c r="AJ115" i="4" s="1"/>
  <c r="AJ118" i="4" s="1"/>
  <c r="AG45" i="8"/>
  <c r="AG19" i="8"/>
  <c r="AI31" i="4"/>
  <c r="AG37" i="6"/>
  <c r="AH124" i="4"/>
  <c r="AI109" i="4"/>
  <c r="AI121" i="4" l="1"/>
  <c r="AH63" i="7"/>
  <c r="D234" i="1"/>
  <c r="M46" i="3"/>
  <c r="AG40" i="6"/>
  <c r="AG42" i="6" s="1"/>
  <c r="AG38" i="6"/>
  <c r="AG43" i="6" s="1"/>
  <c r="AI32" i="4"/>
  <c r="AI35" i="4" s="1"/>
  <c r="AI41" i="4" l="1"/>
  <c r="G21" i="4" s="1"/>
  <c r="AI36" i="4"/>
  <c r="E42" i="4"/>
  <c r="AG47" i="6"/>
  <c r="AF22" i="14"/>
  <c r="AF24" i="14" s="1"/>
  <c r="AF26" i="14" s="1"/>
  <c r="AF35" i="14" s="1"/>
  <c r="AF36" i="14" l="1"/>
  <c r="C235" i="1"/>
  <c r="C55" i="2"/>
  <c r="K45" i="3"/>
  <c r="AI37" i="4"/>
  <c r="AI110" i="4"/>
  <c r="AI44" i="4"/>
  <c r="AJ110" i="4"/>
  <c r="AJ122" i="4" s="1"/>
  <c r="AI45" i="4" l="1"/>
  <c r="AJ111" i="4"/>
  <c r="AJ123" i="4" s="1"/>
  <c r="AI111" i="4"/>
  <c r="AI38" i="4"/>
  <c r="AI32" i="6"/>
  <c r="AI122" i="4"/>
  <c r="C110" i="4"/>
  <c r="AI98" i="4"/>
  <c r="AI46" i="4"/>
  <c r="AI12" i="4" s="1"/>
  <c r="C44" i="4"/>
  <c r="E214" i="1"/>
  <c r="D12" i="7" s="1"/>
  <c r="B233" i="1"/>
  <c r="C98" i="4" l="1"/>
  <c r="AI48" i="7"/>
  <c r="C122" i="4"/>
  <c r="AA28" i="7"/>
  <c r="AA30" i="7" s="1"/>
  <c r="AI28" i="7"/>
  <c r="AI30" i="7" s="1"/>
  <c r="Z28" i="7"/>
  <c r="Z30" i="7" s="1"/>
  <c r="AC28" i="7"/>
  <c r="AC30" i="7" s="1"/>
  <c r="AD28" i="7"/>
  <c r="AD30" i="7" s="1"/>
  <c r="AF28" i="7"/>
  <c r="AF30" i="7" s="1"/>
  <c r="AG28" i="7"/>
  <c r="AG30" i="7" s="1"/>
  <c r="AB28" i="7"/>
  <c r="AB30" i="7" s="1"/>
  <c r="AH28" i="7"/>
  <c r="AH30" i="7" s="1"/>
  <c r="AE28" i="7"/>
  <c r="AE30" i="7" s="1"/>
  <c r="Y28" i="7"/>
  <c r="X28" i="7"/>
  <c r="AI33" i="6"/>
  <c r="AI36" i="6" s="1"/>
  <c r="AI123" i="4"/>
  <c r="C123" i="4" s="1"/>
  <c r="E8" i="5" s="1"/>
  <c r="C111" i="4"/>
  <c r="AI112" i="4"/>
  <c r="AI99" i="4"/>
  <c r="C45" i="4"/>
  <c r="AH37" i="6" l="1"/>
  <c r="AI38" i="6"/>
  <c r="AI43" i="6" s="1"/>
  <c r="AJ109" i="4"/>
  <c r="AI124" i="4"/>
  <c r="AA88" i="7"/>
  <c r="AA44" i="7"/>
  <c r="BJ44" i="7" s="1"/>
  <c r="C234" i="1"/>
  <c r="E234" i="1" s="1"/>
  <c r="M45" i="3"/>
  <c r="AE44" i="7"/>
  <c r="BN44" i="7" s="1"/>
  <c r="AE88" i="7"/>
  <c r="AG88" i="7"/>
  <c r="AG44" i="7"/>
  <c r="BP44" i="7" s="1"/>
  <c r="AC44" i="7"/>
  <c r="BL44" i="7" s="1"/>
  <c r="AC88" i="7"/>
  <c r="Z88" i="7"/>
  <c r="Z44" i="7"/>
  <c r="BI44" i="7" s="1"/>
  <c r="C22" i="2"/>
  <c r="C20" i="3"/>
  <c r="D63" i="7"/>
  <c r="H8" i="5"/>
  <c r="G8" i="5"/>
  <c r="E22" i="2" s="1"/>
  <c r="AH88" i="7"/>
  <c r="AH44" i="7"/>
  <c r="BQ44" i="7" s="1"/>
  <c r="AF44" i="7"/>
  <c r="BO44" i="7" s="1"/>
  <c r="AF88" i="7"/>
  <c r="AB44" i="7"/>
  <c r="BK44" i="7" s="1"/>
  <c r="AB88" i="7"/>
  <c r="AH70" i="8"/>
  <c r="BR48" i="7"/>
  <c r="AD44" i="7"/>
  <c r="BM44" i="7" s="1"/>
  <c r="AD88" i="7"/>
  <c r="C99" i="4"/>
  <c r="AI100" i="4"/>
  <c r="AI88" i="7"/>
  <c r="BR88" i="7" s="1"/>
  <c r="AI44" i="7"/>
  <c r="BR44" i="7" s="1"/>
  <c r="AI101" i="4"/>
  <c r="BM88" i="7" l="1"/>
  <c r="AD88" i="10"/>
  <c r="BO88" i="7"/>
  <c r="AF88" i="10"/>
  <c r="AC88" i="10"/>
  <c r="BL88" i="7"/>
  <c r="AH19" i="8"/>
  <c r="AH45" i="8"/>
  <c r="AA88" i="10"/>
  <c r="BJ88" i="7"/>
  <c r="BK88" i="7"/>
  <c r="AB88" i="10"/>
  <c r="AI63" i="7"/>
  <c r="BP88" i="7"/>
  <c r="AG88" i="10"/>
  <c r="AJ112" i="4"/>
  <c r="AJ124" i="4" s="1"/>
  <c r="AJ121" i="4"/>
  <c r="E20" i="3"/>
  <c r="F20" i="3"/>
  <c r="F64" i="11"/>
  <c r="BN88" i="7"/>
  <c r="AE88" i="10"/>
  <c r="AI47" i="6"/>
  <c r="AI22" i="14"/>
  <c r="AI24" i="14" s="1"/>
  <c r="AI26" i="14" s="1"/>
  <c r="AI35" i="14" s="1"/>
  <c r="BQ88" i="7"/>
  <c r="AH88" i="10"/>
  <c r="BI88" i="7"/>
  <c r="Z88" i="10"/>
  <c r="C75" i="1"/>
  <c r="F75" i="1" s="1"/>
  <c r="E55" i="2"/>
  <c r="AH40" i="6"/>
  <c r="AH42" i="6" s="1"/>
  <c r="AH38" i="6"/>
  <c r="AH43" i="6" s="1"/>
  <c r="AH47" i="6" l="1"/>
  <c r="AH22" i="14"/>
  <c r="AH24" i="14" s="1"/>
  <c r="AH26" i="14" s="1"/>
  <c r="AH35" i="14" s="1"/>
  <c r="AG22" i="14"/>
  <c r="AG24" i="14" s="1"/>
  <c r="AG26" i="14" s="1"/>
  <c r="AG35" i="14" s="1"/>
  <c r="AI36" i="14"/>
  <c r="E31" i="5"/>
  <c r="C46" i="2" l="1"/>
  <c r="G31" i="5"/>
  <c r="E46" i="2" s="1"/>
  <c r="H31" i="5"/>
  <c r="AG36" i="14"/>
  <c r="E37" i="14" s="1"/>
  <c r="E43" i="14" s="1"/>
  <c r="AH36" i="14"/>
  <c r="C35" i="14"/>
  <c r="E60" i="14" l="1"/>
  <c r="E44" i="14"/>
  <c r="D69" i="14" s="1"/>
  <c r="D70" i="14" l="1"/>
  <c r="E45" i="14"/>
  <c r="E46" i="14" l="1"/>
  <c r="E49" i="14" s="1"/>
  <c r="E50" i="14" l="1"/>
  <c r="E61" i="14"/>
  <c r="E51" i="14" l="1"/>
  <c r="E56" i="14"/>
  <c r="E69" i="14"/>
  <c r="E70" i="14" l="1"/>
  <c r="E57" i="14"/>
  <c r="E52" i="14"/>
  <c r="F43" i="14" s="1"/>
  <c r="E49" i="6"/>
  <c r="E49" i="7"/>
  <c r="D71" i="8" l="1"/>
  <c r="AN49" i="7"/>
  <c r="E51" i="7"/>
  <c r="E51" i="6"/>
  <c r="E50" i="6"/>
  <c r="D84" i="8"/>
  <c r="F60" i="14"/>
  <c r="F44" i="14"/>
  <c r="E58" i="14"/>
  <c r="E30" i="14" s="1"/>
  <c r="D20" i="8" l="1"/>
  <c r="D46" i="8"/>
  <c r="D71" i="3" s="1"/>
  <c r="E62" i="7"/>
  <c r="E91" i="7"/>
  <c r="AN51" i="7"/>
  <c r="H56" i="2"/>
  <c r="F45" i="14"/>
  <c r="E89" i="10" l="1"/>
  <c r="AN91" i="7"/>
  <c r="F46" i="14"/>
  <c r="F49" i="14" s="1"/>
  <c r="F61" i="14" l="1"/>
  <c r="F50" i="14"/>
  <c r="F51" i="14" l="1"/>
  <c r="F56" i="14"/>
  <c r="F69" i="14"/>
  <c r="F57" i="14" l="1"/>
  <c r="F70" i="14"/>
  <c r="F52" i="14"/>
  <c r="G43" i="14" s="1"/>
  <c r="F49" i="6"/>
  <c r="F49" i="7"/>
  <c r="E71" i="8" l="1"/>
  <c r="AO49" i="7"/>
  <c r="G44" i="14"/>
  <c r="G60" i="14"/>
  <c r="F50" i="6"/>
  <c r="F51" i="6" s="1"/>
  <c r="E84" i="8"/>
  <c r="F58" i="14"/>
  <c r="F30" i="14" s="1"/>
  <c r="E52" i="6" l="1"/>
  <c r="F62" i="7"/>
  <c r="I56" i="2"/>
  <c r="G45" i="14"/>
  <c r="E20" i="8"/>
  <c r="E46" i="8"/>
  <c r="E71" i="3" s="1"/>
  <c r="G46" i="14" l="1"/>
  <c r="G49" i="14" s="1"/>
  <c r="E37" i="7"/>
  <c r="E53" i="6"/>
  <c r="E72" i="6"/>
  <c r="E75" i="6" s="1"/>
  <c r="D4" i="20" l="1"/>
  <c r="D68" i="8"/>
  <c r="AN37" i="7"/>
  <c r="E84" i="7"/>
  <c r="E40" i="7"/>
  <c r="G50" i="14"/>
  <c r="G61" i="14"/>
  <c r="AN40" i="7" l="1"/>
  <c r="E41" i="7"/>
  <c r="AN84" i="7"/>
  <c r="E85" i="7"/>
  <c r="D8" i="20"/>
  <c r="E55" i="6" s="1"/>
  <c r="D10" i="20"/>
  <c r="G51" i="14"/>
  <c r="G69" i="14"/>
  <c r="G56" i="14"/>
  <c r="D43" i="8"/>
  <c r="D17" i="8"/>
  <c r="E56" i="6" l="1"/>
  <c r="E57" i="6" s="1"/>
  <c r="E60" i="6" s="1"/>
  <c r="E62" i="6" s="1"/>
  <c r="D11" i="20"/>
  <c r="AN85" i="7"/>
  <c r="G57" i="14"/>
  <c r="G70" i="14"/>
  <c r="G52" i="14"/>
  <c r="H43" i="14" s="1"/>
  <c r="AN41" i="7"/>
  <c r="G49" i="6"/>
  <c r="G49" i="7"/>
  <c r="D49" i="8" l="1"/>
  <c r="D23" i="8"/>
  <c r="D74" i="8"/>
  <c r="D86" i="8" s="1"/>
  <c r="E65" i="6"/>
  <c r="E21" i="9" s="1"/>
  <c r="E64" i="6"/>
  <c r="F71" i="8"/>
  <c r="AP49" i="7"/>
  <c r="G50" i="6"/>
  <c r="F84" i="8"/>
  <c r="G51" i="6"/>
  <c r="G58" i="14"/>
  <c r="G30" i="14" s="1"/>
  <c r="H60" i="14"/>
  <c r="H44" i="14"/>
  <c r="E65" i="7"/>
  <c r="E7" i="20"/>
  <c r="E9" i="20" s="1"/>
  <c r="F50" i="7" s="1"/>
  <c r="F52" i="6" l="1"/>
  <c r="G62" i="7"/>
  <c r="H45" i="14"/>
  <c r="F20" i="8"/>
  <c r="F46" i="8"/>
  <c r="F71" i="3" s="1"/>
  <c r="J56" i="2"/>
  <c r="E66" i="6"/>
  <c r="E21" i="10"/>
  <c r="D87" i="8"/>
  <c r="E25" i="9"/>
  <c r="E72" i="8"/>
  <c r="F51" i="7"/>
  <c r="H46" i="14" l="1"/>
  <c r="H49" i="14" s="1"/>
  <c r="AO51" i="7"/>
  <c r="F91" i="7"/>
  <c r="E25" i="10"/>
  <c r="E21" i="8"/>
  <c r="E47" i="8"/>
  <c r="E67" i="6"/>
  <c r="E72" i="7"/>
  <c r="F37" i="7"/>
  <c r="F53" i="6"/>
  <c r="F72" i="6"/>
  <c r="F75" i="6" s="1"/>
  <c r="AO91" i="7" l="1"/>
  <c r="F89" i="10"/>
  <c r="F59" i="6"/>
  <c r="E58" i="7"/>
  <c r="H50" i="14"/>
  <c r="H61" i="14"/>
  <c r="E4" i="20"/>
  <c r="E68" i="8"/>
  <c r="AO37" i="7"/>
  <c r="F84" i="7"/>
  <c r="F40" i="7"/>
  <c r="AO40" i="7" l="1"/>
  <c r="F41" i="7"/>
  <c r="AO84" i="7"/>
  <c r="F85" i="7"/>
  <c r="H51" i="14"/>
  <c r="H69" i="14"/>
  <c r="H56" i="14"/>
  <c r="E8" i="20"/>
  <c r="F55" i="6" s="1"/>
  <c r="E17" i="8"/>
  <c r="E43" i="8"/>
  <c r="H49" i="6" l="1"/>
  <c r="H49" i="7"/>
  <c r="H57" i="14"/>
  <c r="H70" i="14"/>
  <c r="H52" i="14"/>
  <c r="I43" i="14" s="1"/>
  <c r="AO85" i="7"/>
  <c r="E10" i="20"/>
  <c r="AO41" i="7"/>
  <c r="I44" i="14" l="1"/>
  <c r="I60" i="14"/>
  <c r="H50" i="6"/>
  <c r="G84" i="8"/>
  <c r="H58" i="14"/>
  <c r="H30" i="14" s="1"/>
  <c r="F56" i="6"/>
  <c r="F57" i="6" s="1"/>
  <c r="F60" i="6" s="1"/>
  <c r="F62" i="6" s="1"/>
  <c r="E11" i="20"/>
  <c r="G71" i="8"/>
  <c r="AQ49" i="7"/>
  <c r="H51" i="6"/>
  <c r="G20" i="8" l="1"/>
  <c r="G46" i="8"/>
  <c r="G71" i="3" s="1"/>
  <c r="K56" i="2"/>
  <c r="G52" i="6"/>
  <c r="H62" i="7"/>
  <c r="E23" i="8"/>
  <c r="E74" i="8"/>
  <c r="E86" i="8" s="1"/>
  <c r="E49" i="8"/>
  <c r="F64" i="6"/>
  <c r="F65" i="6"/>
  <c r="F21" i="9" s="1"/>
  <c r="F7" i="20"/>
  <c r="F9" i="20" s="1"/>
  <c r="G50" i="7" s="1"/>
  <c r="F65" i="7"/>
  <c r="I45" i="14"/>
  <c r="I46" i="14" l="1"/>
  <c r="I49" i="14" s="1"/>
  <c r="E87" i="8"/>
  <c r="F72" i="8"/>
  <c r="G51" i="7"/>
  <c r="G37" i="7"/>
  <c r="G53" i="6"/>
  <c r="G72" i="6"/>
  <c r="G75" i="6" s="1"/>
  <c r="F25" i="9"/>
  <c r="F66" i="6"/>
  <c r="F21" i="10"/>
  <c r="F67" i="6" l="1"/>
  <c r="F72" i="7"/>
  <c r="F25" i="10"/>
  <c r="F4" i="20"/>
  <c r="F68" i="8"/>
  <c r="AP37" i="7"/>
  <c r="G84" i="7"/>
  <c r="G40" i="7"/>
  <c r="I61" i="14"/>
  <c r="I50" i="14"/>
  <c r="AP51" i="7"/>
  <c r="G91" i="7"/>
  <c r="F21" i="8"/>
  <c r="F47" i="8"/>
  <c r="AP40" i="7" l="1"/>
  <c r="G41" i="7"/>
  <c r="AP84" i="7"/>
  <c r="G85" i="7"/>
  <c r="AP91" i="7"/>
  <c r="G89" i="10"/>
  <c r="F17" i="8"/>
  <c r="F43" i="8"/>
  <c r="I51" i="14"/>
  <c r="I56" i="14"/>
  <c r="I69" i="14"/>
  <c r="F8" i="20"/>
  <c r="G55" i="6" s="1"/>
  <c r="G59" i="6"/>
  <c r="F58" i="7"/>
  <c r="I49" i="6" l="1"/>
  <c r="I49" i="7"/>
  <c r="AP85" i="7"/>
  <c r="AP41" i="7"/>
  <c r="I57" i="14"/>
  <c r="I70" i="14"/>
  <c r="I52" i="14"/>
  <c r="J43" i="14" s="1"/>
  <c r="F10" i="20"/>
  <c r="I51" i="6" l="1"/>
  <c r="J60" i="14"/>
  <c r="J44" i="14"/>
  <c r="I50" i="6"/>
  <c r="H84" i="8"/>
  <c r="G56" i="6"/>
  <c r="G57" i="6" s="1"/>
  <c r="G60" i="6" s="1"/>
  <c r="G62" i="6" s="1"/>
  <c r="F11" i="20"/>
  <c r="I58" i="14"/>
  <c r="I30" i="14" s="1"/>
  <c r="H71" i="8"/>
  <c r="AR49" i="7"/>
  <c r="G65" i="7" l="1"/>
  <c r="G7" i="20"/>
  <c r="G9" i="20" s="1"/>
  <c r="H50" i="7" s="1"/>
  <c r="F74" i="8"/>
  <c r="F86" i="8" s="1"/>
  <c r="F49" i="8"/>
  <c r="G64" i="6"/>
  <c r="G65" i="6"/>
  <c r="G21" i="9" s="1"/>
  <c r="F23" i="8"/>
  <c r="H20" i="8"/>
  <c r="H46" i="8"/>
  <c r="H71" i="3" s="1"/>
  <c r="J45" i="14"/>
  <c r="L56" i="2"/>
  <c r="H52" i="6"/>
  <c r="I62" i="7"/>
  <c r="G25" i="9" l="1"/>
  <c r="G66" i="6"/>
  <c r="G21" i="10"/>
  <c r="H37" i="7"/>
  <c r="H53" i="6"/>
  <c r="H72" i="6"/>
  <c r="H75" i="6" s="1"/>
  <c r="J46" i="14"/>
  <c r="J49" i="14" s="1"/>
  <c r="F87" i="8"/>
  <c r="G72" i="8"/>
  <c r="H51" i="7"/>
  <c r="H91" i="7" l="1"/>
  <c r="AQ51" i="7"/>
  <c r="G4" i="20"/>
  <c r="G68" i="8"/>
  <c r="AQ37" i="7"/>
  <c r="H84" i="7"/>
  <c r="H40" i="7"/>
  <c r="G25" i="10"/>
  <c r="G47" i="8"/>
  <c r="G21" i="8"/>
  <c r="J50" i="14"/>
  <c r="J61" i="14"/>
  <c r="G67" i="6"/>
  <c r="G72" i="7"/>
  <c r="AQ40" i="7" l="1"/>
  <c r="H41" i="7"/>
  <c r="AQ84" i="7"/>
  <c r="H85" i="7"/>
  <c r="H59" i="6"/>
  <c r="G58" i="7"/>
  <c r="G43" i="8"/>
  <c r="G17" i="8"/>
  <c r="J51" i="14"/>
  <c r="J56" i="14"/>
  <c r="J69" i="14"/>
  <c r="G8" i="20"/>
  <c r="H55" i="6" s="1"/>
  <c r="AQ91" i="7"/>
  <c r="H89" i="10"/>
  <c r="J49" i="7" l="1"/>
  <c r="J49" i="6"/>
  <c r="J70" i="14"/>
  <c r="J57" i="14"/>
  <c r="J58" i="14" s="1"/>
  <c r="J30" i="14" s="1"/>
  <c r="M56" i="2" s="1"/>
  <c r="J52" i="14"/>
  <c r="K43" i="14" s="1"/>
  <c r="AQ85" i="7"/>
  <c r="G10" i="20"/>
  <c r="AQ41" i="7"/>
  <c r="K44" i="14" l="1"/>
  <c r="K60" i="14"/>
  <c r="J50" i="6"/>
  <c r="I84" i="8"/>
  <c r="J51" i="6"/>
  <c r="H56" i="6"/>
  <c r="H57" i="6" s="1"/>
  <c r="H60" i="6" s="1"/>
  <c r="H62" i="6" s="1"/>
  <c r="G11" i="20"/>
  <c r="I71" i="8"/>
  <c r="AS49" i="7"/>
  <c r="G23" i="8" l="1"/>
  <c r="G49" i="8"/>
  <c r="G74" i="8"/>
  <c r="G86" i="8" s="1"/>
  <c r="H64" i="6"/>
  <c r="H65" i="6"/>
  <c r="H21" i="9" s="1"/>
  <c r="I52" i="6"/>
  <c r="J62" i="7"/>
  <c r="I20" i="8"/>
  <c r="I46" i="8"/>
  <c r="H7" i="20"/>
  <c r="H9" i="20" s="1"/>
  <c r="I50" i="7" s="1"/>
  <c r="H65" i="7"/>
  <c r="K45" i="14"/>
  <c r="K46" i="14" l="1"/>
  <c r="K49" i="14" s="1"/>
  <c r="I37" i="7"/>
  <c r="I72" i="6"/>
  <c r="I75" i="6" s="1"/>
  <c r="I53" i="6"/>
  <c r="H25" i="9"/>
  <c r="H72" i="8"/>
  <c r="I51" i="7"/>
  <c r="H66" i="6"/>
  <c r="H21" i="10"/>
  <c r="G87" i="8"/>
  <c r="H21" i="8" l="1"/>
  <c r="H47" i="8"/>
  <c r="H4" i="20"/>
  <c r="H68" i="8"/>
  <c r="I84" i="7"/>
  <c r="AR37" i="7"/>
  <c r="I40" i="7"/>
  <c r="K61" i="14"/>
  <c r="K50" i="14"/>
  <c r="H25" i="10"/>
  <c r="H67" i="6"/>
  <c r="H72" i="7"/>
  <c r="I91" i="7"/>
  <c r="AR51" i="7"/>
  <c r="AR40" i="7" l="1"/>
  <c r="I41" i="7"/>
  <c r="AR84" i="7"/>
  <c r="I85" i="7"/>
  <c r="AR91" i="7"/>
  <c r="I89" i="10"/>
  <c r="H17" i="8"/>
  <c r="H43" i="8"/>
  <c r="H8" i="20"/>
  <c r="I55" i="6" s="1"/>
  <c r="H10" i="20"/>
  <c r="I59" i="6"/>
  <c r="H58" i="7"/>
  <c r="K51" i="14"/>
  <c r="K56" i="14"/>
  <c r="K69" i="14"/>
  <c r="K57" i="14" l="1"/>
  <c r="K58" i="14" s="1"/>
  <c r="K30" i="14" s="1"/>
  <c r="N56" i="2" s="1"/>
  <c r="K70" i="14"/>
  <c r="K52" i="14"/>
  <c r="L43" i="14" s="1"/>
  <c r="I56" i="6"/>
  <c r="I57" i="6" s="1"/>
  <c r="I60" i="6" s="1"/>
  <c r="I62" i="6" s="1"/>
  <c r="H11" i="20"/>
  <c r="AR85" i="7"/>
  <c r="K49" i="7"/>
  <c r="K49" i="6"/>
  <c r="AR41" i="7"/>
  <c r="H23" i="8" l="1"/>
  <c r="H49" i="8"/>
  <c r="H74" i="8"/>
  <c r="H86" i="8" s="1"/>
  <c r="I64" i="6"/>
  <c r="I65" i="6"/>
  <c r="I21" i="9" s="1"/>
  <c r="J71" i="8"/>
  <c r="AT49" i="7"/>
  <c r="I65" i="7"/>
  <c r="I7" i="20"/>
  <c r="I9" i="20" s="1"/>
  <c r="J50" i="7" s="1"/>
  <c r="L44" i="14"/>
  <c r="L60" i="14"/>
  <c r="K50" i="6"/>
  <c r="K51" i="6" s="1"/>
  <c r="J84" i="8"/>
  <c r="J52" i="6" l="1"/>
  <c r="K62" i="7"/>
  <c r="J46" i="8"/>
  <c r="J20" i="8"/>
  <c r="L45" i="14"/>
  <c r="I25" i="9"/>
  <c r="I66" i="6"/>
  <c r="I21" i="10"/>
  <c r="H87" i="8"/>
  <c r="I72" i="8"/>
  <c r="J51" i="7"/>
  <c r="I21" i="8" l="1"/>
  <c r="I47" i="8"/>
  <c r="L46" i="14"/>
  <c r="L49" i="14" s="1"/>
  <c r="I25" i="10"/>
  <c r="I67" i="6"/>
  <c r="I72" i="7"/>
  <c r="AS51" i="7"/>
  <c r="J91" i="7"/>
  <c r="J37" i="7"/>
  <c r="J72" i="6"/>
  <c r="J75" i="6" s="1"/>
  <c r="J53" i="6"/>
  <c r="I58" i="7" l="1"/>
  <c r="J59" i="6"/>
  <c r="L50" i="14"/>
  <c r="L61" i="14"/>
  <c r="I4" i="20"/>
  <c r="I68" i="8"/>
  <c r="AS37" i="7"/>
  <c r="J84" i="7"/>
  <c r="J40" i="7"/>
  <c r="J89" i="10"/>
  <c r="AS91" i="7"/>
  <c r="I17" i="8" l="1"/>
  <c r="I43" i="8"/>
  <c r="I8" i="20"/>
  <c r="J55" i="6" s="1"/>
  <c r="I10" i="20"/>
  <c r="AS40" i="7"/>
  <c r="J41" i="7"/>
  <c r="L51" i="14"/>
  <c r="L56" i="14"/>
  <c r="L69" i="14"/>
  <c r="AS84" i="7"/>
  <c r="J85" i="7"/>
  <c r="J56" i="6" l="1"/>
  <c r="J57" i="6" s="1"/>
  <c r="J60" i="6" s="1"/>
  <c r="J62" i="6" s="1"/>
  <c r="I11" i="20"/>
  <c r="L49" i="6"/>
  <c r="L49" i="7"/>
  <c r="L57" i="14"/>
  <c r="L58" i="14" s="1"/>
  <c r="L30" i="14" s="1"/>
  <c r="O56" i="2" s="1"/>
  <c r="L70" i="14"/>
  <c r="L52" i="14"/>
  <c r="M43" i="14" s="1"/>
  <c r="AS41" i="7"/>
  <c r="AS85" i="7"/>
  <c r="I23" i="8" l="1"/>
  <c r="I49" i="8"/>
  <c r="J65" i="6"/>
  <c r="J21" i="9" s="1"/>
  <c r="I74" i="8"/>
  <c r="I86" i="8" s="1"/>
  <c r="I87" i="8" s="1"/>
  <c r="J64" i="6"/>
  <c r="L50" i="6"/>
  <c r="K84" i="8"/>
  <c r="L51" i="6"/>
  <c r="K71" i="8"/>
  <c r="AU49" i="7"/>
  <c r="M44" i="14"/>
  <c r="M60" i="14"/>
  <c r="J7" i="20"/>
  <c r="J9" i="20" s="1"/>
  <c r="K50" i="7" s="1"/>
  <c r="J65" i="7"/>
  <c r="K52" i="6" l="1"/>
  <c r="L62" i="7"/>
  <c r="M45" i="14"/>
  <c r="J72" i="8"/>
  <c r="K51" i="7"/>
  <c r="J66" i="6"/>
  <c r="J21" i="10"/>
  <c r="J25" i="9"/>
  <c r="K46" i="8"/>
  <c r="K20" i="8"/>
  <c r="M46" i="14" l="1"/>
  <c r="M49" i="14" s="1"/>
  <c r="J25" i="10"/>
  <c r="J67" i="6"/>
  <c r="J72" i="7"/>
  <c r="AT51" i="7"/>
  <c r="K91" i="7"/>
  <c r="J47" i="8"/>
  <c r="J21" i="8"/>
  <c r="K37" i="7"/>
  <c r="K72" i="6"/>
  <c r="K75" i="6" s="1"/>
  <c r="K53" i="6"/>
  <c r="J4" i="20" l="1"/>
  <c r="J68" i="8"/>
  <c r="AT37" i="7"/>
  <c r="K84" i="7"/>
  <c r="K40" i="7"/>
  <c r="K59" i="6"/>
  <c r="J58" i="7"/>
  <c r="M50" i="14"/>
  <c r="M61" i="14"/>
  <c r="AT91" i="7"/>
  <c r="K89" i="10"/>
  <c r="M51" i="14" l="1"/>
  <c r="M69" i="14"/>
  <c r="M56" i="14"/>
  <c r="AT40" i="7"/>
  <c r="K41" i="7"/>
  <c r="AT84" i="7"/>
  <c r="K85" i="7"/>
  <c r="J8" i="20"/>
  <c r="K55" i="6" s="1"/>
  <c r="J17" i="8"/>
  <c r="J43" i="8"/>
  <c r="AT85" i="7" l="1"/>
  <c r="AT41" i="7"/>
  <c r="J10" i="20"/>
  <c r="M49" i="6"/>
  <c r="M49" i="7"/>
  <c r="M70" i="14"/>
  <c r="M57" i="14"/>
  <c r="M58" i="14" s="1"/>
  <c r="M30" i="14" s="1"/>
  <c r="P56" i="2" s="1"/>
  <c r="M52" i="14"/>
  <c r="N43" i="14" s="1"/>
  <c r="K56" i="6" l="1"/>
  <c r="K57" i="6" s="1"/>
  <c r="K60" i="6" s="1"/>
  <c r="K62" i="6" s="1"/>
  <c r="J11" i="20"/>
  <c r="N44" i="14"/>
  <c r="N60" i="14"/>
  <c r="M50" i="6"/>
  <c r="L84" i="8"/>
  <c r="M51" i="6"/>
  <c r="L71" i="8"/>
  <c r="AV49" i="7"/>
  <c r="L20" i="8" l="1"/>
  <c r="L46" i="8"/>
  <c r="J23" i="8"/>
  <c r="J49" i="8"/>
  <c r="K64" i="6"/>
  <c r="J74" i="8"/>
  <c r="J86" i="8" s="1"/>
  <c r="J87" i="8" s="1"/>
  <c r="K65" i="6"/>
  <c r="K21" i="9" s="1"/>
  <c r="L52" i="6"/>
  <c r="M62" i="7"/>
  <c r="N45" i="14"/>
  <c r="K65" i="7"/>
  <c r="K7" i="20"/>
  <c r="K9" i="20" s="1"/>
  <c r="L50" i="7" s="1"/>
  <c r="K25" i="9" l="1"/>
  <c r="N46" i="14"/>
  <c r="N49" i="14" s="1"/>
  <c r="L37" i="7"/>
  <c r="L53" i="6"/>
  <c r="L72" i="6"/>
  <c r="L75" i="6" s="1"/>
  <c r="K66" i="6"/>
  <c r="K21" i="10"/>
  <c r="K72" i="8"/>
  <c r="L51" i="7"/>
  <c r="K25" i="10" l="1"/>
  <c r="K67" i="6"/>
  <c r="K72" i="7"/>
  <c r="L91" i="7"/>
  <c r="AU51" i="7"/>
  <c r="K4" i="20"/>
  <c r="K21" i="8"/>
  <c r="K47" i="8"/>
  <c r="K68" i="8"/>
  <c r="L84" i="7"/>
  <c r="AU37" i="7"/>
  <c r="L40" i="7"/>
  <c r="N61" i="14"/>
  <c r="N50" i="14"/>
  <c r="AU84" i="7" l="1"/>
  <c r="L85" i="7"/>
  <c r="K43" i="8"/>
  <c r="K17" i="8"/>
  <c r="L59" i="6"/>
  <c r="K58" i="7"/>
  <c r="N51" i="14"/>
  <c r="N56" i="14"/>
  <c r="N69" i="14"/>
  <c r="AU40" i="7"/>
  <c r="L41" i="7"/>
  <c r="K8" i="20"/>
  <c r="L55" i="6" s="1"/>
  <c r="AU91" i="7"/>
  <c r="L89" i="10"/>
  <c r="AU41" i="7" l="1"/>
  <c r="N57" i="14"/>
  <c r="N58" i="14" s="1"/>
  <c r="N30" i="14" s="1"/>
  <c r="N70" i="14"/>
  <c r="N52" i="14"/>
  <c r="O43" i="14" s="1"/>
  <c r="AU85" i="7"/>
  <c r="N49" i="6"/>
  <c r="N49" i="7"/>
  <c r="K10" i="20"/>
  <c r="L56" i="6" l="1"/>
  <c r="L57" i="6" s="1"/>
  <c r="L60" i="6" s="1"/>
  <c r="L62" i="6" s="1"/>
  <c r="K11" i="20"/>
  <c r="E277" i="1"/>
  <c r="Q56" i="2"/>
  <c r="M71" i="8"/>
  <c r="AW49" i="7"/>
  <c r="O44" i="14"/>
  <c r="O60" i="14"/>
  <c r="N50" i="6"/>
  <c r="N51" i="6" s="1"/>
  <c r="M84" i="8"/>
  <c r="M52" i="6" l="1"/>
  <c r="N62" i="7"/>
  <c r="K23" i="8"/>
  <c r="K49" i="8"/>
  <c r="K74" i="8"/>
  <c r="K86" i="8" s="1"/>
  <c r="K87" i="8" s="1"/>
  <c r="L65" i="6"/>
  <c r="L21" i="9" s="1"/>
  <c r="L64" i="6"/>
  <c r="M20" i="8"/>
  <c r="M46" i="8"/>
  <c r="L65" i="7"/>
  <c r="L7" i="20"/>
  <c r="L9" i="20" s="1"/>
  <c r="M50" i="7" s="1"/>
  <c r="O45" i="14"/>
  <c r="O46" i="14" l="1"/>
  <c r="O49" i="14" s="1"/>
  <c r="L25" i="9"/>
  <c r="L66" i="6"/>
  <c r="L21" i="10"/>
  <c r="L72" i="8"/>
  <c r="M51" i="7"/>
  <c r="M37" i="7"/>
  <c r="M53" i="6"/>
  <c r="M72" i="6"/>
  <c r="M75" i="6" s="1"/>
  <c r="M91" i="7" l="1"/>
  <c r="AV51" i="7"/>
  <c r="L25" i="10"/>
  <c r="L67" i="6"/>
  <c r="L72" i="7"/>
  <c r="L4" i="20"/>
  <c r="O50" i="14"/>
  <c r="O61" i="14"/>
  <c r="L68" i="8"/>
  <c r="AV37" i="7"/>
  <c r="M84" i="7"/>
  <c r="M40" i="7"/>
  <c r="L21" i="8"/>
  <c r="L47" i="8"/>
  <c r="O51" i="14" l="1"/>
  <c r="O56" i="14"/>
  <c r="O69" i="14"/>
  <c r="M59" i="6"/>
  <c r="L58" i="7"/>
  <c r="L8" i="20"/>
  <c r="M55" i="6" s="1"/>
  <c r="L10" i="20"/>
  <c r="AV40" i="7"/>
  <c r="M41" i="7"/>
  <c r="AV84" i="7"/>
  <c r="M85" i="7"/>
  <c r="L43" i="8"/>
  <c r="L17" i="8"/>
  <c r="AV91" i="7"/>
  <c r="M89" i="10"/>
  <c r="AV41" i="7" l="1"/>
  <c r="M56" i="6"/>
  <c r="M57" i="6" s="1"/>
  <c r="M60" i="6" s="1"/>
  <c r="M62" i="6" s="1"/>
  <c r="L11" i="20"/>
  <c r="AV85" i="7"/>
  <c r="O49" i="6"/>
  <c r="O49" i="7"/>
  <c r="O57" i="14"/>
  <c r="O58" i="14" s="1"/>
  <c r="O30" i="14" s="1"/>
  <c r="O70" i="14"/>
  <c r="O52" i="14"/>
  <c r="P43" i="14" s="1"/>
  <c r="L74" i="8" l="1"/>
  <c r="L86" i="8" s="1"/>
  <c r="L87" i="8" s="1"/>
  <c r="L23" i="8"/>
  <c r="M65" i="6"/>
  <c r="M21" i="9" s="1"/>
  <c r="M64" i="6"/>
  <c r="L49" i="8"/>
  <c r="P60" i="14"/>
  <c r="P44" i="14"/>
  <c r="O50" i="6"/>
  <c r="N84" i="8"/>
  <c r="F277" i="1"/>
  <c r="H60" i="2"/>
  <c r="N71" i="8"/>
  <c r="AX49" i="7"/>
  <c r="M65" i="7"/>
  <c r="M7" i="20"/>
  <c r="M9" i="20" s="1"/>
  <c r="N50" i="7" s="1"/>
  <c r="O51" i="6"/>
  <c r="N52" i="6" l="1"/>
  <c r="O62" i="7"/>
  <c r="P45" i="14"/>
  <c r="M66" i="6"/>
  <c r="M21" i="10"/>
  <c r="M25" i="9"/>
  <c r="N46" i="8"/>
  <c r="N20" i="8"/>
  <c r="M72" i="8"/>
  <c r="N51" i="7"/>
  <c r="M72" i="7" l="1"/>
  <c r="M67" i="6"/>
  <c r="N37" i="7"/>
  <c r="N53" i="6"/>
  <c r="N72" i="6"/>
  <c r="N75" i="6" s="1"/>
  <c r="P46" i="14"/>
  <c r="P49" i="14" s="1"/>
  <c r="AW51" i="7"/>
  <c r="N91" i="7"/>
  <c r="M21" i="8"/>
  <c r="M47" i="8"/>
  <c r="M25" i="10"/>
  <c r="N59" i="6" l="1"/>
  <c r="M58" i="7"/>
  <c r="P50" i="14"/>
  <c r="P61" i="14"/>
  <c r="M4" i="20"/>
  <c r="AW91" i="7"/>
  <c r="N89" i="10"/>
  <c r="M68" i="8"/>
  <c r="AW37" i="7"/>
  <c r="N84" i="7"/>
  <c r="N40" i="7"/>
  <c r="M8" i="20" l="1"/>
  <c r="N55" i="6" s="1"/>
  <c r="M10" i="20"/>
  <c r="AW40" i="7"/>
  <c r="N41" i="7"/>
  <c r="M17" i="8"/>
  <c r="M43" i="8"/>
  <c r="P51" i="14"/>
  <c r="P56" i="14"/>
  <c r="P69" i="14"/>
  <c r="AW84" i="7"/>
  <c r="N85" i="7"/>
  <c r="AW85" i="7" l="1"/>
  <c r="P49" i="6"/>
  <c r="P49" i="7"/>
  <c r="AW41" i="7"/>
  <c r="P70" i="14"/>
  <c r="P57" i="14"/>
  <c r="P58" i="14" s="1"/>
  <c r="P30" i="14" s="1"/>
  <c r="I60" i="2" s="1"/>
  <c r="P52" i="14"/>
  <c r="Q43" i="14" s="1"/>
  <c r="N56" i="6"/>
  <c r="N57" i="6" s="1"/>
  <c r="N60" i="6" s="1"/>
  <c r="N62" i="6" s="1"/>
  <c r="M11" i="20"/>
  <c r="M74" i="8" l="1"/>
  <c r="M86" i="8" s="1"/>
  <c r="M87" i="8" s="1"/>
  <c r="M49" i="8"/>
  <c r="M23" i="8"/>
  <c r="N65" i="6"/>
  <c r="N21" i="9" s="1"/>
  <c r="N64" i="6"/>
  <c r="N65" i="7"/>
  <c r="N7" i="20"/>
  <c r="N9" i="20" s="1"/>
  <c r="O50" i="7" s="1"/>
  <c r="O71" i="8"/>
  <c r="AY49" i="7"/>
  <c r="Q60" i="14"/>
  <c r="Q44" i="14"/>
  <c r="P50" i="6"/>
  <c r="P51" i="6" s="1"/>
  <c r="O84" i="8"/>
  <c r="O52" i="6" l="1"/>
  <c r="P62" i="7"/>
  <c r="N72" i="8"/>
  <c r="O51" i="7"/>
  <c r="O20" i="8"/>
  <c r="O46" i="8"/>
  <c r="Q45" i="14"/>
  <c r="N21" i="10"/>
  <c r="N66" i="6"/>
  <c r="N25" i="9"/>
  <c r="AX51" i="7" l="1"/>
  <c r="O91" i="7"/>
  <c r="Q46" i="14"/>
  <c r="Q49" i="14" s="1"/>
  <c r="N25" i="10"/>
  <c r="N21" i="8"/>
  <c r="N47" i="8"/>
  <c r="N67" i="6"/>
  <c r="N72" i="7"/>
  <c r="O37" i="7"/>
  <c r="O53" i="6"/>
  <c r="O72" i="6"/>
  <c r="O75" i="6" s="1"/>
  <c r="Q61" i="14" l="1"/>
  <c r="Q50" i="14"/>
  <c r="N4" i="20"/>
  <c r="N68" i="8"/>
  <c r="AX37" i="7"/>
  <c r="O84" i="7"/>
  <c r="O40" i="7"/>
  <c r="O59" i="6"/>
  <c r="N58" i="7"/>
  <c r="AX91" i="7"/>
  <c r="O89" i="10"/>
  <c r="AX84" i="7" l="1"/>
  <c r="O85" i="7"/>
  <c r="N17" i="8"/>
  <c r="N43" i="8"/>
  <c r="Q51" i="14"/>
  <c r="Q69" i="14"/>
  <c r="Q56" i="14"/>
  <c r="N8" i="20"/>
  <c r="O55" i="6" s="1"/>
  <c r="N10" i="20"/>
  <c r="AX40" i="7"/>
  <c r="O41" i="7"/>
  <c r="Q49" i="6" l="1"/>
  <c r="Q49" i="7"/>
  <c r="Q57" i="14"/>
  <c r="Q58" i="14" s="1"/>
  <c r="Q30" i="14" s="1"/>
  <c r="J60" i="2" s="1"/>
  <c r="Q70" i="14"/>
  <c r="Q52" i="14"/>
  <c r="R43" i="14" s="1"/>
  <c r="AX85" i="7"/>
  <c r="AX41" i="7"/>
  <c r="O56" i="6"/>
  <c r="O57" i="6" s="1"/>
  <c r="O60" i="6" s="1"/>
  <c r="O62" i="6" s="1"/>
  <c r="N11" i="20"/>
  <c r="N23" i="8" l="1"/>
  <c r="N74" i="8"/>
  <c r="N86" i="8" s="1"/>
  <c r="N87" i="8" s="1"/>
  <c r="N49" i="8"/>
  <c r="O64" i="6"/>
  <c r="O65" i="6"/>
  <c r="O21" i="9" s="1"/>
  <c r="R44" i="14"/>
  <c r="R60" i="14"/>
  <c r="O7" i="20"/>
  <c r="O9" i="20" s="1"/>
  <c r="P50" i="7" s="1"/>
  <c r="O65" i="7"/>
  <c r="Q50" i="6"/>
  <c r="P84" i="8"/>
  <c r="P71" i="8"/>
  <c r="AZ49" i="7"/>
  <c r="Q51" i="6"/>
  <c r="P20" i="8" l="1"/>
  <c r="P46" i="8"/>
  <c r="P52" i="6"/>
  <c r="Q62" i="7"/>
  <c r="R45" i="14"/>
  <c r="O25" i="9"/>
  <c r="O66" i="6"/>
  <c r="O21" i="10"/>
  <c r="O72" i="8"/>
  <c r="P51" i="7"/>
  <c r="R46" i="14" l="1"/>
  <c r="R49" i="14" s="1"/>
  <c r="P91" i="7"/>
  <c r="AY51" i="7"/>
  <c r="P37" i="7"/>
  <c r="P53" i="6"/>
  <c r="O25" i="10"/>
  <c r="O47" i="8"/>
  <c r="O21" i="8"/>
  <c r="O67" i="6"/>
  <c r="O72" i="7"/>
  <c r="O68" i="8" l="1"/>
  <c r="AY37" i="7"/>
  <c r="P84" i="7"/>
  <c r="P40" i="7"/>
  <c r="AY91" i="7"/>
  <c r="P89" i="10"/>
  <c r="P59" i="6"/>
  <c r="O58" i="7"/>
  <c r="R50" i="14"/>
  <c r="R61" i="14"/>
  <c r="O4" i="20"/>
  <c r="R51" i="14" l="1"/>
  <c r="R69" i="14"/>
  <c r="R56" i="14"/>
  <c r="O10" i="20"/>
  <c r="O8" i="20"/>
  <c r="P55" i="6" s="1"/>
  <c r="AY40" i="7"/>
  <c r="P41" i="7"/>
  <c r="AY84" i="7"/>
  <c r="P85" i="7"/>
  <c r="O17" i="8"/>
  <c r="O43" i="8"/>
  <c r="AY41" i="7" l="1"/>
  <c r="P57" i="6"/>
  <c r="P60" i="6" s="1"/>
  <c r="P62" i="6" s="1"/>
  <c r="P56" i="6"/>
  <c r="O11" i="20"/>
  <c r="AY85" i="7"/>
  <c r="R49" i="6"/>
  <c r="R49" i="7"/>
  <c r="R70" i="14"/>
  <c r="R57" i="14"/>
  <c r="R58" i="14" s="1"/>
  <c r="R30" i="14" s="1"/>
  <c r="K60" i="2" s="1"/>
  <c r="R52" i="14"/>
  <c r="S43" i="14" s="1"/>
  <c r="P65" i="7" l="1"/>
  <c r="P7" i="20"/>
  <c r="P9" i="20" s="1"/>
  <c r="Q50" i="7" s="1"/>
  <c r="S44" i="14"/>
  <c r="S60" i="14"/>
  <c r="R50" i="6"/>
  <c r="Q84" i="8"/>
  <c r="O49" i="8"/>
  <c r="O23" i="8"/>
  <c r="P64" i="6"/>
  <c r="P65" i="6"/>
  <c r="P21" i="9" s="1"/>
  <c r="O74" i="8"/>
  <c r="O86" i="8" s="1"/>
  <c r="O87" i="8" s="1"/>
  <c r="Q71" i="8"/>
  <c r="BA49" i="7"/>
  <c r="R51" i="6"/>
  <c r="P72" i="8" l="1"/>
  <c r="Q51" i="7"/>
  <c r="Q52" i="6"/>
  <c r="R62" i="7"/>
  <c r="Q20" i="8"/>
  <c r="Q46" i="8"/>
  <c r="P25" i="9"/>
  <c r="S45" i="14"/>
  <c r="P21" i="10"/>
  <c r="P66" i="6"/>
  <c r="P67" i="6" l="1"/>
  <c r="P72" i="7"/>
  <c r="Q37" i="7"/>
  <c r="Q53" i="6"/>
  <c r="P25" i="10"/>
  <c r="S46" i="14"/>
  <c r="S49" i="14" s="1"/>
  <c r="AZ51" i="7"/>
  <c r="Q91" i="7"/>
  <c r="P21" i="8"/>
  <c r="P47" i="8"/>
  <c r="P4" i="20" l="1"/>
  <c r="P68" i="8"/>
  <c r="AZ37" i="7"/>
  <c r="Q84" i="7"/>
  <c r="Q40" i="7"/>
  <c r="AZ91" i="7"/>
  <c r="Q89" i="10"/>
  <c r="Q59" i="6"/>
  <c r="P58" i="7"/>
  <c r="S50" i="14"/>
  <c r="S61" i="14"/>
  <c r="AZ40" i="7" l="1"/>
  <c r="Q41" i="7"/>
  <c r="P8" i="20"/>
  <c r="Q55" i="6" s="1"/>
  <c r="P10" i="20"/>
  <c r="S51" i="14"/>
  <c r="S56" i="14"/>
  <c r="S69" i="14"/>
  <c r="AZ84" i="7"/>
  <c r="Q85" i="7"/>
  <c r="P43" i="8"/>
  <c r="P17" i="8"/>
  <c r="S57" i="14" l="1"/>
  <c r="S58" i="14" s="1"/>
  <c r="S30" i="14" s="1"/>
  <c r="L60" i="2" s="1"/>
  <c r="S70" i="14"/>
  <c r="S52" i="14"/>
  <c r="T43" i="14" s="1"/>
  <c r="Q56" i="6"/>
  <c r="P11" i="20"/>
  <c r="Q57" i="6"/>
  <c r="Q60" i="6" s="1"/>
  <c r="Q62" i="6" s="1"/>
  <c r="AZ85" i="7"/>
  <c r="AZ41" i="7"/>
  <c r="S49" i="6"/>
  <c r="S49" i="7"/>
  <c r="P49" i="8" l="1"/>
  <c r="P23" i="8"/>
  <c r="P74" i="8"/>
  <c r="P86" i="8" s="1"/>
  <c r="P87" i="8" s="1"/>
  <c r="Q64" i="6"/>
  <c r="Q65" i="6"/>
  <c r="Q21" i="9" s="1"/>
  <c r="Q65" i="7"/>
  <c r="Q7" i="20"/>
  <c r="Q9" i="20" s="1"/>
  <c r="R50" i="7" s="1"/>
  <c r="R71" i="8"/>
  <c r="BB49" i="7"/>
  <c r="S51" i="6"/>
  <c r="T44" i="14"/>
  <c r="T60" i="14"/>
  <c r="S50" i="6"/>
  <c r="R84" i="8"/>
  <c r="R46" i="8" l="1"/>
  <c r="R20" i="8"/>
  <c r="Q72" i="8"/>
  <c r="R51" i="7"/>
  <c r="Q25" i="9"/>
  <c r="Q66" i="6"/>
  <c r="Q21" i="10"/>
  <c r="R52" i="6"/>
  <c r="S62" i="7"/>
  <c r="T45" i="14"/>
  <c r="R37" i="7" l="1"/>
  <c r="R53" i="6"/>
  <c r="Q25" i="10"/>
  <c r="Q67" i="6"/>
  <c r="Q72" i="7"/>
  <c r="T46" i="14"/>
  <c r="T49" i="14" s="1"/>
  <c r="BA51" i="7"/>
  <c r="R91" i="7"/>
  <c r="Q21" i="8"/>
  <c r="Q47" i="8"/>
  <c r="T50" i="14" l="1"/>
  <c r="T61" i="14"/>
  <c r="R59" i="6"/>
  <c r="Q58" i="7"/>
  <c r="Q4" i="20"/>
  <c r="BA91" i="7"/>
  <c r="R89" i="10"/>
  <c r="Q68" i="8"/>
  <c r="R84" i="7"/>
  <c r="BA37" i="7"/>
  <c r="R40" i="7"/>
  <c r="T51" i="14" l="1"/>
  <c r="T69" i="14"/>
  <c r="T56" i="14"/>
  <c r="Q8" i="20"/>
  <c r="R55" i="6" s="1"/>
  <c r="BA40" i="7"/>
  <c r="R41" i="7"/>
  <c r="BA84" i="7"/>
  <c r="R85" i="7"/>
  <c r="Q17" i="8"/>
  <c r="Q43" i="8"/>
  <c r="T70" i="14" l="1"/>
  <c r="T57" i="14"/>
  <c r="T58" i="14" s="1"/>
  <c r="T30" i="14" s="1"/>
  <c r="M60" i="2" s="1"/>
  <c r="T52" i="14"/>
  <c r="U43" i="14" s="1"/>
  <c r="BA41" i="7"/>
  <c r="Q10" i="20"/>
  <c r="BA85" i="7"/>
  <c r="T49" i="6"/>
  <c r="T49" i="7"/>
  <c r="U60" i="14" l="1"/>
  <c r="U44" i="14"/>
  <c r="T50" i="6"/>
  <c r="T51" i="6" s="1"/>
  <c r="S84" i="8"/>
  <c r="R56" i="6"/>
  <c r="R57" i="6" s="1"/>
  <c r="R60" i="6" s="1"/>
  <c r="R62" i="6" s="1"/>
  <c r="Q11" i="20"/>
  <c r="S71" i="8"/>
  <c r="BC49" i="7"/>
  <c r="S52" i="6" l="1"/>
  <c r="T62" i="7"/>
  <c r="S20" i="8"/>
  <c r="S46" i="8"/>
  <c r="Q23" i="8"/>
  <c r="R65" i="6"/>
  <c r="R21" i="9" s="1"/>
  <c r="Q74" i="8"/>
  <c r="Q86" i="8" s="1"/>
  <c r="Q87" i="8" s="1"/>
  <c r="R64" i="6"/>
  <c r="Q49" i="8"/>
  <c r="R65" i="7"/>
  <c r="R7" i="20"/>
  <c r="R9" i="20" s="1"/>
  <c r="S50" i="7" s="1"/>
  <c r="U45" i="14"/>
  <c r="U46" i="14" l="1"/>
  <c r="U49" i="14" s="1"/>
  <c r="R25" i="9"/>
  <c r="R66" i="6"/>
  <c r="R21" i="10"/>
  <c r="S37" i="7"/>
  <c r="S53" i="6"/>
  <c r="R72" i="8"/>
  <c r="S51" i="7"/>
  <c r="BB51" i="7" l="1"/>
  <c r="S91" i="7"/>
  <c r="R21" i="8"/>
  <c r="R47" i="8"/>
  <c r="R4" i="20"/>
  <c r="R68" i="8"/>
  <c r="BB37" i="7"/>
  <c r="S84" i="7"/>
  <c r="S40" i="7"/>
  <c r="R25" i="10"/>
  <c r="R67" i="6"/>
  <c r="R72" i="7"/>
  <c r="U61" i="14"/>
  <c r="U50" i="14"/>
  <c r="S59" i="6" l="1"/>
  <c r="R58" i="7"/>
  <c r="R17" i="8"/>
  <c r="R43" i="8"/>
  <c r="R8" i="20"/>
  <c r="S55" i="6" s="1"/>
  <c r="BB40" i="7"/>
  <c r="S41" i="7"/>
  <c r="BB91" i="7"/>
  <c r="S89" i="10"/>
  <c r="BB84" i="7"/>
  <c r="S85" i="7"/>
  <c r="U51" i="14"/>
  <c r="U56" i="14"/>
  <c r="U69" i="14"/>
  <c r="U70" i="14" l="1"/>
  <c r="U57" i="14"/>
  <c r="U58" i="14" s="1"/>
  <c r="U30" i="14" s="1"/>
  <c r="N60" i="2" s="1"/>
  <c r="U52" i="14"/>
  <c r="V43" i="14" s="1"/>
  <c r="R10" i="20"/>
  <c r="BB85" i="7"/>
  <c r="U49" i="6"/>
  <c r="U49" i="7"/>
  <c r="BB41" i="7"/>
  <c r="T71" i="8" l="1"/>
  <c r="BD49" i="7"/>
  <c r="U50" i="6"/>
  <c r="U51" i="6" s="1"/>
  <c r="T84" i="8"/>
  <c r="S56" i="6"/>
  <c r="S57" i="6" s="1"/>
  <c r="S60" i="6" s="1"/>
  <c r="S62" i="6" s="1"/>
  <c r="R11" i="20"/>
  <c r="V44" i="14"/>
  <c r="V60" i="14"/>
  <c r="T52" i="6" l="1"/>
  <c r="U62" i="7"/>
  <c r="V45" i="14"/>
  <c r="R23" i="8"/>
  <c r="R74" i="8"/>
  <c r="R86" i="8" s="1"/>
  <c r="R87" i="8" s="1"/>
  <c r="R49" i="8"/>
  <c r="S64" i="6"/>
  <c r="S65" i="6"/>
  <c r="S21" i="9" s="1"/>
  <c r="T46" i="8"/>
  <c r="T20" i="8"/>
  <c r="S65" i="7"/>
  <c r="S7" i="20"/>
  <c r="S9" i="20" s="1"/>
  <c r="T50" i="7" s="1"/>
  <c r="S72" i="8" l="1"/>
  <c r="T51" i="7"/>
  <c r="V46" i="14"/>
  <c r="V49" i="14" s="1"/>
  <c r="T37" i="7"/>
  <c r="T53" i="6"/>
  <c r="S25" i="9"/>
  <c r="S66" i="6"/>
  <c r="S21" i="10"/>
  <c r="S25" i="10" l="1"/>
  <c r="BC51" i="7"/>
  <c r="T91" i="7"/>
  <c r="S4" i="20"/>
  <c r="S68" i="8"/>
  <c r="T84" i="7"/>
  <c r="BC37" i="7"/>
  <c r="T40" i="7"/>
  <c r="V61" i="14"/>
  <c r="V50" i="14"/>
  <c r="S67" i="6"/>
  <c r="S72" i="7"/>
  <c r="S47" i="8"/>
  <c r="S21" i="8"/>
  <c r="T59" i="6" l="1"/>
  <c r="S58" i="7"/>
  <c r="BC40" i="7"/>
  <c r="T41" i="7"/>
  <c r="V51" i="14"/>
  <c r="V56" i="14"/>
  <c r="V69" i="14"/>
  <c r="BC84" i="7"/>
  <c r="T85" i="7"/>
  <c r="S17" i="8"/>
  <c r="S43" i="8"/>
  <c r="S8" i="20"/>
  <c r="T55" i="6" s="1"/>
  <c r="BC91" i="7"/>
  <c r="T89" i="10"/>
  <c r="BC41" i="7" l="1"/>
  <c r="BC85" i="7"/>
  <c r="V70" i="14"/>
  <c r="V57" i="14"/>
  <c r="V58" i="14" s="1"/>
  <c r="V30" i="14" s="1"/>
  <c r="O60" i="2" s="1"/>
  <c r="V52" i="14"/>
  <c r="W43" i="14" s="1"/>
  <c r="S10" i="20"/>
  <c r="V49" i="7"/>
  <c r="V49" i="6"/>
  <c r="T56" i="6" l="1"/>
  <c r="T57" i="6" s="1"/>
  <c r="T60" i="6" s="1"/>
  <c r="T62" i="6" s="1"/>
  <c r="S11" i="20"/>
  <c r="V50" i="6"/>
  <c r="V51" i="6" s="1"/>
  <c r="U84" i="8"/>
  <c r="W44" i="14"/>
  <c r="W60" i="14"/>
  <c r="U71" i="8"/>
  <c r="BE49" i="7"/>
  <c r="U52" i="6" l="1"/>
  <c r="V62" i="7"/>
  <c r="T65" i="7"/>
  <c r="T7" i="20"/>
  <c r="T9" i="20" s="1"/>
  <c r="U50" i="7" s="1"/>
  <c r="W45" i="14"/>
  <c r="S23" i="8"/>
  <c r="S49" i="8"/>
  <c r="S74" i="8"/>
  <c r="S86" i="8" s="1"/>
  <c r="S87" i="8" s="1"/>
  <c r="T64" i="6"/>
  <c r="T65" i="6"/>
  <c r="T21" i="9" s="1"/>
  <c r="U20" i="8"/>
  <c r="U46" i="8"/>
  <c r="W46" i="14" l="1"/>
  <c r="W49" i="14" s="1"/>
  <c r="T25" i="9"/>
  <c r="T66" i="6"/>
  <c r="T21" i="10"/>
  <c r="T72" i="8"/>
  <c r="U51" i="7"/>
  <c r="U37" i="7"/>
  <c r="U53" i="6"/>
  <c r="T67" i="6" l="1"/>
  <c r="T72" i="7"/>
  <c r="BD37" i="7"/>
  <c r="T68" i="8"/>
  <c r="U84" i="7"/>
  <c r="U40" i="7"/>
  <c r="U91" i="7"/>
  <c r="BD51" i="7"/>
  <c r="T4" i="20"/>
  <c r="W50" i="14"/>
  <c r="W61" i="14"/>
  <c r="T47" i="8"/>
  <c r="T21" i="8"/>
  <c r="T25" i="10"/>
  <c r="T43" i="8" l="1"/>
  <c r="T17" i="8"/>
  <c r="W51" i="14"/>
  <c r="W69" i="14"/>
  <c r="W56" i="14"/>
  <c r="T8" i="20"/>
  <c r="U55" i="6" s="1"/>
  <c r="U59" i="6"/>
  <c r="T58" i="7"/>
  <c r="U89" i="10"/>
  <c r="BD91" i="7"/>
  <c r="BD40" i="7"/>
  <c r="U41" i="7"/>
  <c r="BD84" i="7"/>
  <c r="U85" i="7"/>
  <c r="W57" i="14" l="1"/>
  <c r="W58" i="14" s="1"/>
  <c r="W30" i="14" s="1"/>
  <c r="P60" i="2" s="1"/>
  <c r="W70" i="14"/>
  <c r="W52" i="14"/>
  <c r="X43" i="14" s="1"/>
  <c r="BD41" i="7"/>
  <c r="W49" i="6"/>
  <c r="W49" i="7"/>
  <c r="BD85" i="7"/>
  <c r="T10" i="20"/>
  <c r="U56" i="6" l="1"/>
  <c r="U57" i="6" s="1"/>
  <c r="U60" i="6" s="1"/>
  <c r="U62" i="6" s="1"/>
  <c r="T11" i="20"/>
  <c r="W50" i="6"/>
  <c r="V84" i="8"/>
  <c r="X60" i="14"/>
  <c r="X44" i="14"/>
  <c r="V71" i="8"/>
  <c r="BF49" i="7"/>
  <c r="W51" i="6"/>
  <c r="U65" i="7" l="1"/>
  <c r="U7" i="20"/>
  <c r="U9" i="20" s="1"/>
  <c r="V50" i="7" s="1"/>
  <c r="X45" i="14"/>
  <c r="V46" i="8"/>
  <c r="V20" i="8"/>
  <c r="V52" i="6"/>
  <c r="W62" i="7"/>
  <c r="T49" i="8"/>
  <c r="T74" i="8"/>
  <c r="T86" i="8" s="1"/>
  <c r="T87" i="8" s="1"/>
  <c r="U65" i="6"/>
  <c r="U21" i="9" s="1"/>
  <c r="T23" i="8"/>
  <c r="U64" i="6"/>
  <c r="U25" i="9" l="1"/>
  <c r="X46" i="14"/>
  <c r="X49" i="14" s="1"/>
  <c r="U66" i="6"/>
  <c r="U21" i="10"/>
  <c r="U72" i="8"/>
  <c r="V51" i="7"/>
  <c r="V37" i="7"/>
  <c r="V53" i="6"/>
  <c r="BE51" i="7" l="1"/>
  <c r="V91" i="7"/>
  <c r="U21" i="8"/>
  <c r="U47" i="8"/>
  <c r="U4" i="20"/>
  <c r="U25" i="10"/>
  <c r="U67" i="6"/>
  <c r="U72" i="7"/>
  <c r="X61" i="14"/>
  <c r="X50" i="14"/>
  <c r="U68" i="8"/>
  <c r="BE37" i="7"/>
  <c r="V84" i="7"/>
  <c r="V40" i="7"/>
  <c r="U17" i="8" l="1"/>
  <c r="U43" i="8"/>
  <c r="BE91" i="7"/>
  <c r="V89" i="10"/>
  <c r="BE40" i="7"/>
  <c r="V41" i="7"/>
  <c r="V59" i="6"/>
  <c r="U58" i="7"/>
  <c r="U10" i="20"/>
  <c r="U8" i="20"/>
  <c r="V55" i="6" s="1"/>
  <c r="BE84" i="7"/>
  <c r="V85" i="7"/>
  <c r="X51" i="14"/>
  <c r="X56" i="14"/>
  <c r="X69" i="14"/>
  <c r="BE85" i="7" l="1"/>
  <c r="X57" i="14"/>
  <c r="X58" i="14" s="1"/>
  <c r="X30" i="14" s="1"/>
  <c r="Q60" i="2" s="1"/>
  <c r="X70" i="14"/>
  <c r="X52" i="14"/>
  <c r="Y43" i="14" s="1"/>
  <c r="V56" i="6"/>
  <c r="V57" i="6" s="1"/>
  <c r="V60" i="6" s="1"/>
  <c r="V62" i="6" s="1"/>
  <c r="U11" i="20"/>
  <c r="X49" i="6"/>
  <c r="X49" i="7"/>
  <c r="BE41" i="7"/>
  <c r="U74" i="8" l="1"/>
  <c r="U86" i="8" s="1"/>
  <c r="U87" i="8" s="1"/>
  <c r="U23" i="8"/>
  <c r="U49" i="8"/>
  <c r="V65" i="6"/>
  <c r="V21" i="9" s="1"/>
  <c r="V64" i="6"/>
  <c r="V65" i="7"/>
  <c r="V7" i="20"/>
  <c r="V9" i="20" s="1"/>
  <c r="W50" i="7" s="1"/>
  <c r="Y60" i="14"/>
  <c r="Y44" i="14"/>
  <c r="W71" i="8"/>
  <c r="BG49" i="7"/>
  <c r="X50" i="6"/>
  <c r="W84" i="8"/>
  <c r="X51" i="6"/>
  <c r="V66" i="6" l="1"/>
  <c r="V21" i="10"/>
  <c r="W52" i="6"/>
  <c r="X62" i="7"/>
  <c r="V72" i="8"/>
  <c r="W51" i="7"/>
  <c r="V25" i="9"/>
  <c r="W20" i="8"/>
  <c r="W46" i="8"/>
  <c r="Y45" i="14"/>
  <c r="Y46" i="14" l="1"/>
  <c r="Y49" i="14" s="1"/>
  <c r="V25" i="10"/>
  <c r="V72" i="7"/>
  <c r="V67" i="6"/>
  <c r="BF51" i="7"/>
  <c r="W91" i="7"/>
  <c r="V21" i="8"/>
  <c r="V47" i="8"/>
  <c r="W37" i="7"/>
  <c r="W53" i="6"/>
  <c r="Y61" i="14" l="1"/>
  <c r="Y50" i="14"/>
  <c r="W89" i="10"/>
  <c r="BF91" i="7"/>
  <c r="V4" i="20"/>
  <c r="W59" i="6"/>
  <c r="V58" i="7"/>
  <c r="V68" i="8"/>
  <c r="BF37" i="7"/>
  <c r="W84" i="7"/>
  <c r="W40" i="7"/>
  <c r="V43" i="8" l="1"/>
  <c r="V17" i="8"/>
  <c r="V8" i="20"/>
  <c r="W55" i="6" s="1"/>
  <c r="BF40" i="7"/>
  <c r="W41" i="7"/>
  <c r="Y51" i="14"/>
  <c r="Y69" i="14"/>
  <c r="Y56" i="14"/>
  <c r="BF84" i="7"/>
  <c r="W85" i="7"/>
  <c r="Y70" i="14" l="1"/>
  <c r="Y57" i="14"/>
  <c r="Y58" i="14" s="1"/>
  <c r="Y30" i="14" s="1"/>
  <c r="Y52" i="14"/>
  <c r="Z43" i="14" s="1"/>
  <c r="BF85" i="7"/>
  <c r="V10" i="20"/>
  <c r="BF41" i="7"/>
  <c r="Y49" i="6"/>
  <c r="Y49" i="7"/>
  <c r="Z44" i="14" l="1"/>
  <c r="Z60" i="14"/>
  <c r="W56" i="6"/>
  <c r="W57" i="6" s="1"/>
  <c r="W60" i="6" s="1"/>
  <c r="W62" i="6" s="1"/>
  <c r="V11" i="20"/>
  <c r="Y50" i="6"/>
  <c r="X84" i="8"/>
  <c r="X71" i="8"/>
  <c r="BH49" i="7"/>
  <c r="Y51" i="6"/>
  <c r="V49" i="8" l="1"/>
  <c r="V74" i="8"/>
  <c r="V86" i="8" s="1"/>
  <c r="V87" i="8" s="1"/>
  <c r="W65" i="6"/>
  <c r="W21" i="9" s="1"/>
  <c r="V23" i="8"/>
  <c r="W64" i="6"/>
  <c r="Z45" i="14"/>
  <c r="X20" i="8"/>
  <c r="X46" i="8"/>
  <c r="X52" i="6"/>
  <c r="Y62" i="7"/>
  <c r="W65" i="7"/>
  <c r="W7" i="20"/>
  <c r="W9" i="20" s="1"/>
  <c r="X50" i="7" s="1"/>
  <c r="W72" i="8" l="1"/>
  <c r="X51" i="7"/>
  <c r="Z46" i="14"/>
  <c r="Z49" i="14" s="1"/>
  <c r="W66" i="6"/>
  <c r="W21" i="10"/>
  <c r="W25" i="9"/>
  <c r="X37" i="7"/>
  <c r="X53" i="6"/>
  <c r="Z50" i="14" l="1"/>
  <c r="Z61" i="14"/>
  <c r="W4" i="20"/>
  <c r="W68" i="8"/>
  <c r="X84" i="7"/>
  <c r="BG37" i="7"/>
  <c r="X40" i="7"/>
  <c r="W25" i="10"/>
  <c r="W67" i="6"/>
  <c r="W72" i="7"/>
  <c r="X91" i="7"/>
  <c r="BG51" i="7"/>
  <c r="W47" i="8"/>
  <c r="W21" i="8"/>
  <c r="X89" i="10" l="1"/>
  <c r="BG91" i="7"/>
  <c r="X59" i="6"/>
  <c r="W58" i="7"/>
  <c r="Z51" i="14"/>
  <c r="Z69" i="14"/>
  <c r="Z56" i="14"/>
  <c r="BG84" i="7"/>
  <c r="X85" i="7"/>
  <c r="W17" i="8"/>
  <c r="W43" i="8"/>
  <c r="BG40" i="7"/>
  <c r="X41" i="7"/>
  <c r="W8" i="20"/>
  <c r="X55" i="6" s="1"/>
  <c r="W10" i="20"/>
  <c r="Z49" i="6" l="1"/>
  <c r="Z49" i="7"/>
  <c r="BG41" i="7"/>
  <c r="Z57" i="14"/>
  <c r="Z58" i="14" s="1"/>
  <c r="Z30" i="14" s="1"/>
  <c r="Z70" i="14"/>
  <c r="Z52" i="14"/>
  <c r="AA43" i="14" s="1"/>
  <c r="X56" i="6"/>
  <c r="W11" i="20"/>
  <c r="X57" i="6"/>
  <c r="X60" i="6" s="1"/>
  <c r="X62" i="6" s="1"/>
  <c r="BG85" i="7"/>
  <c r="W23" i="8" l="1"/>
  <c r="W49" i="8"/>
  <c r="W74" i="8"/>
  <c r="W86" i="8" s="1"/>
  <c r="W87" i="8" s="1"/>
  <c r="X64" i="6"/>
  <c r="X65" i="6"/>
  <c r="X21" i="9" s="1"/>
  <c r="X7" i="20"/>
  <c r="X9" i="20" s="1"/>
  <c r="Y50" i="7" s="1"/>
  <c r="X65" i="7"/>
  <c r="AA44" i="14"/>
  <c r="AA60" i="14"/>
  <c r="Y71" i="8"/>
  <c r="BI49" i="7"/>
  <c r="Z50" i="6"/>
  <c r="Y84" i="8"/>
  <c r="Z51" i="6"/>
  <c r="Y52" i="6" l="1"/>
  <c r="Z62" i="7"/>
  <c r="X25" i="9"/>
  <c r="AA45" i="14"/>
  <c r="X72" i="8"/>
  <c r="Y51" i="7"/>
  <c r="X66" i="6"/>
  <c r="X21" i="10"/>
  <c r="Y20" i="8"/>
  <c r="Y46" i="8"/>
  <c r="X67" i="6" l="1"/>
  <c r="X72" i="7"/>
  <c r="Y91" i="7"/>
  <c r="BH51" i="7"/>
  <c r="X47" i="8"/>
  <c r="X21" i="8"/>
  <c r="AA46" i="14"/>
  <c r="AA49" i="14" s="1"/>
  <c r="X25" i="10"/>
  <c r="Y37" i="7"/>
  <c r="Y53" i="6"/>
  <c r="AA61" i="14" l="1"/>
  <c r="AA50" i="14"/>
  <c r="X4" i="20"/>
  <c r="BH91" i="7"/>
  <c r="Y89" i="10"/>
  <c r="X68" i="8"/>
  <c r="Y84" i="7"/>
  <c r="BH37" i="7"/>
  <c r="Y40" i="7"/>
  <c r="Y59" i="6"/>
  <c r="X58" i="7"/>
  <c r="X17" i="8" l="1"/>
  <c r="X43" i="8"/>
  <c r="X8" i="20"/>
  <c r="Y55" i="6" s="1"/>
  <c r="X10" i="20"/>
  <c r="BH40" i="7"/>
  <c r="Y41" i="7"/>
  <c r="AA51" i="14"/>
  <c r="AA56" i="14"/>
  <c r="AA69" i="14"/>
  <c r="BH84" i="7"/>
  <c r="Y85" i="7"/>
  <c r="BH85" i="7" l="1"/>
  <c r="Y56" i="6"/>
  <c r="Y57" i="6" s="1"/>
  <c r="Y60" i="6" s="1"/>
  <c r="Y62" i="6" s="1"/>
  <c r="X11" i="20"/>
  <c r="AA49" i="6"/>
  <c r="AA49" i="7"/>
  <c r="AA70" i="14"/>
  <c r="AA57" i="14"/>
  <c r="AA58" i="14" s="1"/>
  <c r="AA30" i="14" s="1"/>
  <c r="AA52" i="14"/>
  <c r="AB43" i="14" s="1"/>
  <c r="BH41" i="7"/>
  <c r="X49" i="8" l="1"/>
  <c r="X23" i="8"/>
  <c r="X74" i="8"/>
  <c r="X86" i="8" s="1"/>
  <c r="X87" i="8" s="1"/>
  <c r="Y64" i="6"/>
  <c r="Y65" i="6"/>
  <c r="Y21" i="9" s="1"/>
  <c r="AB60" i="14"/>
  <c r="AB44" i="14"/>
  <c r="AA51" i="6"/>
  <c r="Z71" i="8"/>
  <c r="BJ49" i="7"/>
  <c r="Y7" i="20"/>
  <c r="Y9" i="20" s="1"/>
  <c r="Z50" i="7" s="1"/>
  <c r="Y65" i="7"/>
  <c r="AA50" i="6"/>
  <c r="Z84" i="8"/>
  <c r="AB45" i="14" l="1"/>
  <c r="Y72" i="8"/>
  <c r="Z51" i="7"/>
  <c r="Y25" i="9"/>
  <c r="Z20" i="8"/>
  <c r="Z46" i="8"/>
  <c r="Y66" i="6"/>
  <c r="Y21" i="10"/>
  <c r="Z52" i="6"/>
  <c r="AA62" i="7"/>
  <c r="Z37" i="7" l="1"/>
  <c r="Z53" i="6"/>
  <c r="Y25" i="10"/>
  <c r="Y67" i="6"/>
  <c r="Y72" i="7"/>
  <c r="Z91" i="7"/>
  <c r="BI51" i="7"/>
  <c r="Y21" i="8"/>
  <c r="Y47" i="8"/>
  <c r="AB46" i="14"/>
  <c r="AB49" i="14" s="1"/>
  <c r="BI91" i="7" l="1"/>
  <c r="Z89" i="10"/>
  <c r="AB50" i="14"/>
  <c r="AB61" i="14"/>
  <c r="Y58" i="7"/>
  <c r="Z59" i="6"/>
  <c r="Y4" i="20"/>
  <c r="Y68" i="8"/>
  <c r="BI37" i="7"/>
  <c r="Z84" i="7"/>
  <c r="Z40" i="7"/>
  <c r="BI40" i="7" l="1"/>
  <c r="Z41" i="7"/>
  <c r="BI84" i="7"/>
  <c r="Z85" i="7"/>
  <c r="Y43" i="8"/>
  <c r="Y17" i="8"/>
  <c r="AB51" i="14"/>
  <c r="AB56" i="14"/>
  <c r="AB69" i="14"/>
  <c r="Y8" i="20"/>
  <c r="Z55" i="6" s="1"/>
  <c r="BI85" i="7" l="1"/>
  <c r="AB49" i="6"/>
  <c r="AB49" i="7"/>
  <c r="AB70" i="14"/>
  <c r="AB57" i="14"/>
  <c r="AB58" i="14" s="1"/>
  <c r="AB30" i="14" s="1"/>
  <c r="AB52" i="14"/>
  <c r="AC43" i="14" s="1"/>
  <c r="BI41" i="7"/>
  <c r="Y10" i="20"/>
  <c r="Z56" i="6" l="1"/>
  <c r="Z57" i="6" s="1"/>
  <c r="Z60" i="6" s="1"/>
  <c r="Z62" i="6" s="1"/>
  <c r="Y11" i="20"/>
  <c r="AB50" i="6"/>
  <c r="AB51" i="6" s="1"/>
  <c r="AA84" i="8"/>
  <c r="AA71" i="8"/>
  <c r="BK49" i="7"/>
  <c r="AC44" i="14"/>
  <c r="AC60" i="14"/>
  <c r="AA52" i="6" l="1"/>
  <c r="AB62" i="7"/>
  <c r="AA20" i="8"/>
  <c r="AA46" i="8"/>
  <c r="Y23" i="8"/>
  <c r="Y49" i="8"/>
  <c r="Z65" i="6"/>
  <c r="Z21" i="9" s="1"/>
  <c r="Y74" i="8"/>
  <c r="Y86" i="8" s="1"/>
  <c r="Y87" i="8" s="1"/>
  <c r="Z64" i="6"/>
  <c r="AC45" i="14"/>
  <c r="Z65" i="7"/>
  <c r="Z7" i="20"/>
  <c r="Z9" i="20" s="1"/>
  <c r="AA50" i="7" s="1"/>
  <c r="Z25" i="9" l="1"/>
  <c r="Z72" i="8"/>
  <c r="AA51" i="7"/>
  <c r="AA37" i="7"/>
  <c r="AA53" i="6"/>
  <c r="AC46" i="14"/>
  <c r="AC49" i="14" s="1"/>
  <c r="Z66" i="6"/>
  <c r="Z21" i="10"/>
  <c r="Z25" i="10" l="1"/>
  <c r="BJ51" i="7"/>
  <c r="AA91" i="7"/>
  <c r="Z21" i="8"/>
  <c r="Z47" i="8"/>
  <c r="AC50" i="14"/>
  <c r="AC61" i="14"/>
  <c r="Z4" i="20"/>
  <c r="Z67" i="6"/>
  <c r="Z72" i="7"/>
  <c r="Z68" i="8"/>
  <c r="BJ37" i="7"/>
  <c r="AA84" i="7"/>
  <c r="AA40" i="7"/>
  <c r="BJ40" i="7" l="1"/>
  <c r="AA41" i="7"/>
  <c r="BJ91" i="7"/>
  <c r="AA89" i="10"/>
  <c r="Z10" i="20"/>
  <c r="Z8" i="20"/>
  <c r="AA55" i="6" s="1"/>
  <c r="BJ84" i="7"/>
  <c r="AA85" i="7"/>
  <c r="AA59" i="6"/>
  <c r="Z58" i="7"/>
  <c r="AC51" i="14"/>
  <c r="AC56" i="14"/>
  <c r="AC69" i="14"/>
  <c r="Z17" i="8"/>
  <c r="Z43" i="8"/>
  <c r="AC49" i="6" l="1"/>
  <c r="AC49" i="7"/>
  <c r="BJ85" i="7"/>
  <c r="AA56" i="6"/>
  <c r="AA57" i="6" s="1"/>
  <c r="AA60" i="6" s="1"/>
  <c r="AA62" i="6" s="1"/>
  <c r="Z11" i="20"/>
  <c r="AC57" i="14"/>
  <c r="AC58" i="14" s="1"/>
  <c r="AC30" i="14" s="1"/>
  <c r="N52" i="3" s="1" a="1"/>
  <c r="AC70" i="14"/>
  <c r="AC52" i="14"/>
  <c r="AD43" i="14" s="1"/>
  <c r="BJ41" i="7"/>
  <c r="Z23" i="8" l="1"/>
  <c r="Z74" i="8"/>
  <c r="Z86" i="8" s="1"/>
  <c r="Z87" i="8" s="1"/>
  <c r="Z49" i="8"/>
  <c r="AA64" i="6"/>
  <c r="AA65" i="6"/>
  <c r="AA21" i="9" s="1"/>
  <c r="AD44" i="14"/>
  <c r="AD60" i="14"/>
  <c r="AA65" i="7"/>
  <c r="AA7" i="20"/>
  <c r="AA9" i="20" s="1"/>
  <c r="AB50" i="7" s="1"/>
  <c r="AC50" i="6"/>
  <c r="AB84" i="8"/>
  <c r="AB71" i="8"/>
  <c r="BL49" i="7"/>
  <c r="AC51" i="6"/>
  <c r="N66" i="3"/>
  <c r="N73" i="3"/>
  <c r="N53" i="3"/>
  <c r="N63" i="3"/>
  <c r="N67" i="3"/>
  <c r="N74" i="3"/>
  <c r="N52" i="3"/>
  <c r="N55" i="3"/>
  <c r="N57" i="3"/>
  <c r="N60" i="3"/>
  <c r="N58" i="3"/>
  <c r="N54" i="3"/>
  <c r="N56" i="3"/>
  <c r="N72" i="3"/>
  <c r="N68" i="3"/>
  <c r="N70" i="3"/>
  <c r="N59" i="3"/>
  <c r="N65" i="3"/>
  <c r="N62" i="3"/>
  <c r="N69" i="3"/>
  <c r="N75" i="3"/>
  <c r="N76" i="3"/>
  <c r="N61" i="3"/>
  <c r="N64" i="3"/>
  <c r="N71" i="3"/>
  <c r="AD45" i="14" l="1"/>
  <c r="AB52" i="6"/>
  <c r="AC62" i="7"/>
  <c r="AB20" i="8"/>
  <c r="AB46" i="8"/>
  <c r="AA25" i="9"/>
  <c r="AA66" i="6"/>
  <c r="AA21" i="10"/>
  <c r="AA72" i="8"/>
  <c r="AB51" i="7"/>
  <c r="AB37" i="7" l="1"/>
  <c r="AB53" i="6"/>
  <c r="AA67" i="6"/>
  <c r="AA72" i="7"/>
  <c r="BK51" i="7"/>
  <c r="AB91" i="7"/>
  <c r="AA21" i="8"/>
  <c r="AA47" i="8"/>
  <c r="AD46" i="14"/>
  <c r="AD49" i="14" s="1"/>
  <c r="AA25" i="10"/>
  <c r="BK91" i="7" l="1"/>
  <c r="AB89" i="10"/>
  <c r="AD61" i="14"/>
  <c r="AD50" i="14"/>
  <c r="AA4" i="20"/>
  <c r="AB59" i="6"/>
  <c r="AA58" i="7"/>
  <c r="AA68" i="8"/>
  <c r="BK37" i="7"/>
  <c r="AB84" i="7"/>
  <c r="AB40" i="7"/>
  <c r="AA8" i="20" l="1"/>
  <c r="AB55" i="6" s="1"/>
  <c r="BK40" i="7"/>
  <c r="AB41" i="7"/>
  <c r="AA17" i="8"/>
  <c r="AA43" i="8"/>
  <c r="BK84" i="7"/>
  <c r="AB85" i="7"/>
  <c r="AD51" i="14"/>
  <c r="AD56" i="14"/>
  <c r="AD69" i="14"/>
  <c r="AD49" i="6" l="1"/>
  <c r="AD49" i="7"/>
  <c r="AD70" i="14"/>
  <c r="AD57" i="14"/>
  <c r="AD58" i="14" s="1"/>
  <c r="AD30" i="14" s="1"/>
  <c r="AD52" i="14"/>
  <c r="AE43" i="14" s="1"/>
  <c r="BK85" i="7"/>
  <c r="AA10" i="20"/>
  <c r="BK41" i="7"/>
  <c r="AE44" i="14" l="1"/>
  <c r="AE60" i="14"/>
  <c r="AD50" i="6"/>
  <c r="AD51" i="6" s="1"/>
  <c r="AC84" i="8"/>
  <c r="AB56" i="6"/>
  <c r="AB57" i="6" s="1"/>
  <c r="AB60" i="6" s="1"/>
  <c r="AB62" i="6" s="1"/>
  <c r="AA11" i="20"/>
  <c r="AC71" i="8"/>
  <c r="BM49" i="7"/>
  <c r="AC52" i="6" l="1"/>
  <c r="AD62" i="7"/>
  <c r="AA23" i="8"/>
  <c r="AA49" i="8"/>
  <c r="AA74" i="8"/>
  <c r="AA86" i="8" s="1"/>
  <c r="AA87" i="8" s="1"/>
  <c r="AB64" i="6"/>
  <c r="AB65" i="6"/>
  <c r="AB21" i="9" s="1"/>
  <c r="AC46" i="8"/>
  <c r="AC20" i="8"/>
  <c r="AB65" i="7"/>
  <c r="AB7" i="20"/>
  <c r="AB9" i="20" s="1"/>
  <c r="AC50" i="7" s="1"/>
  <c r="AE45" i="14"/>
  <c r="AB72" i="8" l="1"/>
  <c r="AC51" i="7"/>
  <c r="AC37" i="7"/>
  <c r="AC53" i="6"/>
  <c r="AB25" i="9"/>
  <c r="AB66" i="6"/>
  <c r="AB21" i="10"/>
  <c r="AE46" i="14"/>
  <c r="AE49" i="14" s="1"/>
  <c r="AB25" i="10" l="1"/>
  <c r="AB67" i="6"/>
  <c r="AB72" i="7"/>
  <c r="AB4" i="20"/>
  <c r="AC91" i="7"/>
  <c r="BL51" i="7"/>
  <c r="AE50" i="14"/>
  <c r="AE61" i="14"/>
  <c r="AB68" i="8"/>
  <c r="BL37" i="7"/>
  <c r="AC84" i="7"/>
  <c r="AC40" i="7"/>
  <c r="AB47" i="8"/>
  <c r="AB21" i="8"/>
  <c r="AC59" i="6" l="1"/>
  <c r="AB58" i="7"/>
  <c r="AE51" i="14"/>
  <c r="AE56" i="14"/>
  <c r="AE69" i="14"/>
  <c r="BL40" i="7"/>
  <c r="AC41" i="7"/>
  <c r="BL84" i="7"/>
  <c r="AC85" i="7"/>
  <c r="AB8" i="20"/>
  <c r="AC55" i="6" s="1"/>
  <c r="BL91" i="7"/>
  <c r="AC89" i="10"/>
  <c r="AB17" i="8"/>
  <c r="AB43" i="8"/>
  <c r="AE70" i="14" l="1"/>
  <c r="AE57" i="14"/>
  <c r="AE58" i="14" s="1"/>
  <c r="AE30" i="14" s="1"/>
  <c r="AE52" i="14"/>
  <c r="AF43" i="14" s="1"/>
  <c r="BL85" i="7"/>
  <c r="BL41" i="7"/>
  <c r="AE49" i="6"/>
  <c r="AE49" i="7"/>
  <c r="AB10" i="20"/>
  <c r="AE50" i="6" l="1"/>
  <c r="AD84" i="8"/>
  <c r="AC56" i="6"/>
  <c r="AC57" i="6" s="1"/>
  <c r="AC60" i="6" s="1"/>
  <c r="AC62" i="6" s="1"/>
  <c r="AB11" i="20"/>
  <c r="AD71" i="8"/>
  <c r="BN49" i="7"/>
  <c r="AF60" i="14"/>
  <c r="AF44" i="14"/>
  <c r="AE51" i="6"/>
  <c r="AB23" i="8" l="1"/>
  <c r="AB74" i="8"/>
  <c r="AB86" i="8" s="1"/>
  <c r="AB87" i="8" s="1"/>
  <c r="AC64" i="6"/>
  <c r="AC65" i="6"/>
  <c r="AC21" i="9" s="1"/>
  <c r="AB49" i="8"/>
  <c r="AF45" i="14"/>
  <c r="AC65" i="7"/>
  <c r="AC7" i="20"/>
  <c r="AC9" i="20" s="1"/>
  <c r="AD50" i="7" s="1"/>
  <c r="AD20" i="8"/>
  <c r="AD46" i="8"/>
  <c r="AD52" i="6"/>
  <c r="AE62" i="7"/>
  <c r="AF46" i="14" l="1"/>
  <c r="AF49" i="14" s="1"/>
  <c r="AD37" i="7"/>
  <c r="AD53" i="6"/>
  <c r="AC72" i="8"/>
  <c r="AD51" i="7"/>
  <c r="AC25" i="9"/>
  <c r="AC66" i="6"/>
  <c r="AC21" i="10"/>
  <c r="AC68" i="8" l="1"/>
  <c r="BM37" i="7"/>
  <c r="AD84" i="7"/>
  <c r="AD40" i="7"/>
  <c r="AF61" i="14"/>
  <c r="AF50" i="14"/>
  <c r="AC4" i="20"/>
  <c r="AC25" i="10"/>
  <c r="AC67" i="6"/>
  <c r="AC72" i="7"/>
  <c r="AD91" i="7"/>
  <c r="BM51" i="7"/>
  <c r="AC47" i="8"/>
  <c r="AC21" i="8"/>
  <c r="AF51" i="14" l="1"/>
  <c r="AF69" i="14"/>
  <c r="AF56" i="14"/>
  <c r="BM40" i="7"/>
  <c r="AD41" i="7"/>
  <c r="BM91" i="7"/>
  <c r="AD89" i="10"/>
  <c r="BM84" i="7"/>
  <c r="AD85" i="7"/>
  <c r="AD59" i="6"/>
  <c r="AC58" i="7"/>
  <c r="AC8" i="20"/>
  <c r="AD55" i="6" s="1"/>
  <c r="AC10" i="20"/>
  <c r="AC17" i="8"/>
  <c r="AC43" i="8"/>
  <c r="AF49" i="6" l="1"/>
  <c r="AF49" i="7"/>
  <c r="AD56" i="6"/>
  <c r="AD57" i="6" s="1"/>
  <c r="AD60" i="6" s="1"/>
  <c r="AD62" i="6" s="1"/>
  <c r="AC11" i="20"/>
  <c r="BM41" i="7"/>
  <c r="BM85" i="7"/>
  <c r="AF57" i="14"/>
  <c r="AF58" i="14" s="1"/>
  <c r="AF30" i="14" s="1"/>
  <c r="AF70" i="14"/>
  <c r="AF52" i="14"/>
  <c r="AG43" i="14" s="1"/>
  <c r="AC74" i="8" l="1"/>
  <c r="AC86" i="8" s="1"/>
  <c r="AC87" i="8" s="1"/>
  <c r="AC49" i="8"/>
  <c r="AC23" i="8"/>
  <c r="AD65" i="6"/>
  <c r="AD21" i="9" s="1"/>
  <c r="AD64" i="6"/>
  <c r="AG44" i="14"/>
  <c r="AG60" i="14"/>
  <c r="AF50" i="6"/>
  <c r="AE84" i="8"/>
  <c r="AD65" i="7"/>
  <c r="AD7" i="20"/>
  <c r="AD9" i="20" s="1"/>
  <c r="AE50" i="7" s="1"/>
  <c r="AE71" i="8"/>
  <c r="BO49" i="7"/>
  <c r="AF51" i="6"/>
  <c r="AG45" i="14" l="1"/>
  <c r="AE52" i="6"/>
  <c r="AF62" i="7"/>
  <c r="AD66" i="6"/>
  <c r="AD21" i="10"/>
  <c r="AD25" i="9"/>
  <c r="AE46" i="8"/>
  <c r="AE20" i="8"/>
  <c r="AD72" i="8"/>
  <c r="AE51" i="7"/>
  <c r="AD72" i="7" l="1"/>
  <c r="AD67" i="6"/>
  <c r="AE37" i="7"/>
  <c r="AE53" i="6"/>
  <c r="AD21" i="8"/>
  <c r="AD47" i="8"/>
  <c r="AG46" i="14"/>
  <c r="AG49" i="14" s="1"/>
  <c r="BN51" i="7"/>
  <c r="AE91" i="7"/>
  <c r="AD25" i="10"/>
  <c r="AD68" i="8" l="1"/>
  <c r="AE84" i="7"/>
  <c r="BN37" i="7"/>
  <c r="AE40" i="7"/>
  <c r="AE59" i="6"/>
  <c r="AD58" i="7"/>
  <c r="AE89" i="10"/>
  <c r="BN91" i="7"/>
  <c r="AD4" i="20"/>
  <c r="AG61" i="14"/>
  <c r="AG50" i="14"/>
  <c r="AG51" i="14" l="1"/>
  <c r="AG56" i="14"/>
  <c r="AG69" i="14"/>
  <c r="BN40" i="7"/>
  <c r="AE41" i="7"/>
  <c r="AD10" i="20"/>
  <c r="AD8" i="20"/>
  <c r="AE55" i="6" s="1"/>
  <c r="BN84" i="7"/>
  <c r="AE85" i="7"/>
  <c r="AD43" i="8"/>
  <c r="AD17" i="8"/>
  <c r="AE56" i="6" l="1"/>
  <c r="AD11" i="20"/>
  <c r="BN41" i="7"/>
  <c r="AG49" i="6"/>
  <c r="AG49" i="7"/>
  <c r="BN85" i="7"/>
  <c r="AG57" i="14"/>
  <c r="AG58" i="14" s="1"/>
  <c r="AG30" i="14" s="1"/>
  <c r="AG70" i="14"/>
  <c r="AG52" i="14"/>
  <c r="AH43" i="14" s="1"/>
  <c r="AE57" i="6"/>
  <c r="AE60" i="6" s="1"/>
  <c r="AE62" i="6" s="1"/>
  <c r="AD49" i="8" l="1"/>
  <c r="AD74" i="8"/>
  <c r="AD86" i="8" s="1"/>
  <c r="AD87" i="8" s="1"/>
  <c r="AD23" i="8"/>
  <c r="AE65" i="6"/>
  <c r="AE21" i="9" s="1"/>
  <c r="AE64" i="6"/>
  <c r="AF71" i="8"/>
  <c r="BP49" i="7"/>
  <c r="AG50" i="6"/>
  <c r="AG51" i="6" s="1"/>
  <c r="AF84" i="8"/>
  <c r="AE65" i="7"/>
  <c r="AE7" i="20"/>
  <c r="AE9" i="20" s="1"/>
  <c r="AF50" i="7" s="1"/>
  <c r="AH60" i="14"/>
  <c r="AH44" i="14"/>
  <c r="AF52" i="6" l="1"/>
  <c r="AG62" i="7"/>
  <c r="AH45" i="14"/>
  <c r="AF20" i="8"/>
  <c r="AF46" i="8"/>
  <c r="AE66" i="6"/>
  <c r="AE21" i="10"/>
  <c r="AE72" i="8"/>
  <c r="AF51" i="7"/>
  <c r="AE25" i="9"/>
  <c r="AE25" i="10" l="1"/>
  <c r="AH46" i="14"/>
  <c r="AH49" i="14" s="1"/>
  <c r="AE67" i="6"/>
  <c r="AE72" i="7"/>
  <c r="BO51" i="7"/>
  <c r="AF91" i="7"/>
  <c r="AE21" i="8"/>
  <c r="AE47" i="8"/>
  <c r="AF37" i="7"/>
  <c r="AF53" i="6"/>
  <c r="AF59" i="6" l="1"/>
  <c r="AE58" i="7"/>
  <c r="AE4" i="20"/>
  <c r="AE68" i="8"/>
  <c r="BO37" i="7"/>
  <c r="AF84" i="7"/>
  <c r="AF40" i="7"/>
  <c r="AH50" i="14"/>
  <c r="AH61" i="14"/>
  <c r="G38" i="14" s="1"/>
  <c r="BO91" i="7"/>
  <c r="AF89" i="10"/>
  <c r="BO84" i="7" l="1"/>
  <c r="AF85" i="7"/>
  <c r="AE43" i="8"/>
  <c r="AE17" i="8"/>
  <c r="AE10" i="20"/>
  <c r="AE8" i="20"/>
  <c r="AF55" i="6" s="1"/>
  <c r="AH51" i="14"/>
  <c r="AH69" i="14"/>
  <c r="AH56" i="14"/>
  <c r="E278" i="1"/>
  <c r="B277" i="1" s="1"/>
  <c r="K47" i="3"/>
  <c r="C56" i="2"/>
  <c r="BO40" i="7"/>
  <c r="AF41" i="7"/>
  <c r="BO41" i="7" l="1"/>
  <c r="AF56" i="6"/>
  <c r="AE11" i="20"/>
  <c r="AH49" i="6"/>
  <c r="AH49" i="7"/>
  <c r="AH57" i="14"/>
  <c r="AH58" i="14" s="1"/>
  <c r="AH30" i="14" s="1"/>
  <c r="AH70" i="14"/>
  <c r="AH52" i="14"/>
  <c r="AI43" i="14" s="1"/>
  <c r="BO85" i="7"/>
  <c r="AF57" i="6"/>
  <c r="AF60" i="6" s="1"/>
  <c r="AF62" i="6" s="1"/>
  <c r="AE49" i="8" l="1"/>
  <c r="AE74" i="8"/>
  <c r="AE86" i="8" s="1"/>
  <c r="AE87" i="8" s="1"/>
  <c r="AE23" i="8"/>
  <c r="AF65" i="6"/>
  <c r="AF21" i="9" s="1"/>
  <c r="AF64" i="6"/>
  <c r="AF65" i="7"/>
  <c r="AF7" i="20"/>
  <c r="AF9" i="20" s="1"/>
  <c r="AG50" i="7" s="1"/>
  <c r="AI60" i="14"/>
  <c r="AI44" i="14"/>
  <c r="AG71" i="8"/>
  <c r="BQ49" i="7"/>
  <c r="AH50" i="6"/>
  <c r="AH51" i="6" s="1"/>
  <c r="AG84" i="8"/>
  <c r="C84" i="8" s="1"/>
  <c r="AG52" i="6" l="1"/>
  <c r="AH62" i="7"/>
  <c r="AF72" i="8"/>
  <c r="AG51" i="7"/>
  <c r="AF66" i="6"/>
  <c r="AF21" i="10"/>
  <c r="AG20" i="8"/>
  <c r="AG46" i="8"/>
  <c r="AF25" i="9"/>
  <c r="AI45" i="14"/>
  <c r="AF21" i="8" l="1"/>
  <c r="AF47" i="8"/>
  <c r="AG91" i="7"/>
  <c r="BP51" i="7"/>
  <c r="AI46" i="14"/>
  <c r="AI49" i="14" s="1"/>
  <c r="AG37" i="7"/>
  <c r="AG53" i="6"/>
  <c r="AF25" i="10"/>
  <c r="AF67" i="6"/>
  <c r="AF72" i="7"/>
  <c r="AG59" i="6" l="1"/>
  <c r="AF58" i="7"/>
  <c r="AF68" i="8"/>
  <c r="BP37" i="7"/>
  <c r="AG84" i="7"/>
  <c r="AG40" i="7"/>
  <c r="BP91" i="7"/>
  <c r="AG89" i="10"/>
  <c r="AI61" i="14"/>
  <c r="AI50" i="14"/>
  <c r="E62" i="14"/>
  <c r="AF4" i="20"/>
  <c r="BP40" i="7" l="1"/>
  <c r="AG41" i="7"/>
  <c r="BP84" i="7"/>
  <c r="AG85" i="7"/>
  <c r="AF17" i="8"/>
  <c r="AF43" i="8"/>
  <c r="AI51" i="14"/>
  <c r="AJ69" i="14"/>
  <c r="AI56" i="14"/>
  <c r="C56" i="14" s="1"/>
  <c r="AI69" i="14"/>
  <c r="AF8" i="20"/>
  <c r="AG55" i="6" s="1"/>
  <c r="AF10" i="20"/>
  <c r="AG56" i="6" l="1"/>
  <c r="AG57" i="6" s="1"/>
  <c r="AG60" i="6" s="1"/>
  <c r="AG62" i="6" s="1"/>
  <c r="AF11" i="20"/>
  <c r="AI49" i="7"/>
  <c r="AI49" i="6"/>
  <c r="C69" i="14"/>
  <c r="BP85" i="7"/>
  <c r="AI57" i="14"/>
  <c r="AJ70" i="14"/>
  <c r="AI70" i="14"/>
  <c r="AI52" i="14"/>
  <c r="BP41" i="7"/>
  <c r="AF23" i="8" l="1"/>
  <c r="AF49" i="8"/>
  <c r="AG64" i="6"/>
  <c r="AF74" i="8"/>
  <c r="AF86" i="8" s="1"/>
  <c r="AF87" i="8" s="1"/>
  <c r="AG65" i="6"/>
  <c r="AG21" i="9" s="1"/>
  <c r="AI50" i="6"/>
  <c r="C70" i="14"/>
  <c r="AI51" i="6"/>
  <c r="AG65" i="7"/>
  <c r="AG7" i="20"/>
  <c r="AG9" i="20" s="1"/>
  <c r="AH50" i="7" s="1"/>
  <c r="AH71" i="8"/>
  <c r="BR49" i="7"/>
  <c r="AI58" i="14"/>
  <c r="AI30" i="14" s="1"/>
  <c r="C57" i="14"/>
  <c r="E68" i="14" s="1"/>
  <c r="E71" i="14" s="1"/>
  <c r="E64" i="7" l="1"/>
  <c r="F68" i="14"/>
  <c r="F71" i="14" s="1"/>
  <c r="E52" i="13"/>
  <c r="E60" i="13" s="1"/>
  <c r="C278" i="1"/>
  <c r="E9" i="5"/>
  <c r="AG25" i="9"/>
  <c r="AG72" i="8"/>
  <c r="AH51" i="7"/>
  <c r="AH52" i="6"/>
  <c r="AI53" i="6"/>
  <c r="AI62" i="7"/>
  <c r="AH20" i="8"/>
  <c r="AH46" i="8"/>
  <c r="AG66" i="6"/>
  <c r="AG21" i="10"/>
  <c r="AH37" i="7" l="1"/>
  <c r="AH53" i="6"/>
  <c r="AH91" i="7"/>
  <c r="BQ51" i="7"/>
  <c r="AG25" i="10"/>
  <c r="AG21" i="8"/>
  <c r="AG47" i="8"/>
  <c r="C21" i="3"/>
  <c r="D64" i="7"/>
  <c r="C23" i="2"/>
  <c r="H9" i="5"/>
  <c r="G9" i="5"/>
  <c r="E23" i="2" s="1"/>
  <c r="AH4" i="20"/>
  <c r="AG67" i="6"/>
  <c r="AG72" i="7"/>
  <c r="C76" i="1"/>
  <c r="F76" i="1" s="1"/>
  <c r="E56" i="2"/>
  <c r="E57" i="2" s="1"/>
  <c r="D57" i="2" s="1"/>
  <c r="M47" i="3"/>
  <c r="M48" i="3" s="1"/>
  <c r="L48" i="3" s="1"/>
  <c r="F64" i="7"/>
  <c r="G68" i="14"/>
  <c r="G71" i="14" s="1"/>
  <c r="F52" i="13"/>
  <c r="F60" i="13" s="1"/>
  <c r="E66" i="7"/>
  <c r="D66" i="7" l="1"/>
  <c r="E32" i="5"/>
  <c r="F77" i="1"/>
  <c r="AH59" i="6"/>
  <c r="AG58" i="7"/>
  <c r="E21" i="3"/>
  <c r="F21" i="3"/>
  <c r="AH8" i="20"/>
  <c r="AI55" i="6" s="1"/>
  <c r="H68" i="14"/>
  <c r="H71" i="14" s="1"/>
  <c r="G64" i="7"/>
  <c r="G52" i="13"/>
  <c r="G60" i="13" s="1"/>
  <c r="F66" i="7"/>
  <c r="BQ91" i="7"/>
  <c r="AH89" i="10"/>
  <c r="AG4" i="20"/>
  <c r="AG68" i="8"/>
  <c r="BQ37" i="7"/>
  <c r="AH84" i="7"/>
  <c r="AH40" i="7"/>
  <c r="AG43" i="8" l="1"/>
  <c r="AG17" i="8"/>
  <c r="G66" i="7"/>
  <c r="E77" i="1"/>
  <c r="C40" i="3"/>
  <c r="S5" i="21"/>
  <c r="I77" i="16"/>
  <c r="G83" i="16" s="1"/>
  <c r="H64" i="7"/>
  <c r="I68" i="14"/>
  <c r="I71" i="14" s="1"/>
  <c r="H52" i="13"/>
  <c r="H60" i="13" s="1"/>
  <c r="C47" i="2"/>
  <c r="G32" i="5"/>
  <c r="E47" i="2" s="1"/>
  <c r="H32" i="5"/>
  <c r="AG8" i="20"/>
  <c r="AH55" i="6" s="1"/>
  <c r="AG10" i="20"/>
  <c r="BQ40" i="7"/>
  <c r="AH41" i="7"/>
  <c r="BQ84" i="7"/>
  <c r="AH85" i="7"/>
  <c r="S6" i="21" l="1"/>
  <c r="S7" i="21"/>
  <c r="S8" i="21"/>
  <c r="S9" i="21"/>
  <c r="S10" i="21"/>
  <c r="S11" i="21"/>
  <c r="E40" i="3"/>
  <c r="F40" i="3"/>
  <c r="AH56" i="6"/>
  <c r="AH57" i="6" s="1"/>
  <c r="AH60" i="6" s="1"/>
  <c r="AH62" i="6" s="1"/>
  <c r="AG11" i="20"/>
  <c r="BQ85" i="7"/>
  <c r="J68" i="14"/>
  <c r="J71" i="14" s="1"/>
  <c r="I64" i="7"/>
  <c r="I52" i="13"/>
  <c r="I60" i="13" s="1"/>
  <c r="H66" i="7"/>
  <c r="BQ41" i="7"/>
  <c r="AG23" i="8" l="1"/>
  <c r="AG49" i="8"/>
  <c r="AH65" i="6"/>
  <c r="AH21" i="9" s="1"/>
  <c r="AH64" i="6"/>
  <c r="AG74" i="8"/>
  <c r="AG86" i="8" s="1"/>
  <c r="I66" i="7"/>
  <c r="AH65" i="7"/>
  <c r="AH7" i="20"/>
  <c r="J64" i="7"/>
  <c r="K68" i="14"/>
  <c r="K71" i="14" s="1"/>
  <c r="J52" i="13"/>
  <c r="J60" i="13" s="1"/>
  <c r="K64" i="7" l="1"/>
  <c r="L68" i="14"/>
  <c r="L71" i="14" s="1"/>
  <c r="K52" i="13"/>
  <c r="K60" i="13" s="1"/>
  <c r="AG87" i="8"/>
  <c r="E89" i="8" s="1"/>
  <c r="C86" i="8"/>
  <c r="J66" i="7"/>
  <c r="AH66" i="6"/>
  <c r="AH21" i="10"/>
  <c r="AH9" i="20"/>
  <c r="AI50" i="7" s="1"/>
  <c r="AH10" i="20"/>
  <c r="AH25" i="9"/>
  <c r="C87" i="8" l="1"/>
  <c r="AI56" i="6"/>
  <c r="AI57" i="6" s="1"/>
  <c r="AI60" i="6" s="1"/>
  <c r="AH11" i="20"/>
  <c r="AI65" i="7" s="1"/>
  <c r="AH72" i="8"/>
  <c r="AI51" i="7"/>
  <c r="AH25" i="10"/>
  <c r="L64" i="7"/>
  <c r="M68" i="14"/>
  <c r="M71" i="14" s="1"/>
  <c r="L52" i="13"/>
  <c r="L60" i="13" s="1"/>
  <c r="AH67" i="6"/>
  <c r="AH72" i="7"/>
  <c r="K66" i="7"/>
  <c r="M64" i="7" l="1"/>
  <c r="N68" i="14"/>
  <c r="N71" i="14" s="1"/>
  <c r="M52" i="13"/>
  <c r="M60" i="13" s="1"/>
  <c r="L66" i="7"/>
  <c r="AI91" i="7"/>
  <c r="BR91" i="7" s="1"/>
  <c r="BR51" i="7"/>
  <c r="AH47" i="8"/>
  <c r="AH21" i="8"/>
  <c r="AI59" i="6"/>
  <c r="AI62" i="6" s="1"/>
  <c r="AH58" i="7"/>
  <c r="N64" i="7" l="1"/>
  <c r="O68" i="14"/>
  <c r="O71" i="14" s="1"/>
  <c r="N52" i="13"/>
  <c r="N60" i="13" s="1"/>
  <c r="AH23" i="8"/>
  <c r="AH74" i="8"/>
  <c r="AH49" i="8"/>
  <c r="AI64" i="6"/>
  <c r="AI65" i="6"/>
  <c r="AI21" i="9" s="1"/>
  <c r="M66" i="7"/>
  <c r="AI66" i="6" l="1"/>
  <c r="AI21" i="10"/>
  <c r="P68" i="14"/>
  <c r="P71" i="14" s="1"/>
  <c r="O64" i="7"/>
  <c r="O52" i="13"/>
  <c r="O60" i="13" s="1"/>
  <c r="AI25" i="9"/>
  <c r="E53" i="3"/>
  <c r="N66" i="7"/>
  <c r="P64" i="7" l="1"/>
  <c r="Q68" i="14"/>
  <c r="Q71" i="14" s="1"/>
  <c r="P52" i="13"/>
  <c r="P60" i="13" s="1"/>
  <c r="O66" i="7"/>
  <c r="AI25" i="10"/>
  <c r="AI67" i="6"/>
  <c r="AI58" i="7" s="1"/>
  <c r="AI72" i="7"/>
  <c r="Q64" i="7" l="1"/>
  <c r="R68" i="14"/>
  <c r="R71" i="14" s="1"/>
  <c r="Q52" i="13"/>
  <c r="Q60" i="13" s="1"/>
  <c r="P66" i="7"/>
  <c r="Q66" i="7" l="1"/>
  <c r="S68" i="14"/>
  <c r="S71" i="14" s="1"/>
  <c r="R64" i="7"/>
  <c r="R52" i="13"/>
  <c r="R60" i="13" s="1"/>
  <c r="R66" i="7" l="1"/>
  <c r="S64" i="7"/>
  <c r="T68" i="14"/>
  <c r="T71" i="14" s="1"/>
  <c r="S52" i="13"/>
  <c r="S60" i="13" s="1"/>
  <c r="T64" i="7" l="1"/>
  <c r="U68" i="14"/>
  <c r="U71" i="14" s="1"/>
  <c r="T52" i="13"/>
  <c r="T60" i="13" s="1"/>
  <c r="S66" i="7"/>
  <c r="U64" i="7" l="1"/>
  <c r="V68" i="14"/>
  <c r="V71" i="14" s="1"/>
  <c r="U52" i="13"/>
  <c r="U60" i="13" s="1"/>
  <c r="T66" i="7"/>
  <c r="U66" i="7" l="1"/>
  <c r="V64" i="7"/>
  <c r="W68" i="14"/>
  <c r="W71" i="14" s="1"/>
  <c r="V52" i="13"/>
  <c r="V60" i="13" s="1"/>
  <c r="V66" i="7" l="1"/>
  <c r="W64" i="7"/>
  <c r="X68" i="14"/>
  <c r="X71" i="14" s="1"/>
  <c r="W52" i="13"/>
  <c r="W60" i="13" s="1"/>
  <c r="W66" i="7" l="1"/>
  <c r="X64" i="7"/>
  <c r="Y68" i="14"/>
  <c r="Y71" i="14" s="1"/>
  <c r="X52" i="13"/>
  <c r="X60" i="13" s="1"/>
  <c r="X66" i="7" l="1"/>
  <c r="Y64" i="7"/>
  <c r="Z68" i="14"/>
  <c r="Z71" i="14" s="1"/>
  <c r="Y52" i="13"/>
  <c r="Y60" i="13" s="1"/>
  <c r="Z64" i="7" l="1"/>
  <c r="AA68" i="14"/>
  <c r="AA71" i="14" s="1"/>
  <c r="Z52" i="13"/>
  <c r="Z60" i="13" s="1"/>
  <c r="Y66" i="7"/>
  <c r="Z66" i="7" l="1"/>
  <c r="AA64" i="7"/>
  <c r="AB68" i="14"/>
  <c r="AB71" i="14" s="1"/>
  <c r="AA52" i="13"/>
  <c r="AA60" i="13" s="1"/>
  <c r="AA66" i="7" l="1"/>
  <c r="AC68" i="14"/>
  <c r="AC71" i="14" s="1"/>
  <c r="AB64" i="7"/>
  <c r="AB52" i="13"/>
  <c r="AB60" i="13" s="1"/>
  <c r="AC64" i="7" l="1"/>
  <c r="AD68" i="14"/>
  <c r="AD71" i="14" s="1"/>
  <c r="AC52" i="13"/>
  <c r="AC60" i="13" s="1"/>
  <c r="AB66" i="7"/>
  <c r="AC66" i="7" l="1"/>
  <c r="AD64" i="7"/>
  <c r="AE68" i="14"/>
  <c r="AE71" i="14" s="1"/>
  <c r="AD52" i="13"/>
  <c r="AD60" i="13" s="1"/>
  <c r="AE64" i="7" l="1"/>
  <c r="AF68" i="14"/>
  <c r="AF71" i="14" s="1"/>
  <c r="AE52" i="13"/>
  <c r="AE60" i="13" s="1"/>
  <c r="AD66" i="7"/>
  <c r="AE66" i="7" l="1"/>
  <c r="AF64" i="7"/>
  <c r="AG68" i="14"/>
  <c r="AG71" i="14" s="1"/>
  <c r="AF52" i="13"/>
  <c r="AF60" i="13" s="1"/>
  <c r="AG64" i="7" l="1"/>
  <c r="AH68" i="14"/>
  <c r="AH71" i="14" s="1"/>
  <c r="AG52" i="13"/>
  <c r="AG60" i="13" s="1"/>
  <c r="AF66" i="7"/>
  <c r="AG66" i="7" l="1"/>
  <c r="AH64" i="7"/>
  <c r="AI68" i="14"/>
  <c r="AI71" i="14" s="1"/>
  <c r="AI64" i="7" s="1"/>
  <c r="AH52" i="13"/>
  <c r="AH60" i="13" s="1"/>
  <c r="AH66" i="7" l="1"/>
  <c r="AI66" i="7"/>
  <c r="E36" i="1"/>
  <c r="F36" i="1"/>
  <c r="F58" i="1"/>
  <c r="E60" i="1"/>
  <c r="F60" i="1"/>
  <c r="E79" i="1"/>
  <c r="F79" i="1"/>
  <c r="H79" i="1"/>
  <c r="C103" i="1"/>
  <c r="F212" i="1"/>
  <c r="F213" i="1"/>
  <c r="F214" i="1"/>
  <c r="F215" i="1"/>
  <c r="F216" i="1"/>
  <c r="E238" i="1"/>
  <c r="F238" i="1"/>
  <c r="E239" i="1"/>
  <c r="F239" i="1"/>
  <c r="E280" i="1"/>
  <c r="E281" i="1"/>
  <c r="E329" i="1"/>
  <c r="E333" i="1"/>
  <c r="E334" i="1"/>
  <c r="G334" i="1"/>
  <c r="H334" i="1"/>
  <c r="E335" i="1"/>
  <c r="G335" i="1"/>
  <c r="H335" i="1"/>
  <c r="E6" i="13"/>
  <c r="F6" i="13"/>
  <c r="G6" i="13"/>
  <c r="H6" i="13"/>
  <c r="I6" i="13"/>
  <c r="J6" i="13"/>
  <c r="K6" i="13"/>
  <c r="L6" i="13"/>
  <c r="M6" i="13"/>
  <c r="N6" i="13"/>
  <c r="O6" i="13"/>
  <c r="P6" i="13"/>
  <c r="Q6" i="13"/>
  <c r="R6" i="13"/>
  <c r="S6" i="13"/>
  <c r="T6" i="13"/>
  <c r="U6" i="13"/>
  <c r="V6" i="13"/>
  <c r="W6" i="13"/>
  <c r="X6" i="13"/>
  <c r="Y6" i="13"/>
  <c r="Z6" i="13"/>
  <c r="AA6" i="13"/>
  <c r="AB6" i="13"/>
  <c r="AC6" i="13"/>
  <c r="AD6" i="13"/>
  <c r="AE6" i="13"/>
  <c r="AF6" i="13"/>
  <c r="AG6" i="13"/>
  <c r="AH6" i="13"/>
  <c r="E7" i="13"/>
  <c r="F7" i="13"/>
  <c r="G7" i="13"/>
  <c r="H7" i="13"/>
  <c r="I7" i="13"/>
  <c r="J7" i="13"/>
  <c r="K7" i="13"/>
  <c r="L7" i="13"/>
  <c r="M7" i="13"/>
  <c r="N7" i="13"/>
  <c r="O7" i="13"/>
  <c r="P7" i="13"/>
  <c r="Q7" i="13"/>
  <c r="R7" i="13"/>
  <c r="S7" i="13"/>
  <c r="T7" i="13"/>
  <c r="U7" i="13"/>
  <c r="V7" i="13"/>
  <c r="W7" i="13"/>
  <c r="X7" i="13"/>
  <c r="Y7" i="13"/>
  <c r="Z7" i="13"/>
  <c r="AA7" i="13"/>
  <c r="AB7" i="13"/>
  <c r="AC7" i="13"/>
  <c r="AD7" i="13"/>
  <c r="AE7" i="13"/>
  <c r="AF7" i="13"/>
  <c r="AG7" i="13"/>
  <c r="AH7" i="13"/>
  <c r="D9" i="13"/>
  <c r="D11" i="13"/>
  <c r="E11" i="13"/>
  <c r="F11" i="13"/>
  <c r="G11" i="13"/>
  <c r="H11" i="13"/>
  <c r="I11" i="13"/>
  <c r="J11" i="13"/>
  <c r="K11" i="13"/>
  <c r="L11" i="13"/>
  <c r="M11" i="13"/>
  <c r="N11" i="13"/>
  <c r="O11" i="13"/>
  <c r="P11" i="13"/>
  <c r="Q11" i="13"/>
  <c r="R11" i="13"/>
  <c r="S11" i="13"/>
  <c r="T11" i="13"/>
  <c r="U11" i="13"/>
  <c r="V11" i="13"/>
  <c r="W11" i="13"/>
  <c r="X11" i="13"/>
  <c r="Y11" i="13"/>
  <c r="Z11" i="13"/>
  <c r="AA11" i="13"/>
  <c r="AB11" i="13"/>
  <c r="AC11" i="13"/>
  <c r="AD11" i="13"/>
  <c r="AE11" i="13"/>
  <c r="AF11" i="13"/>
  <c r="AG11" i="13"/>
  <c r="AH11" i="13"/>
  <c r="D12" i="13"/>
  <c r="E12" i="13"/>
  <c r="F12" i="13"/>
  <c r="G12" i="13"/>
  <c r="H12" i="13"/>
  <c r="I12" i="13"/>
  <c r="J12" i="13"/>
  <c r="K12" i="13"/>
  <c r="L12" i="13"/>
  <c r="M12" i="13"/>
  <c r="N12" i="13"/>
  <c r="O12" i="13"/>
  <c r="P12" i="13"/>
  <c r="Q12" i="13"/>
  <c r="R12" i="13"/>
  <c r="S12" i="13"/>
  <c r="T12" i="13"/>
  <c r="U12" i="13"/>
  <c r="V12" i="13"/>
  <c r="W12" i="13"/>
  <c r="X12" i="13"/>
  <c r="Y12" i="13"/>
  <c r="Z12" i="13"/>
  <c r="AA12" i="13"/>
  <c r="AB12" i="13"/>
  <c r="AC12" i="13"/>
  <c r="AD12" i="13"/>
  <c r="AE12" i="13"/>
  <c r="AF12" i="13"/>
  <c r="AG12" i="13"/>
  <c r="AH12" i="13"/>
  <c r="D13" i="13"/>
  <c r="E13" i="13"/>
  <c r="F13" i="13"/>
  <c r="G13" i="13"/>
  <c r="H13" i="13"/>
  <c r="I13" i="13"/>
  <c r="J13" i="13"/>
  <c r="K13" i="13"/>
  <c r="L13" i="13"/>
  <c r="M13" i="13"/>
  <c r="N13" i="13"/>
  <c r="O13" i="13"/>
  <c r="P13" i="13"/>
  <c r="Q13" i="13"/>
  <c r="R13" i="13"/>
  <c r="S13" i="13"/>
  <c r="T13" i="13"/>
  <c r="U13" i="13"/>
  <c r="V13" i="13"/>
  <c r="W13" i="13"/>
  <c r="X13" i="13"/>
  <c r="Y13" i="13"/>
  <c r="Z13" i="13"/>
  <c r="AA13" i="13"/>
  <c r="AB13" i="13"/>
  <c r="AC13" i="13"/>
  <c r="AD13" i="13"/>
  <c r="AE13" i="13"/>
  <c r="AF13" i="13"/>
  <c r="AG13" i="13"/>
  <c r="AH13" i="13"/>
  <c r="D14" i="13"/>
  <c r="E14" i="13"/>
  <c r="F14" i="13"/>
  <c r="G14" i="13"/>
  <c r="H14" i="13"/>
  <c r="I14" i="13"/>
  <c r="J14" i="13"/>
  <c r="K14" i="13"/>
  <c r="L14" i="13"/>
  <c r="M14" i="13"/>
  <c r="N14" i="13"/>
  <c r="O14" i="13"/>
  <c r="P14" i="13"/>
  <c r="Q14" i="13"/>
  <c r="R14" i="13"/>
  <c r="S14" i="13"/>
  <c r="T14" i="13"/>
  <c r="U14" i="13"/>
  <c r="V14" i="13"/>
  <c r="W14" i="13"/>
  <c r="X14" i="13"/>
  <c r="Y14" i="13"/>
  <c r="Z14" i="13"/>
  <c r="AA14" i="13"/>
  <c r="AB14" i="13"/>
  <c r="AC14" i="13"/>
  <c r="AD14" i="13"/>
  <c r="AE14" i="13"/>
  <c r="AF14" i="13"/>
  <c r="AG14" i="13"/>
  <c r="AH14" i="13"/>
  <c r="D16" i="13"/>
  <c r="E16" i="13"/>
  <c r="F16" i="13"/>
  <c r="G16" i="13"/>
  <c r="H16" i="13"/>
  <c r="I16" i="13"/>
  <c r="J16" i="13"/>
  <c r="K16" i="13"/>
  <c r="L16" i="13"/>
  <c r="M16" i="13"/>
  <c r="N16" i="13"/>
  <c r="O16" i="13"/>
  <c r="P16" i="13"/>
  <c r="Q16" i="13"/>
  <c r="R16" i="13"/>
  <c r="S16" i="13"/>
  <c r="T16" i="13"/>
  <c r="U16" i="13"/>
  <c r="V16" i="13"/>
  <c r="W16" i="13"/>
  <c r="X16" i="13"/>
  <c r="Y16" i="13"/>
  <c r="Z16" i="13"/>
  <c r="AA16" i="13"/>
  <c r="AB16" i="13"/>
  <c r="AC16" i="13"/>
  <c r="AD16" i="13"/>
  <c r="AE16" i="13"/>
  <c r="AF16" i="13"/>
  <c r="AG16" i="13"/>
  <c r="AH16" i="13"/>
  <c r="D18" i="13"/>
  <c r="E18" i="13"/>
  <c r="F18" i="13"/>
  <c r="G18" i="13"/>
  <c r="H18" i="13"/>
  <c r="I18" i="13"/>
  <c r="J18" i="13"/>
  <c r="K18" i="13"/>
  <c r="L18" i="13"/>
  <c r="M18" i="13"/>
  <c r="N18" i="13"/>
  <c r="O18" i="13"/>
  <c r="P18" i="13"/>
  <c r="Q18" i="13"/>
  <c r="R18" i="13"/>
  <c r="S18" i="13"/>
  <c r="T18" i="13"/>
  <c r="U18" i="13"/>
  <c r="V18" i="13"/>
  <c r="W18" i="13"/>
  <c r="X18" i="13"/>
  <c r="Y18" i="13"/>
  <c r="Z18" i="13"/>
  <c r="AA18" i="13"/>
  <c r="AB18" i="13"/>
  <c r="AC18" i="13"/>
  <c r="AD18" i="13"/>
  <c r="AE18" i="13"/>
  <c r="AF18" i="13"/>
  <c r="AG18" i="13"/>
  <c r="AH18" i="13"/>
  <c r="D19" i="13"/>
  <c r="E19" i="13"/>
  <c r="F19" i="13"/>
  <c r="G19" i="13"/>
  <c r="H19" i="13"/>
  <c r="I19" i="13"/>
  <c r="J19" i="13"/>
  <c r="K19" i="13"/>
  <c r="L19" i="13"/>
  <c r="M19" i="13"/>
  <c r="N19" i="13"/>
  <c r="O19" i="13"/>
  <c r="P19" i="13"/>
  <c r="Q19" i="13"/>
  <c r="R19" i="13"/>
  <c r="S19" i="13"/>
  <c r="T19" i="13"/>
  <c r="U19" i="13"/>
  <c r="V19" i="13"/>
  <c r="W19" i="13"/>
  <c r="X19" i="13"/>
  <c r="Y19" i="13"/>
  <c r="Z19" i="13"/>
  <c r="AA19" i="13"/>
  <c r="AB19" i="13"/>
  <c r="AC19" i="13"/>
  <c r="AD19" i="13"/>
  <c r="AE19" i="13"/>
  <c r="AF19" i="13"/>
  <c r="AG19" i="13"/>
  <c r="AH19" i="13"/>
  <c r="E24" i="13"/>
  <c r="F24" i="13"/>
  <c r="G24" i="13"/>
  <c r="H24" i="13"/>
  <c r="I24" i="13"/>
  <c r="J24" i="13"/>
  <c r="K24" i="13"/>
  <c r="L24" i="13"/>
  <c r="M24" i="13"/>
  <c r="N24" i="13"/>
  <c r="O24" i="13"/>
  <c r="P24" i="13"/>
  <c r="Q24" i="13"/>
  <c r="R24" i="13"/>
  <c r="S24" i="13"/>
  <c r="T24" i="13"/>
  <c r="U24" i="13"/>
  <c r="V24" i="13"/>
  <c r="W24" i="13"/>
  <c r="X24" i="13"/>
  <c r="Y24" i="13"/>
  <c r="Z24" i="13"/>
  <c r="AA24" i="13"/>
  <c r="AB24" i="13"/>
  <c r="AC24" i="13"/>
  <c r="AD24" i="13"/>
  <c r="AE24" i="13"/>
  <c r="AF24" i="13"/>
  <c r="AG24" i="13"/>
  <c r="AH24" i="13"/>
  <c r="E25" i="13"/>
  <c r="F25" i="13"/>
  <c r="G25" i="13"/>
  <c r="H25" i="13"/>
  <c r="I25" i="13"/>
  <c r="J25" i="13"/>
  <c r="K25" i="13"/>
  <c r="L25" i="13"/>
  <c r="M25" i="13"/>
  <c r="N25" i="13"/>
  <c r="O25" i="13"/>
  <c r="P25" i="13"/>
  <c r="Q25" i="13"/>
  <c r="R25" i="13"/>
  <c r="S25" i="13"/>
  <c r="T25" i="13"/>
  <c r="U25" i="13"/>
  <c r="V25" i="13"/>
  <c r="W25" i="13"/>
  <c r="X25" i="13"/>
  <c r="Y25" i="13"/>
  <c r="Z25" i="13"/>
  <c r="AA25" i="13"/>
  <c r="AB25" i="13"/>
  <c r="AC25" i="13"/>
  <c r="AD25" i="13"/>
  <c r="AE25" i="13"/>
  <c r="AF25" i="13"/>
  <c r="AG25" i="13"/>
  <c r="AH25" i="13"/>
  <c r="D27" i="13"/>
  <c r="D29" i="13"/>
  <c r="E29" i="13"/>
  <c r="F29" i="13"/>
  <c r="G29" i="13"/>
  <c r="H29" i="13"/>
  <c r="I29" i="13"/>
  <c r="J29" i="13"/>
  <c r="K29" i="13"/>
  <c r="L29" i="13"/>
  <c r="M29" i="13"/>
  <c r="N29" i="13"/>
  <c r="O29" i="13"/>
  <c r="P29" i="13"/>
  <c r="Q29" i="13"/>
  <c r="R29" i="13"/>
  <c r="S29" i="13"/>
  <c r="T29" i="13"/>
  <c r="U29" i="13"/>
  <c r="V29" i="13"/>
  <c r="W29" i="13"/>
  <c r="X29" i="13"/>
  <c r="Y29" i="13"/>
  <c r="Z29" i="13"/>
  <c r="AA29" i="13"/>
  <c r="AB29" i="13"/>
  <c r="AC29" i="13"/>
  <c r="AD29" i="13"/>
  <c r="AE29" i="13"/>
  <c r="AF29" i="13"/>
  <c r="AG29" i="13"/>
  <c r="AH29" i="13"/>
  <c r="D30" i="13"/>
  <c r="E30" i="13"/>
  <c r="F30" i="13"/>
  <c r="G30" i="13"/>
  <c r="H30" i="13"/>
  <c r="I30" i="13"/>
  <c r="J30" i="13"/>
  <c r="K30" i="13"/>
  <c r="L30" i="13"/>
  <c r="M30" i="13"/>
  <c r="N30" i="13"/>
  <c r="O30" i="13"/>
  <c r="P30" i="13"/>
  <c r="Q30" i="13"/>
  <c r="R30" i="13"/>
  <c r="S30" i="13"/>
  <c r="T30" i="13"/>
  <c r="U30" i="13"/>
  <c r="V30" i="13"/>
  <c r="W30" i="13"/>
  <c r="X30" i="13"/>
  <c r="Y30" i="13"/>
  <c r="Z30" i="13"/>
  <c r="AA30" i="13"/>
  <c r="AB30" i="13"/>
  <c r="AC30" i="13"/>
  <c r="AD30" i="13"/>
  <c r="AE30" i="13"/>
  <c r="AF30" i="13"/>
  <c r="AG30" i="13"/>
  <c r="AH30" i="13"/>
  <c r="D31" i="13"/>
  <c r="E31" i="13"/>
  <c r="F31" i="13"/>
  <c r="G31" i="13"/>
  <c r="H31" i="13"/>
  <c r="I31" i="13"/>
  <c r="J31" i="13"/>
  <c r="K31" i="13"/>
  <c r="L31" i="13"/>
  <c r="M31" i="13"/>
  <c r="N31" i="13"/>
  <c r="O31" i="13"/>
  <c r="P31" i="13"/>
  <c r="Q31" i="13"/>
  <c r="R31" i="13"/>
  <c r="S31" i="13"/>
  <c r="T31" i="13"/>
  <c r="U31" i="13"/>
  <c r="V31" i="13"/>
  <c r="W31" i="13"/>
  <c r="X31" i="13"/>
  <c r="Y31" i="13"/>
  <c r="Z31" i="13"/>
  <c r="AA31" i="13"/>
  <c r="AB31" i="13"/>
  <c r="AC31" i="13"/>
  <c r="AD31" i="13"/>
  <c r="AE31" i="13"/>
  <c r="AF31" i="13"/>
  <c r="AG31" i="13"/>
  <c r="AH31" i="13"/>
  <c r="D32" i="13"/>
  <c r="E32" i="13"/>
  <c r="F32" i="13"/>
  <c r="G32" i="13"/>
  <c r="H32" i="13"/>
  <c r="I32" i="13"/>
  <c r="J32" i="13"/>
  <c r="K32" i="13"/>
  <c r="L32" i="13"/>
  <c r="M32" i="13"/>
  <c r="N32" i="13"/>
  <c r="O32" i="13"/>
  <c r="P32" i="13"/>
  <c r="Q32" i="13"/>
  <c r="R32" i="13"/>
  <c r="S32" i="13"/>
  <c r="T32" i="13"/>
  <c r="U32" i="13"/>
  <c r="V32" i="13"/>
  <c r="W32" i="13"/>
  <c r="X32" i="13"/>
  <c r="Y32" i="13"/>
  <c r="Z32" i="13"/>
  <c r="AA32" i="13"/>
  <c r="AB32" i="13"/>
  <c r="AC32" i="13"/>
  <c r="AD32" i="13"/>
  <c r="AE32" i="13"/>
  <c r="AF32" i="13"/>
  <c r="AG32" i="13"/>
  <c r="AH32" i="13"/>
  <c r="D34" i="13"/>
  <c r="E34" i="13"/>
  <c r="F34" i="13"/>
  <c r="G34" i="13"/>
  <c r="H34" i="13"/>
  <c r="I34" i="13"/>
  <c r="J34" i="13"/>
  <c r="K34" i="13"/>
  <c r="L34" i="13"/>
  <c r="M34" i="13"/>
  <c r="N34" i="13"/>
  <c r="O34" i="13"/>
  <c r="P34" i="13"/>
  <c r="Q34" i="13"/>
  <c r="R34" i="13"/>
  <c r="S34" i="13"/>
  <c r="T34" i="13"/>
  <c r="U34" i="13"/>
  <c r="V34" i="13"/>
  <c r="W34" i="13"/>
  <c r="X34" i="13"/>
  <c r="Y34" i="13"/>
  <c r="Z34" i="13"/>
  <c r="AA34" i="13"/>
  <c r="AB34" i="13"/>
  <c r="AC34" i="13"/>
  <c r="AD34" i="13"/>
  <c r="AE34" i="13"/>
  <c r="AF34" i="13"/>
  <c r="AG34" i="13"/>
  <c r="AH34" i="13"/>
  <c r="D36" i="13"/>
  <c r="E36" i="13"/>
  <c r="F36" i="13"/>
  <c r="G36" i="13"/>
  <c r="H36" i="13"/>
  <c r="I36" i="13"/>
  <c r="J36" i="13"/>
  <c r="K36" i="13"/>
  <c r="L36" i="13"/>
  <c r="M36" i="13"/>
  <c r="N36" i="13"/>
  <c r="O36" i="13"/>
  <c r="P36" i="13"/>
  <c r="Q36" i="13"/>
  <c r="R36" i="13"/>
  <c r="S36" i="13"/>
  <c r="T36" i="13"/>
  <c r="U36" i="13"/>
  <c r="V36" i="13"/>
  <c r="W36" i="13"/>
  <c r="X36" i="13"/>
  <c r="Y36" i="13"/>
  <c r="Z36" i="13"/>
  <c r="AA36" i="13"/>
  <c r="AB36" i="13"/>
  <c r="AC36" i="13"/>
  <c r="AD36" i="13"/>
  <c r="AE36" i="13"/>
  <c r="AF36" i="13"/>
  <c r="AG36" i="13"/>
  <c r="AH36" i="13"/>
  <c r="D37" i="13"/>
  <c r="E37" i="13"/>
  <c r="F37" i="13"/>
  <c r="G37" i="13"/>
  <c r="H37" i="13"/>
  <c r="I37" i="13"/>
  <c r="J37" i="13"/>
  <c r="K37" i="13"/>
  <c r="L37" i="13"/>
  <c r="M37" i="13"/>
  <c r="N37" i="13"/>
  <c r="O37" i="13"/>
  <c r="P37" i="13"/>
  <c r="Q37" i="13"/>
  <c r="R37" i="13"/>
  <c r="S37" i="13"/>
  <c r="T37" i="13"/>
  <c r="U37" i="13"/>
  <c r="V37" i="13"/>
  <c r="W37" i="13"/>
  <c r="X37" i="13"/>
  <c r="Y37" i="13"/>
  <c r="Z37" i="13"/>
  <c r="AA37" i="13"/>
  <c r="AB37" i="13"/>
  <c r="AC37" i="13"/>
  <c r="AD37" i="13"/>
  <c r="AE37" i="13"/>
  <c r="AF37" i="13"/>
  <c r="AG37" i="13"/>
  <c r="AH37" i="13"/>
  <c r="E44" i="13"/>
  <c r="F44" i="13"/>
  <c r="G44" i="13"/>
  <c r="H44" i="13"/>
  <c r="I44" i="13"/>
  <c r="J44" i="13"/>
  <c r="K44" i="13"/>
  <c r="L44" i="13"/>
  <c r="M44" i="13"/>
  <c r="N44" i="13"/>
  <c r="O44" i="13"/>
  <c r="P44" i="13"/>
  <c r="Q44" i="13"/>
  <c r="R44" i="13"/>
  <c r="S44" i="13"/>
  <c r="T44" i="13"/>
  <c r="U44" i="13"/>
  <c r="V44" i="13"/>
  <c r="W44" i="13"/>
  <c r="X44" i="13"/>
  <c r="Y44" i="13"/>
  <c r="Z44" i="13"/>
  <c r="AA44" i="13"/>
  <c r="AB44" i="13"/>
  <c r="AC44" i="13"/>
  <c r="AD44" i="13"/>
  <c r="AE44" i="13"/>
  <c r="AF44" i="13"/>
  <c r="AG44" i="13"/>
  <c r="AH44" i="13"/>
  <c r="E45" i="13"/>
  <c r="F45" i="13"/>
  <c r="G45" i="13"/>
  <c r="H45" i="13"/>
  <c r="I45" i="13"/>
  <c r="J45" i="13"/>
  <c r="K45" i="13"/>
  <c r="L45" i="13"/>
  <c r="M45" i="13"/>
  <c r="N45" i="13"/>
  <c r="O45" i="13"/>
  <c r="P45" i="13"/>
  <c r="Q45" i="13"/>
  <c r="R45" i="13"/>
  <c r="S45" i="13"/>
  <c r="T45" i="13"/>
  <c r="U45" i="13"/>
  <c r="V45" i="13"/>
  <c r="W45" i="13"/>
  <c r="X45" i="13"/>
  <c r="Y45" i="13"/>
  <c r="Z45" i="13"/>
  <c r="AA45" i="13"/>
  <c r="AB45" i="13"/>
  <c r="AC45" i="13"/>
  <c r="AD45" i="13"/>
  <c r="AE45" i="13"/>
  <c r="AF45" i="13"/>
  <c r="AG45" i="13"/>
  <c r="AH45" i="13"/>
  <c r="D47" i="13"/>
  <c r="D50" i="13"/>
  <c r="E50" i="13"/>
  <c r="F50" i="13"/>
  <c r="G50" i="13"/>
  <c r="H50" i="13"/>
  <c r="I50" i="13"/>
  <c r="J50" i="13"/>
  <c r="K50" i="13"/>
  <c r="L50" i="13"/>
  <c r="M50" i="13"/>
  <c r="N50" i="13"/>
  <c r="O50" i="13"/>
  <c r="P50" i="13"/>
  <c r="Q50" i="13"/>
  <c r="R50" i="13"/>
  <c r="S50" i="13"/>
  <c r="T50" i="13"/>
  <c r="U50" i="13"/>
  <c r="V50" i="13"/>
  <c r="W50" i="13"/>
  <c r="X50" i="13"/>
  <c r="Y50" i="13"/>
  <c r="Z50" i="13"/>
  <c r="AA50" i="13"/>
  <c r="AB50" i="13"/>
  <c r="AC50" i="13"/>
  <c r="AD50" i="13"/>
  <c r="AE50" i="13"/>
  <c r="AF50" i="13"/>
  <c r="AG50" i="13"/>
  <c r="AH50" i="13"/>
  <c r="D51" i="13"/>
  <c r="E51" i="13"/>
  <c r="F51" i="13"/>
  <c r="G51" i="13"/>
  <c r="H51" i="13"/>
  <c r="I51" i="13"/>
  <c r="J51" i="13"/>
  <c r="K51" i="13"/>
  <c r="L51" i="13"/>
  <c r="M51" i="13"/>
  <c r="N51" i="13"/>
  <c r="O51" i="13"/>
  <c r="P51" i="13"/>
  <c r="Q51" i="13"/>
  <c r="R51" i="13"/>
  <c r="S51" i="13"/>
  <c r="T51" i="13"/>
  <c r="U51" i="13"/>
  <c r="V51" i="13"/>
  <c r="W51" i="13"/>
  <c r="X51" i="13"/>
  <c r="Y51" i="13"/>
  <c r="Z51" i="13"/>
  <c r="AA51" i="13"/>
  <c r="AB51" i="13"/>
  <c r="AC51" i="13"/>
  <c r="AD51" i="13"/>
  <c r="AE51" i="13"/>
  <c r="AF51" i="13"/>
  <c r="AG51" i="13"/>
  <c r="AH51" i="13"/>
  <c r="D53" i="13"/>
  <c r="E53" i="13"/>
  <c r="F53" i="13"/>
  <c r="G53" i="13"/>
  <c r="H53" i="13"/>
  <c r="I53" i="13"/>
  <c r="J53" i="13"/>
  <c r="K53" i="13"/>
  <c r="L53" i="13"/>
  <c r="M53" i="13"/>
  <c r="N53" i="13"/>
  <c r="O53" i="13"/>
  <c r="P53" i="13"/>
  <c r="Q53" i="13"/>
  <c r="R53" i="13"/>
  <c r="S53" i="13"/>
  <c r="T53" i="13"/>
  <c r="U53" i="13"/>
  <c r="V53" i="13"/>
  <c r="W53" i="13"/>
  <c r="X53" i="13"/>
  <c r="Y53" i="13"/>
  <c r="Z53" i="13"/>
  <c r="AA53" i="13"/>
  <c r="AB53" i="13"/>
  <c r="AC53" i="13"/>
  <c r="AD53" i="13"/>
  <c r="AE53" i="13"/>
  <c r="AF53" i="13"/>
  <c r="AG53" i="13"/>
  <c r="AH53" i="13"/>
  <c r="D61" i="13"/>
  <c r="E61" i="13"/>
  <c r="F61" i="13"/>
  <c r="G61" i="13"/>
  <c r="H61" i="13"/>
  <c r="I61" i="13"/>
  <c r="J61" i="13"/>
  <c r="K61" i="13"/>
  <c r="L61" i="13"/>
  <c r="M61" i="13"/>
  <c r="N61" i="13"/>
  <c r="O61" i="13"/>
  <c r="P61" i="13"/>
  <c r="Q61" i="13"/>
  <c r="R61" i="13"/>
  <c r="S61" i="13"/>
  <c r="T61" i="13"/>
  <c r="U61" i="13"/>
  <c r="V61" i="13"/>
  <c r="W61" i="13"/>
  <c r="X61" i="13"/>
  <c r="Y61" i="13"/>
  <c r="Z61" i="13"/>
  <c r="AA61" i="13"/>
  <c r="AB61" i="13"/>
  <c r="AC61" i="13"/>
  <c r="AD61" i="13"/>
  <c r="AE61" i="13"/>
  <c r="AF61" i="13"/>
  <c r="AG61" i="13"/>
  <c r="AH61" i="13"/>
  <c r="D62" i="13"/>
  <c r="E62" i="13"/>
  <c r="F62" i="13"/>
  <c r="G62" i="13"/>
  <c r="H62" i="13"/>
  <c r="I62" i="13"/>
  <c r="J62" i="13"/>
  <c r="K62" i="13"/>
  <c r="L62" i="13"/>
  <c r="M62" i="13"/>
  <c r="N62" i="13"/>
  <c r="O62" i="13"/>
  <c r="P62" i="13"/>
  <c r="Q62" i="13"/>
  <c r="R62" i="13"/>
  <c r="S62" i="13"/>
  <c r="T62" i="13"/>
  <c r="U62" i="13"/>
  <c r="V62" i="13"/>
  <c r="W62" i="13"/>
  <c r="X62" i="13"/>
  <c r="Y62" i="13"/>
  <c r="Z62" i="13"/>
  <c r="AA62" i="13"/>
  <c r="AB62" i="13"/>
  <c r="AC62" i="13"/>
  <c r="AD62" i="13"/>
  <c r="AE62" i="13"/>
  <c r="AF62" i="13"/>
  <c r="AG62" i="13"/>
  <c r="AH62" i="13"/>
  <c r="D64" i="13"/>
  <c r="E64" i="13"/>
  <c r="F64" i="13"/>
  <c r="G64" i="13"/>
  <c r="H64" i="13"/>
  <c r="I64" i="13"/>
  <c r="J64" i="13"/>
  <c r="K64" i="13"/>
  <c r="L64" i="13"/>
  <c r="M64" i="13"/>
  <c r="N64" i="13"/>
  <c r="O64" i="13"/>
  <c r="P64" i="13"/>
  <c r="Q64" i="13"/>
  <c r="R64" i="13"/>
  <c r="S64" i="13"/>
  <c r="T64" i="13"/>
  <c r="U64" i="13"/>
  <c r="V64" i="13"/>
  <c r="W64" i="13"/>
  <c r="X64" i="13"/>
  <c r="Y64" i="13"/>
  <c r="Z64" i="13"/>
  <c r="AA64" i="13"/>
  <c r="AB64" i="13"/>
  <c r="AC64" i="13"/>
  <c r="AD64" i="13"/>
  <c r="AE64" i="13"/>
  <c r="AF64" i="13"/>
  <c r="AG64" i="13"/>
  <c r="AH64" i="13"/>
  <c r="AI64" i="13"/>
  <c r="C67" i="13"/>
  <c r="D67" i="13"/>
  <c r="E67" i="13"/>
  <c r="F67" i="13"/>
  <c r="G67" i="13"/>
  <c r="H67" i="13"/>
  <c r="I67" i="13"/>
  <c r="J67" i="13"/>
  <c r="K67" i="13"/>
  <c r="L67" i="13"/>
  <c r="M67" i="13"/>
  <c r="N67" i="13"/>
  <c r="O67" i="13"/>
  <c r="P67" i="13"/>
  <c r="Q67" i="13"/>
  <c r="R67" i="13"/>
  <c r="S67" i="13"/>
  <c r="T67" i="13"/>
  <c r="U67" i="13"/>
  <c r="V67" i="13"/>
  <c r="W67" i="13"/>
  <c r="X67" i="13"/>
  <c r="Y67" i="13"/>
  <c r="Z67" i="13"/>
  <c r="AA67" i="13"/>
  <c r="AB67" i="13"/>
  <c r="AC67" i="13"/>
  <c r="AD67" i="13"/>
  <c r="AE67" i="13"/>
  <c r="AF67" i="13"/>
  <c r="AG67" i="13"/>
  <c r="AH67" i="13"/>
  <c r="AI67" i="13"/>
  <c r="C68" i="13"/>
  <c r="D68" i="13"/>
  <c r="E68" i="13"/>
  <c r="F68" i="13"/>
  <c r="G68" i="13"/>
  <c r="H68" i="13"/>
  <c r="I68" i="13"/>
  <c r="J68" i="13"/>
  <c r="K68" i="13"/>
  <c r="L68" i="13"/>
  <c r="M68" i="13"/>
  <c r="N68" i="13"/>
  <c r="O68" i="13"/>
  <c r="P68" i="13"/>
  <c r="Q68" i="13"/>
  <c r="R68" i="13"/>
  <c r="S68" i="13"/>
  <c r="T68" i="13"/>
  <c r="U68" i="13"/>
  <c r="V68" i="13"/>
  <c r="W68" i="13"/>
  <c r="X68" i="13"/>
  <c r="Y68" i="13"/>
  <c r="Z68" i="13"/>
  <c r="AA68" i="13"/>
  <c r="AB68" i="13"/>
  <c r="AC68" i="13"/>
  <c r="AD68" i="13"/>
  <c r="AE68" i="13"/>
  <c r="AF68" i="13"/>
  <c r="AG68" i="13"/>
  <c r="AH68" i="13"/>
  <c r="AI68" i="13"/>
  <c r="C71" i="13"/>
  <c r="E71" i="13"/>
  <c r="F71" i="13"/>
  <c r="G71" i="13"/>
  <c r="H71" i="13"/>
  <c r="I71" i="13"/>
  <c r="J71" i="13"/>
  <c r="K71" i="13"/>
  <c r="L71" i="13"/>
  <c r="M71" i="13"/>
  <c r="N71" i="13"/>
  <c r="O71" i="13"/>
  <c r="P71" i="13"/>
  <c r="Q71" i="13"/>
  <c r="R71" i="13"/>
  <c r="S71" i="13"/>
  <c r="T71" i="13"/>
  <c r="U71" i="13"/>
  <c r="V71" i="13"/>
  <c r="W71" i="13"/>
  <c r="X71" i="13"/>
  <c r="Y71" i="13"/>
  <c r="Z71" i="13"/>
  <c r="AA71" i="13"/>
  <c r="AB71" i="13"/>
  <c r="AC71" i="13"/>
  <c r="AD71" i="13"/>
  <c r="AE71" i="13"/>
  <c r="AF71" i="13"/>
  <c r="AG71" i="13"/>
  <c r="AH71" i="13"/>
  <c r="AI71" i="13"/>
  <c r="AJ71" i="13"/>
  <c r="AK71" i="13"/>
  <c r="AL71" i="13"/>
  <c r="C72" i="13"/>
  <c r="E72" i="13"/>
  <c r="F72" i="13"/>
  <c r="G72" i="13"/>
  <c r="H72" i="13"/>
  <c r="I72" i="13"/>
  <c r="J72" i="13"/>
  <c r="K72" i="13"/>
  <c r="L72" i="13"/>
  <c r="M72" i="13"/>
  <c r="N72" i="13"/>
  <c r="O72" i="13"/>
  <c r="P72" i="13"/>
  <c r="Q72" i="13"/>
  <c r="R72" i="13"/>
  <c r="S72" i="13"/>
  <c r="T72" i="13"/>
  <c r="U72" i="13"/>
  <c r="V72" i="13"/>
  <c r="W72" i="13"/>
  <c r="X72" i="13"/>
  <c r="Y72" i="13"/>
  <c r="Z72" i="13"/>
  <c r="AA72" i="13"/>
  <c r="AB72" i="13"/>
  <c r="AC72" i="13"/>
  <c r="AD72" i="13"/>
  <c r="AE72" i="13"/>
  <c r="AF72" i="13"/>
  <c r="AG72" i="13"/>
  <c r="AH72" i="13"/>
  <c r="AI72" i="13"/>
  <c r="AJ72" i="13"/>
  <c r="AK72" i="13"/>
  <c r="AL72" i="13"/>
  <c r="D75" i="13"/>
  <c r="E75" i="13"/>
  <c r="F75" i="13"/>
  <c r="G75" i="13"/>
  <c r="H75" i="13"/>
  <c r="I75" i="13"/>
  <c r="J75" i="13"/>
  <c r="K75" i="13"/>
  <c r="L75" i="13"/>
  <c r="M75" i="13"/>
  <c r="N75" i="13"/>
  <c r="O75" i="13"/>
  <c r="P75" i="13"/>
  <c r="Q75" i="13"/>
  <c r="R75" i="13"/>
  <c r="S75" i="13"/>
  <c r="T75" i="13"/>
  <c r="U75" i="13"/>
  <c r="V75" i="13"/>
  <c r="W75" i="13"/>
  <c r="X75" i="13"/>
  <c r="Y75" i="13"/>
  <c r="Z75" i="13"/>
  <c r="AA75" i="13"/>
  <c r="AB75" i="13"/>
  <c r="AC75" i="13"/>
  <c r="AD75" i="13"/>
  <c r="AE75" i="13"/>
  <c r="AF75" i="13"/>
  <c r="AG75" i="13"/>
  <c r="AH75" i="13"/>
  <c r="AI75" i="13"/>
  <c r="AJ75" i="13"/>
  <c r="AK75" i="13"/>
  <c r="AL75" i="13"/>
  <c r="D76" i="13"/>
  <c r="E76" i="13"/>
  <c r="F76" i="13"/>
  <c r="G76" i="13"/>
  <c r="H76" i="13"/>
  <c r="I76" i="13"/>
  <c r="J76" i="13"/>
  <c r="K76" i="13"/>
  <c r="L76" i="13"/>
  <c r="M76" i="13"/>
  <c r="N76" i="13"/>
  <c r="O76" i="13"/>
  <c r="P76" i="13"/>
  <c r="Q76" i="13"/>
  <c r="R76" i="13"/>
  <c r="S76" i="13"/>
  <c r="T76" i="13"/>
  <c r="U76" i="13"/>
  <c r="V76" i="13"/>
  <c r="W76" i="13"/>
  <c r="X76" i="13"/>
  <c r="Y76" i="13"/>
  <c r="Z76" i="13"/>
  <c r="AA76" i="13"/>
  <c r="AB76" i="13"/>
  <c r="AC76" i="13"/>
  <c r="AD76" i="13"/>
  <c r="AE76" i="13"/>
  <c r="AF76" i="13"/>
  <c r="AG76" i="13"/>
  <c r="AH76" i="13"/>
  <c r="AI76" i="13"/>
  <c r="AJ76" i="13"/>
  <c r="AK76" i="13"/>
  <c r="AL76" i="13"/>
  <c r="D77" i="13"/>
  <c r="E77" i="13"/>
  <c r="F77" i="13"/>
  <c r="G77" i="13"/>
  <c r="H77" i="13"/>
  <c r="I77" i="13"/>
  <c r="J77" i="13"/>
  <c r="K77" i="13"/>
  <c r="L77" i="13"/>
  <c r="M77" i="13"/>
  <c r="N77" i="13"/>
  <c r="O77" i="13"/>
  <c r="P77" i="13"/>
  <c r="Q77" i="13"/>
  <c r="R77" i="13"/>
  <c r="S77" i="13"/>
  <c r="T77" i="13"/>
  <c r="U77" i="13"/>
  <c r="V77" i="13"/>
  <c r="W77" i="13"/>
  <c r="X77" i="13"/>
  <c r="Y77" i="13"/>
  <c r="Z77" i="13"/>
  <c r="AA77" i="13"/>
  <c r="AB77" i="13"/>
  <c r="AC77" i="13"/>
  <c r="AD77" i="13"/>
  <c r="AE77" i="13"/>
  <c r="AF77" i="13"/>
  <c r="AG77" i="13"/>
  <c r="AH77" i="13"/>
  <c r="AI77" i="13"/>
  <c r="AJ77" i="13"/>
  <c r="AK77" i="13"/>
  <c r="AL77" i="13"/>
  <c r="D78" i="13"/>
  <c r="E78" i="13"/>
  <c r="F78" i="13"/>
  <c r="G78" i="13"/>
  <c r="H78" i="13"/>
  <c r="I78" i="13"/>
  <c r="J78" i="13"/>
  <c r="K78" i="13"/>
  <c r="L78" i="13"/>
  <c r="M78" i="13"/>
  <c r="N78" i="13"/>
  <c r="O78" i="13"/>
  <c r="P78" i="13"/>
  <c r="Q78" i="13"/>
  <c r="R78" i="13"/>
  <c r="S78" i="13"/>
  <c r="T78" i="13"/>
  <c r="U78" i="13"/>
  <c r="V78" i="13"/>
  <c r="W78" i="13"/>
  <c r="X78" i="13"/>
  <c r="Y78" i="13"/>
  <c r="Z78" i="13"/>
  <c r="AA78" i="13"/>
  <c r="AB78" i="13"/>
  <c r="AC78" i="13"/>
  <c r="AD78" i="13"/>
  <c r="AE78" i="13"/>
  <c r="AF78" i="13"/>
  <c r="AG78" i="13"/>
  <c r="AH78" i="13"/>
  <c r="AI78" i="13"/>
  <c r="AJ78" i="13"/>
  <c r="AK78" i="13"/>
  <c r="AL78" i="13"/>
  <c r="C81" i="13"/>
  <c r="D81" i="13"/>
  <c r="E81" i="13"/>
  <c r="F81" i="13"/>
  <c r="G81" i="13"/>
  <c r="H81" i="13"/>
  <c r="I81" i="13"/>
  <c r="J81" i="13"/>
  <c r="K81" i="13"/>
  <c r="L81" i="13"/>
  <c r="M81" i="13"/>
  <c r="N81" i="13"/>
  <c r="O81" i="13"/>
  <c r="P81" i="13"/>
  <c r="Q81" i="13"/>
  <c r="R81" i="13"/>
  <c r="S81" i="13"/>
  <c r="T81" i="13"/>
  <c r="U81" i="13"/>
  <c r="V81" i="13"/>
  <c r="W81" i="13"/>
  <c r="X81" i="13"/>
  <c r="Y81" i="13"/>
  <c r="Z81" i="13"/>
  <c r="AA81" i="13"/>
  <c r="AB81" i="13"/>
  <c r="AC81" i="13"/>
  <c r="AD81" i="13"/>
  <c r="AE81" i="13"/>
  <c r="AF81" i="13"/>
  <c r="AG81" i="13"/>
  <c r="AH81" i="13"/>
  <c r="AI81" i="13"/>
  <c r="C82" i="13"/>
  <c r="D82" i="13"/>
  <c r="E82" i="13"/>
  <c r="F82" i="13"/>
  <c r="G82" i="13"/>
  <c r="H82" i="13"/>
  <c r="I82" i="13"/>
  <c r="J82" i="13"/>
  <c r="K82" i="13"/>
  <c r="L82" i="13"/>
  <c r="M82" i="13"/>
  <c r="N82" i="13"/>
  <c r="O82" i="13"/>
  <c r="P82" i="13"/>
  <c r="Q82" i="13"/>
  <c r="R82" i="13"/>
  <c r="S82" i="13"/>
  <c r="T82" i="13"/>
  <c r="U82" i="13"/>
  <c r="V82" i="13"/>
  <c r="W82" i="13"/>
  <c r="X82" i="13"/>
  <c r="Y82" i="13"/>
  <c r="Z82" i="13"/>
  <c r="AA82" i="13"/>
  <c r="AB82" i="13"/>
  <c r="AC82" i="13"/>
  <c r="AD82" i="13"/>
  <c r="AE82" i="13"/>
  <c r="AF82" i="13"/>
  <c r="AG82" i="13"/>
  <c r="AH82" i="13"/>
  <c r="AI82" i="13"/>
  <c r="C85" i="13"/>
  <c r="D85" i="13"/>
  <c r="E85" i="13"/>
  <c r="F85" i="13"/>
  <c r="G85" i="13"/>
  <c r="H85" i="13"/>
  <c r="I85" i="13"/>
  <c r="J85" i="13"/>
  <c r="K85" i="13"/>
  <c r="L85" i="13"/>
  <c r="M85" i="13"/>
  <c r="N85" i="13"/>
  <c r="O85" i="13"/>
  <c r="P85" i="13"/>
  <c r="Q85" i="13"/>
  <c r="R85" i="13"/>
  <c r="S85" i="13"/>
  <c r="T85" i="13"/>
  <c r="U85" i="13"/>
  <c r="V85" i="13"/>
  <c r="W85" i="13"/>
  <c r="X85" i="13"/>
  <c r="Y85" i="13"/>
  <c r="Z85" i="13"/>
  <c r="AA85" i="13"/>
  <c r="AB85" i="13"/>
  <c r="AC85" i="13"/>
  <c r="AD85" i="13"/>
  <c r="AE85" i="13"/>
  <c r="AF85" i="13"/>
  <c r="AG85" i="13"/>
  <c r="AH85" i="13"/>
  <c r="AI85" i="13"/>
  <c r="AJ85" i="13"/>
  <c r="AK85" i="13"/>
  <c r="AL85" i="13"/>
  <c r="C86" i="13"/>
  <c r="D86" i="13"/>
  <c r="E86" i="13"/>
  <c r="F86" i="13"/>
  <c r="G86" i="13"/>
  <c r="H86" i="13"/>
  <c r="I86" i="13"/>
  <c r="J86" i="13"/>
  <c r="K86" i="13"/>
  <c r="L86" i="13"/>
  <c r="M86" i="13"/>
  <c r="N86" i="13"/>
  <c r="O86" i="13"/>
  <c r="P86" i="13"/>
  <c r="Q86" i="13"/>
  <c r="R86" i="13"/>
  <c r="S86" i="13"/>
  <c r="T86" i="13"/>
  <c r="U86" i="13"/>
  <c r="V86" i="13"/>
  <c r="W86" i="13"/>
  <c r="X86" i="13"/>
  <c r="Y86" i="13"/>
  <c r="Z86" i="13"/>
  <c r="AA86" i="13"/>
  <c r="AB86" i="13"/>
  <c r="AC86" i="13"/>
  <c r="AD86" i="13"/>
  <c r="AE86" i="13"/>
  <c r="AF86" i="13"/>
  <c r="AG86" i="13"/>
  <c r="AH86" i="13"/>
  <c r="AI86" i="13"/>
  <c r="AJ86" i="13"/>
  <c r="AK86" i="13"/>
  <c r="AL86" i="13"/>
  <c r="C89" i="13"/>
  <c r="E9" i="8"/>
  <c r="F9" i="8"/>
  <c r="G9" i="8"/>
  <c r="H9" i="8"/>
  <c r="I9" i="8"/>
  <c r="J9" i="8"/>
  <c r="K9" i="8"/>
  <c r="L9" i="8"/>
  <c r="M9" i="8"/>
  <c r="N9" i="8"/>
  <c r="O9" i="8"/>
  <c r="P9" i="8"/>
  <c r="Q9" i="8"/>
  <c r="R9" i="8"/>
  <c r="S9" i="8"/>
  <c r="T9" i="8"/>
  <c r="U9" i="8"/>
  <c r="V9" i="8"/>
  <c r="W9" i="8"/>
  <c r="X9" i="8"/>
  <c r="Y9" i="8"/>
  <c r="Z9" i="8"/>
  <c r="AA9" i="8"/>
  <c r="AB9" i="8"/>
  <c r="AC9" i="8"/>
  <c r="AD9" i="8"/>
  <c r="AE9" i="8"/>
  <c r="AF9" i="8"/>
  <c r="AG9" i="8"/>
  <c r="AH9" i="8"/>
  <c r="D10" i="8"/>
  <c r="D13" i="8"/>
  <c r="E13" i="8"/>
  <c r="F13" i="8"/>
  <c r="G13" i="8"/>
  <c r="H13" i="8"/>
  <c r="I13" i="8"/>
  <c r="J13" i="8"/>
  <c r="K13" i="8"/>
  <c r="L13" i="8"/>
  <c r="M13" i="8"/>
  <c r="N13" i="8"/>
  <c r="O13" i="8"/>
  <c r="P13" i="8"/>
  <c r="Q13" i="8"/>
  <c r="R13" i="8"/>
  <c r="S13" i="8"/>
  <c r="T13" i="8"/>
  <c r="U13" i="8"/>
  <c r="V13" i="8"/>
  <c r="W13" i="8"/>
  <c r="X13" i="8"/>
  <c r="Y13" i="8"/>
  <c r="Z13" i="8"/>
  <c r="AA13" i="8"/>
  <c r="AB13" i="8"/>
  <c r="AC13" i="8"/>
  <c r="AD13" i="8"/>
  <c r="AE13" i="8"/>
  <c r="AF13" i="8"/>
  <c r="AG13" i="8"/>
  <c r="AH13" i="8"/>
  <c r="D18" i="8"/>
  <c r="E18" i="8"/>
  <c r="F18" i="8"/>
  <c r="G18" i="8"/>
  <c r="H18" i="8"/>
  <c r="I18" i="8"/>
  <c r="J18" i="8"/>
  <c r="K18" i="8"/>
  <c r="L18" i="8"/>
  <c r="M18" i="8"/>
  <c r="N18" i="8"/>
  <c r="O18" i="8"/>
  <c r="P18" i="8"/>
  <c r="Q18" i="8"/>
  <c r="R18" i="8"/>
  <c r="S18" i="8"/>
  <c r="T18" i="8"/>
  <c r="U18" i="8"/>
  <c r="V18" i="8"/>
  <c r="W18" i="8"/>
  <c r="X18" i="8"/>
  <c r="Y18" i="8"/>
  <c r="Z18" i="8"/>
  <c r="AA18" i="8"/>
  <c r="AB18" i="8"/>
  <c r="AC18" i="8"/>
  <c r="AD18" i="8"/>
  <c r="AE18" i="8"/>
  <c r="AF18" i="8"/>
  <c r="AG18" i="8"/>
  <c r="AH18" i="8"/>
  <c r="D25" i="8"/>
  <c r="E25" i="8"/>
  <c r="F25" i="8"/>
  <c r="G25" i="8"/>
  <c r="H25" i="8"/>
  <c r="I25" i="8"/>
  <c r="J25" i="8"/>
  <c r="K25" i="8"/>
  <c r="L25" i="8"/>
  <c r="M25" i="8"/>
  <c r="N25" i="8"/>
  <c r="O25" i="8"/>
  <c r="P25" i="8"/>
  <c r="Q25" i="8"/>
  <c r="R25" i="8"/>
  <c r="S25" i="8"/>
  <c r="T25" i="8"/>
  <c r="U25" i="8"/>
  <c r="V25" i="8"/>
  <c r="W25" i="8"/>
  <c r="X25" i="8"/>
  <c r="Y25" i="8"/>
  <c r="Z25" i="8"/>
  <c r="AA25" i="8"/>
  <c r="AB25" i="8"/>
  <c r="AC25" i="8"/>
  <c r="AD25" i="8"/>
  <c r="AE25" i="8"/>
  <c r="AF25" i="8"/>
  <c r="AG25" i="8"/>
  <c r="AH25" i="8"/>
  <c r="D26" i="8"/>
  <c r="E26" i="8"/>
  <c r="F26" i="8"/>
  <c r="G26" i="8"/>
  <c r="H26" i="8"/>
  <c r="I26" i="8"/>
  <c r="J26" i="8"/>
  <c r="K26" i="8"/>
  <c r="L26" i="8"/>
  <c r="M26" i="8"/>
  <c r="N26" i="8"/>
  <c r="O26" i="8"/>
  <c r="P26" i="8"/>
  <c r="Q26" i="8"/>
  <c r="R26" i="8"/>
  <c r="S26" i="8"/>
  <c r="T26" i="8"/>
  <c r="U26" i="8"/>
  <c r="V26" i="8"/>
  <c r="W26" i="8"/>
  <c r="X26" i="8"/>
  <c r="Y26" i="8"/>
  <c r="Z26" i="8"/>
  <c r="AA26" i="8"/>
  <c r="AB26" i="8"/>
  <c r="AC26" i="8"/>
  <c r="AD26" i="8"/>
  <c r="AE26" i="8"/>
  <c r="AF26" i="8"/>
  <c r="AG26" i="8"/>
  <c r="AH26" i="8"/>
  <c r="D28" i="8"/>
  <c r="E28" i="8"/>
  <c r="F28" i="8"/>
  <c r="G28" i="8"/>
  <c r="H28" i="8"/>
  <c r="I28" i="8"/>
  <c r="J28" i="8"/>
  <c r="K28" i="8"/>
  <c r="L28" i="8"/>
  <c r="M28" i="8"/>
  <c r="N28" i="8"/>
  <c r="O28" i="8"/>
  <c r="P28" i="8"/>
  <c r="Q28" i="8"/>
  <c r="R28" i="8"/>
  <c r="S28" i="8"/>
  <c r="T28" i="8"/>
  <c r="U28" i="8"/>
  <c r="V28" i="8"/>
  <c r="W28" i="8"/>
  <c r="X28" i="8"/>
  <c r="Y28" i="8"/>
  <c r="Z28" i="8"/>
  <c r="AA28" i="8"/>
  <c r="AB28" i="8"/>
  <c r="AC28" i="8"/>
  <c r="AD28" i="8"/>
  <c r="AE28" i="8"/>
  <c r="AF28" i="8"/>
  <c r="AG28" i="8"/>
  <c r="AH28" i="8"/>
  <c r="E35" i="8"/>
  <c r="F35" i="8"/>
  <c r="G35" i="8"/>
  <c r="H35" i="8"/>
  <c r="I35" i="8"/>
  <c r="J35" i="8"/>
  <c r="K35" i="8"/>
  <c r="L35" i="8"/>
  <c r="M35" i="8"/>
  <c r="N35" i="8"/>
  <c r="O35" i="8"/>
  <c r="P35" i="8"/>
  <c r="Q35" i="8"/>
  <c r="R35" i="8"/>
  <c r="S35" i="8"/>
  <c r="T35" i="8"/>
  <c r="U35" i="8"/>
  <c r="V35" i="8"/>
  <c r="W35" i="8"/>
  <c r="X35" i="8"/>
  <c r="Y35" i="8"/>
  <c r="Z35" i="8"/>
  <c r="AA35" i="8"/>
  <c r="AB35" i="8"/>
  <c r="AC35" i="8"/>
  <c r="AD35" i="8"/>
  <c r="AE35" i="8"/>
  <c r="AF35" i="8"/>
  <c r="AG35" i="8"/>
  <c r="AH35" i="8"/>
  <c r="D36" i="8"/>
  <c r="D39" i="8"/>
  <c r="E39" i="8"/>
  <c r="F39" i="8"/>
  <c r="G39" i="8"/>
  <c r="H39" i="8"/>
  <c r="I39" i="8"/>
  <c r="J39" i="8"/>
  <c r="K39" i="8"/>
  <c r="L39" i="8"/>
  <c r="M39" i="8"/>
  <c r="N39" i="8"/>
  <c r="O39" i="8"/>
  <c r="P39" i="8"/>
  <c r="Q39" i="8"/>
  <c r="R39" i="8"/>
  <c r="S39" i="8"/>
  <c r="T39" i="8"/>
  <c r="U39" i="8"/>
  <c r="V39" i="8"/>
  <c r="W39" i="8"/>
  <c r="X39" i="8"/>
  <c r="Y39" i="8"/>
  <c r="Z39" i="8"/>
  <c r="AA39" i="8"/>
  <c r="AB39" i="8"/>
  <c r="AC39" i="8"/>
  <c r="AD39" i="8"/>
  <c r="AE39" i="8"/>
  <c r="AF39" i="8"/>
  <c r="AG39" i="8"/>
  <c r="AH39" i="8"/>
  <c r="D44" i="8"/>
  <c r="E44" i="8"/>
  <c r="F44" i="8"/>
  <c r="G44" i="8"/>
  <c r="H44" i="8"/>
  <c r="I44" i="8"/>
  <c r="J44" i="8"/>
  <c r="K44" i="8"/>
  <c r="L44" i="8"/>
  <c r="M44" i="8"/>
  <c r="N44" i="8"/>
  <c r="O44" i="8"/>
  <c r="P44" i="8"/>
  <c r="Q44" i="8"/>
  <c r="R44" i="8"/>
  <c r="S44" i="8"/>
  <c r="T44" i="8"/>
  <c r="U44" i="8"/>
  <c r="V44" i="8"/>
  <c r="W44" i="8"/>
  <c r="X44" i="8"/>
  <c r="Y44" i="8"/>
  <c r="Z44" i="8"/>
  <c r="AA44" i="8"/>
  <c r="AB44" i="8"/>
  <c r="AC44" i="8"/>
  <c r="AD44" i="8"/>
  <c r="AE44" i="8"/>
  <c r="AF44" i="8"/>
  <c r="AG44" i="8"/>
  <c r="AH44" i="8"/>
  <c r="D51" i="8"/>
  <c r="E51" i="8"/>
  <c r="F51" i="8"/>
  <c r="G51" i="8"/>
  <c r="H51" i="8"/>
  <c r="I51" i="8"/>
  <c r="J51" i="8"/>
  <c r="K51" i="8"/>
  <c r="L51" i="8"/>
  <c r="M51" i="8"/>
  <c r="N51" i="8"/>
  <c r="O51" i="8"/>
  <c r="P51" i="8"/>
  <c r="Q51" i="8"/>
  <c r="R51" i="8"/>
  <c r="S51" i="8"/>
  <c r="T51" i="8"/>
  <c r="U51" i="8"/>
  <c r="V51" i="8"/>
  <c r="W51" i="8"/>
  <c r="X51" i="8"/>
  <c r="Y51" i="8"/>
  <c r="Z51" i="8"/>
  <c r="AA51" i="8"/>
  <c r="AB51" i="8"/>
  <c r="AC51" i="8"/>
  <c r="AD51" i="8"/>
  <c r="AE51" i="8"/>
  <c r="AF51" i="8"/>
  <c r="AG51" i="8"/>
  <c r="AH51" i="8"/>
  <c r="D52" i="8"/>
  <c r="E52" i="8"/>
  <c r="F52" i="8"/>
  <c r="G52" i="8"/>
  <c r="H52" i="8"/>
  <c r="I52" i="8"/>
  <c r="J52" i="8"/>
  <c r="K52" i="8"/>
  <c r="L52" i="8"/>
  <c r="M52" i="8"/>
  <c r="N52" i="8"/>
  <c r="O52" i="8"/>
  <c r="P52" i="8"/>
  <c r="Q52" i="8"/>
  <c r="R52" i="8"/>
  <c r="S52" i="8"/>
  <c r="T52" i="8"/>
  <c r="U52" i="8"/>
  <c r="V52" i="8"/>
  <c r="W52" i="8"/>
  <c r="X52" i="8"/>
  <c r="Y52" i="8"/>
  <c r="Z52" i="8"/>
  <c r="AA52" i="8"/>
  <c r="AB52" i="8"/>
  <c r="AC52" i="8"/>
  <c r="AD52" i="8"/>
  <c r="AE52" i="8"/>
  <c r="AF52" i="8"/>
  <c r="AG52" i="8"/>
  <c r="AH52" i="8"/>
  <c r="D54" i="8"/>
  <c r="E54" i="8"/>
  <c r="F54" i="8"/>
  <c r="G54" i="8"/>
  <c r="H54" i="8"/>
  <c r="I54" i="8"/>
  <c r="J54" i="8"/>
  <c r="K54" i="8"/>
  <c r="L54" i="8"/>
  <c r="M54" i="8"/>
  <c r="N54" i="8"/>
  <c r="O54" i="8"/>
  <c r="P54" i="8"/>
  <c r="Q54" i="8"/>
  <c r="R54" i="8"/>
  <c r="S54" i="8"/>
  <c r="T54" i="8"/>
  <c r="U54" i="8"/>
  <c r="V54" i="8"/>
  <c r="W54" i="8"/>
  <c r="X54" i="8"/>
  <c r="Y54" i="8"/>
  <c r="Z54" i="8"/>
  <c r="AA54" i="8"/>
  <c r="AB54" i="8"/>
  <c r="AC54" i="8"/>
  <c r="AD54" i="8"/>
  <c r="AE54" i="8"/>
  <c r="AF54" i="8"/>
  <c r="AG54" i="8"/>
  <c r="AH54" i="8"/>
  <c r="E60" i="8"/>
  <c r="F60" i="8"/>
  <c r="G60" i="8"/>
  <c r="H60" i="8"/>
  <c r="I60" i="8"/>
  <c r="J60" i="8"/>
  <c r="K60" i="8"/>
  <c r="L60" i="8"/>
  <c r="M60" i="8"/>
  <c r="N60" i="8"/>
  <c r="O60" i="8"/>
  <c r="P60" i="8"/>
  <c r="Q60" i="8"/>
  <c r="R60" i="8"/>
  <c r="S60" i="8"/>
  <c r="T60" i="8"/>
  <c r="U60" i="8"/>
  <c r="V60" i="8"/>
  <c r="W60" i="8"/>
  <c r="X60" i="8"/>
  <c r="Y60" i="8"/>
  <c r="Z60" i="8"/>
  <c r="AA60" i="8"/>
  <c r="AB60" i="8"/>
  <c r="AC60" i="8"/>
  <c r="AD60" i="8"/>
  <c r="AE60" i="8"/>
  <c r="AF60" i="8"/>
  <c r="AG60" i="8"/>
  <c r="AH60" i="8"/>
  <c r="D61" i="8"/>
  <c r="D69" i="8"/>
  <c r="E69" i="8"/>
  <c r="F69" i="8"/>
  <c r="G69" i="8"/>
  <c r="H69" i="8"/>
  <c r="I69" i="8"/>
  <c r="J69" i="8"/>
  <c r="K69" i="8"/>
  <c r="L69" i="8"/>
  <c r="M69" i="8"/>
  <c r="N69" i="8"/>
  <c r="O69" i="8"/>
  <c r="P69" i="8"/>
  <c r="Q69" i="8"/>
  <c r="R69" i="8"/>
  <c r="S69" i="8"/>
  <c r="T69" i="8"/>
  <c r="U69" i="8"/>
  <c r="V69" i="8"/>
  <c r="W69" i="8"/>
  <c r="X69" i="8"/>
  <c r="Y69" i="8"/>
  <c r="Z69" i="8"/>
  <c r="AA69" i="8"/>
  <c r="AB69" i="8"/>
  <c r="AC69" i="8"/>
  <c r="AD69" i="8"/>
  <c r="AE69" i="8"/>
  <c r="AF69" i="8"/>
  <c r="AG69" i="8"/>
  <c r="AH69" i="8"/>
  <c r="D76" i="8"/>
  <c r="E76" i="8"/>
  <c r="F76" i="8"/>
  <c r="G76" i="8"/>
  <c r="H76" i="8"/>
  <c r="I76" i="8"/>
  <c r="J76" i="8"/>
  <c r="K76" i="8"/>
  <c r="L76" i="8"/>
  <c r="M76" i="8"/>
  <c r="N76" i="8"/>
  <c r="O76" i="8"/>
  <c r="P76" i="8"/>
  <c r="Q76" i="8"/>
  <c r="R76" i="8"/>
  <c r="S76" i="8"/>
  <c r="T76" i="8"/>
  <c r="U76" i="8"/>
  <c r="V76" i="8"/>
  <c r="W76" i="8"/>
  <c r="X76" i="8"/>
  <c r="Y76" i="8"/>
  <c r="Z76" i="8"/>
  <c r="AA76" i="8"/>
  <c r="AB76" i="8"/>
  <c r="AC76" i="8"/>
  <c r="AD76" i="8"/>
  <c r="AE76" i="8"/>
  <c r="AF76" i="8"/>
  <c r="AG76" i="8"/>
  <c r="AH76" i="8"/>
  <c r="D79" i="8"/>
  <c r="E79" i="8"/>
  <c r="F79" i="8"/>
  <c r="G79" i="8"/>
  <c r="H79" i="8"/>
  <c r="I79" i="8"/>
  <c r="J79" i="8"/>
  <c r="K79" i="8"/>
  <c r="L79" i="8"/>
  <c r="M79" i="8"/>
  <c r="N79" i="8"/>
  <c r="O79" i="8"/>
  <c r="P79" i="8"/>
  <c r="Q79" i="8"/>
  <c r="R79" i="8"/>
  <c r="S79" i="8"/>
  <c r="T79" i="8"/>
  <c r="U79" i="8"/>
  <c r="V79" i="8"/>
  <c r="W79" i="8"/>
  <c r="X79" i="8"/>
  <c r="Y79" i="8"/>
  <c r="Z79" i="8"/>
  <c r="AA79" i="8"/>
  <c r="AB79" i="8"/>
  <c r="AC79" i="8"/>
  <c r="AD79" i="8"/>
  <c r="AE79" i="8"/>
  <c r="AF79" i="8"/>
  <c r="AG79" i="8"/>
  <c r="AH79" i="8"/>
  <c r="C89" i="8"/>
  <c r="C90" i="8"/>
  <c r="C91" i="8"/>
  <c r="C92" i="8"/>
  <c r="C94" i="8"/>
  <c r="C95" i="8"/>
  <c r="C96" i="8"/>
  <c r="C97" i="8"/>
  <c r="C99" i="8"/>
  <c r="C100" i="8"/>
  <c r="C101" i="8"/>
  <c r="C103" i="8"/>
  <c r="D76" i="12"/>
  <c r="E76" i="12"/>
  <c r="F76" i="12"/>
  <c r="G76" i="12"/>
  <c r="H76" i="12"/>
  <c r="I76" i="12"/>
  <c r="J76" i="12"/>
  <c r="K76" i="12"/>
  <c r="L76" i="12"/>
  <c r="M76" i="12"/>
  <c r="N76" i="12"/>
  <c r="O76" i="12"/>
  <c r="P76" i="12"/>
  <c r="Q76" i="12"/>
  <c r="R76" i="12"/>
  <c r="S76" i="12"/>
  <c r="T76" i="12"/>
  <c r="V76" i="12"/>
  <c r="D77" i="12"/>
  <c r="E77" i="12"/>
  <c r="F77" i="12"/>
  <c r="G77" i="12"/>
  <c r="H77" i="12"/>
  <c r="I77" i="12"/>
  <c r="J77" i="12"/>
  <c r="K77" i="12"/>
  <c r="L77" i="12"/>
  <c r="M77" i="12"/>
  <c r="N77" i="12"/>
  <c r="O77" i="12"/>
  <c r="P77" i="12"/>
  <c r="Q77" i="12"/>
  <c r="R77" i="12"/>
  <c r="S77" i="12"/>
  <c r="T77" i="12"/>
  <c r="V77" i="12"/>
  <c r="D92" i="12"/>
  <c r="E92" i="12"/>
  <c r="F92" i="12"/>
  <c r="G92" i="12"/>
  <c r="H92" i="12"/>
  <c r="I92" i="12"/>
  <c r="J92" i="12"/>
  <c r="K92" i="12"/>
  <c r="L92" i="12"/>
  <c r="M92" i="12"/>
  <c r="N92" i="12"/>
  <c r="O92" i="12"/>
  <c r="P92" i="12"/>
  <c r="Q92" i="12"/>
  <c r="R92" i="12"/>
  <c r="S92" i="12"/>
  <c r="T92" i="12"/>
  <c r="D99" i="12"/>
  <c r="E99" i="12"/>
  <c r="F99" i="12"/>
  <c r="G99" i="12"/>
  <c r="H99" i="12"/>
  <c r="I99" i="12"/>
  <c r="J99" i="12"/>
  <c r="K99" i="12"/>
  <c r="L99" i="12"/>
  <c r="M99" i="12"/>
  <c r="N99" i="12"/>
  <c r="O99" i="12"/>
  <c r="P99" i="12"/>
  <c r="Q99" i="12"/>
  <c r="R99" i="12"/>
  <c r="S99" i="12"/>
  <c r="D100" i="12"/>
  <c r="E100" i="12"/>
  <c r="F100" i="12"/>
  <c r="G100" i="12"/>
  <c r="H100" i="12"/>
  <c r="I100" i="12"/>
  <c r="J100" i="12"/>
  <c r="K100" i="12"/>
  <c r="L100" i="12"/>
  <c r="M100" i="12"/>
  <c r="N100" i="12"/>
  <c r="O100" i="12"/>
  <c r="P100" i="12"/>
  <c r="Q100" i="12"/>
  <c r="R100" i="12"/>
  <c r="S100" i="12"/>
  <c r="D123" i="12"/>
  <c r="E123" i="12"/>
  <c r="F123" i="12"/>
  <c r="G123" i="12"/>
  <c r="H123" i="12"/>
  <c r="I123" i="12"/>
  <c r="J123" i="12"/>
  <c r="K123" i="12"/>
  <c r="L123" i="12"/>
  <c r="M123" i="12"/>
  <c r="N123" i="12"/>
  <c r="O123" i="12"/>
  <c r="P123" i="12"/>
  <c r="Q123" i="12"/>
  <c r="R123" i="12"/>
  <c r="S123" i="12"/>
  <c r="D124" i="12"/>
  <c r="E124" i="12"/>
  <c r="F124" i="12"/>
  <c r="G124" i="12"/>
  <c r="H124" i="12"/>
  <c r="I124" i="12"/>
  <c r="J124" i="12"/>
  <c r="K124" i="12"/>
  <c r="L124" i="12"/>
  <c r="M124" i="12"/>
  <c r="N124" i="12"/>
  <c r="O124" i="12"/>
  <c r="P124" i="12"/>
  <c r="Q124" i="12"/>
  <c r="R124" i="12"/>
  <c r="S124" i="12"/>
  <c r="E5" i="9"/>
  <c r="F5" i="9"/>
  <c r="G5" i="9"/>
  <c r="H5" i="9"/>
  <c r="I5" i="9"/>
  <c r="J5" i="9"/>
  <c r="K5" i="9"/>
  <c r="L5" i="9"/>
  <c r="M5" i="9"/>
  <c r="N5" i="9"/>
  <c r="O5" i="9"/>
  <c r="P5" i="9"/>
  <c r="Q5" i="9"/>
  <c r="R5" i="9"/>
  <c r="S5" i="9"/>
  <c r="T5" i="9"/>
  <c r="U5" i="9"/>
  <c r="V5" i="9"/>
  <c r="W5" i="9"/>
  <c r="X5" i="9"/>
  <c r="Y5" i="9"/>
  <c r="Z5" i="9"/>
  <c r="AA5" i="9"/>
  <c r="AB5" i="9"/>
  <c r="AC5" i="9"/>
  <c r="AD5" i="9"/>
  <c r="AE5" i="9"/>
  <c r="AF5" i="9"/>
  <c r="AG5" i="9"/>
  <c r="AH5" i="9"/>
  <c r="AI5" i="9"/>
  <c r="E6" i="9"/>
  <c r="F6" i="9"/>
  <c r="G6" i="9"/>
  <c r="H6" i="9"/>
  <c r="I6" i="9"/>
  <c r="J6" i="9"/>
  <c r="K6" i="9"/>
  <c r="L6" i="9"/>
  <c r="M6" i="9"/>
  <c r="N6" i="9"/>
  <c r="O6" i="9"/>
  <c r="P6" i="9"/>
  <c r="Q6" i="9"/>
  <c r="R6" i="9"/>
  <c r="S6" i="9"/>
  <c r="T6" i="9"/>
  <c r="U6" i="9"/>
  <c r="V6" i="9"/>
  <c r="W6" i="9"/>
  <c r="X6" i="9"/>
  <c r="Y6" i="9"/>
  <c r="Z6" i="9"/>
  <c r="AA6" i="9"/>
  <c r="AB6" i="9"/>
  <c r="AC6" i="9"/>
  <c r="AD6" i="9"/>
  <c r="AE6" i="9"/>
  <c r="AF6" i="9"/>
  <c r="AG6" i="9"/>
  <c r="AH6" i="9"/>
  <c r="AI6" i="9"/>
  <c r="E7" i="9"/>
  <c r="F7" i="9"/>
  <c r="G7" i="9"/>
  <c r="H7" i="9"/>
  <c r="I7" i="9"/>
  <c r="J7" i="9"/>
  <c r="K7" i="9"/>
  <c r="L7" i="9"/>
  <c r="M7" i="9"/>
  <c r="N7" i="9"/>
  <c r="O7" i="9"/>
  <c r="P7" i="9"/>
  <c r="Q7" i="9"/>
  <c r="R7" i="9"/>
  <c r="S7" i="9"/>
  <c r="T7" i="9"/>
  <c r="U7" i="9"/>
  <c r="V7" i="9"/>
  <c r="W7" i="9"/>
  <c r="X7" i="9"/>
  <c r="Y7" i="9"/>
  <c r="Z7" i="9"/>
  <c r="AA7" i="9"/>
  <c r="AB7" i="9"/>
  <c r="AC7" i="9"/>
  <c r="AD7" i="9"/>
  <c r="AE7" i="9"/>
  <c r="AF7" i="9"/>
  <c r="AG7" i="9"/>
  <c r="AH7" i="9"/>
  <c r="AI7" i="9"/>
  <c r="E9" i="9"/>
  <c r="F9" i="9"/>
  <c r="G9" i="9"/>
  <c r="H9" i="9"/>
  <c r="I9" i="9"/>
  <c r="J9" i="9"/>
  <c r="K9" i="9"/>
  <c r="L9" i="9"/>
  <c r="M9" i="9"/>
  <c r="N9" i="9"/>
  <c r="O9" i="9"/>
  <c r="P9" i="9"/>
  <c r="Q9" i="9"/>
  <c r="R9" i="9"/>
  <c r="S9" i="9"/>
  <c r="T9" i="9"/>
  <c r="U9" i="9"/>
  <c r="V9" i="9"/>
  <c r="W9" i="9"/>
  <c r="X9" i="9"/>
  <c r="Y9" i="9"/>
  <c r="Z9" i="9"/>
  <c r="AA9" i="9"/>
  <c r="AB9" i="9"/>
  <c r="AC9" i="9"/>
  <c r="AD9" i="9"/>
  <c r="AE9" i="9"/>
  <c r="AF9" i="9"/>
  <c r="AG9" i="9"/>
  <c r="AH9" i="9"/>
  <c r="AI9" i="9"/>
  <c r="D19" i="9"/>
  <c r="E22" i="9"/>
  <c r="F22" i="9"/>
  <c r="G22" i="9"/>
  <c r="H22" i="9"/>
  <c r="I22" i="9"/>
  <c r="J22" i="9"/>
  <c r="K22" i="9"/>
  <c r="L22" i="9"/>
  <c r="M22" i="9"/>
  <c r="N22" i="9"/>
  <c r="O22" i="9"/>
  <c r="P22" i="9"/>
  <c r="Q22" i="9"/>
  <c r="R22" i="9"/>
  <c r="S22" i="9"/>
  <c r="T22" i="9"/>
  <c r="U22" i="9"/>
  <c r="V22" i="9"/>
  <c r="W22" i="9"/>
  <c r="X22" i="9"/>
  <c r="Y22" i="9"/>
  <c r="Z22" i="9"/>
  <c r="AA22" i="9"/>
  <c r="AB22" i="9"/>
  <c r="AC22" i="9"/>
  <c r="AD22" i="9"/>
  <c r="AE22" i="9"/>
  <c r="AF22" i="9"/>
  <c r="AG22" i="9"/>
  <c r="AH22" i="9"/>
  <c r="AI22" i="9"/>
  <c r="D25" i="9"/>
  <c r="D26" i="9"/>
  <c r="E26" i="9"/>
  <c r="F26" i="9"/>
  <c r="G26" i="9"/>
  <c r="H26" i="9"/>
  <c r="I26" i="9"/>
  <c r="J26" i="9"/>
  <c r="K26" i="9"/>
  <c r="L26" i="9"/>
  <c r="M26" i="9"/>
  <c r="N26" i="9"/>
  <c r="O26" i="9"/>
  <c r="P26" i="9"/>
  <c r="Q26" i="9"/>
  <c r="R26" i="9"/>
  <c r="S26" i="9"/>
  <c r="T26" i="9"/>
  <c r="U26" i="9"/>
  <c r="V26" i="9"/>
  <c r="W26" i="9"/>
  <c r="X26" i="9"/>
  <c r="Y26" i="9"/>
  <c r="Z26" i="9"/>
  <c r="AA26" i="9"/>
  <c r="AB26" i="9"/>
  <c r="AC26" i="9"/>
  <c r="AD26" i="9"/>
  <c r="AE26" i="9"/>
  <c r="AF26" i="9"/>
  <c r="AG26" i="9"/>
  <c r="AH26" i="9"/>
  <c r="AI26" i="9"/>
  <c r="D28" i="9"/>
  <c r="E28" i="9"/>
  <c r="F28" i="9"/>
  <c r="G28" i="9"/>
  <c r="H28" i="9"/>
  <c r="I28" i="9"/>
  <c r="J28" i="9"/>
  <c r="K28" i="9"/>
  <c r="L28" i="9"/>
  <c r="M28" i="9"/>
  <c r="N28" i="9"/>
  <c r="O28" i="9"/>
  <c r="P28" i="9"/>
  <c r="Q28" i="9"/>
  <c r="R28" i="9"/>
  <c r="S28" i="9"/>
  <c r="T28" i="9"/>
  <c r="U28" i="9"/>
  <c r="V28" i="9"/>
  <c r="W28" i="9"/>
  <c r="X28" i="9"/>
  <c r="Y28" i="9"/>
  <c r="Z28" i="9"/>
  <c r="AA28" i="9"/>
  <c r="AB28" i="9"/>
  <c r="AC28" i="9"/>
  <c r="AD28" i="9"/>
  <c r="AE28" i="9"/>
  <c r="AF28" i="9"/>
  <c r="AG28" i="9"/>
  <c r="AH28" i="9"/>
  <c r="AI28" i="9"/>
  <c r="D29" i="9"/>
  <c r="E29" i="9"/>
  <c r="F29" i="9"/>
  <c r="G29" i="9"/>
  <c r="H29" i="9"/>
  <c r="I29" i="9"/>
  <c r="J29" i="9"/>
  <c r="K29" i="9"/>
  <c r="L29" i="9"/>
  <c r="M29" i="9"/>
  <c r="N29" i="9"/>
  <c r="O29" i="9"/>
  <c r="P29" i="9"/>
  <c r="Q29" i="9"/>
  <c r="R29" i="9"/>
  <c r="S29" i="9"/>
  <c r="T29" i="9"/>
  <c r="U29" i="9"/>
  <c r="V29" i="9"/>
  <c r="W29" i="9"/>
  <c r="X29" i="9"/>
  <c r="Y29" i="9"/>
  <c r="Z29" i="9"/>
  <c r="AA29" i="9"/>
  <c r="AB29" i="9"/>
  <c r="AC29" i="9"/>
  <c r="AD29" i="9"/>
  <c r="AE29" i="9"/>
  <c r="AF29" i="9"/>
  <c r="AG29" i="9"/>
  <c r="AH29" i="9"/>
  <c r="AI29" i="9"/>
  <c r="D35" i="9"/>
  <c r="E35" i="9"/>
  <c r="D36" i="9"/>
  <c r="E36" i="9"/>
  <c r="D37" i="9"/>
  <c r="E37" i="9"/>
  <c r="D40" i="9"/>
  <c r="E40" i="9"/>
  <c r="D41" i="9"/>
  <c r="E41" i="9"/>
  <c r="D42" i="9"/>
  <c r="E42" i="9"/>
  <c r="D54" i="9"/>
  <c r="E54" i="9"/>
  <c r="F54" i="9"/>
  <c r="G54" i="9"/>
  <c r="H54" i="9"/>
  <c r="I54" i="9"/>
  <c r="J54" i="9"/>
  <c r="K54" i="9"/>
  <c r="L54" i="9"/>
  <c r="M54" i="9"/>
  <c r="N54" i="9"/>
  <c r="O54" i="9"/>
  <c r="P54" i="9"/>
  <c r="Q54" i="9"/>
  <c r="R54" i="9"/>
  <c r="S54" i="9"/>
  <c r="T54" i="9"/>
  <c r="U54" i="9"/>
  <c r="V54" i="9"/>
  <c r="W54" i="9"/>
  <c r="X54" i="9"/>
  <c r="Y54" i="9"/>
  <c r="Z54" i="9"/>
  <c r="AA54" i="9"/>
  <c r="AB54" i="9"/>
  <c r="AC54" i="9"/>
  <c r="AD54" i="9"/>
  <c r="AE54" i="9"/>
  <c r="AF54" i="9"/>
  <c r="AG54" i="9"/>
  <c r="AH54" i="9"/>
  <c r="AI54" i="9"/>
  <c r="E55" i="9"/>
  <c r="F55" i="9"/>
  <c r="G55" i="9"/>
  <c r="H55" i="9"/>
  <c r="I55" i="9"/>
  <c r="J55" i="9"/>
  <c r="K55" i="9"/>
  <c r="L55" i="9"/>
  <c r="M55" i="9"/>
  <c r="N55" i="9"/>
  <c r="O55" i="9"/>
  <c r="P55" i="9"/>
  <c r="Q55" i="9"/>
  <c r="R55" i="9"/>
  <c r="S55" i="9"/>
  <c r="T55" i="9"/>
  <c r="U55" i="9"/>
  <c r="V55" i="9"/>
  <c r="W55" i="9"/>
  <c r="X55" i="9"/>
  <c r="Y55" i="9"/>
  <c r="Z55" i="9"/>
  <c r="AA55" i="9"/>
  <c r="AB55" i="9"/>
  <c r="AC55" i="9"/>
  <c r="AD55" i="9"/>
  <c r="AE55" i="9"/>
  <c r="AF55" i="9"/>
  <c r="AG55" i="9"/>
  <c r="AH55" i="9"/>
  <c r="AI55" i="9"/>
  <c r="E56" i="9"/>
  <c r="F56" i="9"/>
  <c r="G56" i="9"/>
  <c r="H56" i="9"/>
  <c r="I56" i="9"/>
  <c r="J56" i="9"/>
  <c r="K56" i="9"/>
  <c r="L56" i="9"/>
  <c r="M56" i="9"/>
  <c r="N56" i="9"/>
  <c r="O56" i="9"/>
  <c r="P56" i="9"/>
  <c r="Q56" i="9"/>
  <c r="R56" i="9"/>
  <c r="S56" i="9"/>
  <c r="T56" i="9"/>
  <c r="U56" i="9"/>
  <c r="V56" i="9"/>
  <c r="W56" i="9"/>
  <c r="X56" i="9"/>
  <c r="Y56" i="9"/>
  <c r="Z56" i="9"/>
  <c r="AA56" i="9"/>
  <c r="AB56" i="9"/>
  <c r="AC56" i="9"/>
  <c r="AD56" i="9"/>
  <c r="AE56" i="9"/>
  <c r="AF56" i="9"/>
  <c r="AG56" i="9"/>
  <c r="AH56" i="9"/>
  <c r="AI56" i="9"/>
  <c r="E57" i="9"/>
  <c r="F57" i="9"/>
  <c r="G57" i="9"/>
  <c r="H57" i="9"/>
  <c r="I57" i="9"/>
  <c r="J57" i="9"/>
  <c r="K57" i="9"/>
  <c r="L57" i="9"/>
  <c r="M57" i="9"/>
  <c r="N57" i="9"/>
  <c r="O57" i="9"/>
  <c r="P57" i="9"/>
  <c r="Q57" i="9"/>
  <c r="R57" i="9"/>
  <c r="S57" i="9"/>
  <c r="T57" i="9"/>
  <c r="U57" i="9"/>
  <c r="V57" i="9"/>
  <c r="W57" i="9"/>
  <c r="X57" i="9"/>
  <c r="Y57" i="9"/>
  <c r="Z57" i="9"/>
  <c r="AA57" i="9"/>
  <c r="AB57" i="9"/>
  <c r="AC57" i="9"/>
  <c r="AD57" i="9"/>
  <c r="AE57" i="9"/>
  <c r="AF57" i="9"/>
  <c r="AG57" i="9"/>
  <c r="AH57" i="9"/>
  <c r="AI57" i="9"/>
  <c r="C58" i="9"/>
  <c r="E58" i="9"/>
  <c r="F58" i="9"/>
  <c r="G58" i="9"/>
  <c r="H58" i="9"/>
  <c r="I58" i="9"/>
  <c r="J58" i="9"/>
  <c r="K58" i="9"/>
  <c r="L58" i="9"/>
  <c r="M58" i="9"/>
  <c r="N58" i="9"/>
  <c r="O58" i="9"/>
  <c r="P58" i="9"/>
  <c r="Q58" i="9"/>
  <c r="R58" i="9"/>
  <c r="S58" i="9"/>
  <c r="T58" i="9"/>
  <c r="U58" i="9"/>
  <c r="V58" i="9"/>
  <c r="W58" i="9"/>
  <c r="X58" i="9"/>
  <c r="Y58" i="9"/>
  <c r="Z58" i="9"/>
  <c r="AA58" i="9"/>
  <c r="AB58" i="9"/>
  <c r="AC58" i="9"/>
  <c r="AD58" i="9"/>
  <c r="AE58" i="9"/>
  <c r="AF58" i="9"/>
  <c r="AG58" i="9"/>
  <c r="AH58" i="9"/>
  <c r="AI58" i="9"/>
  <c r="E60" i="9"/>
  <c r="F60" i="9"/>
  <c r="G60" i="9"/>
  <c r="H60" i="9"/>
  <c r="I60" i="9"/>
  <c r="J60" i="9"/>
  <c r="K60" i="9"/>
  <c r="L60" i="9"/>
  <c r="M60" i="9"/>
  <c r="N60" i="9"/>
  <c r="O60" i="9"/>
  <c r="P60" i="9"/>
  <c r="Q60" i="9"/>
  <c r="R60" i="9"/>
  <c r="S60" i="9"/>
  <c r="T60" i="9"/>
  <c r="U60" i="9"/>
  <c r="V60" i="9"/>
  <c r="W60" i="9"/>
  <c r="X60" i="9"/>
  <c r="Y60" i="9"/>
  <c r="Z60" i="9"/>
  <c r="AA60" i="9"/>
  <c r="AB60" i="9"/>
  <c r="AC60" i="9"/>
  <c r="AD60" i="9"/>
  <c r="AE60" i="9"/>
  <c r="AF60" i="9"/>
  <c r="AG60" i="9"/>
  <c r="AH60" i="9"/>
  <c r="AI60" i="9"/>
  <c r="D65" i="9"/>
  <c r="E65" i="9"/>
  <c r="F65" i="9"/>
  <c r="D66" i="9"/>
  <c r="E66" i="9"/>
  <c r="F66" i="9"/>
  <c r="D67" i="9"/>
  <c r="E67" i="9"/>
  <c r="F67" i="9"/>
  <c r="D70" i="9"/>
  <c r="E70" i="9"/>
  <c r="F70" i="9"/>
  <c r="D71" i="9"/>
  <c r="E71" i="9"/>
  <c r="F71" i="9"/>
  <c r="D72" i="9"/>
  <c r="E72" i="9"/>
  <c r="F72" i="9"/>
  <c r="F4" i="21"/>
  <c r="G4" i="21"/>
  <c r="O5" i="21"/>
  <c r="U5" i="21"/>
  <c r="E6" i="21"/>
  <c r="F6" i="21"/>
  <c r="G6" i="21"/>
  <c r="O6" i="21"/>
  <c r="U6" i="21"/>
  <c r="F7" i="21"/>
  <c r="O7" i="21"/>
  <c r="U7" i="21"/>
  <c r="F8" i="21"/>
  <c r="O8" i="21"/>
  <c r="U8" i="21"/>
  <c r="F9" i="21"/>
  <c r="O9" i="21"/>
  <c r="U9" i="21"/>
  <c r="F10" i="21"/>
  <c r="O10" i="21"/>
  <c r="U10" i="21"/>
  <c r="F11" i="21"/>
  <c r="O11" i="21"/>
  <c r="U11" i="21"/>
  <c r="E12" i="21"/>
  <c r="F12" i="21"/>
  <c r="G12" i="21"/>
  <c r="C18" i="3"/>
  <c r="D18" i="3"/>
  <c r="E18" i="3"/>
  <c r="F18" i="3"/>
  <c r="C19" i="3"/>
  <c r="D19" i="3"/>
  <c r="E19" i="3"/>
  <c r="F19" i="3"/>
  <c r="D20" i="3"/>
  <c r="D21" i="3"/>
  <c r="C23" i="3"/>
  <c r="D23" i="3"/>
  <c r="E23" i="3"/>
  <c r="F23" i="3"/>
  <c r="J24" i="3"/>
  <c r="K24" i="3"/>
  <c r="N24" i="3"/>
  <c r="O24" i="3"/>
  <c r="C25" i="3"/>
  <c r="D25" i="3"/>
  <c r="E25" i="3"/>
  <c r="F25" i="3"/>
  <c r="J25" i="3"/>
  <c r="K25" i="3"/>
  <c r="N25" i="3"/>
  <c r="O25" i="3"/>
  <c r="J26" i="3"/>
  <c r="K26" i="3"/>
  <c r="N26" i="3"/>
  <c r="O26" i="3"/>
  <c r="D28" i="3"/>
  <c r="D29" i="3"/>
  <c r="D30" i="3"/>
  <c r="J30" i="3"/>
  <c r="K30" i="3"/>
  <c r="N30" i="3"/>
  <c r="O30" i="3"/>
  <c r="D31" i="3"/>
  <c r="J31" i="3"/>
  <c r="K31" i="3"/>
  <c r="N31" i="3"/>
  <c r="O31" i="3"/>
  <c r="D32" i="3"/>
  <c r="J32" i="3"/>
  <c r="K32" i="3"/>
  <c r="N32" i="3"/>
  <c r="O32" i="3"/>
  <c r="D33" i="3"/>
  <c r="D34" i="3"/>
  <c r="D35" i="3"/>
  <c r="D36" i="3"/>
  <c r="J36" i="3"/>
  <c r="K36" i="3"/>
  <c r="C37" i="3"/>
  <c r="D37" i="3"/>
  <c r="E37" i="3"/>
  <c r="F37" i="3"/>
  <c r="G37" i="3"/>
  <c r="J37" i="3"/>
  <c r="K37" i="3"/>
  <c r="D38" i="3"/>
  <c r="J38" i="3"/>
  <c r="K38" i="3"/>
  <c r="C39" i="3"/>
  <c r="D39" i="3"/>
  <c r="E39" i="3"/>
  <c r="F39" i="3"/>
  <c r="D40" i="3"/>
  <c r="C41" i="3"/>
  <c r="D41" i="3"/>
  <c r="E41" i="3"/>
  <c r="F41" i="3"/>
  <c r="G41" i="3"/>
  <c r="C43" i="3"/>
  <c r="D43" i="3"/>
  <c r="E43" i="3"/>
  <c r="F43" i="3"/>
  <c r="C46" i="3"/>
  <c r="C47" i="3"/>
  <c r="E50" i="3"/>
  <c r="E51" i="3"/>
  <c r="E52" i="3"/>
  <c r="E54" i="3"/>
  <c r="E56" i="3"/>
  <c r="E57" i="3"/>
  <c r="D63" i="3"/>
  <c r="D65" i="3"/>
  <c r="E65" i="3"/>
  <c r="F65" i="3"/>
  <c r="G65" i="3"/>
  <c r="H65" i="3"/>
  <c r="D66" i="3"/>
  <c r="E66" i="3"/>
  <c r="F66" i="3"/>
  <c r="G66" i="3"/>
  <c r="H66" i="3"/>
  <c r="D67" i="3"/>
  <c r="E67" i="3"/>
  <c r="F67" i="3"/>
  <c r="G67" i="3"/>
  <c r="H67" i="3"/>
  <c r="D69" i="3"/>
  <c r="E69" i="3"/>
  <c r="F69" i="3"/>
  <c r="G69" i="3"/>
  <c r="H69" i="3"/>
  <c r="D70" i="3"/>
  <c r="E70" i="3"/>
  <c r="F70" i="3"/>
  <c r="G70" i="3"/>
  <c r="H70" i="3"/>
  <c r="D72" i="3"/>
  <c r="E72" i="3"/>
  <c r="F72" i="3"/>
  <c r="G72" i="3"/>
  <c r="H72" i="3"/>
  <c r="D73" i="3"/>
  <c r="E73" i="3"/>
  <c r="F73" i="3"/>
  <c r="G73" i="3"/>
  <c r="H73" i="3"/>
  <c r="D74" i="3"/>
  <c r="E74" i="3"/>
  <c r="F74" i="3"/>
  <c r="G74" i="3"/>
  <c r="H74" i="3"/>
  <c r="D75" i="3"/>
  <c r="E75" i="3"/>
  <c r="F75" i="3"/>
  <c r="G75" i="3"/>
  <c r="H75" i="3"/>
  <c r="D77" i="3"/>
  <c r="E77" i="3"/>
  <c r="F77" i="3"/>
  <c r="G77" i="3"/>
  <c r="H77" i="3"/>
  <c r="C20" i="2"/>
  <c r="D20" i="2"/>
  <c r="E20" i="2"/>
  <c r="H20" i="2"/>
  <c r="I20" i="2"/>
  <c r="C21" i="2"/>
  <c r="D21" i="2"/>
  <c r="E21" i="2"/>
  <c r="H21" i="2"/>
  <c r="I21" i="2"/>
  <c r="D22" i="2"/>
  <c r="H22" i="2"/>
  <c r="I22" i="2"/>
  <c r="D23" i="2"/>
  <c r="C24" i="2"/>
  <c r="D24" i="2"/>
  <c r="E24" i="2"/>
  <c r="C26" i="2"/>
  <c r="D26" i="2"/>
  <c r="E26" i="2"/>
  <c r="C30" i="2"/>
  <c r="D30" i="2"/>
  <c r="E30" i="2"/>
  <c r="D31" i="2"/>
  <c r="H31" i="2"/>
  <c r="I31" i="2"/>
  <c r="L31" i="2"/>
  <c r="M31" i="2"/>
  <c r="D32" i="2"/>
  <c r="H32" i="2"/>
  <c r="I32" i="2"/>
  <c r="L32" i="2"/>
  <c r="M32" i="2"/>
  <c r="C33" i="2"/>
  <c r="D33" i="2"/>
  <c r="E33" i="2"/>
  <c r="H33" i="2"/>
  <c r="I33" i="2"/>
  <c r="L33" i="2"/>
  <c r="M33" i="2"/>
  <c r="D34" i="2"/>
  <c r="D35" i="2"/>
  <c r="D36" i="2"/>
  <c r="D37" i="2"/>
  <c r="H37" i="2"/>
  <c r="I37" i="2"/>
  <c r="L37" i="2"/>
  <c r="M37" i="2"/>
  <c r="D38" i="2"/>
  <c r="H38" i="2"/>
  <c r="I38" i="2"/>
  <c r="L38" i="2"/>
  <c r="M38" i="2"/>
  <c r="D39" i="2"/>
  <c r="H39" i="2"/>
  <c r="I39" i="2"/>
  <c r="L39" i="2"/>
  <c r="M39" i="2"/>
  <c r="D40" i="2"/>
  <c r="D41" i="2"/>
  <c r="D42" i="2"/>
  <c r="D43" i="2"/>
  <c r="D44" i="2"/>
  <c r="D45" i="2"/>
  <c r="D46" i="2"/>
  <c r="D47" i="2"/>
  <c r="C48" i="2"/>
  <c r="D48" i="2"/>
  <c r="E48" i="2"/>
  <c r="E4" i="7"/>
  <c r="E8" i="7"/>
  <c r="E10" i="7"/>
  <c r="E11" i="7"/>
  <c r="E12" i="7"/>
  <c r="E13" i="7"/>
  <c r="C14" i="7"/>
  <c r="E14" i="7"/>
  <c r="C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AG23" i="7"/>
  <c r="AH23" i="7"/>
  <c r="AI23" i="7"/>
  <c r="C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AG24" i="7"/>
  <c r="AH24" i="7"/>
  <c r="AI24" i="7"/>
  <c r="C27" i="7"/>
  <c r="E27" i="7"/>
  <c r="F27" i="7"/>
  <c r="G27" i="7"/>
  <c r="H27" i="7"/>
  <c r="I27" i="7"/>
  <c r="J27" i="7"/>
  <c r="K27" i="7"/>
  <c r="L27" i="7"/>
  <c r="M27" i="7"/>
  <c r="N27" i="7"/>
  <c r="O27" i="7"/>
  <c r="C28" i="7"/>
  <c r="E28" i="7"/>
  <c r="F28" i="7"/>
  <c r="G28" i="7"/>
  <c r="H28" i="7"/>
  <c r="I28" i="7"/>
  <c r="J28" i="7"/>
  <c r="K28" i="7"/>
  <c r="L28" i="7"/>
  <c r="M28" i="7"/>
  <c r="N28" i="7"/>
  <c r="O28" i="7"/>
  <c r="P28" i="7"/>
  <c r="Q28" i="7"/>
  <c r="R28" i="7"/>
  <c r="S28" i="7"/>
  <c r="T28" i="7"/>
  <c r="U28" i="7"/>
  <c r="V28" i="7"/>
  <c r="W28" i="7"/>
  <c r="C29" i="7"/>
  <c r="E29" i="7"/>
  <c r="F29" i="7"/>
  <c r="G29" i="7"/>
  <c r="H29" i="7"/>
  <c r="I29" i="7"/>
  <c r="J29" i="7"/>
  <c r="K29" i="7"/>
  <c r="L29" i="7"/>
  <c r="M29" i="7"/>
  <c r="N29" i="7"/>
  <c r="O29" i="7"/>
  <c r="P29" i="7"/>
  <c r="Q29" i="7"/>
  <c r="R29" i="7"/>
  <c r="S29" i="7"/>
  <c r="T29" i="7"/>
  <c r="U29" i="7"/>
  <c r="V29" i="7"/>
  <c r="W29" i="7"/>
  <c r="X29" i="7"/>
  <c r="Y29" i="7"/>
  <c r="C30" i="7"/>
  <c r="E30" i="7"/>
  <c r="F30" i="7"/>
  <c r="G30" i="7"/>
  <c r="H30" i="7"/>
  <c r="I30" i="7"/>
  <c r="J30" i="7"/>
  <c r="K30" i="7"/>
  <c r="L30" i="7"/>
  <c r="M30" i="7"/>
  <c r="N30" i="7"/>
  <c r="O30" i="7"/>
  <c r="P30" i="7"/>
  <c r="Q30" i="7"/>
  <c r="R30" i="7"/>
  <c r="S30" i="7"/>
  <c r="T30" i="7"/>
  <c r="U30" i="7"/>
  <c r="V30" i="7"/>
  <c r="W30" i="7"/>
  <c r="X30" i="7"/>
  <c r="Y30" i="7"/>
  <c r="C31"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AG43" i="7"/>
  <c r="AH43" i="7"/>
  <c r="AI43" i="7"/>
  <c r="AN43" i="7"/>
  <c r="AO43" i="7"/>
  <c r="AP43" i="7"/>
  <c r="AQ43" i="7"/>
  <c r="AR43" i="7"/>
  <c r="AS43" i="7"/>
  <c r="AT43" i="7"/>
  <c r="AU43" i="7"/>
  <c r="AV43" i="7"/>
  <c r="AW43" i="7"/>
  <c r="AX43" i="7"/>
  <c r="AY43" i="7"/>
  <c r="AZ43" i="7"/>
  <c r="BA43" i="7"/>
  <c r="BB43" i="7"/>
  <c r="BC43" i="7"/>
  <c r="BD43" i="7"/>
  <c r="BE43" i="7"/>
  <c r="BF43" i="7"/>
  <c r="BG43" i="7"/>
  <c r="BH43" i="7"/>
  <c r="BI43" i="7"/>
  <c r="BJ43" i="7"/>
  <c r="BK43" i="7"/>
  <c r="BL43" i="7"/>
  <c r="BM43" i="7"/>
  <c r="BN43" i="7"/>
  <c r="BO43" i="7"/>
  <c r="BP43" i="7"/>
  <c r="BQ43" i="7"/>
  <c r="BR43" i="7"/>
  <c r="D44" i="7"/>
  <c r="E44" i="7"/>
  <c r="F44" i="7"/>
  <c r="G44" i="7"/>
  <c r="H44" i="7"/>
  <c r="I44" i="7"/>
  <c r="J44" i="7"/>
  <c r="K44" i="7"/>
  <c r="L44" i="7"/>
  <c r="M44" i="7"/>
  <c r="N44" i="7"/>
  <c r="O44" i="7"/>
  <c r="P44" i="7"/>
  <c r="Q44" i="7"/>
  <c r="R44" i="7"/>
  <c r="S44" i="7"/>
  <c r="T44" i="7"/>
  <c r="U44" i="7"/>
  <c r="V44" i="7"/>
  <c r="W44" i="7"/>
  <c r="X44" i="7"/>
  <c r="Y44" i="7"/>
  <c r="AN44" i="7"/>
  <c r="AO44" i="7"/>
  <c r="AP44" i="7"/>
  <c r="AQ44" i="7"/>
  <c r="AR44" i="7"/>
  <c r="AS44" i="7"/>
  <c r="AT44" i="7"/>
  <c r="AU44" i="7"/>
  <c r="AV44" i="7"/>
  <c r="AW44" i="7"/>
  <c r="AX44" i="7"/>
  <c r="AY44" i="7"/>
  <c r="AZ44" i="7"/>
  <c r="BA44" i="7"/>
  <c r="BB44" i="7"/>
  <c r="BC44" i="7"/>
  <c r="BD44" i="7"/>
  <c r="BE44" i="7"/>
  <c r="BF44" i="7"/>
  <c r="BG44" i="7"/>
  <c r="BH44"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AG45" i="7"/>
  <c r="AH45" i="7"/>
  <c r="AI45" i="7"/>
  <c r="AN45" i="7"/>
  <c r="AO45" i="7"/>
  <c r="AP45" i="7"/>
  <c r="AQ45" i="7"/>
  <c r="AR45" i="7"/>
  <c r="AS45" i="7"/>
  <c r="AT45" i="7"/>
  <c r="AU45" i="7"/>
  <c r="AV45" i="7"/>
  <c r="AW45" i="7"/>
  <c r="AX45" i="7"/>
  <c r="AY45" i="7"/>
  <c r="AZ45" i="7"/>
  <c r="BA45" i="7"/>
  <c r="BB45" i="7"/>
  <c r="BC45" i="7"/>
  <c r="BD45" i="7"/>
  <c r="BE45" i="7"/>
  <c r="BF45" i="7"/>
  <c r="BG45" i="7"/>
  <c r="BH45" i="7"/>
  <c r="BI45" i="7"/>
  <c r="BJ45" i="7"/>
  <c r="BK45" i="7"/>
  <c r="BL45" i="7"/>
  <c r="BM45" i="7"/>
  <c r="BN45" i="7"/>
  <c r="BO45" i="7"/>
  <c r="BP45" i="7"/>
  <c r="BQ45" i="7"/>
  <c r="BR45"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AG46" i="7"/>
  <c r="AH46" i="7"/>
  <c r="AI46" i="7"/>
  <c r="AN46" i="7"/>
  <c r="AO46" i="7"/>
  <c r="AP46" i="7"/>
  <c r="AQ46" i="7"/>
  <c r="AR46" i="7"/>
  <c r="AS46" i="7"/>
  <c r="AT46" i="7"/>
  <c r="AU46" i="7"/>
  <c r="AV46" i="7"/>
  <c r="AW46" i="7"/>
  <c r="AX46" i="7"/>
  <c r="AY46" i="7"/>
  <c r="AZ46" i="7"/>
  <c r="BA46" i="7"/>
  <c r="BB46" i="7"/>
  <c r="BC46" i="7"/>
  <c r="BD46" i="7"/>
  <c r="BE46" i="7"/>
  <c r="BF46" i="7"/>
  <c r="BG46" i="7"/>
  <c r="BH46" i="7"/>
  <c r="BI46" i="7"/>
  <c r="BJ46" i="7"/>
  <c r="BK46" i="7"/>
  <c r="BL46" i="7"/>
  <c r="BM46" i="7"/>
  <c r="BN46" i="7"/>
  <c r="BO46" i="7"/>
  <c r="BP46" i="7"/>
  <c r="BQ46" i="7"/>
  <c r="BR46"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AG52" i="7"/>
  <c r="AH52" i="7"/>
  <c r="AI52" i="7"/>
  <c r="AN52" i="7"/>
  <c r="AO52" i="7"/>
  <c r="AP52" i="7"/>
  <c r="AQ52" i="7"/>
  <c r="AR52" i="7"/>
  <c r="AS52" i="7"/>
  <c r="AT52" i="7"/>
  <c r="AU52" i="7"/>
  <c r="AV52" i="7"/>
  <c r="AW52" i="7"/>
  <c r="AX52" i="7"/>
  <c r="AY52" i="7"/>
  <c r="AZ52" i="7"/>
  <c r="BA52" i="7"/>
  <c r="BB52" i="7"/>
  <c r="BC52" i="7"/>
  <c r="BD52" i="7"/>
  <c r="BE52" i="7"/>
  <c r="BF52" i="7"/>
  <c r="BG52" i="7"/>
  <c r="BH52" i="7"/>
  <c r="BI52" i="7"/>
  <c r="BJ52" i="7"/>
  <c r="BK52" i="7"/>
  <c r="BL52" i="7"/>
  <c r="BM52" i="7"/>
  <c r="BN52" i="7"/>
  <c r="BO52" i="7"/>
  <c r="BP52" i="7"/>
  <c r="BQ52" i="7"/>
  <c r="BR52"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AG57" i="7"/>
  <c r="AH57" i="7"/>
  <c r="AI57" i="7"/>
  <c r="AM57" i="7"/>
  <c r="AN57" i="7"/>
  <c r="AO57" i="7"/>
  <c r="AP57" i="7"/>
  <c r="AQ57" i="7"/>
  <c r="AR57" i="7"/>
  <c r="AS57" i="7"/>
  <c r="AT57" i="7"/>
  <c r="AU57" i="7"/>
  <c r="AV57" i="7"/>
  <c r="AW57" i="7"/>
  <c r="AX57" i="7"/>
  <c r="AY57" i="7"/>
  <c r="AZ57" i="7"/>
  <c r="BA57" i="7"/>
  <c r="BB57" i="7"/>
  <c r="BC57" i="7"/>
  <c r="BD57" i="7"/>
  <c r="BE57" i="7"/>
  <c r="BF57" i="7"/>
  <c r="BG57" i="7"/>
  <c r="BH57" i="7"/>
  <c r="BI57" i="7"/>
  <c r="BJ57" i="7"/>
  <c r="BK57" i="7"/>
  <c r="BL57" i="7"/>
  <c r="BM57" i="7"/>
  <c r="BN57" i="7"/>
  <c r="BO57" i="7"/>
  <c r="BP57" i="7"/>
  <c r="BQ57" i="7"/>
  <c r="BR57" i="7"/>
  <c r="AM58" i="7"/>
  <c r="AN58" i="7"/>
  <c r="AO58" i="7"/>
  <c r="AP58" i="7"/>
  <c r="AQ58" i="7"/>
  <c r="AR58" i="7"/>
  <c r="AS58" i="7"/>
  <c r="AT58" i="7"/>
  <c r="AU58" i="7"/>
  <c r="AV58" i="7"/>
  <c r="AW58" i="7"/>
  <c r="AX58" i="7"/>
  <c r="AY58" i="7"/>
  <c r="AZ58" i="7"/>
  <c r="BA58" i="7"/>
  <c r="BB58" i="7"/>
  <c r="BC58" i="7"/>
  <c r="BD58" i="7"/>
  <c r="BE58" i="7"/>
  <c r="BF58" i="7"/>
  <c r="BG58" i="7"/>
  <c r="BH58" i="7"/>
  <c r="BI58" i="7"/>
  <c r="BJ58" i="7"/>
  <c r="BK58" i="7"/>
  <c r="BL58" i="7"/>
  <c r="BM58" i="7"/>
  <c r="BN58" i="7"/>
  <c r="BO58" i="7"/>
  <c r="BP58" i="7"/>
  <c r="BQ58" i="7"/>
  <c r="BR58"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AG59" i="7"/>
  <c r="AH59" i="7"/>
  <c r="AI59" i="7"/>
  <c r="AM59" i="7"/>
  <c r="AN59" i="7"/>
  <c r="AO59" i="7"/>
  <c r="AP59" i="7"/>
  <c r="AQ59" i="7"/>
  <c r="AR59" i="7"/>
  <c r="AS59" i="7"/>
  <c r="AT59" i="7"/>
  <c r="AU59" i="7"/>
  <c r="AV59" i="7"/>
  <c r="AW59" i="7"/>
  <c r="AX59" i="7"/>
  <c r="AY59" i="7"/>
  <c r="AZ59" i="7"/>
  <c r="BA59" i="7"/>
  <c r="BB59" i="7"/>
  <c r="BC59" i="7"/>
  <c r="BD59" i="7"/>
  <c r="BE59" i="7"/>
  <c r="BF59" i="7"/>
  <c r="BG59" i="7"/>
  <c r="BH59" i="7"/>
  <c r="BI59" i="7"/>
  <c r="BJ59" i="7"/>
  <c r="BK59" i="7"/>
  <c r="BL59" i="7"/>
  <c r="BM59" i="7"/>
  <c r="BN59" i="7"/>
  <c r="BO59" i="7"/>
  <c r="BP59" i="7"/>
  <c r="BQ59" i="7"/>
  <c r="BR59" i="7"/>
  <c r="AM62" i="7"/>
  <c r="AN62" i="7"/>
  <c r="AO62" i="7"/>
  <c r="AP62" i="7"/>
  <c r="AQ62" i="7"/>
  <c r="AR62" i="7"/>
  <c r="AS62" i="7"/>
  <c r="AT62" i="7"/>
  <c r="AU62" i="7"/>
  <c r="AV62" i="7"/>
  <c r="AW62" i="7"/>
  <c r="AX62" i="7"/>
  <c r="AY62" i="7"/>
  <c r="AZ62" i="7"/>
  <c r="BA62" i="7"/>
  <c r="BB62" i="7"/>
  <c r="BC62" i="7"/>
  <c r="BD62" i="7"/>
  <c r="BE62" i="7"/>
  <c r="BF62" i="7"/>
  <c r="BG62" i="7"/>
  <c r="BH62" i="7"/>
  <c r="BI62" i="7"/>
  <c r="BJ62" i="7"/>
  <c r="BK62" i="7"/>
  <c r="BL62" i="7"/>
  <c r="BM62" i="7"/>
  <c r="BN62" i="7"/>
  <c r="BO62" i="7"/>
  <c r="BP62" i="7"/>
  <c r="BQ62" i="7"/>
  <c r="AM63" i="7"/>
  <c r="AN63" i="7"/>
  <c r="AO63" i="7"/>
  <c r="AP63" i="7"/>
  <c r="AQ63" i="7"/>
  <c r="AR63" i="7"/>
  <c r="AS63" i="7"/>
  <c r="AT63" i="7"/>
  <c r="AU63" i="7"/>
  <c r="AV63" i="7"/>
  <c r="AW63" i="7"/>
  <c r="AX63" i="7"/>
  <c r="AY63" i="7"/>
  <c r="AZ63" i="7"/>
  <c r="BA63" i="7"/>
  <c r="BB63" i="7"/>
  <c r="BC63" i="7"/>
  <c r="BD63" i="7"/>
  <c r="BE63" i="7"/>
  <c r="BF63" i="7"/>
  <c r="BG63" i="7"/>
  <c r="BH63" i="7"/>
  <c r="BI63" i="7"/>
  <c r="BJ63" i="7"/>
  <c r="BK63" i="7"/>
  <c r="BL63" i="7"/>
  <c r="BM63" i="7"/>
  <c r="BN63" i="7"/>
  <c r="BO63" i="7"/>
  <c r="BP63" i="7"/>
  <c r="BQ63" i="7"/>
  <c r="BR63" i="7"/>
  <c r="AM64" i="7"/>
  <c r="AN64" i="7"/>
  <c r="AO64" i="7"/>
  <c r="AP64" i="7"/>
  <c r="AQ64" i="7"/>
  <c r="AR64" i="7"/>
  <c r="AS64" i="7"/>
  <c r="AT64" i="7"/>
  <c r="AU64" i="7"/>
  <c r="AV64" i="7"/>
  <c r="AW64" i="7"/>
  <c r="AX64" i="7"/>
  <c r="AY64" i="7"/>
  <c r="AZ64" i="7"/>
  <c r="BA64" i="7"/>
  <c r="BB64" i="7"/>
  <c r="BC64" i="7"/>
  <c r="BD64" i="7"/>
  <c r="BE64" i="7"/>
  <c r="BF64" i="7"/>
  <c r="BG64" i="7"/>
  <c r="BH64" i="7"/>
  <c r="BI64" i="7"/>
  <c r="BJ64" i="7"/>
  <c r="BK64" i="7"/>
  <c r="BL64" i="7"/>
  <c r="BM64" i="7"/>
  <c r="BN64" i="7"/>
  <c r="BO64" i="7"/>
  <c r="BP64" i="7"/>
  <c r="BQ64" i="7"/>
  <c r="BR64" i="7"/>
  <c r="AM65" i="7"/>
  <c r="AN65" i="7"/>
  <c r="AO65" i="7"/>
  <c r="AP65" i="7"/>
  <c r="AQ65" i="7"/>
  <c r="AR65" i="7"/>
  <c r="AS65" i="7"/>
  <c r="AT65" i="7"/>
  <c r="AU65" i="7"/>
  <c r="AV65" i="7"/>
  <c r="AW65" i="7"/>
  <c r="AX65" i="7"/>
  <c r="AY65" i="7"/>
  <c r="AZ65" i="7"/>
  <c r="BA65" i="7"/>
  <c r="BB65" i="7"/>
  <c r="BC65" i="7"/>
  <c r="BD65" i="7"/>
  <c r="BE65" i="7"/>
  <c r="BF65" i="7"/>
  <c r="BG65" i="7"/>
  <c r="BH65" i="7"/>
  <c r="BI65" i="7"/>
  <c r="BJ65" i="7"/>
  <c r="BK65" i="7"/>
  <c r="BL65" i="7"/>
  <c r="BM65" i="7"/>
  <c r="BN65" i="7"/>
  <c r="BO65" i="7"/>
  <c r="BP65" i="7"/>
  <c r="BQ65" i="7"/>
  <c r="BR65" i="7"/>
  <c r="AM66" i="7"/>
  <c r="AN66" i="7"/>
  <c r="AO66" i="7"/>
  <c r="AP66" i="7"/>
  <c r="AQ66" i="7"/>
  <c r="AR66" i="7"/>
  <c r="AS66" i="7"/>
  <c r="AT66" i="7"/>
  <c r="AU66" i="7"/>
  <c r="AV66" i="7"/>
  <c r="AW66" i="7"/>
  <c r="AX66" i="7"/>
  <c r="AY66" i="7"/>
  <c r="AZ66" i="7"/>
  <c r="BA66" i="7"/>
  <c r="BB66" i="7"/>
  <c r="BC66" i="7"/>
  <c r="BD66" i="7"/>
  <c r="BE66" i="7"/>
  <c r="BF66" i="7"/>
  <c r="BG66" i="7"/>
  <c r="BH66" i="7"/>
  <c r="BI66" i="7"/>
  <c r="BJ66" i="7"/>
  <c r="BK66" i="7"/>
  <c r="BL66" i="7"/>
  <c r="BM66" i="7"/>
  <c r="BN66" i="7"/>
  <c r="BO66" i="7"/>
  <c r="BP66" i="7"/>
  <c r="BQ66" i="7"/>
  <c r="BR66" i="7"/>
  <c r="E68" i="7"/>
  <c r="F68" i="7"/>
  <c r="G68" i="7"/>
  <c r="H68" i="7"/>
  <c r="I68" i="7"/>
  <c r="J68" i="7"/>
  <c r="K68" i="7"/>
  <c r="L68" i="7"/>
  <c r="M68" i="7"/>
  <c r="N68" i="7"/>
  <c r="O68" i="7"/>
  <c r="P68" i="7"/>
  <c r="Q68" i="7"/>
  <c r="R68" i="7"/>
  <c r="S68" i="7"/>
  <c r="T68" i="7"/>
  <c r="U68" i="7"/>
  <c r="V68" i="7"/>
  <c r="W68" i="7"/>
  <c r="X68" i="7"/>
  <c r="Y68" i="7"/>
  <c r="Z68" i="7"/>
  <c r="AA68" i="7"/>
  <c r="AB68" i="7"/>
  <c r="AC68" i="7"/>
  <c r="AD68" i="7"/>
  <c r="AE68" i="7"/>
  <c r="AF68" i="7"/>
  <c r="AG68" i="7"/>
  <c r="AH68" i="7"/>
  <c r="AI68" i="7"/>
  <c r="AM68" i="7"/>
  <c r="AN68" i="7"/>
  <c r="AO68" i="7"/>
  <c r="AP68" i="7"/>
  <c r="AQ68" i="7"/>
  <c r="AR68" i="7"/>
  <c r="AS68" i="7"/>
  <c r="AT68" i="7"/>
  <c r="AU68" i="7"/>
  <c r="AV68" i="7"/>
  <c r="AW68" i="7"/>
  <c r="AX68" i="7"/>
  <c r="AY68" i="7"/>
  <c r="AZ68" i="7"/>
  <c r="BA68" i="7"/>
  <c r="BB68" i="7"/>
  <c r="BC68" i="7"/>
  <c r="BD68" i="7"/>
  <c r="BE68" i="7"/>
  <c r="BF68" i="7"/>
  <c r="BG68" i="7"/>
  <c r="BH68" i="7"/>
  <c r="BI68" i="7"/>
  <c r="BJ68" i="7"/>
  <c r="BK68" i="7"/>
  <c r="BL68" i="7"/>
  <c r="BM68" i="7"/>
  <c r="BN68" i="7"/>
  <c r="BO68" i="7"/>
  <c r="BP68" i="7"/>
  <c r="BQ68" i="7"/>
  <c r="BR68" i="7"/>
  <c r="D69" i="7"/>
  <c r="AM69" i="7"/>
  <c r="AM70" i="7"/>
  <c r="AN70" i="7"/>
  <c r="AO70" i="7"/>
  <c r="AP70" i="7"/>
  <c r="AQ70" i="7"/>
  <c r="AR70" i="7"/>
  <c r="AS70" i="7"/>
  <c r="AT70" i="7"/>
  <c r="AU70" i="7"/>
  <c r="AV70" i="7"/>
  <c r="AW70" i="7"/>
  <c r="AX70" i="7"/>
  <c r="AY70" i="7"/>
  <c r="AZ70" i="7"/>
  <c r="BA70" i="7"/>
  <c r="BB70" i="7"/>
  <c r="BC70" i="7"/>
  <c r="BD70" i="7"/>
  <c r="BE70" i="7"/>
  <c r="BF70" i="7"/>
  <c r="BG70" i="7"/>
  <c r="BH70" i="7"/>
  <c r="BI70" i="7"/>
  <c r="BJ70" i="7"/>
  <c r="BK70" i="7"/>
  <c r="BL70" i="7"/>
  <c r="BM70" i="7"/>
  <c r="BN70" i="7"/>
  <c r="BO70" i="7"/>
  <c r="BP70" i="7"/>
  <c r="BQ70" i="7"/>
  <c r="BR70" i="7"/>
  <c r="E71" i="7"/>
  <c r="F71" i="7"/>
  <c r="G71" i="7"/>
  <c r="H71" i="7"/>
  <c r="I71" i="7"/>
  <c r="J71" i="7"/>
  <c r="K71" i="7"/>
  <c r="L71" i="7"/>
  <c r="M71" i="7"/>
  <c r="N71" i="7"/>
  <c r="O71" i="7"/>
  <c r="P71" i="7"/>
  <c r="Q71" i="7"/>
  <c r="R71" i="7"/>
  <c r="S71" i="7"/>
  <c r="T71" i="7"/>
  <c r="U71" i="7"/>
  <c r="V71" i="7"/>
  <c r="W71" i="7"/>
  <c r="X71" i="7"/>
  <c r="Y71" i="7"/>
  <c r="Z71" i="7"/>
  <c r="AA71" i="7"/>
  <c r="AB71" i="7"/>
  <c r="AC71" i="7"/>
  <c r="AD71" i="7"/>
  <c r="AE71" i="7"/>
  <c r="AF71" i="7"/>
  <c r="AG71" i="7"/>
  <c r="AH71" i="7"/>
  <c r="AI71" i="7"/>
  <c r="AM71" i="7"/>
  <c r="AN71" i="7"/>
  <c r="AO71" i="7"/>
  <c r="AP71" i="7"/>
  <c r="AQ71" i="7"/>
  <c r="AR71" i="7"/>
  <c r="AS71" i="7"/>
  <c r="AT71" i="7"/>
  <c r="AU71" i="7"/>
  <c r="AV71" i="7"/>
  <c r="AW71" i="7"/>
  <c r="AX71" i="7"/>
  <c r="AY71" i="7"/>
  <c r="AZ71" i="7"/>
  <c r="BA71" i="7"/>
  <c r="BB71" i="7"/>
  <c r="BC71" i="7"/>
  <c r="BD71" i="7"/>
  <c r="BE71" i="7"/>
  <c r="BF71" i="7"/>
  <c r="BG71" i="7"/>
  <c r="BH71" i="7"/>
  <c r="BI71" i="7"/>
  <c r="BJ71" i="7"/>
  <c r="BK71" i="7"/>
  <c r="BL71" i="7"/>
  <c r="BM71" i="7"/>
  <c r="BN71" i="7"/>
  <c r="BO71" i="7"/>
  <c r="BP71" i="7"/>
  <c r="BQ71" i="7"/>
  <c r="BR71" i="7"/>
  <c r="AM72" i="7"/>
  <c r="AN72" i="7"/>
  <c r="AO72" i="7"/>
  <c r="AP72" i="7"/>
  <c r="AQ72" i="7"/>
  <c r="AR72" i="7"/>
  <c r="AS72" i="7"/>
  <c r="AT72" i="7"/>
  <c r="AU72" i="7"/>
  <c r="AV72" i="7"/>
  <c r="AW72" i="7"/>
  <c r="AX72" i="7"/>
  <c r="AY72" i="7"/>
  <c r="AZ72" i="7"/>
  <c r="BA72" i="7"/>
  <c r="BB72" i="7"/>
  <c r="BC72" i="7"/>
  <c r="BD72" i="7"/>
  <c r="BE72" i="7"/>
  <c r="BF72" i="7"/>
  <c r="BG72" i="7"/>
  <c r="BH72" i="7"/>
  <c r="BI72" i="7"/>
  <c r="BJ72" i="7"/>
  <c r="BK72" i="7"/>
  <c r="BL72" i="7"/>
  <c r="BM72" i="7"/>
  <c r="BN72" i="7"/>
  <c r="BO72" i="7"/>
  <c r="BP72" i="7"/>
  <c r="BQ72" i="7"/>
  <c r="BR72" i="7"/>
  <c r="D73" i="7"/>
  <c r="E73" i="7"/>
  <c r="F73" i="7"/>
  <c r="G73" i="7"/>
  <c r="H73" i="7"/>
  <c r="I73" i="7"/>
  <c r="J73" i="7"/>
  <c r="K73" i="7"/>
  <c r="L73" i="7"/>
  <c r="M73" i="7"/>
  <c r="N73" i="7"/>
  <c r="O73" i="7"/>
  <c r="P73" i="7"/>
  <c r="Q73" i="7"/>
  <c r="R73" i="7"/>
  <c r="S73" i="7"/>
  <c r="T73" i="7"/>
  <c r="U73" i="7"/>
  <c r="V73" i="7"/>
  <c r="W73" i="7"/>
  <c r="X73" i="7"/>
  <c r="Y73" i="7"/>
  <c r="Z73" i="7"/>
  <c r="AA73" i="7"/>
  <c r="AB73" i="7"/>
  <c r="AC73" i="7"/>
  <c r="AD73" i="7"/>
  <c r="AE73" i="7"/>
  <c r="AF73" i="7"/>
  <c r="AG73" i="7"/>
  <c r="AH73" i="7"/>
  <c r="AI73" i="7"/>
  <c r="AM73" i="7"/>
  <c r="AN73" i="7"/>
  <c r="AO73" i="7"/>
  <c r="AP73" i="7"/>
  <c r="AQ73" i="7"/>
  <c r="AR73" i="7"/>
  <c r="AS73" i="7"/>
  <c r="AT73" i="7"/>
  <c r="AU73" i="7"/>
  <c r="AV73" i="7"/>
  <c r="AW73" i="7"/>
  <c r="AX73" i="7"/>
  <c r="AY73" i="7"/>
  <c r="AZ73" i="7"/>
  <c r="BA73" i="7"/>
  <c r="BB73" i="7"/>
  <c r="BC73" i="7"/>
  <c r="BD73" i="7"/>
  <c r="BE73" i="7"/>
  <c r="BF73" i="7"/>
  <c r="BG73" i="7"/>
  <c r="BH73" i="7"/>
  <c r="BI73" i="7"/>
  <c r="BJ73" i="7"/>
  <c r="BK73" i="7"/>
  <c r="BL73" i="7"/>
  <c r="BM73" i="7"/>
  <c r="BN73" i="7"/>
  <c r="BO73" i="7"/>
  <c r="BP73" i="7"/>
  <c r="BQ73" i="7"/>
  <c r="BR73" i="7"/>
  <c r="D75" i="7"/>
  <c r="E75" i="7"/>
  <c r="F75" i="7"/>
  <c r="G75" i="7"/>
  <c r="H75" i="7"/>
  <c r="I75" i="7"/>
  <c r="J75" i="7"/>
  <c r="K75" i="7"/>
  <c r="L75" i="7"/>
  <c r="M75" i="7"/>
  <c r="N75" i="7"/>
  <c r="O75" i="7"/>
  <c r="P75" i="7"/>
  <c r="Q75" i="7"/>
  <c r="R75" i="7"/>
  <c r="S75" i="7"/>
  <c r="T75" i="7"/>
  <c r="U75" i="7"/>
  <c r="V75" i="7"/>
  <c r="W75" i="7"/>
  <c r="X75" i="7"/>
  <c r="Y75" i="7"/>
  <c r="Z75" i="7"/>
  <c r="AA75" i="7"/>
  <c r="AB75" i="7"/>
  <c r="AC75" i="7"/>
  <c r="AD75" i="7"/>
  <c r="AE75" i="7"/>
  <c r="AF75" i="7"/>
  <c r="AG75" i="7"/>
  <c r="AH75" i="7"/>
  <c r="AI75" i="7"/>
  <c r="AM75" i="7"/>
  <c r="AN75" i="7"/>
  <c r="AO75" i="7"/>
  <c r="AP75" i="7"/>
  <c r="AQ75" i="7"/>
  <c r="AR75" i="7"/>
  <c r="AS75" i="7"/>
  <c r="AT75" i="7"/>
  <c r="AU75" i="7"/>
  <c r="AV75" i="7"/>
  <c r="AW75" i="7"/>
  <c r="AX75" i="7"/>
  <c r="AY75" i="7"/>
  <c r="AZ75" i="7"/>
  <c r="BA75" i="7"/>
  <c r="BB75" i="7"/>
  <c r="BC75" i="7"/>
  <c r="BD75" i="7"/>
  <c r="BE75" i="7"/>
  <c r="BF75" i="7"/>
  <c r="BG75" i="7"/>
  <c r="BH75" i="7"/>
  <c r="BI75" i="7"/>
  <c r="BJ75" i="7"/>
  <c r="BK75" i="7"/>
  <c r="BL75" i="7"/>
  <c r="BM75" i="7"/>
  <c r="BN75" i="7"/>
  <c r="BO75" i="7"/>
  <c r="BP75" i="7"/>
  <c r="BQ75" i="7"/>
  <c r="BR75" i="7"/>
  <c r="D77" i="7"/>
  <c r="E77" i="7"/>
  <c r="F77" i="7"/>
  <c r="G77" i="7"/>
  <c r="H77" i="7"/>
  <c r="I77" i="7"/>
  <c r="J77" i="7"/>
  <c r="K77" i="7"/>
  <c r="L77" i="7"/>
  <c r="M77" i="7"/>
  <c r="N77" i="7"/>
  <c r="O77" i="7"/>
  <c r="P77" i="7"/>
  <c r="Q77" i="7"/>
  <c r="R77" i="7"/>
  <c r="S77" i="7"/>
  <c r="T77" i="7"/>
  <c r="U77" i="7"/>
  <c r="V77" i="7"/>
  <c r="W77" i="7"/>
  <c r="X77" i="7"/>
  <c r="Y77" i="7"/>
  <c r="Z77" i="7"/>
  <c r="AA77" i="7"/>
  <c r="AB77" i="7"/>
  <c r="AC77" i="7"/>
  <c r="AD77" i="7"/>
  <c r="AE77" i="7"/>
  <c r="AF77" i="7"/>
  <c r="AG77" i="7"/>
  <c r="AH77" i="7"/>
  <c r="AI77" i="7"/>
  <c r="AM77" i="7"/>
  <c r="AN77" i="7"/>
  <c r="AO77" i="7"/>
  <c r="AP77" i="7"/>
  <c r="AQ77" i="7"/>
  <c r="AR77" i="7"/>
  <c r="AS77" i="7"/>
  <c r="AT77" i="7"/>
  <c r="AU77" i="7"/>
  <c r="AV77" i="7"/>
  <c r="AW77" i="7"/>
  <c r="AX77" i="7"/>
  <c r="AY77" i="7"/>
  <c r="AZ77" i="7"/>
  <c r="BA77" i="7"/>
  <c r="BB77" i="7"/>
  <c r="BC77" i="7"/>
  <c r="BD77" i="7"/>
  <c r="BE77" i="7"/>
  <c r="BF77" i="7"/>
  <c r="BG77" i="7"/>
  <c r="BH77" i="7"/>
  <c r="BI77" i="7"/>
  <c r="BJ77" i="7"/>
  <c r="BK77" i="7"/>
  <c r="BL77" i="7"/>
  <c r="BM77" i="7"/>
  <c r="BN77" i="7"/>
  <c r="BO77" i="7"/>
  <c r="BP77" i="7"/>
  <c r="BQ77" i="7"/>
  <c r="BR77" i="7"/>
  <c r="E87" i="7"/>
  <c r="F87" i="7"/>
  <c r="G87" i="7"/>
  <c r="H87" i="7"/>
  <c r="I87" i="7"/>
  <c r="J87" i="7"/>
  <c r="K87" i="7"/>
  <c r="L87" i="7"/>
  <c r="M87" i="7"/>
  <c r="N87" i="7"/>
  <c r="O87" i="7"/>
  <c r="P87" i="7"/>
  <c r="Q87" i="7"/>
  <c r="R87" i="7"/>
  <c r="S87" i="7"/>
  <c r="T87" i="7"/>
  <c r="U87" i="7"/>
  <c r="V87" i="7"/>
  <c r="W87" i="7"/>
  <c r="X87" i="7"/>
  <c r="Y87" i="7"/>
  <c r="Z87" i="7"/>
  <c r="AA87" i="7"/>
  <c r="AB87" i="7"/>
  <c r="AC87" i="7"/>
  <c r="AD87" i="7"/>
  <c r="AE87" i="7"/>
  <c r="AF87" i="7"/>
  <c r="AG87" i="7"/>
  <c r="AH87" i="7"/>
  <c r="AI87" i="7"/>
  <c r="AN87" i="7"/>
  <c r="AO87" i="7"/>
  <c r="AP87" i="7"/>
  <c r="AQ87" i="7"/>
  <c r="AR87" i="7"/>
  <c r="AS87" i="7"/>
  <c r="AT87" i="7"/>
  <c r="AU87" i="7"/>
  <c r="AV87" i="7"/>
  <c r="AW87" i="7"/>
  <c r="AX87" i="7"/>
  <c r="AY87" i="7"/>
  <c r="AZ87" i="7"/>
  <c r="BA87" i="7"/>
  <c r="BB87" i="7"/>
  <c r="BC87" i="7"/>
  <c r="BD87" i="7"/>
  <c r="BE87" i="7"/>
  <c r="BF87" i="7"/>
  <c r="BG87" i="7"/>
  <c r="BH87" i="7"/>
  <c r="BI87" i="7"/>
  <c r="BJ87" i="7"/>
  <c r="BK87" i="7"/>
  <c r="BL87" i="7"/>
  <c r="BM87" i="7"/>
  <c r="BN87" i="7"/>
  <c r="BO87" i="7"/>
  <c r="BP87" i="7"/>
  <c r="BQ87" i="7"/>
  <c r="BR87" i="7"/>
  <c r="E88" i="7"/>
  <c r="F88" i="7"/>
  <c r="G88" i="7"/>
  <c r="H88" i="7"/>
  <c r="I88" i="7"/>
  <c r="J88" i="7"/>
  <c r="K88" i="7"/>
  <c r="L88" i="7"/>
  <c r="M88" i="7"/>
  <c r="N88" i="7"/>
  <c r="O88" i="7"/>
  <c r="P88" i="7"/>
  <c r="Q88" i="7"/>
  <c r="R88" i="7"/>
  <c r="S88" i="7"/>
  <c r="T88" i="7"/>
  <c r="U88" i="7"/>
  <c r="V88" i="7"/>
  <c r="W88" i="7"/>
  <c r="X88" i="7"/>
  <c r="Y88" i="7"/>
  <c r="AN88" i="7"/>
  <c r="AO88" i="7"/>
  <c r="AP88" i="7"/>
  <c r="AQ88" i="7"/>
  <c r="AR88" i="7"/>
  <c r="AS88" i="7"/>
  <c r="AT88" i="7"/>
  <c r="AU88" i="7"/>
  <c r="AV88" i="7"/>
  <c r="AW88" i="7"/>
  <c r="AX88" i="7"/>
  <c r="AY88" i="7"/>
  <c r="AZ88" i="7"/>
  <c r="BA88" i="7"/>
  <c r="BB88" i="7"/>
  <c r="BC88" i="7"/>
  <c r="BD88" i="7"/>
  <c r="BE88" i="7"/>
  <c r="BF88" i="7"/>
  <c r="BG88" i="7"/>
  <c r="BH88" i="7"/>
  <c r="E89" i="7"/>
  <c r="F89" i="7"/>
  <c r="G89" i="7"/>
  <c r="H89" i="7"/>
  <c r="I89" i="7"/>
  <c r="J89" i="7"/>
  <c r="K89" i="7"/>
  <c r="L89" i="7"/>
  <c r="M89" i="7"/>
  <c r="N89" i="7"/>
  <c r="O89" i="7"/>
  <c r="P89" i="7"/>
  <c r="Q89" i="7"/>
  <c r="R89" i="7"/>
  <c r="S89" i="7"/>
  <c r="T89" i="7"/>
  <c r="U89" i="7"/>
  <c r="V89" i="7"/>
  <c r="W89" i="7"/>
  <c r="X89" i="7"/>
  <c r="Y89" i="7"/>
  <c r="Z89" i="7"/>
  <c r="AA89" i="7"/>
  <c r="AB89" i="7"/>
  <c r="AC89" i="7"/>
  <c r="AD89" i="7"/>
  <c r="AE89" i="7"/>
  <c r="AF89" i="7"/>
  <c r="AG89" i="7"/>
  <c r="AH89" i="7"/>
  <c r="AI89" i="7"/>
  <c r="AN89" i="7"/>
  <c r="AO89" i="7"/>
  <c r="AP89" i="7"/>
  <c r="AQ89" i="7"/>
  <c r="AR89" i="7"/>
  <c r="AS89" i="7"/>
  <c r="AT89" i="7"/>
  <c r="AU89" i="7"/>
  <c r="AV89" i="7"/>
  <c r="AW89" i="7"/>
  <c r="AX89" i="7"/>
  <c r="AY89" i="7"/>
  <c r="AZ89" i="7"/>
  <c r="BA89" i="7"/>
  <c r="BB89" i="7"/>
  <c r="BC89" i="7"/>
  <c r="BD89" i="7"/>
  <c r="BE89" i="7"/>
  <c r="BF89" i="7"/>
  <c r="BG89" i="7"/>
  <c r="BH89" i="7"/>
  <c r="BI89" i="7"/>
  <c r="BJ89" i="7"/>
  <c r="BK89" i="7"/>
  <c r="BL89" i="7"/>
  <c r="BM89" i="7"/>
  <c r="BN89" i="7"/>
  <c r="BO89" i="7"/>
  <c r="BP89" i="7"/>
  <c r="BQ89" i="7"/>
  <c r="BR89" i="7"/>
  <c r="E92" i="7"/>
  <c r="F92" i="7"/>
  <c r="G92" i="7"/>
  <c r="H92" i="7"/>
  <c r="I92" i="7"/>
  <c r="J92" i="7"/>
  <c r="K92" i="7"/>
  <c r="L92" i="7"/>
  <c r="M92" i="7"/>
  <c r="N92" i="7"/>
  <c r="O92" i="7"/>
  <c r="P92" i="7"/>
  <c r="Q92" i="7"/>
  <c r="R92" i="7"/>
  <c r="S92" i="7"/>
  <c r="T92" i="7"/>
  <c r="U92" i="7"/>
  <c r="V92" i="7"/>
  <c r="W92" i="7"/>
  <c r="X92" i="7"/>
  <c r="Y92" i="7"/>
  <c r="Z92" i="7"/>
  <c r="AA92" i="7"/>
  <c r="AB92" i="7"/>
  <c r="AC92" i="7"/>
  <c r="AD92" i="7"/>
  <c r="AE92" i="7"/>
  <c r="AF92" i="7"/>
  <c r="AG92" i="7"/>
  <c r="AH92" i="7"/>
  <c r="AI92" i="7"/>
  <c r="AN92" i="7"/>
  <c r="AO92" i="7"/>
  <c r="AP92" i="7"/>
  <c r="AQ92" i="7"/>
  <c r="AR92" i="7"/>
  <c r="AS92" i="7"/>
  <c r="AT92" i="7"/>
  <c r="AU92" i="7"/>
  <c r="AV92" i="7"/>
  <c r="AW92" i="7"/>
  <c r="AX92" i="7"/>
  <c r="AY92" i="7"/>
  <c r="AZ92" i="7"/>
  <c r="BA92" i="7"/>
  <c r="BB92" i="7"/>
  <c r="BC92" i="7"/>
  <c r="BD92" i="7"/>
  <c r="BE92" i="7"/>
  <c r="BF92" i="7"/>
  <c r="BG92" i="7"/>
  <c r="BH92" i="7"/>
  <c r="BI92" i="7"/>
  <c r="BJ92" i="7"/>
  <c r="BK92" i="7"/>
  <c r="BL92" i="7"/>
  <c r="BM92" i="7"/>
  <c r="BN92" i="7"/>
  <c r="BO92" i="7"/>
  <c r="BP92" i="7"/>
  <c r="BQ92" i="7"/>
  <c r="BR92" i="7"/>
  <c r="I81" i="16"/>
  <c r="G84" i="16"/>
  <c r="G88" i="16"/>
  <c r="G93" i="16"/>
  <c r="G94" i="16"/>
  <c r="G95" i="16"/>
  <c r="G96" i="16"/>
  <c r="G97" i="16"/>
  <c r="G98" i="16"/>
  <c r="G99" i="16"/>
  <c r="G100" i="16"/>
  <c r="G101" i="16"/>
  <c r="G102" i="16"/>
  <c r="G103" i="16"/>
  <c r="G104" i="16"/>
  <c r="G105" i="16"/>
  <c r="G106" i="16"/>
  <c r="G107" i="16"/>
  <c r="G108" i="16"/>
  <c r="G109" i="16"/>
  <c r="G110" i="16"/>
  <c r="G111" i="16"/>
  <c r="G112" i="16"/>
  <c r="F113" i="16"/>
  <c r="G113" i="16"/>
  <c r="H113" i="16"/>
  <c r="I113" i="16"/>
  <c r="F114" i="16"/>
  <c r="G114" i="16"/>
  <c r="H114" i="16"/>
  <c r="I114" i="16"/>
  <c r="B131" i="16"/>
  <c r="E5" i="22"/>
  <c r="F5" i="22"/>
  <c r="G5" i="22"/>
  <c r="E11" i="22"/>
  <c r="F11" i="22"/>
  <c r="E14" i="22"/>
  <c r="F14" i="22"/>
  <c r="G14" i="22"/>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AG5" i="10"/>
  <c r="AH5" i="10"/>
  <c r="AI5" i="10"/>
  <c r="E6" i="10"/>
  <c r="F6" i="10"/>
  <c r="G6" i="10"/>
  <c r="H6" i="10"/>
  <c r="I6" i="10"/>
  <c r="J6" i="10"/>
  <c r="K6" i="10"/>
  <c r="L6" i="10"/>
  <c r="M6" i="10"/>
  <c r="N6" i="10"/>
  <c r="O6" i="10"/>
  <c r="P6" i="10"/>
  <c r="Q6" i="10"/>
  <c r="R6" i="10"/>
  <c r="S6" i="10"/>
  <c r="T6" i="10"/>
  <c r="U6" i="10"/>
  <c r="V6" i="10"/>
  <c r="W6" i="10"/>
  <c r="X6" i="10"/>
  <c r="Y6" i="10"/>
  <c r="Z6" i="10"/>
  <c r="AA6" i="10"/>
  <c r="AB6" i="10"/>
  <c r="AC6" i="10"/>
  <c r="AD6" i="10"/>
  <c r="AE6" i="10"/>
  <c r="AF6" i="10"/>
  <c r="AG6" i="10"/>
  <c r="AH6" i="10"/>
  <c r="AI6" i="10"/>
  <c r="E7" i="10"/>
  <c r="F7" i="10"/>
  <c r="G7" i="10"/>
  <c r="H7" i="10"/>
  <c r="I7" i="10"/>
  <c r="J7" i="10"/>
  <c r="K7" i="10"/>
  <c r="L7" i="10"/>
  <c r="M7" i="10"/>
  <c r="N7" i="10"/>
  <c r="O7" i="10"/>
  <c r="P7" i="10"/>
  <c r="Q7" i="10"/>
  <c r="R7" i="10"/>
  <c r="S7" i="10"/>
  <c r="T7" i="10"/>
  <c r="U7" i="10"/>
  <c r="V7" i="10"/>
  <c r="W7" i="10"/>
  <c r="X7" i="10"/>
  <c r="Y7" i="10"/>
  <c r="Z7" i="10"/>
  <c r="AA7" i="10"/>
  <c r="AB7" i="10"/>
  <c r="AC7" i="10"/>
  <c r="AD7" i="10"/>
  <c r="AE7" i="10"/>
  <c r="AF7" i="10"/>
  <c r="AG7" i="10"/>
  <c r="AH7" i="10"/>
  <c r="AI7" i="10"/>
  <c r="E9" i="10"/>
  <c r="F9" i="10"/>
  <c r="G9" i="10"/>
  <c r="H9" i="10"/>
  <c r="I9" i="10"/>
  <c r="J9" i="10"/>
  <c r="K9" i="10"/>
  <c r="L9" i="10"/>
  <c r="M9" i="10"/>
  <c r="N9" i="10"/>
  <c r="O9" i="10"/>
  <c r="P9" i="10"/>
  <c r="Q9" i="10"/>
  <c r="R9" i="10"/>
  <c r="S9" i="10"/>
  <c r="T9" i="10"/>
  <c r="U9" i="10"/>
  <c r="V9" i="10"/>
  <c r="W9" i="10"/>
  <c r="X9" i="10"/>
  <c r="Y9" i="10"/>
  <c r="Z9" i="10"/>
  <c r="AA9" i="10"/>
  <c r="AB9" i="10"/>
  <c r="AC9" i="10"/>
  <c r="AD9" i="10"/>
  <c r="AE9" i="10"/>
  <c r="AF9" i="10"/>
  <c r="AG9" i="10"/>
  <c r="AH9" i="10"/>
  <c r="AI9" i="10"/>
  <c r="D19"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AG22" i="10"/>
  <c r="AH22" i="10"/>
  <c r="AI22" i="10"/>
  <c r="D25" i="10"/>
  <c r="D26" i="10"/>
  <c r="E26" i="10"/>
  <c r="F26" i="10"/>
  <c r="G26" i="10"/>
  <c r="H26" i="10"/>
  <c r="I26" i="10"/>
  <c r="J26" i="10"/>
  <c r="K26" i="10"/>
  <c r="L26" i="10"/>
  <c r="M26" i="10"/>
  <c r="N26" i="10"/>
  <c r="O26" i="10"/>
  <c r="P26" i="10"/>
  <c r="Q26" i="10"/>
  <c r="R26" i="10"/>
  <c r="S26" i="10"/>
  <c r="T26" i="10"/>
  <c r="U26" i="10"/>
  <c r="V26" i="10"/>
  <c r="W26" i="10"/>
  <c r="X26" i="10"/>
  <c r="Y26" i="10"/>
  <c r="Z26" i="10"/>
  <c r="AA26" i="10"/>
  <c r="AB26" i="10"/>
  <c r="AC26" i="10"/>
  <c r="AD26" i="10"/>
  <c r="AE26" i="10"/>
  <c r="AF26" i="10"/>
  <c r="AG26" i="10"/>
  <c r="AH26" i="10"/>
  <c r="AI26" i="10"/>
  <c r="D28" i="10"/>
  <c r="E28" i="10"/>
  <c r="F28" i="10"/>
  <c r="G28" i="10"/>
  <c r="H28" i="10"/>
  <c r="I28" i="10"/>
  <c r="J28" i="10"/>
  <c r="K28" i="10"/>
  <c r="L28" i="10"/>
  <c r="M28" i="10"/>
  <c r="N28" i="10"/>
  <c r="O28" i="10"/>
  <c r="P28" i="10"/>
  <c r="Q28" i="10"/>
  <c r="R28" i="10"/>
  <c r="S28" i="10"/>
  <c r="T28" i="10"/>
  <c r="U28" i="10"/>
  <c r="V28" i="10"/>
  <c r="W28" i="10"/>
  <c r="X28" i="10"/>
  <c r="Y28" i="10"/>
  <c r="Z28" i="10"/>
  <c r="AA28" i="10"/>
  <c r="AB28" i="10"/>
  <c r="AC28" i="10"/>
  <c r="AD28" i="10"/>
  <c r="AE28" i="10"/>
  <c r="AF28" i="10"/>
  <c r="AG28" i="10"/>
  <c r="AH28" i="10"/>
  <c r="AI28" i="10"/>
  <c r="D29" i="10"/>
  <c r="E29" i="10"/>
  <c r="F29" i="10"/>
  <c r="G29" i="10"/>
  <c r="H29" i="10"/>
  <c r="I29" i="10"/>
  <c r="J29" i="10"/>
  <c r="K29" i="10"/>
  <c r="L29" i="10"/>
  <c r="M29" i="10"/>
  <c r="N29" i="10"/>
  <c r="O29" i="10"/>
  <c r="P29" i="10"/>
  <c r="Q29" i="10"/>
  <c r="R29" i="10"/>
  <c r="S29" i="10"/>
  <c r="T29" i="10"/>
  <c r="U29" i="10"/>
  <c r="V29" i="10"/>
  <c r="W29" i="10"/>
  <c r="X29" i="10"/>
  <c r="Y29" i="10"/>
  <c r="Z29" i="10"/>
  <c r="AA29" i="10"/>
  <c r="AB29" i="10"/>
  <c r="AC29" i="10"/>
  <c r="AD29" i="10"/>
  <c r="AE29" i="10"/>
  <c r="AF29" i="10"/>
  <c r="AG29" i="10"/>
  <c r="AH29" i="10"/>
  <c r="AI29" i="10"/>
  <c r="D35" i="10"/>
  <c r="E35" i="10"/>
  <c r="D36" i="10"/>
  <c r="E36" i="10"/>
  <c r="D37" i="10"/>
  <c r="E37" i="10"/>
  <c r="D40" i="10"/>
  <c r="E40" i="10"/>
  <c r="D41" i="10"/>
  <c r="E41" i="10"/>
  <c r="D42" i="10"/>
  <c r="E42" i="10"/>
  <c r="D54" i="10"/>
  <c r="E54" i="10"/>
  <c r="F54" i="10"/>
  <c r="G54" i="10"/>
  <c r="H54" i="10"/>
  <c r="I54" i="10"/>
  <c r="J54" i="10"/>
  <c r="K54" i="10"/>
  <c r="L54" i="10"/>
  <c r="M54" i="10"/>
  <c r="N54" i="10"/>
  <c r="O54" i="10"/>
  <c r="P54" i="10"/>
  <c r="Q54" i="10"/>
  <c r="R54" i="10"/>
  <c r="S54" i="10"/>
  <c r="T54" i="10"/>
  <c r="U54" i="10"/>
  <c r="V54" i="10"/>
  <c r="W54" i="10"/>
  <c r="X54" i="10"/>
  <c r="Y54" i="10"/>
  <c r="Z54" i="10"/>
  <c r="AA54" i="10"/>
  <c r="AB54" i="10"/>
  <c r="AC54" i="10"/>
  <c r="AD54" i="10"/>
  <c r="AE54" i="10"/>
  <c r="AF54" i="10"/>
  <c r="AG54" i="10"/>
  <c r="AH54" i="10"/>
  <c r="AI54" i="10"/>
  <c r="E55" i="10"/>
  <c r="F55" i="10"/>
  <c r="G55" i="10"/>
  <c r="H55" i="10"/>
  <c r="I55" i="10"/>
  <c r="J55" i="10"/>
  <c r="K55" i="10"/>
  <c r="L55" i="10"/>
  <c r="M55" i="10"/>
  <c r="N55" i="10"/>
  <c r="O55" i="10"/>
  <c r="P55" i="10"/>
  <c r="Q55" i="10"/>
  <c r="R55" i="10"/>
  <c r="S55" i="10"/>
  <c r="T55" i="10"/>
  <c r="U55" i="10"/>
  <c r="V55" i="10"/>
  <c r="W55" i="10"/>
  <c r="X55" i="10"/>
  <c r="Y55" i="10"/>
  <c r="Z55" i="10"/>
  <c r="AA55" i="10"/>
  <c r="AB55" i="10"/>
  <c r="AC55" i="10"/>
  <c r="AD55" i="10"/>
  <c r="AE55" i="10"/>
  <c r="AF55" i="10"/>
  <c r="AG55" i="10"/>
  <c r="AH55" i="10"/>
  <c r="AI55" i="10"/>
  <c r="E56" i="10"/>
  <c r="F56" i="10"/>
  <c r="G56" i="10"/>
  <c r="H56" i="10"/>
  <c r="I56" i="10"/>
  <c r="J56" i="10"/>
  <c r="K56" i="10"/>
  <c r="L56" i="10"/>
  <c r="M56" i="10"/>
  <c r="N56" i="10"/>
  <c r="O56" i="10"/>
  <c r="P56" i="10"/>
  <c r="Q56" i="10"/>
  <c r="R56" i="10"/>
  <c r="S56" i="10"/>
  <c r="T56" i="10"/>
  <c r="U56" i="10"/>
  <c r="V56" i="10"/>
  <c r="W56" i="10"/>
  <c r="X56" i="10"/>
  <c r="Y56" i="10"/>
  <c r="Z56" i="10"/>
  <c r="AA56" i="10"/>
  <c r="AB56" i="10"/>
  <c r="AC56" i="10"/>
  <c r="AD56" i="10"/>
  <c r="AE56" i="10"/>
  <c r="AF56" i="10"/>
  <c r="AG56" i="10"/>
  <c r="AH56" i="10"/>
  <c r="AI56" i="10"/>
  <c r="E57" i="10"/>
  <c r="F57" i="10"/>
  <c r="G57" i="10"/>
  <c r="H57" i="10"/>
  <c r="I57" i="10"/>
  <c r="J57" i="10"/>
  <c r="K57" i="10"/>
  <c r="L57" i="10"/>
  <c r="M57" i="10"/>
  <c r="N57" i="10"/>
  <c r="O57" i="10"/>
  <c r="P57" i="10"/>
  <c r="Q57" i="10"/>
  <c r="R57" i="10"/>
  <c r="S57" i="10"/>
  <c r="T57" i="10"/>
  <c r="U57" i="10"/>
  <c r="V57" i="10"/>
  <c r="W57" i="10"/>
  <c r="X57" i="10"/>
  <c r="Y57" i="10"/>
  <c r="Z57" i="10"/>
  <c r="AA57" i="10"/>
  <c r="AB57" i="10"/>
  <c r="AC57" i="10"/>
  <c r="AD57" i="10"/>
  <c r="AE57" i="10"/>
  <c r="AF57" i="10"/>
  <c r="AG57" i="10"/>
  <c r="AH57" i="10"/>
  <c r="AI57" i="10"/>
  <c r="C58" i="10"/>
  <c r="E58" i="10"/>
  <c r="F58" i="10"/>
  <c r="G58" i="10"/>
  <c r="H58" i="10"/>
  <c r="I58" i="10"/>
  <c r="J58" i="10"/>
  <c r="K58" i="10"/>
  <c r="L58" i="10"/>
  <c r="M58" i="10"/>
  <c r="N58" i="10"/>
  <c r="O58" i="10"/>
  <c r="P58" i="10"/>
  <c r="Q58" i="10"/>
  <c r="R58" i="10"/>
  <c r="S58" i="10"/>
  <c r="T58" i="10"/>
  <c r="U58" i="10"/>
  <c r="V58" i="10"/>
  <c r="W58" i="10"/>
  <c r="X58" i="10"/>
  <c r="Y58" i="10"/>
  <c r="Z58" i="10"/>
  <c r="AA58" i="10"/>
  <c r="AB58" i="10"/>
  <c r="AC58" i="10"/>
  <c r="AD58" i="10"/>
  <c r="AE58" i="10"/>
  <c r="AF58" i="10"/>
  <c r="AG58" i="10"/>
  <c r="AH58" i="10"/>
  <c r="AI58" i="10"/>
  <c r="E60" i="10"/>
  <c r="F60" i="10"/>
  <c r="G60" i="10"/>
  <c r="H60" i="10"/>
  <c r="I60" i="10"/>
  <c r="J60" i="10"/>
  <c r="K60" i="10"/>
  <c r="L60" i="10"/>
  <c r="M60" i="10"/>
  <c r="N60" i="10"/>
  <c r="O60" i="10"/>
  <c r="P60" i="10"/>
  <c r="Q60" i="10"/>
  <c r="R60" i="10"/>
  <c r="S60" i="10"/>
  <c r="T60" i="10"/>
  <c r="U60" i="10"/>
  <c r="V60" i="10"/>
  <c r="W60" i="10"/>
  <c r="X60" i="10"/>
  <c r="Y60" i="10"/>
  <c r="Z60" i="10"/>
  <c r="AA60" i="10"/>
  <c r="AB60" i="10"/>
  <c r="AC60" i="10"/>
  <c r="AD60" i="10"/>
  <c r="AE60" i="10"/>
  <c r="AF60" i="10"/>
  <c r="AG60" i="10"/>
  <c r="AH60" i="10"/>
  <c r="AI60" i="10"/>
  <c r="D65" i="10"/>
  <c r="E65" i="10"/>
  <c r="F65" i="10"/>
  <c r="D66" i="10"/>
  <c r="E66" i="10"/>
  <c r="F66" i="10"/>
  <c r="D67" i="10"/>
  <c r="E67" i="10"/>
  <c r="F67" i="10"/>
  <c r="D70" i="10"/>
  <c r="E70" i="10"/>
  <c r="F70" i="10"/>
  <c r="D71" i="10"/>
  <c r="E71" i="10"/>
  <c r="F71" i="10"/>
  <c r="D72" i="10"/>
  <c r="E72" i="10"/>
  <c r="F72" i="10"/>
  <c r="E87" i="10"/>
  <c r="F87" i="10"/>
  <c r="G87" i="10"/>
  <c r="H87" i="10"/>
  <c r="I87" i="10"/>
  <c r="J87" i="10"/>
  <c r="K87" i="10"/>
  <c r="L87" i="10"/>
  <c r="M87" i="10"/>
  <c r="N87" i="10"/>
  <c r="O87" i="10"/>
  <c r="P87" i="10"/>
  <c r="Q87" i="10"/>
  <c r="R87" i="10"/>
  <c r="S87" i="10"/>
  <c r="T87" i="10"/>
  <c r="U87" i="10"/>
  <c r="V87" i="10"/>
  <c r="W87" i="10"/>
  <c r="X87" i="10"/>
  <c r="Y87" i="10"/>
  <c r="Z87" i="10"/>
  <c r="AA87" i="10"/>
  <c r="AB87" i="10"/>
  <c r="AC87" i="10"/>
  <c r="AD87" i="10"/>
  <c r="AE87" i="10"/>
  <c r="AF87" i="10"/>
  <c r="AG87" i="10"/>
  <c r="AH87" i="10"/>
  <c r="E88" i="10"/>
  <c r="F88" i="10"/>
  <c r="G88" i="10"/>
  <c r="H88" i="10"/>
  <c r="I88" i="10"/>
  <c r="J88" i="10"/>
  <c r="K88" i="10"/>
  <c r="L88" i="10"/>
  <c r="M88" i="10"/>
  <c r="N88" i="10"/>
  <c r="O88" i="10"/>
  <c r="P88" i="10"/>
  <c r="Q88" i="10"/>
  <c r="R88" i="10"/>
  <c r="S88" i="10"/>
  <c r="T88" i="10"/>
  <c r="U88" i="10"/>
  <c r="V88" i="10"/>
  <c r="W88" i="10"/>
  <c r="X88" i="10"/>
  <c r="Y88" i="10"/>
  <c r="E90" i="10"/>
  <c r="F90" i="10"/>
  <c r="G90" i="10"/>
  <c r="H90" i="10"/>
  <c r="I90" i="10"/>
  <c r="J90" i="10"/>
  <c r="K90" i="10"/>
  <c r="L90" i="10"/>
  <c r="M90" i="10"/>
  <c r="N90" i="10"/>
  <c r="O90" i="10"/>
  <c r="P90" i="10"/>
  <c r="Q90" i="10"/>
  <c r="R90" i="10"/>
  <c r="S90" i="10"/>
  <c r="T90" i="10"/>
  <c r="U90" i="10"/>
  <c r="V90" i="10"/>
  <c r="W90" i="10"/>
  <c r="X90" i="10"/>
  <c r="Y90" i="10"/>
  <c r="Z90" i="10"/>
  <c r="AA90" i="10"/>
  <c r="AB90" i="10"/>
  <c r="AC90" i="10"/>
  <c r="AD90" i="10"/>
  <c r="AE90" i="10"/>
  <c r="AF90" i="10"/>
  <c r="AG90" i="10"/>
  <c r="AH90" i="10"/>
  <c r="E91" i="10"/>
  <c r="F91" i="10"/>
  <c r="G91" i="10"/>
  <c r="H91" i="10"/>
  <c r="I91" i="10"/>
  <c r="J91" i="10"/>
  <c r="K91" i="10"/>
  <c r="L91" i="10"/>
  <c r="M91" i="10"/>
  <c r="N91" i="10"/>
  <c r="O91" i="10"/>
  <c r="P91" i="10"/>
  <c r="Q91" i="10"/>
  <c r="R91" i="10"/>
  <c r="S91" i="10"/>
  <c r="T91" i="10"/>
  <c r="U91" i="10"/>
  <c r="V91" i="10"/>
  <c r="W91" i="10"/>
  <c r="X91" i="10"/>
  <c r="Y91" i="10"/>
  <c r="Z91" i="10"/>
  <c r="AA91" i="10"/>
  <c r="AB91" i="10"/>
  <c r="AC91" i="10"/>
  <c r="AD91" i="10"/>
  <c r="AE91" i="10"/>
  <c r="AF91" i="10"/>
  <c r="AG91" i="10"/>
  <c r="AH91" i="10"/>
  <c r="E92" i="10"/>
  <c r="F92" i="10"/>
  <c r="G92" i="10"/>
  <c r="H92" i="10"/>
  <c r="I92" i="10"/>
  <c r="J92" i="10"/>
  <c r="K92" i="10"/>
  <c r="L92" i="10"/>
  <c r="M92" i="10"/>
  <c r="N92" i="10"/>
  <c r="O92" i="10"/>
  <c r="P92" i="10"/>
  <c r="Q92" i="10"/>
  <c r="R92" i="10"/>
  <c r="S92" i="10"/>
  <c r="T92" i="10"/>
  <c r="U92" i="10"/>
  <c r="V92" i="10"/>
  <c r="W92" i="10"/>
  <c r="X92" i="10"/>
  <c r="Y92" i="10"/>
  <c r="Z92" i="10"/>
  <c r="AA92" i="10"/>
  <c r="AB92" i="10"/>
  <c r="AC92" i="10"/>
  <c r="AD92" i="10"/>
  <c r="AE92" i="10"/>
  <c r="AF92" i="10"/>
  <c r="AG92" i="10"/>
  <c r="AH92" i="10"/>
  <c r="E93" i="10"/>
  <c r="F93" i="10"/>
  <c r="G93" i="10"/>
  <c r="H93" i="10"/>
  <c r="I93" i="10"/>
  <c r="J93" i="10"/>
  <c r="K93" i="10"/>
  <c r="L93" i="10"/>
  <c r="M93" i="10"/>
  <c r="N93" i="10"/>
  <c r="O93" i="10"/>
  <c r="P93" i="10"/>
  <c r="Q93" i="10"/>
  <c r="R93" i="10"/>
  <c r="S93" i="10"/>
  <c r="T93" i="10"/>
  <c r="U93" i="10"/>
  <c r="V93" i="10"/>
  <c r="W93" i="10"/>
  <c r="X93" i="10"/>
  <c r="Y93" i="10"/>
  <c r="Z93" i="10"/>
  <c r="AA93" i="10"/>
  <c r="AB93" i="10"/>
  <c r="AC93" i="10"/>
  <c r="AD93" i="10"/>
  <c r="AE93" i="10"/>
  <c r="AF93" i="10"/>
  <c r="AG93" i="10"/>
  <c r="AH93" i="10"/>
  <c r="E95" i="10"/>
  <c r="F95" i="10"/>
  <c r="G95" i="10"/>
  <c r="H95" i="10"/>
  <c r="I95" i="10"/>
  <c r="J95" i="10"/>
  <c r="K95" i="10"/>
  <c r="L95" i="10"/>
  <c r="M95" i="10"/>
  <c r="N95" i="10"/>
  <c r="O95" i="10"/>
  <c r="P95" i="10"/>
  <c r="Q95" i="10"/>
  <c r="R95" i="10"/>
  <c r="S95" i="10"/>
  <c r="T95" i="10"/>
  <c r="U95" i="10"/>
  <c r="V95" i="10"/>
  <c r="W95" i="10"/>
  <c r="X95" i="10"/>
  <c r="Y95" i="10"/>
  <c r="Z95" i="10"/>
  <c r="AA95" i="10"/>
  <c r="AB95" i="10"/>
  <c r="AC95" i="10"/>
  <c r="AD95" i="10"/>
  <c r="AE95" i="10"/>
  <c r="AF95" i="10"/>
  <c r="AG95" i="10"/>
  <c r="AH95" i="10"/>
  <c r="E98" i="10"/>
  <c r="F98" i="10"/>
  <c r="G98" i="10"/>
  <c r="H98" i="10"/>
  <c r="I98" i="10"/>
  <c r="J98" i="10"/>
  <c r="K98" i="10"/>
  <c r="L98" i="10"/>
  <c r="M98" i="10"/>
  <c r="N98" i="10"/>
  <c r="O98" i="10"/>
  <c r="P98" i="10"/>
  <c r="Q98" i="10"/>
  <c r="R98" i="10"/>
  <c r="S98" i="10"/>
  <c r="T98" i="10"/>
  <c r="U98" i="10"/>
  <c r="V98" i="10"/>
  <c r="W98" i="10"/>
  <c r="X98" i="10"/>
  <c r="Y98" i="10"/>
  <c r="Z98" i="10"/>
  <c r="AA98" i="10"/>
  <c r="AB98" i="10"/>
  <c r="AC98" i="10"/>
  <c r="AD98" i="10"/>
  <c r="AE98" i="10"/>
  <c r="AF98" i="10"/>
  <c r="AG98" i="10"/>
  <c r="AH98" i="10"/>
  <c r="E99" i="10"/>
  <c r="F99" i="10"/>
  <c r="G99" i="10"/>
  <c r="H99" i="10"/>
  <c r="I99" i="10"/>
  <c r="J99" i="10"/>
  <c r="K99" i="10"/>
  <c r="L99" i="10"/>
  <c r="M99" i="10"/>
  <c r="N99" i="10"/>
  <c r="O99" i="10"/>
  <c r="P99" i="10"/>
  <c r="Q99" i="10"/>
  <c r="R99" i="10"/>
  <c r="S99" i="10"/>
  <c r="T99" i="10"/>
  <c r="U99" i="10"/>
  <c r="V99" i="10"/>
  <c r="W99" i="10"/>
  <c r="X99" i="10"/>
  <c r="Y99" i="10"/>
  <c r="Z99" i="10"/>
  <c r="AA99" i="10"/>
  <c r="AB99" i="10"/>
  <c r="AC99" i="10"/>
  <c r="AD99" i="10"/>
  <c r="AE99" i="10"/>
  <c r="AF99" i="10"/>
  <c r="AG99" i="10"/>
  <c r="AH99" i="10"/>
  <c r="E64" i="11"/>
  <c r="G64" i="11"/>
  <c r="H64" i="11"/>
  <c r="I64" i="11"/>
  <c r="J64" i="11"/>
  <c r="K64" i="11"/>
  <c r="L64" i="11"/>
  <c r="M64" i="11"/>
  <c r="N64" i="11"/>
  <c r="O64" i="11"/>
  <c r="P64" i="11"/>
  <c r="Q64" i="11"/>
  <c r="R64" i="11"/>
  <c r="S64" i="11"/>
  <c r="T64" i="11"/>
  <c r="U64" i="11"/>
  <c r="V64" i="11"/>
  <c r="W64" i="11"/>
  <c r="X64" i="11"/>
  <c r="Y64" i="11"/>
  <c r="Z64" i="11"/>
  <c r="AA64" i="11"/>
  <c r="AB64" i="11"/>
  <c r="AC64" i="11"/>
  <c r="AD64" i="11"/>
  <c r="AE64" i="11"/>
  <c r="AF64" i="11"/>
  <c r="AG64" i="11"/>
  <c r="AH64" i="11"/>
  <c r="AI64" i="11"/>
  <c r="E65" i="11"/>
  <c r="F65" i="11"/>
  <c r="G65" i="11"/>
  <c r="H65" i="11"/>
  <c r="I65" i="11"/>
  <c r="J65" i="11"/>
  <c r="K65" i="11"/>
  <c r="L65" i="11"/>
  <c r="M65" i="11"/>
  <c r="N65" i="11"/>
  <c r="O65" i="11"/>
  <c r="P65" i="11"/>
  <c r="Q65" i="11"/>
  <c r="R65" i="11"/>
  <c r="S65" i="11"/>
  <c r="T65" i="11"/>
  <c r="U65" i="11"/>
  <c r="V65" i="11"/>
  <c r="W65" i="11"/>
  <c r="X65" i="11"/>
  <c r="Y65" i="11"/>
  <c r="Z65" i="11"/>
  <c r="AA65" i="11"/>
  <c r="AB65" i="11"/>
  <c r="AC65" i="11"/>
  <c r="AD65" i="11"/>
  <c r="AE65" i="11"/>
  <c r="AF65" i="11"/>
  <c r="AG65" i="11"/>
  <c r="AH65" i="11"/>
  <c r="AI65" i="11"/>
  <c r="E66" i="11"/>
  <c r="G66" i="11"/>
  <c r="H66" i="11"/>
  <c r="I66" i="11"/>
  <c r="J66" i="11"/>
  <c r="K66" i="11"/>
  <c r="L66" i="11"/>
  <c r="M66" i="11"/>
  <c r="N66" i="11"/>
  <c r="O66" i="11"/>
  <c r="P66" i="11"/>
  <c r="Q66" i="11"/>
  <c r="R66" i="11"/>
  <c r="S66" i="11"/>
  <c r="T66" i="11"/>
  <c r="U66" i="11"/>
  <c r="V66" i="11"/>
  <c r="W66" i="11"/>
  <c r="X66" i="11"/>
  <c r="Y66" i="11"/>
  <c r="Z66" i="11"/>
  <c r="AA66" i="11"/>
  <c r="AB66" i="11"/>
  <c r="AC66" i="11"/>
  <c r="AD66" i="11"/>
  <c r="AE66" i="11"/>
  <c r="AF66" i="11"/>
  <c r="AG66" i="11"/>
  <c r="AH66" i="11"/>
  <c r="AI66" i="11"/>
  <c r="E67" i="11"/>
  <c r="G67" i="11"/>
  <c r="H67" i="11"/>
  <c r="I67" i="11"/>
  <c r="J67" i="11"/>
  <c r="K67" i="11"/>
  <c r="L67" i="11"/>
  <c r="M67" i="11"/>
  <c r="N67" i="11"/>
  <c r="O67" i="11"/>
  <c r="P67" i="11"/>
  <c r="Q67" i="11"/>
  <c r="R67" i="11"/>
  <c r="S67" i="11"/>
  <c r="T67" i="11"/>
  <c r="U67" i="11"/>
  <c r="V67" i="11"/>
  <c r="W67" i="11"/>
  <c r="X67" i="11"/>
  <c r="Y67" i="11"/>
  <c r="Z67" i="11"/>
  <c r="AA67" i="11"/>
  <c r="AB67" i="11"/>
  <c r="AC67" i="11"/>
  <c r="AD67" i="11"/>
  <c r="AE67" i="11"/>
  <c r="AF67" i="11"/>
  <c r="AG67" i="11"/>
  <c r="AH67" i="11"/>
  <c r="AI67" i="11"/>
  <c r="C68" i="11"/>
  <c r="G68" i="11"/>
  <c r="H68" i="11"/>
  <c r="I68" i="11"/>
  <c r="J68" i="11"/>
  <c r="K68" i="11"/>
  <c r="L68" i="11"/>
  <c r="M68" i="11"/>
  <c r="N68" i="11"/>
  <c r="O68" i="11"/>
  <c r="P68" i="11"/>
  <c r="Q68" i="11"/>
  <c r="R68" i="11"/>
  <c r="S68" i="11"/>
  <c r="T68" i="11"/>
  <c r="U68" i="11"/>
  <c r="V68" i="11"/>
  <c r="W68" i="11"/>
  <c r="X68" i="11"/>
  <c r="Y68" i="11"/>
  <c r="Z68" i="11"/>
  <c r="AA68" i="11"/>
  <c r="AB68" i="11"/>
  <c r="AC68" i="11"/>
  <c r="AD68" i="11"/>
  <c r="AE68" i="11"/>
  <c r="AF68" i="11"/>
  <c r="AG68" i="11"/>
  <c r="AH68" i="11"/>
  <c r="AI68" i="11"/>
  <c r="C69" i="11"/>
  <c r="E6" i="5"/>
  <c r="F6" i="5"/>
  <c r="G6" i="5"/>
  <c r="H6" i="5"/>
  <c r="J6" i="5"/>
  <c r="E7" i="5"/>
  <c r="F7" i="5"/>
  <c r="G7" i="5"/>
  <c r="H7" i="5"/>
  <c r="F8" i="5"/>
  <c r="F9" i="5"/>
  <c r="E10" i="5"/>
  <c r="F10" i="5"/>
  <c r="G10" i="5"/>
  <c r="H10" i="5"/>
  <c r="E12" i="5"/>
  <c r="F12" i="5"/>
  <c r="G12" i="5"/>
  <c r="H12" i="5"/>
  <c r="E15" i="5"/>
  <c r="F15" i="5"/>
  <c r="G15" i="5"/>
  <c r="H15" i="5"/>
  <c r="F16" i="5"/>
  <c r="F17" i="5"/>
  <c r="E18" i="5"/>
  <c r="F18" i="5"/>
  <c r="G18" i="5"/>
  <c r="H18" i="5"/>
  <c r="F19" i="5"/>
  <c r="F20" i="5"/>
  <c r="F21" i="5"/>
  <c r="F22" i="5"/>
  <c r="F23" i="5"/>
  <c r="F24" i="5"/>
  <c r="F25" i="5"/>
  <c r="F26" i="5"/>
  <c r="F27" i="5"/>
  <c r="F28" i="5"/>
  <c r="F29" i="5"/>
  <c r="F30" i="5"/>
  <c r="F31" i="5"/>
  <c r="F32" i="5"/>
  <c r="E33" i="5"/>
  <c r="F33" i="5"/>
  <c r="G33" i="5"/>
  <c r="H33" i="5"/>
</calcChain>
</file>

<file path=xl/comments1.xml><?xml version="1.0" encoding="utf-8"?>
<comments xmlns="http://schemas.openxmlformats.org/spreadsheetml/2006/main">
  <authors>
    <author>Eddie Moses</author>
  </authors>
  <commentList>
    <comment ref="F41" authorId="0" shapeId="0">
      <text>
        <r>
          <rPr>
            <b/>
            <sz val="10"/>
            <color indexed="81"/>
            <rFont val="Tahoma"/>
            <family val="2"/>
          </rPr>
          <t>Eddie Moses:</t>
        </r>
        <r>
          <rPr>
            <sz val="10"/>
            <color indexed="81"/>
            <rFont val="Tahoma"/>
            <family val="2"/>
          </rPr>
          <t xml:space="preserve">
per WTG calculations will not be average with mixed WTG configuration</t>
        </r>
      </text>
    </comment>
    <comment ref="B89" authorId="0" shapeId="0">
      <text>
        <r>
          <rPr>
            <b/>
            <sz val="9"/>
            <color indexed="81"/>
            <rFont val="Geneva"/>
          </rPr>
          <t>Eddie Moses:</t>
        </r>
        <r>
          <rPr>
            <sz val="9"/>
            <color indexed="81"/>
            <rFont val="Geneva"/>
          </rPr>
          <t xml:space="preserve">
Payment for late start due to development delays, is also added to 1st year revenue</t>
        </r>
      </text>
    </comment>
  </commentList>
</comments>
</file>

<file path=xl/comments2.xml><?xml version="1.0" encoding="utf-8"?>
<comments xmlns="http://schemas.openxmlformats.org/spreadsheetml/2006/main">
  <authors>
    <author>Eddie Moses</author>
    <author>A satisfied Microsoft Office user</author>
  </authors>
  <commentList>
    <comment ref="B21" authorId="0" shapeId="0">
      <text>
        <r>
          <rPr>
            <b/>
            <sz val="9"/>
            <color indexed="81"/>
            <rFont val="Geneva"/>
          </rPr>
          <t>Eddie Moses:</t>
        </r>
        <r>
          <rPr>
            <sz val="9"/>
            <color indexed="81"/>
            <rFont val="Geneva"/>
          </rPr>
          <t xml:space="preserve">
The currency toggle allows viewing results in other than the base currency. (there are slight rounding differences)
The toggle effects the Sources_Uses  and Cashflow sheets (as well as PTC's on the Income sheet just for consistency) ONLY. All other values are changed through these two sheets. RAC cells are not included, be wary if you RAROC with the toggle≠1.0
Caveat Emptor - If you must alter the basic workings of the model, particularly Sources_Uses, Cashflow orDebt, the toggle may not work unless you work it into your alterations and trace it thru the model. If you don't plan on switching currencies, don't worry about it.
 </t>
        </r>
      </text>
    </comment>
    <comment ref="F58" authorId="0" shapeId="0">
      <text>
        <r>
          <rPr>
            <b/>
            <sz val="8"/>
            <color indexed="81"/>
            <rFont val="Tahoma"/>
            <family val="2"/>
          </rPr>
          <t>Eddie Moses:</t>
        </r>
        <r>
          <rPr>
            <sz val="8"/>
            <color indexed="81"/>
            <rFont val="Tahoma"/>
            <family val="2"/>
          </rPr>
          <t xml:space="preserve">
calculation should include all Uses of funds except itselt
</t>
        </r>
      </text>
    </comment>
    <comment ref="B208" authorId="0" shapeId="0">
      <text>
        <r>
          <rPr>
            <b/>
            <sz val="9"/>
            <color indexed="81"/>
            <rFont val="Geneva"/>
          </rPr>
          <t>Eddie Moses:</t>
        </r>
        <r>
          <rPr>
            <sz val="9"/>
            <color indexed="81"/>
            <rFont val="Geneva"/>
          </rPr>
          <t xml:space="preserve">
Default = Connected to Quarter Start. 
In general an Outside Investor starts depreciation on the day of investment which can be assumed to be the Commissioning Date for the entire project.
Projects 100% owned by EWC may need a pro rata treatment but would require a separate sheet for all the calculations</t>
        </r>
      </text>
    </comment>
    <comment ref="B236" authorId="0" shapeId="0">
      <text>
        <r>
          <rPr>
            <b/>
            <sz val="9"/>
            <color indexed="81"/>
            <rFont val="Geneva"/>
          </rPr>
          <t>Eddie Moses:</t>
        </r>
        <r>
          <rPr>
            <sz val="9"/>
            <color indexed="81"/>
            <rFont val="Geneva"/>
          </rPr>
          <t xml:space="preserve">
HLOOKUP offsets are sometime messed up when cells are inserted into the target range - correct if necessary</t>
        </r>
      </text>
    </comment>
    <comment ref="B243" authorId="1" shapeId="0">
      <text>
        <r>
          <rPr>
            <sz val="8"/>
            <color indexed="81"/>
            <rFont val="Tahoma"/>
            <family val="2"/>
          </rPr>
          <t>Eddie Moses/EWC/Enron   11/18/98  09:11:55 AM
Debt Fine Tuner adds money to the PV of Cash for Debt. The formula which solves for Debt (=PV of Cash Available for Debt after coverage  solved at the interest rate and then summed) comes up with a larger final coverage ratio, the longer the Debt Term. The Tuner is needed to adjust this.</t>
        </r>
      </text>
    </comment>
    <comment ref="B247" authorId="0" shapeId="0">
      <text>
        <r>
          <rPr>
            <b/>
            <sz val="8"/>
            <color indexed="81"/>
            <rFont val="Tahoma"/>
          </rPr>
          <t>Eddie Moses:</t>
        </r>
        <r>
          <rPr>
            <sz val="8"/>
            <color indexed="81"/>
            <rFont val="Tahoma"/>
          </rPr>
          <t xml:space="preserve">
Option for weighting either half of a year by semi-annual payments. 
For closing Debt, accurate Semi Annual model Net Operating Cash can be directly connecte to SR Debt sheet S.A. Repayment Cash</t>
        </r>
      </text>
    </comment>
    <comment ref="B262" authorId="1" shapeId="0">
      <text>
        <r>
          <rPr>
            <sz val="8"/>
            <color indexed="81"/>
            <rFont val="Tahoma"/>
            <family val="2"/>
          </rPr>
          <t>Eddie Moses/EWC/Enron   11/18/98  09:11:55 AM
Debt Fine Tuner adds money to the PV of Cash for Debt. The formula which solves for Debt (=PV of Cash Available for Debt after coverage  solved at the interest rate and then summed) comes up with a larger final coverage ratio, the longer the Debt Term. The Tuner is needed to adjust this.</t>
        </r>
      </text>
    </comment>
    <comment ref="B266" authorId="0" shapeId="0">
      <text>
        <r>
          <rPr>
            <b/>
            <sz val="8"/>
            <color indexed="81"/>
            <rFont val="Tahoma"/>
          </rPr>
          <t>Eddie Moses:</t>
        </r>
        <r>
          <rPr>
            <sz val="8"/>
            <color indexed="81"/>
            <rFont val="Tahoma"/>
          </rPr>
          <t xml:space="preserve">
Option for weighting either half of a year by semi-annual payments. 
For closing Debt, accurate Semi Annual model Net Operating Cash can be directly connecte to SR Debt sheet S.A. Repayment Cash</t>
        </r>
      </text>
    </comment>
    <comment ref="B292" authorId="0" shapeId="0">
      <text>
        <r>
          <rPr>
            <b/>
            <sz val="8"/>
            <color indexed="81"/>
            <rFont val="Tahoma"/>
          </rPr>
          <t>Eddie Moses:</t>
        </r>
        <r>
          <rPr>
            <sz val="8"/>
            <color indexed="81"/>
            <rFont val="Tahoma"/>
          </rPr>
          <t xml:space="preserve">
First year, first semi-annual payment if applicable</t>
        </r>
      </text>
    </comment>
    <comment ref="B293" authorId="0" shapeId="0">
      <text>
        <r>
          <rPr>
            <b/>
            <sz val="8"/>
            <color indexed="81"/>
            <rFont val="Tahoma"/>
          </rPr>
          <t>Eddie Moses:</t>
        </r>
        <r>
          <rPr>
            <sz val="8"/>
            <color indexed="81"/>
            <rFont val="Tahoma"/>
          </rPr>
          <t xml:space="preserve">
Option for weighting either half of a year by semi-annual payments. May not be useful if payments do not match annual wind patterns.</t>
        </r>
      </text>
    </comment>
    <comment ref="B304" authorId="0" shapeId="0">
      <text>
        <r>
          <rPr>
            <b/>
            <sz val="8"/>
            <color indexed="81"/>
            <rFont val="Tahoma"/>
            <family val="2"/>
          </rPr>
          <t>Eddie Moses:</t>
        </r>
        <r>
          <rPr>
            <sz val="8"/>
            <color indexed="81"/>
            <rFont val="Tahoma"/>
            <family val="2"/>
          </rPr>
          <t xml:space="preserve">
If PTC and Cash Available Cov Ratios are used, set Total Cash Cov Ratio = 100%
You can also set the first two to 100% and us the Total Cash Cov Ratio the same as is used in Senior Debt
</t>
        </r>
      </text>
    </comment>
  </commentList>
</comments>
</file>

<file path=xl/comments3.xml><?xml version="1.0" encoding="utf-8"?>
<comments xmlns="http://schemas.openxmlformats.org/spreadsheetml/2006/main">
  <authors>
    <author>Eddie Moses</author>
  </authors>
  <commentList>
    <comment ref="C65" authorId="0" shapeId="0">
      <text>
        <r>
          <rPr>
            <b/>
            <sz val="8"/>
            <color indexed="81"/>
            <rFont val="Tahoma"/>
          </rPr>
          <t>Eddie Moses:</t>
        </r>
        <r>
          <rPr>
            <sz val="8"/>
            <color indexed="81"/>
            <rFont val="Tahoma"/>
          </rPr>
          <t xml:space="preserve">
if elimination &gt; 50% then gain on sale = 0</t>
        </r>
      </text>
    </comment>
  </commentList>
</comments>
</file>

<file path=xl/comments4.xml><?xml version="1.0" encoding="utf-8"?>
<comments xmlns="http://schemas.openxmlformats.org/spreadsheetml/2006/main">
  <authors>
    <author>Eddie Moses</author>
  </authors>
  <commentList>
    <comment ref="E62" authorId="0" shapeId="0">
      <text>
        <r>
          <rPr>
            <b/>
            <sz val="8"/>
            <color indexed="81"/>
            <rFont val="Tahoma"/>
          </rPr>
          <t>Eddie Moses:</t>
        </r>
        <r>
          <rPr>
            <sz val="8"/>
            <color indexed="81"/>
            <rFont val="Tahoma"/>
          </rPr>
          <t xml:space="preserve">
No distributions until 2nd annual SR Debt payment date  
You may alter this cell if the timing of distribution is closer to previous calendar year</t>
        </r>
      </text>
    </comment>
    <comment ref="O70" authorId="0" shapeId="0">
      <text>
        <r>
          <rPr>
            <b/>
            <sz val="8"/>
            <color indexed="81"/>
            <rFont val="Tahoma"/>
          </rPr>
          <t>Eddie Moses:</t>
        </r>
        <r>
          <rPr>
            <sz val="8"/>
            <color indexed="81"/>
            <rFont val="Tahoma"/>
          </rPr>
          <t xml:space="preserve">
Adjusted for non-January production start
</t>
        </r>
      </text>
    </comment>
  </commentList>
</comments>
</file>

<file path=xl/comments5.xml><?xml version="1.0" encoding="utf-8"?>
<comments xmlns="http://schemas.openxmlformats.org/spreadsheetml/2006/main">
  <authors>
    <author>Eddie Moses</author>
    <author>A satisfied Microsoft Office user</author>
  </authors>
  <commentList>
    <comment ref="E10" authorId="0" shapeId="0">
      <text>
        <r>
          <rPr>
            <b/>
            <sz val="8"/>
            <color indexed="81"/>
            <rFont val="Tahoma"/>
          </rPr>
          <t>Eddie Moses:</t>
        </r>
        <r>
          <rPr>
            <sz val="8"/>
            <color indexed="81"/>
            <rFont val="Tahoma"/>
          </rPr>
          <t xml:space="preserve">
This line used for hlookup functions - do not remove
</t>
        </r>
      </text>
    </comment>
    <comment ref="B23" authorId="0" shapeId="0">
      <text>
        <r>
          <rPr>
            <b/>
            <sz val="9"/>
            <color indexed="81"/>
            <rFont val="Tahoma"/>
            <family val="2"/>
          </rPr>
          <t>Eddie Moses:</t>
        </r>
        <r>
          <rPr>
            <sz val="9"/>
            <color indexed="81"/>
            <rFont val="Tahoma"/>
            <family val="2"/>
          </rPr>
          <t xml:space="preserve">
At Debt close you may hook accurate S.A. Net Operating Cash available for Debt Service here
</t>
        </r>
      </text>
    </comment>
    <comment ref="B68" authorId="0" shapeId="0">
      <text>
        <r>
          <rPr>
            <b/>
            <sz val="9"/>
            <color indexed="81"/>
            <rFont val="Tahoma"/>
            <family val="2"/>
          </rPr>
          <t>Eddie Moses:</t>
        </r>
        <r>
          <rPr>
            <sz val="9"/>
            <color indexed="81"/>
            <rFont val="Tahoma"/>
            <family val="2"/>
          </rPr>
          <t xml:space="preserve">
At Debt close you may hook accurate S.A. Net Operating Cash available for Debt Service here
</t>
        </r>
      </text>
    </comment>
    <comment ref="D268" authorId="1" shapeId="0">
      <text>
        <r>
          <rPr>
            <sz val="7"/>
            <color indexed="81"/>
            <rFont val="Tahoma"/>
          </rPr>
          <t>Eddie Moses/EWC/Enron   11/18/98  09:11:55 AM
Debt Fine Tuner adds money to the PV of the last year of the Debt Term. The formula which solves for Debt (=PV of Cash Available for Debt after coverage ratio solved at the interest rate and then summed) comes up with a larger final coverage ratio, the longer the Debt Term. The Tuner is needed to adjust this.</t>
        </r>
      </text>
    </comment>
  </commentList>
</comments>
</file>

<file path=xl/comments6.xml><?xml version="1.0" encoding="utf-8"?>
<comments xmlns="http://schemas.openxmlformats.org/spreadsheetml/2006/main">
  <authors>
    <author>Eddie Moses</author>
  </authors>
  <commentList>
    <comment ref="D14" authorId="0" shapeId="0">
      <text>
        <r>
          <rPr>
            <b/>
            <sz val="8"/>
            <color indexed="81"/>
            <rFont val="Tahoma"/>
          </rPr>
          <t>Eddie Moses:</t>
        </r>
        <r>
          <rPr>
            <sz val="8"/>
            <color indexed="81"/>
            <rFont val="Tahoma"/>
          </rPr>
          <t xml:space="preserve">
Do not use these cells as it effects the calendar year Add/Equity calc
</t>
        </r>
      </text>
    </comment>
    <comment ref="E28" authorId="0" shapeId="0">
      <text>
        <r>
          <rPr>
            <b/>
            <sz val="8"/>
            <color indexed="81"/>
            <rFont val="Tahoma"/>
          </rPr>
          <t>Eddie Moses:</t>
        </r>
        <r>
          <rPr>
            <sz val="8"/>
            <color indexed="81"/>
            <rFont val="Tahoma"/>
          </rPr>
          <t xml:space="preserve">
These cells are used for HLOOKUP functions - please keep with coverage ratios</t>
        </r>
      </text>
    </comment>
  </commentList>
</comments>
</file>

<file path=xl/comments7.xml><?xml version="1.0" encoding="utf-8"?>
<comments xmlns="http://schemas.openxmlformats.org/spreadsheetml/2006/main">
  <authors>
    <author>Eddie Moses</author>
  </authors>
  <commentList>
    <comment ref="B54" authorId="0" shapeId="0">
      <text/>
    </comment>
    <comment ref="B79" authorId="0" shapeId="0">
      <text/>
    </comment>
  </commentList>
</comments>
</file>

<file path=xl/comments8.xml><?xml version="1.0" encoding="utf-8"?>
<comments xmlns="http://schemas.openxmlformats.org/spreadsheetml/2006/main">
  <authors>
    <author>Eddie Moses</author>
  </authors>
  <commentList>
    <comment ref="B19" authorId="0" shapeId="0">
      <text>
        <r>
          <rPr>
            <b/>
            <sz val="7"/>
            <color indexed="81"/>
            <rFont val="Tahoma"/>
          </rPr>
          <t>Eddie Moses:</t>
        </r>
        <r>
          <rPr>
            <sz val="7"/>
            <color indexed="81"/>
            <rFont val="Tahoma"/>
          </rPr>
          <t xml:space="preserve">
If Income and Beginning Basis are both (+) then re-use suspended losses up to the amount of Basis
If both are (-) then suspend all the losses
If Income (-) and Basis (+) then if ABS(Income) &lt; Basis then 0 else if ABS(Income) &gt; Basis suspend any losses exceeding the Basis
If Income (+) and Basis (-) then 0</t>
        </r>
      </text>
    </comment>
    <comment ref="B37" authorId="0" shapeId="0">
      <text>
        <r>
          <rPr>
            <b/>
            <sz val="7"/>
            <color indexed="81"/>
            <rFont val="Tahoma"/>
          </rPr>
          <t>Eddie Moses:</t>
        </r>
        <r>
          <rPr>
            <sz val="7"/>
            <color indexed="81"/>
            <rFont val="Tahoma"/>
          </rPr>
          <t xml:space="preserve">
If Income and Beginning Basis are both (+) then re-use suspended losses up to the amount of Basis
If both are (-) then suspend all the losses
If Income (-) and Basis (+) then if ABS(Income) &lt; Basis then 0 else if ABS(Income) &gt; Basis suspend any losses exceeding the Basis
If Income (+) and Basis (-) then 0</t>
        </r>
      </text>
    </comment>
  </commentList>
</comments>
</file>

<file path=xl/comments9.xml><?xml version="1.0" encoding="utf-8"?>
<comments xmlns="http://schemas.openxmlformats.org/spreadsheetml/2006/main">
  <authors>
    <author>Eddie Moses</author>
  </authors>
  <commentList>
    <comment ref="B6" authorId="0" shapeId="0">
      <text>
        <r>
          <rPr>
            <b/>
            <sz val="7"/>
            <color indexed="81"/>
            <rFont val="Tahoma"/>
          </rPr>
          <t>Eddie Moses:</t>
        </r>
        <r>
          <rPr>
            <sz val="7"/>
            <color indexed="81"/>
            <rFont val="Tahoma"/>
          </rPr>
          <t xml:space="preserve">
If Income and Basis are both (+) then re-use suspended losses up to the amount of Basis
If both are (-) then suspend all the losses
If Income (-) and Basis (+) then if ABS(Income) &lt; Basis then 0 else if ABS(Income) &gt; Basis suspend any losses exceeding the Basis
If Income (+) and Basis (-) then 0</t>
        </r>
      </text>
    </comment>
    <comment ref="B25" authorId="0" shapeId="0">
      <text>
        <r>
          <rPr>
            <b/>
            <sz val="7"/>
            <color indexed="81"/>
            <rFont val="Tahoma"/>
          </rPr>
          <t>Eddie Moses:</t>
        </r>
        <r>
          <rPr>
            <sz val="7"/>
            <color indexed="81"/>
            <rFont val="Tahoma"/>
          </rPr>
          <t xml:space="preserve">
Assumes Additional Equity is an after-tax event due to PTC Monetization
</t>
        </r>
      </text>
    </comment>
    <comment ref="E47" authorId="0" shapeId="0">
      <text>
        <r>
          <rPr>
            <b/>
            <sz val="8"/>
            <color indexed="81"/>
            <rFont val="Tahoma"/>
          </rPr>
          <t>Eddie Moses:</t>
        </r>
        <r>
          <rPr>
            <sz val="8"/>
            <color indexed="81"/>
            <rFont val="Tahoma"/>
          </rPr>
          <t xml:space="preserve">
THIS SECTION ALTERED FOR FIRST YEAR START DATE</t>
        </r>
      </text>
    </comment>
    <comment ref="E54" authorId="0" shapeId="0">
      <text>
        <r>
          <rPr>
            <b/>
            <sz val="8"/>
            <color indexed="81"/>
            <rFont val="Tahoma"/>
          </rPr>
          <t>Eddie Moses:</t>
        </r>
        <r>
          <rPr>
            <sz val="8"/>
            <color indexed="81"/>
            <rFont val="Tahoma"/>
          </rPr>
          <t xml:space="preserve">
THIS SECTION ALTERED FOR FIRST YEAR START DATE</t>
        </r>
      </text>
    </comment>
  </commentList>
</comments>
</file>

<file path=xl/comments10.xml><?xml version="1.0" encoding="utf-8"?>
<comments xmlns="http://schemas.openxmlformats.org/spreadsheetml/2006/main">
  <authors>
    <author>Eddie Moses</author>
  </authors>
  <commentList>
    <comment ref="B6" authorId="0" shapeId="0">
      <text>
        <r>
          <rPr>
            <b/>
            <sz val="7"/>
            <color indexed="81"/>
            <rFont val="Tahoma"/>
          </rPr>
          <t>Eddie Moses:</t>
        </r>
        <r>
          <rPr>
            <sz val="7"/>
            <color indexed="81"/>
            <rFont val="Tahoma"/>
          </rPr>
          <t xml:space="preserve">
If Income and Basis are both (+) then re-use suspended losses up to the amount of Basis
If both are (-) then suspend all the losses
If Income (-) and Basis (+) then if ABS(Income) &lt; Basis then 0 else if ABS(Income) &gt; Basis suspend any losses exceeding the Basis
If Income (+) and Basis (-) then 0</t>
        </r>
      </text>
    </comment>
    <comment ref="B25" authorId="0" shapeId="0">
      <text>
        <r>
          <rPr>
            <b/>
            <sz val="7"/>
            <color indexed="81"/>
            <rFont val="Tahoma"/>
          </rPr>
          <t>Eddie Moses:</t>
        </r>
        <r>
          <rPr>
            <sz val="7"/>
            <color indexed="81"/>
            <rFont val="Tahoma"/>
          </rPr>
          <t xml:space="preserve">
Assumes Additional Equity is an after-tax event due to PTC Monetization
</t>
        </r>
      </text>
    </comment>
    <comment ref="E47" authorId="0" shapeId="0">
      <text>
        <r>
          <rPr>
            <b/>
            <sz val="8"/>
            <color indexed="81"/>
            <rFont val="Tahoma"/>
          </rPr>
          <t>Eddie Moses:</t>
        </r>
        <r>
          <rPr>
            <sz val="8"/>
            <color indexed="81"/>
            <rFont val="Tahoma"/>
          </rPr>
          <t xml:space="preserve">
THIS SECTION IS ALTERED FOR FIRST YEAR START DATE
</t>
        </r>
      </text>
    </comment>
    <comment ref="E54" authorId="0" shapeId="0">
      <text>
        <r>
          <rPr>
            <b/>
            <sz val="8"/>
            <color indexed="81"/>
            <rFont val="Tahoma"/>
          </rPr>
          <t>Eddie Moses:</t>
        </r>
        <r>
          <rPr>
            <sz val="8"/>
            <color indexed="81"/>
            <rFont val="Tahoma"/>
          </rPr>
          <t xml:space="preserve">
THIS SECTION IS ALTERED FOR FIRST YEAR START DATE
</t>
        </r>
      </text>
    </comment>
  </commentList>
</comments>
</file>

<file path=xl/comments11.xml><?xml version="1.0" encoding="utf-8"?>
<comments xmlns="http://schemas.openxmlformats.org/spreadsheetml/2006/main">
  <authors>
    <author>Eddie Moses</author>
  </authors>
  <commentList>
    <comment ref="C11" authorId="0" shapeId="0">
      <text>
        <r>
          <rPr>
            <b/>
            <sz val="7"/>
            <color indexed="81"/>
            <rFont val="Tahoma"/>
          </rPr>
          <t>Eddie Moses:</t>
        </r>
        <r>
          <rPr>
            <sz val="7"/>
            <color indexed="81"/>
            <rFont val="Tahoma"/>
          </rPr>
          <t xml:space="preserve">
default = 750
connect to Z48 rated capacity cell</t>
        </r>
      </text>
    </comment>
    <comment ref="C12" authorId="0" shapeId="0">
      <text>
        <r>
          <rPr>
            <b/>
            <sz val="7"/>
            <color indexed="81"/>
            <rFont val="Tahoma"/>
          </rPr>
          <t>Eddie Moses:</t>
        </r>
        <r>
          <rPr>
            <sz val="7"/>
            <color indexed="81"/>
            <rFont val="Tahoma"/>
          </rPr>
          <t xml:space="preserve">
Default = 1/12
See Rich Simon for more complete data</t>
        </r>
      </text>
    </comment>
  </commentList>
</comments>
</file>

<file path=xl/sharedStrings.xml><?xml version="1.0" encoding="utf-8"?>
<sst xmlns="http://schemas.openxmlformats.org/spreadsheetml/2006/main" count="1347" uniqueCount="915">
  <si>
    <t>UTILITY INTERCONNECT COSTS</t>
  </si>
  <si>
    <t>EWC DEVELOPER FEE</t>
  </si>
  <si>
    <t>TOTAL FACILITY COST</t>
  </si>
  <si>
    <t>GROSS:</t>
  </si>
  <si>
    <t>TOPOGRAPHIC ENHANCEMENT</t>
  </si>
  <si>
    <t>BLADE CONTAMINATION</t>
  </si>
  <si>
    <t>TURBULANCE</t>
  </si>
  <si>
    <t>Beginning Balance</t>
  </si>
  <si>
    <t>EWC EQUITY</t>
  </si>
  <si>
    <t>Depreciation &amp; Amort Colour Key</t>
  </si>
  <si>
    <t xml:space="preserve">      TOTAL</t>
  </si>
  <si>
    <t>SHIPPING - WTG &amp; BLADES</t>
  </si>
  <si>
    <t>INTERCONNECTION COSTS</t>
  </si>
  <si>
    <t>OUTSIDE</t>
  </si>
  <si>
    <t>ZOND</t>
  </si>
  <si>
    <t xml:space="preserve"> EQUITY RETURN:</t>
  </si>
  <si>
    <t>EQUITY RETURN:</t>
  </si>
  <si>
    <t>CASH</t>
  </si>
  <si>
    <t>TAX</t>
  </si>
  <si>
    <t>PRE-TAX</t>
  </si>
  <si>
    <t>AFTER TAX</t>
  </si>
  <si>
    <t xml:space="preserve">    10 YEAR IRR</t>
  </si>
  <si>
    <t xml:space="preserve">    20 YEAR IRR</t>
  </si>
  <si>
    <t xml:space="preserve">    30 YEAR IRR</t>
  </si>
  <si>
    <t>PRE-TAX @</t>
  </si>
  <si>
    <t>AFTER TAX @</t>
  </si>
  <si>
    <t xml:space="preserve">    10 YEAR NPV</t>
  </si>
  <si>
    <t>ADDITIONAL EQUITY - EWC</t>
  </si>
  <si>
    <t>NET CASH AFTER JR DEBT</t>
  </si>
  <si>
    <t>TOTAL CASH AND PTC FOR JR DEBT COV RATIO</t>
  </si>
  <si>
    <t>Project Cash for JR Debt Coverage Ratio</t>
  </si>
  <si>
    <t>PROJECT CASH AVAILABLE FOR MONETIZATION COV RATIO</t>
  </si>
  <si>
    <t>JR Debt Interest Rate</t>
  </si>
  <si>
    <t>Cash Used for SR Debt</t>
  </si>
  <si>
    <t>PTC MONETIZATION</t>
  </si>
  <si>
    <t>PROJECT CASH</t>
  </si>
  <si>
    <t>Total Monetized PTC  for JR Debt</t>
  </si>
  <si>
    <t>Monetization Rate / Additional Outside Equity</t>
  </si>
  <si>
    <t>Monetization Rate / Additional  EWC Equity</t>
  </si>
  <si>
    <t>PTC Allocated for Monetization - Oustide Equity</t>
  </si>
  <si>
    <t>PTC Allocated for Monetization - EWC</t>
  </si>
  <si>
    <t>Senior Debt</t>
  </si>
  <si>
    <t>JR DEBT</t>
  </si>
  <si>
    <t xml:space="preserve">  Default = Contribution %</t>
  </si>
  <si>
    <t>Check</t>
  </si>
  <si>
    <t>PERSONAL PROPERTY TAX</t>
  </si>
  <si>
    <t>TOTAL PROPERTY TAX - REAL &amp; PERSONAL</t>
  </si>
  <si>
    <t xml:space="preserve">LAND PAYMENTS </t>
  </si>
  <si>
    <t>STATE</t>
  </si>
  <si>
    <t>FEDERAL PROD. TAX CREDIT - IRS ADJUSTED</t>
  </si>
  <si>
    <t>TOTAL PROD TAX CREDIT</t>
  </si>
  <si>
    <t>TOTAL AMORTISATION</t>
  </si>
  <si>
    <t>FIRST YEAR TOTAL ENERGY RATE</t>
  </si>
  <si>
    <t>FIRST YEAR BID ENERGY RATE</t>
  </si>
  <si>
    <t xml:space="preserve">20 YR LEVELIZED ENERGY RATE @ </t>
  </si>
  <si>
    <t>SHARING RATIOS</t>
  </si>
  <si>
    <t>Predevelopment Expenses</t>
  </si>
  <si>
    <t xml:space="preserve"> yellow = distribution cell </t>
  </si>
  <si>
    <t>FIRST PAYMENT DATE</t>
  </si>
  <si>
    <t>2ND PAYMENT DATE</t>
  </si>
  <si>
    <t>ADJUSTMENT FOR CALENDAR YEAR</t>
  </si>
  <si>
    <t>PROJECT YEAR</t>
  </si>
  <si>
    <t>Project Start Date</t>
  </si>
  <si>
    <t>First Payment Date</t>
  </si>
  <si>
    <t>Second Payment Date</t>
  </si>
  <si>
    <t>Cash Available for SR Debt -- Project Year</t>
  </si>
  <si>
    <t>CURRENT YEAR</t>
  </si>
  <si>
    <t>TIME OF YEAR ADJUSTMENT -- DO NOT ALTER</t>
  </si>
  <si>
    <t>Total PV + Fine Tuner</t>
  </si>
  <si>
    <t>PAYMENTS PER YEAR</t>
  </si>
  <si>
    <t>PROFIT MARGIN</t>
  </si>
  <si>
    <t xml:space="preserve">     SUB TOTAL CONSTRUCTION COSTS</t>
  </si>
  <si>
    <t xml:space="preserve">     SUB TOTAL  CONNECTION COSTS</t>
  </si>
  <si>
    <t>OTHER CONSTRUCTION COSTS:</t>
  </si>
  <si>
    <t>CONTINGENCY</t>
  </si>
  <si>
    <t>CONSTRUCTION OVERHEAD</t>
  </si>
  <si>
    <t>FEDERAL PROD. TAX CREDIT (1992 CENTS/kWh)</t>
  </si>
  <si>
    <t>OUTSIDE EQUITY TOTAL EFFECTIVE RATE</t>
  </si>
  <si>
    <t>EWC TOTAL EFFECTIVE RATE</t>
  </si>
  <si>
    <t xml:space="preserve">RATES </t>
  </si>
  <si>
    <t>Basis BI</t>
  </si>
  <si>
    <t xml:space="preserve"> Use if supplied by R. Simon</t>
  </si>
  <si>
    <t>OPERATING EXPENSES</t>
  </si>
  <si>
    <t>TAX CREDIT- PTC</t>
  </si>
  <si>
    <t>COVERAGE RATIO</t>
  </si>
  <si>
    <t>TERM OF LOAN</t>
  </si>
  <si>
    <t>ENRON WIND CORP</t>
  </si>
  <si>
    <t>PROJECT NAME:</t>
  </si>
  <si>
    <t>LOCATION:</t>
  </si>
  <si>
    <t>VARIABLE AMORTIZATION            YEARS</t>
  </si>
  <si>
    <t>SPLIT AMONG SEVERAL AMORT</t>
  </si>
  <si>
    <t>TOTAL CONSTRUCTION COSTS</t>
  </si>
  <si>
    <t>EWC DEVELOPER FEE TO PRIMARY FACILITY COST</t>
  </si>
  <si>
    <t>EPC WRAP FEE TO PRIMARY FACILITY COST</t>
  </si>
  <si>
    <t xml:space="preserve">TAX BENEFITS </t>
  </si>
  <si>
    <t>PTC</t>
  </si>
  <si>
    <t>total project</t>
  </si>
  <si>
    <t>actual exp + equity</t>
  </si>
  <si>
    <t>should = working cap</t>
  </si>
  <si>
    <t>sum of differences should = working cap</t>
  </si>
  <si>
    <t>ending capacc balance</t>
  </si>
  <si>
    <t>total project - depreciation</t>
  </si>
  <si>
    <t>differences actual exp - principle pmts</t>
  </si>
  <si>
    <t>DEVELOPER FEE SWITCH  (manual=0  calc'd=1 )</t>
  </si>
  <si>
    <t xml:space="preserve"> ** if Term includes .5 then Project Start Date is later than January</t>
  </si>
  <si>
    <t xml:space="preserve">    &gt;&gt;&gt;&gt;&gt;&gt;&gt;&gt;</t>
  </si>
  <si>
    <t xml:space="preserve">    TOTAL SR DEBT PAYMENTS</t>
  </si>
  <si>
    <t xml:space="preserve">     TOTAL JR DEBT PMT</t>
  </si>
  <si>
    <t>total cash &amp; non cash value</t>
  </si>
  <si>
    <t>total depreciable assets</t>
  </si>
  <si>
    <t>difference</t>
  </si>
  <si>
    <t>working cap</t>
  </si>
  <si>
    <t>capacc residual</t>
  </si>
  <si>
    <t>Total PTC</t>
  </si>
  <si>
    <t>SR DEBT ANNUAL AGENCY FEE</t>
  </si>
  <si>
    <t>PTC REDUCTION % - for exclusion</t>
  </si>
  <si>
    <r>
      <t xml:space="preserve">Taxable Income </t>
    </r>
    <r>
      <rPr>
        <b/>
        <sz val="10"/>
        <color indexed="10"/>
        <rFont val="Arial"/>
        <family val="2"/>
      </rPr>
      <t>(Loss)</t>
    </r>
  </si>
  <si>
    <t>JR DEBT SWITCH (1 = On   0 = Off)</t>
  </si>
  <si>
    <t>INFLATION CONTINGENCY</t>
  </si>
  <si>
    <t xml:space="preserve">     SUB TOTAL OTHER CONSTRUCTION COST</t>
  </si>
  <si>
    <t>EPC WRAP FEE</t>
  </si>
  <si>
    <t>TBD</t>
  </si>
  <si>
    <t>SUB-DEBT COVERAGE RATIO</t>
  </si>
  <si>
    <t>TERM OF SUB-DEBT LOAN</t>
  </si>
  <si>
    <t xml:space="preserve">     # Years for which Baseline is exluded</t>
  </si>
  <si>
    <t>RESERVES</t>
  </si>
  <si>
    <t>DEBT RESERVE:</t>
  </si>
  <si>
    <t>ADDITIONAL EQUITY</t>
  </si>
  <si>
    <t>TOTAL PRE-TAX CASH FLOW</t>
  </si>
  <si>
    <t xml:space="preserve">     CUMULATIVE P-T CASH FLOW</t>
  </si>
  <si>
    <t>TOTAL AFTER-TAX CASH FLOW</t>
  </si>
  <si>
    <t xml:space="preserve">     CUMULATIVE A-T CASH FLOW</t>
  </si>
  <si>
    <t xml:space="preserve"> 3 MONTH LIBOR Bloomberg 9/24/98</t>
  </si>
  <si>
    <t>SPREAD</t>
  </si>
  <si>
    <t>PROJECT DURATION (YRS):</t>
  </si>
  <si>
    <t>BEGINNING YEAR FOR PRODUCTION</t>
  </si>
  <si>
    <t>WTG NUMBER &amp; TYPE:</t>
  </si>
  <si>
    <t xml:space="preserve">  $</t>
  </si>
  <si>
    <t xml:space="preserve"> Connect if used</t>
  </si>
  <si>
    <t xml:space="preserve">CAPACITY FACTOR </t>
  </si>
  <si>
    <t>PROJECT CAPACITY (MW):</t>
  </si>
  <si>
    <t>FACILITY COST</t>
  </si>
  <si>
    <t>TURBINE ACQUISITION COST:</t>
  </si>
  <si>
    <t>PER WTG</t>
  </si>
  <si>
    <t>EWC 10yr IRR</t>
  </si>
  <si>
    <t>Initial Excluded PTC</t>
  </si>
  <si>
    <t xml:space="preserve">INITIAL EXCLUDED PTC </t>
  </si>
  <si>
    <t>FINAL EXCLUDED PTC</t>
  </si>
  <si>
    <t>Final Excluded PTC</t>
  </si>
  <si>
    <t>JUNIOR DEBT</t>
  </si>
  <si>
    <t>RAROC OPEX VARIANCE</t>
  </si>
  <si>
    <t>Other Variances</t>
  </si>
  <si>
    <t>Raroc OPEX Variance Total</t>
  </si>
  <si>
    <t>TBD - standard estimate</t>
  </si>
  <si>
    <t>PREDEVELOPMENT EXPENSES TOTAL</t>
  </si>
  <si>
    <t>INSURANCE CONSULTANT FEES</t>
  </si>
  <si>
    <t xml:space="preserve">INITIAL WORKING CAPITAL </t>
  </si>
  <si>
    <t>RAROC GDPIPD</t>
  </si>
  <si>
    <t>Total Annual Interest</t>
  </si>
  <si>
    <t>Total Annual Principle</t>
  </si>
  <si>
    <t>% TOTAL</t>
  </si>
  <si>
    <t>$ PER KW</t>
  </si>
  <si>
    <t>BANK NET INTEREST RATE:</t>
  </si>
  <si>
    <t>DEBT</t>
  </si>
  <si>
    <t>BEG</t>
  </si>
  <si>
    <t>LOAN</t>
  </si>
  <si>
    <t>TERM</t>
  </si>
  <si>
    <t>INT. RATE</t>
  </si>
  <si>
    <t>AMOUNT</t>
  </si>
  <si>
    <t xml:space="preserve">     AGGREGATE LOAN</t>
  </si>
  <si>
    <t>ANNUAL COVERAGE RATIOS</t>
  </si>
  <si>
    <t>BANK DEBT</t>
  </si>
  <si>
    <t>SUB-DEBT</t>
  </si>
  <si>
    <t>EQUITY</t>
  </si>
  <si>
    <t>$</t>
  </si>
  <si>
    <t>%</t>
  </si>
  <si>
    <t xml:space="preserve"> OUTSIDE EQUITY</t>
  </si>
  <si>
    <t xml:space="preserve"> ZOND/ENRON EQUITY</t>
  </si>
  <si>
    <t xml:space="preserve">   TOTAL</t>
  </si>
  <si>
    <t>Enron Wind Corp Return</t>
  </si>
  <si>
    <t xml:space="preserve">    Monetization Rate - Outside Equity</t>
  </si>
  <si>
    <t xml:space="preserve">    Monetization Rate - EWC</t>
  </si>
  <si>
    <t>Pre-Exclusion  PTC Subject to Monetization</t>
  </si>
  <si>
    <t>ADDITIONAL EQUITY - OUTSIDE</t>
  </si>
  <si>
    <t>PAYMENTS</t>
  </si>
  <si>
    <t>SUBORDINATE</t>
  </si>
  <si>
    <t>CASH AVAILABLE FOR JR DEBT</t>
  </si>
  <si>
    <t>TOTAL CASH DISTRIBUTIONS</t>
  </si>
  <si>
    <t xml:space="preserve">TOTAL OPEX </t>
  </si>
  <si>
    <t>&lt;&lt;&lt;&lt;&lt;&lt;&lt;&lt;&lt;&lt;&lt;&lt;&lt;&lt;&lt;&lt;&lt;&lt;&lt;&lt;&lt;</t>
  </si>
  <si>
    <t>REVENUE</t>
  </si>
  <si>
    <t xml:space="preserve">20 YR LEVELIZED  RATE @ </t>
  </si>
  <si>
    <t>FIRST YEAR BID RATE</t>
  </si>
  <si>
    <t>FIRST YEAR TOTAL RATE</t>
  </si>
  <si>
    <t xml:space="preserve"> JR DEBT</t>
  </si>
  <si>
    <t>PRE TAX</t>
  </si>
  <si>
    <t xml:space="preserve">    2)  PTC'S QUARTERLY, CASH PAID ANNUALLY</t>
  </si>
  <si>
    <t xml:space="preserve">    1)  PTC'S ANNUALLY, CASH PAID ANNUALLY</t>
  </si>
  <si>
    <t>NET GAIN</t>
  </si>
  <si>
    <t>WTG MARKUP</t>
  </si>
  <si>
    <t>PROJECT MARKUP</t>
  </si>
  <si>
    <t>MWh PRODUCED</t>
  </si>
  <si>
    <t>&lt;&lt;&lt;&lt;&lt;&lt;&lt;&lt;</t>
  </si>
  <si>
    <t>$ COST / MWh PRODUCED (000)</t>
  </si>
  <si>
    <t>ALL IN EWC</t>
  </si>
  <si>
    <t>EWC NET GAIN</t>
  </si>
  <si>
    <t>DATE</t>
  </si>
  <si>
    <t>BEGINNING</t>
  </si>
  <si>
    <t xml:space="preserve">     CASH &amp; NON-CASH TOTAL</t>
  </si>
  <si>
    <t>BOOK ELIMINATION</t>
  </si>
  <si>
    <t>CURRENT PORTION OF TAX</t>
  </si>
  <si>
    <t>DEFERRED PORTION OF TAX</t>
  </si>
  <si>
    <t>PROJECT PTC</t>
  </si>
  <si>
    <t>PROJECT TAX BENEFIT (PMT)</t>
  </si>
  <si>
    <t xml:space="preserve">TOTAL PROJECT BOOK EFFECT </t>
  </si>
  <si>
    <t>PROJECT OPEX EXPENSE</t>
  </si>
  <si>
    <t>EWC BOOK EARNINGS : 5 YEAR</t>
  </si>
  <si>
    <t>EQUITY SWITCH (1=User Input : 0=Model Solve)</t>
  </si>
  <si>
    <t>NPV OF TOTAL EQUITY</t>
  </si>
  <si>
    <t>TOTAL BASIS</t>
  </si>
  <si>
    <t>TOTAL CAPITAL ACCOUNT</t>
  </si>
  <si>
    <t xml:space="preserve"> clear = no distribution and/or not connected</t>
  </si>
  <si>
    <t>Orange</t>
  </si>
  <si>
    <t>light green or Orange = connected to Assumptions</t>
  </si>
  <si>
    <t xml:space="preserve"> light yellow or Red= connected to Sources Uses</t>
  </si>
  <si>
    <t>Red</t>
  </si>
  <si>
    <t>OTHER CONSTRUCTION COSTS</t>
  </si>
  <si>
    <t>CONSTRUCTION INTEREST</t>
  </si>
  <si>
    <t>CONSTRUCTION INSURANCE</t>
  </si>
  <si>
    <t>PRODUCTION % PER  YEAR</t>
  </si>
  <si>
    <t>EWC PROJECTED WIND PRODUCTION (MWh)</t>
  </si>
  <si>
    <t>ENERGY RATE</t>
  </si>
  <si>
    <t>ELECTRICITY SALES</t>
  </si>
  <si>
    <t xml:space="preserve">MAINTENANCE </t>
  </si>
  <si>
    <t xml:space="preserve">    20 YEAR NPV</t>
  </si>
  <si>
    <t xml:space="preserve">    30 YEAR NPV</t>
  </si>
  <si>
    <t>NET CAPACITY FACTOR</t>
  </si>
  <si>
    <t>LOCATION</t>
  </si>
  <si>
    <t>SOURCES OF FUNDS</t>
  </si>
  <si>
    <t xml:space="preserve"> $ PER WTG</t>
  </si>
  <si>
    <t>TOTAL</t>
  </si>
  <si>
    <t>CASH &amp; TAX ASSUMPTIONS SWITCH</t>
  </si>
  <si>
    <t xml:space="preserve">OUTSIDE </t>
  </si>
  <si>
    <t xml:space="preserve">OUTSIDE EQUITY </t>
  </si>
  <si>
    <t>EWC</t>
  </si>
  <si>
    <t xml:space="preserve">ZOND/ENRON EQUITY  </t>
  </si>
  <si>
    <t>USES OF FUNDS</t>
  </si>
  <si>
    <t>n/a</t>
  </si>
  <si>
    <t>TOWERS</t>
  </si>
  <si>
    <t>CONSTRUCTION COSTS</t>
  </si>
  <si>
    <t>10 YEAR IRR</t>
  </si>
  <si>
    <t>20 YEAR IRR</t>
  </si>
  <si>
    <t>30 YEAR IRR</t>
  </si>
  <si>
    <t>LIQUIDATED DAMAGES</t>
  </si>
  <si>
    <t>10 YEAR NPV</t>
  </si>
  <si>
    <t>20 YEAR NPV</t>
  </si>
  <si>
    <t>30 YEAR NPV</t>
  </si>
  <si>
    <t>AGGREGATE LOAN</t>
  </si>
  <si>
    <t>COVERAGE RATIOS</t>
  </si>
  <si>
    <t>NPV@</t>
  </si>
  <si>
    <t>MANAGEMENT FEE</t>
  </si>
  <si>
    <t>Operating Expenses</t>
  </si>
  <si>
    <t>EBITDA</t>
  </si>
  <si>
    <t>Interest</t>
  </si>
  <si>
    <t>EBT</t>
  </si>
  <si>
    <t>PVF</t>
  </si>
  <si>
    <t>Target Term</t>
  </si>
  <si>
    <t>AGGREGATE $(000)</t>
  </si>
  <si>
    <t>TURBINE PRICE</t>
  </si>
  <si>
    <t>SCADA SYSTEM</t>
  </si>
  <si>
    <t>TOWER</t>
  </si>
  <si>
    <t>WTG FREIGHT</t>
  </si>
  <si>
    <t>TOWER FREIGHT</t>
  </si>
  <si>
    <t xml:space="preserve">     TOTAL TURBINE ACQUISITION COST:</t>
  </si>
  <si>
    <t>TURBINE INSTALLATION COST:</t>
  </si>
  <si>
    <t xml:space="preserve"> Input either Per WTG or Aggregate but manually make sure the other is solved correctly using # WTGs</t>
  </si>
  <si>
    <t>MANUFACTURING COSTS</t>
  </si>
  <si>
    <t>CIVIL COSTS</t>
  </si>
  <si>
    <t>MECHANICAL/ERECTION</t>
  </si>
  <si>
    <t>ELECTRICAL DISTRIBUTION</t>
  </si>
  <si>
    <t>ENGINEERING</t>
  </si>
  <si>
    <t>FACILITY STARTUP</t>
  </si>
  <si>
    <t>Tax Depreciation &amp; Amortization</t>
  </si>
  <si>
    <t>Cash Distributions</t>
  </si>
  <si>
    <t>Ending Capital Account</t>
  </si>
  <si>
    <t>NET OPERATING CASH</t>
  </si>
  <si>
    <t>Default - connected to Assum:Months Construction / 12</t>
  </si>
  <si>
    <t xml:space="preserve">ANNUALIZED CONST. INSURANCE </t>
  </si>
  <si>
    <t>LAND LEASE TERMS</t>
  </si>
  <si>
    <t>ROYALTY        +</t>
  </si>
  <si>
    <t xml:space="preserve"> FIXED</t>
  </si>
  <si>
    <t>MISCELLANEOUS</t>
  </si>
  <si>
    <t xml:space="preserve">FEDERAL TAX </t>
  </si>
  <si>
    <t>FEDERAL PROD. TAX CREDIT CALCULATED</t>
  </si>
  <si>
    <t>DEBT ASSUMPTIONS:</t>
  </si>
  <si>
    <t>CONSTRUCTION LOAN TERMS:</t>
  </si>
  <si>
    <t xml:space="preserve"> # MONTHS FOR CONSTRUCTION</t>
  </si>
  <si>
    <t>Default = Working Capital-Other Facility Costs</t>
  </si>
  <si>
    <t>Beginning</t>
  </si>
  <si>
    <t xml:space="preserve"> NON-CASH ASSETS</t>
  </si>
  <si>
    <t>TAX DEPRECIATION</t>
  </si>
  <si>
    <t>BOOK DEPRECIATION</t>
  </si>
  <si>
    <t>TAX &amp; BOOK AMORTIZATION</t>
  </si>
  <si>
    <t>TAX INCOME</t>
  </si>
  <si>
    <t>Rate X WTG, Tower, Scada - TBD by State and County</t>
  </si>
  <si>
    <t>EQUITY ASSUMPTIONS</t>
  </si>
  <si>
    <t>EPC WARRANTY FEE</t>
  </si>
  <si>
    <t>EPC PAYMENT TO ECM</t>
  </si>
  <si>
    <t>EPC PAYMENT TO ZOND CONSTRUCTORS</t>
  </si>
  <si>
    <t>NPV OFTOTAL  EPC WARRANTY      @ DISCOUNT RATE</t>
  </si>
  <si>
    <t>EFFECTIVE TAX</t>
  </si>
  <si>
    <t>BLANK</t>
  </si>
  <si>
    <t>TAX RATE</t>
  </si>
  <si>
    <t xml:space="preserve"> Calculation below</t>
  </si>
  <si>
    <t>WTG MARK UP</t>
  </si>
  <si>
    <t>TOTAL TOWER NET GAIN</t>
  </si>
  <si>
    <t>WTG TOTAL NET GAIN</t>
  </si>
  <si>
    <t>CURRENT TAX BENEFIT (PMT)</t>
  </si>
  <si>
    <t>TEMPORARY DIFFERENCE</t>
  </si>
  <si>
    <t>DEFERRED PORTION OF TAX EXPENSE</t>
  </si>
  <si>
    <t>TOTAL BOOK EFFECT</t>
  </si>
  <si>
    <t>TOTAL EXPENSES</t>
  </si>
  <si>
    <t>PROJECT CASH TO EWC</t>
  </si>
  <si>
    <t>OUTSIDE BOOK INCOME EFFECT</t>
  </si>
  <si>
    <t>TOTAL EQUITY          --  USER INPUT</t>
  </si>
  <si>
    <t>OUTSIDE EQUITY      -- CONTRIBUTION %</t>
  </si>
  <si>
    <t>EWC                                 --  CONTRIBUTION %</t>
  </si>
  <si>
    <t>HALF YEAR  CONVENTION : Q1-Q3</t>
  </si>
  <si>
    <t>MID QUARTERT CONVENTION : Q4</t>
  </si>
  <si>
    <t>OTHER ADJUSTMENT FOR LATER START YEAR</t>
  </si>
  <si>
    <t>CURRENT PORTION OF TOTAL DEBT</t>
  </si>
  <si>
    <t>LONG-TERM SENIOR DEBT</t>
  </si>
  <si>
    <t>LONG-TERM JUNIOR DEBT</t>
  </si>
  <si>
    <t>LIABILITES</t>
  </si>
  <si>
    <t>JR DEBT TOTAL</t>
  </si>
  <si>
    <t>JUNIOR DEBT:</t>
  </si>
  <si>
    <t>JR DEBT TERM</t>
  </si>
  <si>
    <t>JR DEBT FINE TUNER</t>
  </si>
  <si>
    <t>SR DEBT TERM</t>
  </si>
  <si>
    <t>SR DEBT FINE TUNER</t>
  </si>
  <si>
    <t>OTHER ADJUSTMENTS</t>
  </si>
  <si>
    <t>NET:</t>
  </si>
  <si>
    <t>OPERATING REVENUE</t>
  </si>
  <si>
    <t>BID PRICE</t>
  </si>
  <si>
    <t xml:space="preserve">DEFAULT RATE </t>
  </si>
  <si>
    <t>OTHER ADDITIONS</t>
  </si>
  <si>
    <t>Project Switches to Default beginning Year</t>
  </si>
  <si>
    <t>WORKING CAP/MINIMUM CASH BALANCE</t>
  </si>
  <si>
    <t>REGULAR MAINTENANCE</t>
  </si>
  <si>
    <t>YEAR</t>
  </si>
  <si>
    <t xml:space="preserve">           DEPRECIATION EXPENSE</t>
  </si>
  <si>
    <t xml:space="preserve">           AMORTIZATION EXPENSE</t>
  </si>
  <si>
    <t xml:space="preserve">           INTEREST EXPENSE</t>
  </si>
  <si>
    <t xml:space="preserve">PROJECT PRE-TAX BOOK INCOME </t>
  </si>
  <si>
    <t>ASSETS</t>
  </si>
  <si>
    <t>TOTAL ASSETS</t>
  </si>
  <si>
    <t>SENIOR DEBT</t>
  </si>
  <si>
    <t>PV</t>
  </si>
  <si>
    <t>Total</t>
  </si>
  <si>
    <t>Target Coverage Ratios</t>
  </si>
  <si>
    <t>Actual Coverage Ratios</t>
  </si>
  <si>
    <t>Beginning Loan Balance</t>
  </si>
  <si>
    <t>Principal</t>
  </si>
  <si>
    <t>Mid-Year Loan Balance</t>
  </si>
  <si>
    <t>Annual Interest Payment</t>
  </si>
  <si>
    <t>Annual Principle Payment</t>
  </si>
  <si>
    <t>Total P &amp; I Payment</t>
  </si>
  <si>
    <t>Counter Beginning Period</t>
  </si>
  <si>
    <t>Counter Mid Year</t>
  </si>
  <si>
    <t>Average Life</t>
  </si>
  <si>
    <t>PTC Subject to Monetization</t>
  </si>
  <si>
    <t>Drawdown  - Project Completion Inputs</t>
  </si>
  <si>
    <t>INFLATION RATE TO MODEL</t>
  </si>
  <si>
    <t>GDPIPD ESCALATION RATE TO MODEL</t>
  </si>
  <si>
    <t>RAROC INFLATION</t>
  </si>
  <si>
    <t>PHYSICAL DAMAGE BASIS</t>
  </si>
  <si>
    <t>BUSINESS INTERRUPTION BASIS</t>
  </si>
  <si>
    <t xml:space="preserve">CONSTRUCTION INSURANCE </t>
  </si>
  <si>
    <t>ANNUALIZED</t>
  </si>
  <si>
    <t>PROPERTY (Basis PD)</t>
  </si>
  <si>
    <t xml:space="preserve"> cents/$100</t>
  </si>
  <si>
    <t>BUSINESS INTERRUPT (Basis BI)</t>
  </si>
  <si>
    <t>cents/$100</t>
  </si>
  <si>
    <t>DELAY IN STARTUP</t>
  </si>
  <si>
    <t xml:space="preserve">                                   NET CAPACITY FACTOR</t>
  </si>
  <si>
    <t>INTEREST EXPENSE - SR DEBT</t>
  </si>
  <si>
    <t>INTEREST EXPENSE - JR DEBT</t>
  </si>
  <si>
    <t>Interest Expense - Nonrecourse Senior</t>
  </si>
  <si>
    <t>Interest Expense - Nonrecourse Junior</t>
  </si>
  <si>
    <t>TOTAL INCOME TAX BENEFIT (PMT)</t>
  </si>
  <si>
    <t>TOTAL INCOME TAX</t>
  </si>
  <si>
    <t>INITIAL EQUITY</t>
  </si>
  <si>
    <t>ANNUAL RETURN</t>
  </si>
  <si>
    <t>Total Taxable Income</t>
  </si>
  <si>
    <t>Total Income Tax Benefit (PMT)</t>
  </si>
  <si>
    <t>Share of PTC</t>
  </si>
  <si>
    <t xml:space="preserve">PTC </t>
  </si>
  <si>
    <t>Project Partners Basis</t>
  </si>
  <si>
    <t>Outside Equity Return</t>
  </si>
  <si>
    <t>Deficit</t>
  </si>
  <si>
    <t>Return</t>
  </si>
  <si>
    <t xml:space="preserve">DEFICIT </t>
  </si>
  <si>
    <t>REVOLVER</t>
  </si>
  <si>
    <t>NET CASH AFTER REVOLVER</t>
  </si>
  <si>
    <t>PLUS: NET CASH</t>
  </si>
  <si>
    <t>Cash Available for Coverage</t>
  </si>
  <si>
    <t>BI Basis 1st full yr revenue + full yr 1 PTC</t>
  </si>
  <si>
    <t>% PRODUCTION</t>
  </si>
  <si>
    <t xml:space="preserve">1ST YEAR % PRODUCTION </t>
  </si>
  <si>
    <t>Deep Yellow = CB Distrbution cell (connected for internal RAC process)</t>
  </si>
  <si>
    <t>Security Formula Index - Do not alter these cells</t>
  </si>
  <si>
    <t>securecell1</t>
  </si>
  <si>
    <t>securecell2</t>
  </si>
  <si>
    <t>securecell3</t>
  </si>
  <si>
    <t>securecell4</t>
  </si>
  <si>
    <t>securecell5</t>
  </si>
  <si>
    <t>securecell6</t>
  </si>
  <si>
    <t>securecell7</t>
  </si>
  <si>
    <t>securecell8</t>
  </si>
  <si>
    <t>securecell9</t>
  </si>
  <si>
    <t>securecell10</t>
  </si>
  <si>
    <t>securecell11</t>
  </si>
  <si>
    <t>securecell12</t>
  </si>
  <si>
    <t>securecell13</t>
  </si>
  <si>
    <t>securecell14</t>
  </si>
  <si>
    <t xml:space="preserve"> default = Predev Expense above</t>
  </si>
  <si>
    <t>TOTAL PROJECT COST</t>
  </si>
  <si>
    <t>EFF. TAX</t>
  </si>
  <si>
    <t>DAYS PER YEAR</t>
  </si>
  <si>
    <t>Actual Term</t>
  </si>
  <si>
    <t>PTC for Monetization - Test 1</t>
  </si>
  <si>
    <t>Days in Period</t>
  </si>
  <si>
    <t>Year</t>
  </si>
  <si>
    <t>Junior Debt - PTC Monetization</t>
  </si>
  <si>
    <t>Interest Expense - Nonrecourse Total</t>
  </si>
  <si>
    <t>Interest Expense - Nonrecourse SR</t>
  </si>
  <si>
    <t>Interest Expense - Nonrecourse JR</t>
  </si>
  <si>
    <t>Min Gain</t>
  </si>
  <si>
    <t>Total Basis</t>
  </si>
  <si>
    <t>Total Minimum Gain</t>
  </si>
  <si>
    <t>Non Recourse Deduction</t>
  </si>
  <si>
    <t>Sum</t>
  </si>
  <si>
    <t>RESULTS</t>
  </si>
  <si>
    <t>Light Border is input cell</t>
  </si>
  <si>
    <t>Dark Border and/or  No Border are calculation cell NOT input cell</t>
  </si>
  <si>
    <t xml:space="preserve"> TBD per Cutbirth/Gates</t>
  </si>
  <si>
    <t>CONST. INTEREST - (IF FIXED)</t>
  </si>
  <si>
    <t>O&amp;M RESERVE</t>
  </si>
  <si>
    <t>OUTSIDE EQUITY</t>
  </si>
  <si>
    <t>OUTSIDE 10yr IRR</t>
  </si>
  <si>
    <t xml:space="preserve">   CASH DISTRIBUTIONS:</t>
  </si>
  <si>
    <t>TOTAL LIABILITIES</t>
  </si>
  <si>
    <t>CASH DISTRIBUTION</t>
  </si>
  <si>
    <t>TOTAL EQUITY</t>
  </si>
  <si>
    <t>TOTAL LIABILITIES AND EQUITY</t>
  </si>
  <si>
    <t>CHECK -- ASSETS LESS TOTAL LIAB &amp; EQUITY</t>
  </si>
  <si>
    <t>Light Yellow goes to Sources_Uses sheet</t>
  </si>
  <si>
    <t>$TOTAL (000)</t>
  </si>
  <si>
    <t>Cash Flow Statement</t>
  </si>
  <si>
    <t>Sources &amp; Uses Statement</t>
  </si>
  <si>
    <t>Enron Wind Corp. Summary</t>
  </si>
  <si>
    <t>CONSTRUCTION SALES TAX</t>
  </si>
  <si>
    <t>Months from project initiation &gt;&gt;&gt;&gt;&gt;&gt;&gt;</t>
  </si>
  <si>
    <t>Project Completion %</t>
  </si>
  <si>
    <t>No. of Completed Trubines</t>
  </si>
  <si>
    <t>No. Of Turbines Coming Online</t>
  </si>
  <si>
    <t>$000/Year</t>
  </si>
  <si>
    <t>$000/Year/wtg</t>
  </si>
  <si>
    <t xml:space="preserve"> TBD</t>
  </si>
  <si>
    <t>WAKE REDUCTION</t>
  </si>
  <si>
    <t>LINE LOSS REDUCTION</t>
  </si>
  <si>
    <t xml:space="preserve">ICING REDUCTION </t>
  </si>
  <si>
    <t xml:space="preserve">AVAILABILITY REDUCTION </t>
  </si>
  <si>
    <t>INFLATION SWITCH ( 1 = BCI Report   0 = RAROC)</t>
  </si>
  <si>
    <t>LESS OPERATING EXPENSES</t>
  </si>
  <si>
    <t>DEPRECIATION EXPENSE</t>
  </si>
  <si>
    <t>AMORTIZATION EXPENSE</t>
  </si>
  <si>
    <t>TOTAL DEP. &amp; AMORT</t>
  </si>
  <si>
    <t>OPERATING REVENUES</t>
  </si>
  <si>
    <t>LESS:  OPERATING EXPENSES</t>
  </si>
  <si>
    <t>PRE-TAX BOOK INCOME</t>
  </si>
  <si>
    <t>Tax Capital Accounts</t>
  </si>
  <si>
    <t>Beginning Capital Account</t>
  </si>
  <si>
    <t>Initial Equity Contribution</t>
  </si>
  <si>
    <t>Additional Equity</t>
  </si>
  <si>
    <t>GENERAL LIABILITY</t>
  </si>
  <si>
    <t xml:space="preserve"> thousands per WTG</t>
  </si>
  <si>
    <t>BOILER &amp; MACHINERY (Basis PD+BI)</t>
  </si>
  <si>
    <t xml:space="preserve">OPERATING INSURANCE </t>
  </si>
  <si>
    <t>RATES</t>
  </si>
  <si>
    <t>PROPERTY - PRIMARY  &amp; BUS. INT. (Basis PD+BI)</t>
  </si>
  <si>
    <t>PROPERTY - EXCESS   (Basis PD)</t>
  </si>
  <si>
    <t>BUSINESS INTERRUPTION - EXCESS (BI)</t>
  </si>
  <si>
    <t xml:space="preserve">     TOTAL OPERATING INSURANCE - ANNUAL</t>
  </si>
  <si>
    <t>TITLE INSURANCE</t>
  </si>
  <si>
    <t>WTG ACQUISITION, CONSTRUCTION, &amp; DEVELOPMENT</t>
  </si>
  <si>
    <t xml:space="preserve">TOTAL PROJECT </t>
  </si>
  <si>
    <t>kWh</t>
  </si>
  <si>
    <t>CAPACITY FACTOR</t>
  </si>
  <si>
    <t>RATED CAPACITY kWh</t>
  </si>
  <si>
    <t xml:space="preserve"> % OF NEXT YEAR DEBT SERVICE</t>
  </si>
  <si>
    <t>TAX EBT</t>
  </si>
  <si>
    <t xml:space="preserve">PROJECT TAX BALANCE SHEET </t>
  </si>
  <si>
    <t>Depreciation, Tax &amp; Book Income, Tax Balance Sheet</t>
  </si>
  <si>
    <t>RAROC Variances</t>
  </si>
  <si>
    <t xml:space="preserve"> TOTAL OPERATING INFLOWS</t>
  </si>
  <si>
    <t>OPEX</t>
  </si>
  <si>
    <t>Net Min Gain Adjustment</t>
  </si>
  <si>
    <t>Total NonRecourse Debt</t>
  </si>
  <si>
    <t>Share of Total NonRecourse Debt</t>
  </si>
  <si>
    <t>TAXABLE INCOME (LOSS)</t>
  </si>
  <si>
    <r>
      <t>BOOK EBT</t>
    </r>
    <r>
      <rPr>
        <b/>
        <sz val="10"/>
        <rFont val="Arial"/>
        <family val="2"/>
      </rPr>
      <t xml:space="preserve"> (LOSS)</t>
    </r>
  </si>
  <si>
    <t>SALES TAX</t>
  </si>
  <si>
    <t xml:space="preserve">WTG COST  </t>
  </si>
  <si>
    <t>WTG COST ADDITIONS</t>
  </si>
  <si>
    <t>WTG TOTAL COST</t>
  </si>
  <si>
    <t>WTG TOTAL PRICE</t>
  </si>
  <si>
    <t>TOWER TYPE</t>
  </si>
  <si>
    <t>TOWER COST</t>
  </si>
  <si>
    <t>TOWER MARK-UP</t>
  </si>
  <si>
    <t>TOWER TOTAL PRICE</t>
  </si>
  <si>
    <t>Internal Assumption Sheet</t>
  </si>
  <si>
    <t>calculated on Internal Assumption Sheet</t>
  </si>
  <si>
    <t xml:space="preserve"> Total to Assum Sheet</t>
  </si>
  <si>
    <t>EWC DEVELOPER FEE - MANUAL</t>
  </si>
  <si>
    <t>EWC DEVELOPER FEE - "GEC" CALCULATED</t>
  </si>
  <si>
    <t xml:space="preserve">Beginning Capital Account </t>
  </si>
  <si>
    <t>PTC GEC CHECK COV RATIO</t>
  </si>
  <si>
    <t>O&amp;M BLDG</t>
  </si>
  <si>
    <t>PERMITS, BONDS, FAA LIGHTING</t>
  </si>
  <si>
    <t>L/C FEE - SR DEBT</t>
  </si>
  <si>
    <t>L/C FEE - O&amp;M</t>
  </si>
  <si>
    <t>NET CASH AFTER SUB-PMTS</t>
  </si>
  <si>
    <t>L/C FEE JR DEBT</t>
  </si>
  <si>
    <t>L/C FEES (SR, JR, O&amp;M)</t>
  </si>
  <si>
    <t>Total L/C &amp; Fees</t>
  </si>
  <si>
    <t>Effective Tax Rate</t>
  </si>
  <si>
    <t xml:space="preserve"> Effective Tax Rate</t>
  </si>
  <si>
    <t>WARRANTIES &amp; FEES</t>
  </si>
  <si>
    <t>TOTAL EPC WARRANTY PAYMENT  -----   PER WTG</t>
  </si>
  <si>
    <t>10 YEAR AMORT</t>
  </si>
  <si>
    <t>TOTAL INTEREST</t>
  </si>
  <si>
    <t>EBIT</t>
  </si>
  <si>
    <t>OPERATING FEES</t>
  </si>
  <si>
    <t>TOTAL INTEREST EXPENSE</t>
  </si>
  <si>
    <t>BOOK DEPRECIATION RATE : Life of Project</t>
  </si>
  <si>
    <t>CASH DISTRIBUTIONS</t>
  </si>
  <si>
    <t>BEGINNING BALANCE</t>
  </si>
  <si>
    <t>EARNINGS</t>
  </si>
  <si>
    <t>total depreciation</t>
  </si>
  <si>
    <t>equity</t>
  </si>
  <si>
    <t>TOTAL OPEX &amp; FEES</t>
  </si>
  <si>
    <t>FEE SWITCH (1=CASHFLOW FEE : 0=USE OF FUNDS)</t>
  </si>
  <si>
    <t>PD Basis</t>
  </si>
  <si>
    <t>Basis PD</t>
  </si>
  <si>
    <t>TOTAL DEP &amp; AMORT</t>
  </si>
  <si>
    <t xml:space="preserve">Net kWh % Production </t>
  </si>
  <si>
    <t>JR DEBT  NET INTEREST RATE:</t>
  </si>
  <si>
    <t>COMMON SIZE TAXABLE INCOME</t>
  </si>
  <si>
    <t>Drawdown Schedule</t>
  </si>
  <si>
    <t>Months &gt;&gt;&gt;</t>
  </si>
  <si>
    <t>Uses of Funds</t>
  </si>
  <si>
    <t>Should be Zero</t>
  </si>
  <si>
    <t>Sources of Funds</t>
  </si>
  <si>
    <t>ECM Construction Loan  - Monthly</t>
  </si>
  <si>
    <t xml:space="preserve">                                    - Cumulative</t>
  </si>
  <si>
    <t>EPC WARRANTY PAYMENT</t>
  </si>
  <si>
    <t>NONROUTINE MAINTENANCE</t>
  </si>
  <si>
    <t>ELECTRICITY USAGE</t>
  </si>
  <si>
    <t xml:space="preserve">INSURANCE </t>
  </si>
  <si>
    <t xml:space="preserve">AUDIT COSTS </t>
  </si>
  <si>
    <t>INTEREST EXPENSE</t>
  </si>
  <si>
    <t xml:space="preserve">    TOTAL SUBORDINATED PMTS</t>
  </si>
  <si>
    <t>PRINCIPLE PMT</t>
  </si>
  <si>
    <t xml:space="preserve"> </t>
  </si>
  <si>
    <t>BEGINNING CASH BALANCE</t>
  </si>
  <si>
    <t xml:space="preserve">CASH AVAILABLE FOR DISTRIBUTION </t>
  </si>
  <si>
    <t>DISTRIBUTIONS</t>
  </si>
  <si>
    <t>ENDING CASH BALANCE</t>
  </si>
  <si>
    <t>FACILITY DEPRECIABLE BASE</t>
  </si>
  <si>
    <t>FEDERAL</t>
  </si>
  <si>
    <t>LIFE OF LOAN AMORT                TERM</t>
  </si>
  <si>
    <t>LIFE OF PROJECT AMORT            YEARS</t>
  </si>
  <si>
    <t>TOTAL DEPRECIABLE ASSETS</t>
  </si>
  <si>
    <t>LIFE OF LOAN AMORT EXPENSE</t>
  </si>
  <si>
    <t>LIFE OF PROJECT AMORT EXPENSE</t>
  </si>
  <si>
    <t>DEPRECIATION</t>
  </si>
  <si>
    <t>Total Ending Basis</t>
  </si>
  <si>
    <t>Ending Balance</t>
  </si>
  <si>
    <t xml:space="preserve">EXECUTIVE SUMMARY </t>
  </si>
  <si>
    <t>TOTAL NUMBER WTG</t>
  </si>
  <si>
    <t>&lt;&lt;&lt;&lt;</t>
  </si>
  <si>
    <t>O&amp;M COST/WTG</t>
  </si>
  <si>
    <t>INSURANCE EXPENSE BASIS</t>
  </si>
  <si>
    <t xml:space="preserve">      CASH SUB-TOTAL</t>
  </si>
  <si>
    <t>Total Required Cash Equity</t>
  </si>
  <si>
    <t>PROD. TAX CREDIT RATE ¢/kWh</t>
  </si>
  <si>
    <t>debt principle</t>
  </si>
  <si>
    <t>actual exp</t>
  </si>
  <si>
    <t>CHECK FIGURES</t>
  </si>
  <si>
    <t>RATE TO CASHFLOW - BEFORE  TIME OF YEAR ADJUSTMENT</t>
  </si>
  <si>
    <t>20 YR LEVELIZED PAYMENTS   --        @ NPV</t>
  </si>
  <si>
    <t>COMMON SIZE BOOK INCOME</t>
  </si>
  <si>
    <t>COMMON SIZE BALANCE SHEET</t>
  </si>
  <si>
    <t xml:space="preserve">Total Project Cash for JR Debt </t>
  </si>
  <si>
    <t>Total Cash Available for JR Debt - Test 2</t>
  </si>
  <si>
    <t>Revenue During Construction</t>
  </si>
  <si>
    <t>No. of Turbines Online /month</t>
  </si>
  <si>
    <t>Total Turbines Online</t>
  </si>
  <si>
    <t>Rate ($)</t>
  </si>
  <si>
    <t>Gross Monthly Revenue ($000)</t>
  </si>
  <si>
    <t>Maintenance</t>
  </si>
  <si>
    <t>Land Payments</t>
  </si>
  <si>
    <t>Insurance</t>
  </si>
  <si>
    <t>Total Operating Expenses</t>
  </si>
  <si>
    <t>Net Revenue after Expenses</t>
  </si>
  <si>
    <t>Net Funds Req'd During Constrn.</t>
  </si>
  <si>
    <t xml:space="preserve"> Cumulative</t>
  </si>
  <si>
    <t>TOTAL TO SOURCES_USES</t>
  </si>
  <si>
    <t>Triangle</t>
  </si>
  <si>
    <t>ACQUISITION &amp; INSTALLATION</t>
  </si>
  <si>
    <t>Normal</t>
  </si>
  <si>
    <t>RAROC VARIANCE - TOTAL PRODUCTION</t>
  </si>
  <si>
    <t>Taxable Income (Loss)</t>
  </si>
  <si>
    <t>Loss Suspended (Re-Used)</t>
  </si>
  <si>
    <t>PROJECT TOTAL PRODUCTION  (MWh)</t>
  </si>
  <si>
    <t xml:space="preserve">EXCHANGE RATE                 Local Currency  = </t>
  </si>
  <si>
    <t>Monthly Energy Generated (kWh -/ month pro rata)</t>
  </si>
  <si>
    <t xml:space="preserve">Wind Adjustment Factor </t>
  </si>
  <si>
    <t>SENIOR BANK DEBT</t>
  </si>
  <si>
    <t>Sharing Ratio - Cash</t>
  </si>
  <si>
    <t>Income</t>
  </si>
  <si>
    <t>Sharing Ratio - Tax Income</t>
  </si>
  <si>
    <t>Gross Income Allocation</t>
  </si>
  <si>
    <t>Code 754 Adjustment</t>
  </si>
  <si>
    <t>Depreciation Recapture</t>
  </si>
  <si>
    <t>Special Loss Reallocation</t>
  </si>
  <si>
    <t>Carry-over Basis of Contributed Property</t>
  </si>
  <si>
    <t>Initial Equity</t>
  </si>
  <si>
    <t>Positive Capital Account Adjustments</t>
  </si>
  <si>
    <t>Negative Capital Account Adjustments</t>
  </si>
  <si>
    <t>Beginning Basis</t>
  </si>
  <si>
    <t>PROJECT START DATE</t>
  </si>
  <si>
    <t>END OF FIRST YEAR DATE</t>
  </si>
  <si>
    <t>QUARTER PRODUCTION START</t>
  </si>
  <si>
    <t>Data List - Please do not remove</t>
  </si>
  <si>
    <t>GDP MULTIPLIER             YEAR</t>
  </si>
  <si>
    <t>INFLATION FORECAST YEAR</t>
  </si>
  <si>
    <t>Oustide non recourse deductions</t>
  </si>
  <si>
    <t>EWC non recourse deductions</t>
  </si>
  <si>
    <t>Chargeback</t>
  </si>
  <si>
    <t>Outside</t>
  </si>
  <si>
    <t>Chargeback %</t>
  </si>
  <si>
    <t xml:space="preserve">Total Nonrecourse Debt </t>
  </si>
  <si>
    <t>Change in Min Gain</t>
  </si>
  <si>
    <t>Outside Sharing Ratio - Tax Income</t>
  </si>
  <si>
    <t>EWC Sharing Ratio - Tax Income</t>
  </si>
  <si>
    <t>Balance of Min Gain</t>
  </si>
  <si>
    <t>Amount of Chargeback Income (Sharing Ratios)</t>
  </si>
  <si>
    <t>ENERGY SALES TAX RATE</t>
  </si>
  <si>
    <t>OPERATING TAXES</t>
  </si>
  <si>
    <t>ENERGY SALES TAX</t>
  </si>
  <si>
    <t>NET CASH FLOW AFTER SR DEBT</t>
  </si>
  <si>
    <t>WIND TURBINES</t>
  </si>
  <si>
    <t>WTG RATED CAPACITY</t>
  </si>
  <si>
    <t>WTG NUMBER</t>
  </si>
  <si>
    <t>OUTSIDE SHARE</t>
  </si>
  <si>
    <t>EWC SHARE</t>
  </si>
  <si>
    <t xml:space="preserve">   TAX/BOOK INCOME:</t>
  </si>
  <si>
    <t>NPV CALC DISCOUNT RATE</t>
  </si>
  <si>
    <t>EWC BOOK ELIMINATION %</t>
  </si>
  <si>
    <t>Std. Dev.</t>
  </si>
  <si>
    <t>WTG Acquisition</t>
  </si>
  <si>
    <t>WTG Price</t>
  </si>
  <si>
    <t>Tower Price</t>
  </si>
  <si>
    <t>Shipping Total</t>
  </si>
  <si>
    <t>WTG Installation</t>
  </si>
  <si>
    <t>Construction Total Variance</t>
  </si>
  <si>
    <t>Other Installation Factors</t>
  </si>
  <si>
    <t>Months for Construction</t>
  </si>
  <si>
    <t>OPERATING VARIANCES</t>
  </si>
  <si>
    <t>GBM</t>
  </si>
  <si>
    <t>CPI Inflation</t>
  </si>
  <si>
    <t xml:space="preserve"> OPERATING EXENSES - TOTALS TO CASHFLOW</t>
  </si>
  <si>
    <t>CAPITAL STRUCTURE</t>
  </si>
  <si>
    <t>Interest Rates</t>
  </si>
  <si>
    <t>BASE INTEREST RATE</t>
  </si>
  <si>
    <t xml:space="preserve">BASE INTEREST RATE </t>
  </si>
  <si>
    <r>
      <t xml:space="preserve">Inflation Switch </t>
    </r>
    <r>
      <rPr>
        <sz val="8"/>
        <rFont val="Arial"/>
        <family val="2"/>
      </rPr>
      <t>(1=BCI report 0=Raroc)</t>
    </r>
  </si>
  <si>
    <t>EWC MANAGEMENT FEE</t>
  </si>
  <si>
    <t xml:space="preserve"> Connected to Outside &amp; EWC sheets</t>
  </si>
  <si>
    <t xml:space="preserve"> connected to Assum sheet</t>
  </si>
  <si>
    <t>Regular Maintenance</t>
  </si>
  <si>
    <t>Default Energy Rates</t>
  </si>
  <si>
    <t>COST TO FIX RATE</t>
  </si>
  <si>
    <t>Turbine Rated Capacity</t>
  </si>
  <si>
    <t xml:space="preserve">Turbine Rated Capacity </t>
  </si>
  <si>
    <t>PD BASIS $ PER MW ESTIMATE</t>
  </si>
  <si>
    <t xml:space="preserve"> Insurable value averages $1000-1200 / MW</t>
  </si>
  <si>
    <t>CALANDAR YEAR to rest of model</t>
  </si>
  <si>
    <t>Additional Equity --  Outside</t>
  </si>
  <si>
    <t>Additional Equity -- EWC</t>
  </si>
  <si>
    <r>
      <t>Total Cash for JR Debt = min(</t>
    </r>
    <r>
      <rPr>
        <b/>
        <sz val="10"/>
        <color indexed="53"/>
        <rFont val="Arial MT"/>
      </rPr>
      <t>Test1</t>
    </r>
    <r>
      <rPr>
        <b/>
        <sz val="10"/>
        <rFont val="Arial MT"/>
      </rPr>
      <t>,</t>
    </r>
    <r>
      <rPr>
        <b/>
        <sz val="10"/>
        <color indexed="50"/>
        <rFont val="Arial MT"/>
      </rPr>
      <t>Test2</t>
    </r>
    <r>
      <rPr>
        <b/>
        <sz val="10"/>
        <rFont val="Arial MT"/>
      </rPr>
      <t>)</t>
    </r>
  </si>
  <si>
    <t>PRECEEDING YEAR</t>
  </si>
  <si>
    <t>FIRST SEMI-ANNUAL PRINCIPLE PAYMENT (1=YES  0=NO)</t>
  </si>
  <si>
    <t>PMTS PER YEAR    (1=ANNUAL  2=SEMI-ANNUAL)</t>
  </si>
  <si>
    <t>PRODUCTION WEIGHT FACTOR BY PROJECT YEAR</t>
  </si>
  <si>
    <t>FIRST SEMI-ANNUAL PRINCIPLE PAYMENT</t>
  </si>
  <si>
    <t xml:space="preserve">    TERM OF LOAN - JR DEBT (YRS)</t>
  </si>
  <si>
    <t xml:space="preserve">    TERM OF LOAN - SR DEBT (YRS)</t>
  </si>
  <si>
    <t xml:space="preserve">Part of an HLOOKUP funtion </t>
  </si>
  <si>
    <t>LESS EWC EQUITY</t>
  </si>
  <si>
    <t>TOTAL PROJECT NET GAIN</t>
  </si>
  <si>
    <t>TOTAL EWC  BENEFIT</t>
  </si>
  <si>
    <t>TOTAL EWC VALUE MARKUP</t>
  </si>
  <si>
    <t>Forecasted PTC -- Project Year</t>
  </si>
  <si>
    <t>Net Project Cash Available for JR Debt -- Project Year</t>
  </si>
  <si>
    <t>INTEREST EXPENSE - REVOLVER</t>
  </si>
  <si>
    <t xml:space="preserve">REVOLVER </t>
  </si>
  <si>
    <t>DEFICIT LOAN</t>
  </si>
  <si>
    <t>RETURN PAYMENT</t>
  </si>
  <si>
    <t>Interest Expense - Revolver</t>
  </si>
  <si>
    <t xml:space="preserve"> Default - 6 month from project start date</t>
  </si>
  <si>
    <t xml:space="preserve"> Default - 6 month from 1st payment date</t>
  </si>
  <si>
    <t>1st  PAYMENT DATE</t>
  </si>
  <si>
    <t>2nd PAYMENT DATE</t>
  </si>
  <si>
    <t>EWC CASH GAIN</t>
  </si>
  <si>
    <t>TOTAL EARNINGS</t>
  </si>
  <si>
    <t>LESS RESERVE FOR  WARRANTIES</t>
  </si>
  <si>
    <t>CONSULTING</t>
  </si>
  <si>
    <t>ENVIRONMENTAL STUDIES</t>
  </si>
  <si>
    <t>LEGAL PREDEV</t>
  </si>
  <si>
    <t>ACQUISITION COSTS</t>
  </si>
  <si>
    <t>LAND RESOURCE</t>
  </si>
  <si>
    <t>PERMITTING FEES</t>
  </si>
  <si>
    <t>ADMINISTRATIVE COSTS</t>
  </si>
  <si>
    <t>CLOSING EXPENSES</t>
  </si>
  <si>
    <t>BANKING DUE DILIGENCE EXPENSES</t>
  </si>
  <si>
    <t>EQUITY CLOSING EXPENSES</t>
  </si>
  <si>
    <t>PRIMARY FACILITY COSTS</t>
  </si>
  <si>
    <t>SECONDARY FACILITY COSTS</t>
  </si>
  <si>
    <t>TBD   &lt;&lt;&lt;&lt;&lt;&lt;&lt;&lt;&lt;</t>
  </si>
  <si>
    <t>PREDEVELOPMENT EXPENSES</t>
  </si>
  <si>
    <t>CLOSING EXPENSES TOTAL</t>
  </si>
  <si>
    <t xml:space="preserve"> Check Total Uses</t>
  </si>
  <si>
    <t>JR DEBT ANNUAL AGENCY FEE</t>
  </si>
  <si>
    <t>SR DEBT ARRANGEMENT FEE</t>
  </si>
  <si>
    <t>JR DEBT ARRANGEMENT FEE</t>
  </si>
  <si>
    <t>TRANCHE B</t>
  </si>
  <si>
    <t>TRANCHE A</t>
  </si>
  <si>
    <t>TRANCHE A  COVERAGE RATIO:</t>
  </si>
  <si>
    <t>TRANCHE B COVERAGE RATIO:</t>
  </si>
  <si>
    <t>Weight</t>
  </si>
  <si>
    <t>PROJECT YEAR TOTAL</t>
  </si>
  <si>
    <t>PROJECT YEAR TRANCHE B</t>
  </si>
  <si>
    <t>CALENDAR YEAR TRANCHE A</t>
  </si>
  <si>
    <t>CALENDAR YEAR TRANCHE B</t>
  </si>
  <si>
    <t>PROJECT YEAR TRANCHE A</t>
  </si>
  <si>
    <t>TOTALS TO MODEL</t>
  </si>
  <si>
    <t>CALENDAR YEAR TOTAL</t>
  </si>
  <si>
    <t>Ending Loan Balance</t>
  </si>
  <si>
    <t>INTEREST EXPENSE TRANCHE A</t>
  </si>
  <si>
    <t>PRINCIPAL PAYMENT TRANCHE B</t>
  </si>
  <si>
    <t>INTEREST EXPENSE TRANCHE B</t>
  </si>
  <si>
    <t>PRINCIPAL PAYMENT TRANCHE A</t>
  </si>
  <si>
    <t>IRR</t>
  </si>
  <si>
    <t>20 YR</t>
  </si>
  <si>
    <t>COVERAGE RATIO + 1</t>
  </si>
  <si>
    <t>PROVISION FOR LETTER OF CREDIT - SR DEBT</t>
  </si>
  <si>
    <t>PROVISION FOR LETTER OF CREDIT - JR DEBT</t>
  </si>
  <si>
    <t>PROVISION FOR LETTER OF CREDIT - O&amp;M</t>
  </si>
  <si>
    <t>% OF NEXT YEAR'S O&amp;M</t>
  </si>
  <si>
    <t>PROJECT INCOME</t>
  </si>
  <si>
    <t>Required Monetization</t>
  </si>
  <si>
    <t>ADJUSTMENT FOR CALENDAR YEAR TRANCHE B</t>
  </si>
  <si>
    <t>ADJUSTMENT FOR CALENDAR YEAR TRANCHE A</t>
  </si>
  <si>
    <t>PARTS REPLACEMENT</t>
  </si>
  <si>
    <t>Total Net Operating Cash - Calendar Year</t>
  </si>
  <si>
    <t>Total Net Operating Cash - Project Year</t>
  </si>
  <si>
    <t>TRANCHE WEIGHTING FACTORS</t>
  </si>
  <si>
    <t>Project Year</t>
  </si>
  <si>
    <t>???</t>
  </si>
  <si>
    <t>INFLATION RATE FOR OPER. COSTS: CPI - BCI Report 10/14/99</t>
  </si>
  <si>
    <t>GDPIPD ESCALATION RATE - BCI Report 10/14/99</t>
  </si>
  <si>
    <t>NPV</t>
  </si>
  <si>
    <t>PV Cashflow</t>
  </si>
  <si>
    <t>10 YEAR</t>
  </si>
  <si>
    <t>20 YEAR</t>
  </si>
  <si>
    <t xml:space="preserve">30 YEAR </t>
  </si>
  <si>
    <t>QUARTERLY RESULTS</t>
  </si>
  <si>
    <t>ANNUAL TOTAL</t>
  </si>
  <si>
    <t>QUARTERLY CASHFLOW VALUES</t>
  </si>
  <si>
    <t>QUARTERLY CASHFLOW DATES</t>
  </si>
  <si>
    <t>10 YR IRR</t>
  </si>
  <si>
    <t>20 YR IRR</t>
  </si>
  <si>
    <t>20 YR 1RR</t>
  </si>
  <si>
    <t>ANNUAL RESULTS</t>
  </si>
  <si>
    <t>FIRST ANNUAL DISTRIBUTION DATE</t>
  </si>
  <si>
    <t xml:space="preserve">PRE TAX </t>
  </si>
  <si>
    <t>ANNUAL PAYMENT PARAMETERS</t>
  </si>
  <si>
    <t>SEE NOTE     &gt;&gt;&gt;&gt;&gt;&gt;&gt;&gt;&gt;</t>
  </si>
  <si>
    <t xml:space="preserve"> default = 2nd Annual Debt Repayment Date</t>
  </si>
  <si>
    <t>OTHER REVENUE</t>
  </si>
  <si>
    <t>2nd S.A. Repayment Period</t>
  </si>
  <si>
    <t>1st S.A. PERIOD PRODUCTION WEIGHT FACTOR BY PROJECT YEAR</t>
  </si>
  <si>
    <t xml:space="preserve">1st S.A. Repayment Period </t>
  </si>
  <si>
    <t xml:space="preserve"> Default - same as Tranche A</t>
  </si>
  <si>
    <t>NOTE: Calendar Year Totals are hooked to rest of model by default. During Debt and Equity closing, Project Year totals may more accurately reflect the timing of cash flows</t>
  </si>
  <si>
    <t>Total Effective Monetization</t>
  </si>
  <si>
    <t>Effective Monetization of Additional Equity</t>
  </si>
  <si>
    <t>INDEPENDENT ENGINEER</t>
  </si>
  <si>
    <t>CONSTRUCTION EXPENSES</t>
  </si>
  <si>
    <t>SPREAD OVER BASE RATE</t>
  </si>
  <si>
    <t>TOTAL INTEREST RATE</t>
  </si>
  <si>
    <t xml:space="preserve">AVERAGE BALANCE OUTSTANDING </t>
  </si>
  <si>
    <t>&gt;&gt;&gt;&gt; SEE BOX &gt;&gt;&gt;&gt;</t>
  </si>
  <si>
    <t>INTEREST DURING CONSTRUCTION</t>
  </si>
  <si>
    <t>TOTAL USES OF FUNDS</t>
  </si>
  <si>
    <t>LIFE OF LOAN AMORT</t>
  </si>
  <si>
    <t xml:space="preserve">LIFE OF PROJECT AMORT </t>
  </si>
  <si>
    <t>NET DEPRECIABLE BASE</t>
  </si>
  <si>
    <t>LAND USE PAYMENT</t>
  </si>
  <si>
    <t>CONSTRUCTION EXPENSES TOTAL</t>
  </si>
  <si>
    <t>LEGAL CLOSING</t>
  </si>
  <si>
    <t xml:space="preserve"> TAXES AND PTC:</t>
  </si>
  <si>
    <t>VARIABLE AMORT</t>
  </si>
  <si>
    <t>DEPRECIATION BASIS %</t>
  </si>
  <si>
    <t>MACRS DEPRECIATION SCHEDULE</t>
  </si>
  <si>
    <t>LESS</t>
  </si>
  <si>
    <t>CONSTRUCTION BEFORE PROFIT &amp; CONTIGENTS</t>
  </si>
  <si>
    <t>% OF TOTAL USES</t>
  </si>
  <si>
    <t>PRIMARY FACILITY COST</t>
  </si>
  <si>
    <t>DEVELOPMENT COSTS</t>
  </si>
  <si>
    <t>WTG AND CONSTRUCTION COSTS</t>
  </si>
  <si>
    <t>LESS: WORKING CAPITAL MIN BALANCE</t>
  </si>
  <si>
    <t>BlankExcel_Index_6.0 beta</t>
  </si>
  <si>
    <t>-</t>
  </si>
  <si>
    <t>TZ 1.5</t>
  </si>
  <si>
    <t>80M TUBULAR</t>
  </si>
  <si>
    <t>Sweetwater</t>
  </si>
  <si>
    <t>Texas</t>
  </si>
  <si>
    <t xml:space="preserve"> per LH 1/11/2000</t>
  </si>
  <si>
    <t xml:space="preserve"> per JM 1/11/2000</t>
  </si>
  <si>
    <t>ALTA</t>
  </si>
  <si>
    <t xml:space="preserve"> per RG 1/11/00</t>
  </si>
  <si>
    <t>WIND RESOURCE</t>
  </si>
  <si>
    <t>included in price</t>
  </si>
  <si>
    <t>PER wtg 65m</t>
  </si>
  <si>
    <t>PER wtg 80m</t>
  </si>
  <si>
    <t>?</t>
  </si>
  <si>
    <t>YEARS 16-30</t>
  </si>
  <si>
    <t>YEARS 1-15</t>
  </si>
  <si>
    <t xml:space="preserve"> per 010599exposureanalysis.xls Propery Tax per J. Maurer27Jan00</t>
  </si>
  <si>
    <t>Warranty Costs/Parts Replacement</t>
  </si>
  <si>
    <t>Probability Level</t>
  </si>
  <si>
    <t>of Cost Being Less Than :</t>
  </si>
  <si>
    <t>Best Case</t>
  </si>
  <si>
    <t>Expected Case</t>
  </si>
  <si>
    <t>Worst Case</t>
  </si>
  <si>
    <t>* Growth factor is applied years 2, 4-16</t>
  </si>
  <si>
    <t>4/1000*PDBasis - Texas Estimate</t>
  </si>
  <si>
    <t>LESS ERCOT ELECRICAL</t>
  </si>
  <si>
    <t>TOTAL ELECTRICAL</t>
  </si>
  <si>
    <t>JMaurer</t>
  </si>
  <si>
    <t xml:space="preserve"> per Eli Bosco Jan2000</t>
  </si>
  <si>
    <t>G&amp;A</t>
  </si>
  <si>
    <t>JMaurerJan00</t>
  </si>
  <si>
    <t>BASE</t>
  </si>
  <si>
    <t>LAG YEAR 1</t>
  </si>
  <si>
    <t>ABATEMENT</t>
  </si>
  <si>
    <t>TOTAL CONTINGENCY</t>
  </si>
  <si>
    <t>PREDEV CONTINGENCY</t>
  </si>
  <si>
    <t>CLOSING CONTINGENCY</t>
  </si>
  <si>
    <t>XIRR   PROJECT</t>
  </si>
  <si>
    <t>XIRR   PROJECT + GREEN CREDIT</t>
  </si>
  <si>
    <t>GREEN CREDIT AFTER 40% tAZ</t>
  </si>
  <si>
    <t xml:space="preserve"> per J Maurer scaled from Eli Bosco numbers</t>
  </si>
  <si>
    <t>per NZES2000-0007 2/3/00 Items 1.0, 2.0, 7.0</t>
  </si>
  <si>
    <t xml:space="preserve"> per NZES2000-0007 2/3/00, item 6.1</t>
  </si>
  <si>
    <t xml:space="preserve"> per NZES2000-0007 2/3/00, item  3.1</t>
  </si>
  <si>
    <t>BLADE FREIGHT + OTHER FREIGHT</t>
  </si>
  <si>
    <t xml:space="preserve"> per NZES2000-0007 2/3/00, item  3.2+3.3</t>
  </si>
  <si>
    <t xml:space="preserve"> per NZES2000-0007 2/3/00, item 6.2</t>
  </si>
  <si>
    <t xml:space="preserve"> Bank Tranche</t>
  </si>
  <si>
    <t xml:space="preserve"> Institutional Tranche</t>
  </si>
  <si>
    <t>escalates after yr 12</t>
  </si>
  <si>
    <t>per JG 2/24/00</t>
  </si>
  <si>
    <t>ESCALATION</t>
  </si>
  <si>
    <t>Libor 1 Jul 2009 per Enron</t>
  </si>
  <si>
    <t>Need 8.5 year Treasuries</t>
  </si>
  <si>
    <t>ANEMOMETRY</t>
  </si>
  <si>
    <t>RATE   NOLEN COUNTY TEXAS, Annual Increase</t>
  </si>
  <si>
    <t>BUSINESS DEVELOPMENT</t>
  </si>
  <si>
    <t xml:space="preserve"> per RG 2/24/00, 3% of margins</t>
  </si>
  <si>
    <t>SERVICES</t>
  </si>
  <si>
    <t xml:space="preserve"> per NZES2000-0007 2/3/00, item 5.0 as adjusted</t>
  </si>
  <si>
    <t>Oct 2000 Enron Libor</t>
  </si>
  <si>
    <t xml:space="preserve"> esc in year 12</t>
  </si>
  <si>
    <t>Project Cost</t>
  </si>
  <si>
    <t>Green Premium</t>
  </si>
  <si>
    <t>Quarter</t>
  </si>
  <si>
    <t>Date</t>
  </si>
  <si>
    <t>Sum Total</t>
  </si>
  <si>
    <t>Predev</t>
  </si>
  <si>
    <t>Construct</t>
  </si>
  <si>
    <t>Turbine</t>
  </si>
  <si>
    <t>Closing</t>
  </si>
  <si>
    <t>100% Sell Down</t>
  </si>
  <si>
    <t>PV(Market Price)</t>
  </si>
  <si>
    <t>PV(Contract Price)</t>
  </si>
  <si>
    <t>PV(Green Premium)</t>
  </si>
  <si>
    <t>FMV(Project)</t>
  </si>
  <si>
    <t>Cost(Project)</t>
  </si>
  <si>
    <t>Discount Rate</t>
  </si>
  <si>
    <t>CREDIT AND ADDERS</t>
  </si>
</sst>
</file>

<file path=xl/styles.xml><?xml version="1.0" encoding="utf-8"?>
<styleSheet xmlns="http://schemas.openxmlformats.org/spreadsheetml/2006/main" xmlns:mc="http://schemas.openxmlformats.org/markup-compatibility/2006" xmlns:x14ac="http://schemas.microsoft.com/office/spreadsheetml/2009/9/ac" mc:Ignorable="x14ac">
  <numFmts count="68">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
    <numFmt numFmtId="166" formatCode="&quot;$&quot;#,##0"/>
    <numFmt numFmtId="167" formatCode="_(* #,##0.0_);_(* \(#,##0.0\);_(* &quot;-&quot;??_);_(@_)"/>
    <numFmt numFmtId="168" formatCode="_(* #,##0.0000_);_(* \(#,##0.0000\);_(* &quot;-&quot;??_);_(@_)"/>
    <numFmt numFmtId="171" formatCode="_(* #,##0.0_);_(* \(#,##0.0\);_(* &quot;-&quot;_);_(@_)"/>
    <numFmt numFmtId="177" formatCode="#,##0.000_);[Red]\(#,##0.000\)"/>
    <numFmt numFmtId="180" formatCode="#,##0.00000_);[Red]\(#,##0.00000\)"/>
    <numFmt numFmtId="181" formatCode="#,##0.0_);\(#,##0.0\)"/>
    <numFmt numFmtId="183" formatCode="&quot;First Period Days =  &quot;\ 0"/>
    <numFmt numFmtId="184" formatCode="&quot;Pmts per Year = &quot;0"/>
    <numFmt numFmtId="194" formatCode="#,##0.0000_);\(#,##0.0000\)"/>
    <numFmt numFmtId="204" formatCode="#,##0.000_);\(#,##0.000\)"/>
    <numFmt numFmtId="205" formatCode="#,##0.00000_);\(#,##0.00000\)"/>
    <numFmt numFmtId="209" formatCode="&quot;$&quot;#,##0.0_);[Red]\(&quot;$&quot;#,##0.0\)"/>
    <numFmt numFmtId="222" formatCode="&quot;$&quot;#,##0.000"/>
    <numFmt numFmtId="227" formatCode="0.00_)"/>
    <numFmt numFmtId="230" formatCode="&quot;£&quot;#,##0;[Red]\-&quot;£&quot;#,##0"/>
    <numFmt numFmtId="232" formatCode="&quot;£&quot;#,##0.00;[Red]\-&quot;£&quot;#,##0.00"/>
    <numFmt numFmtId="233" formatCode="_-&quot;£&quot;* #,##0_-;\-&quot;£&quot;* #,##0_-;_-&quot;£&quot;* &quot;-&quot;_-;_-@_-"/>
    <numFmt numFmtId="234" formatCode="_-* #,##0_-;\-* #,##0_-;_-* &quot;-&quot;_-;_-@_-"/>
    <numFmt numFmtId="235" formatCode="_-&quot;£&quot;* #,##0.00_-;\-&quot;£&quot;* #,##0.00_-;_-&quot;£&quot;* &quot;-&quot;??_-;_-@_-"/>
    <numFmt numFmtId="236" formatCode="_-* #,##0.00_-;\-* #,##0.00_-;_-* &quot;-&quot;??_-;_-@_-"/>
    <numFmt numFmtId="277" formatCode="#,###.000_);\(#,##0.000\);\ \-\ _ "/>
    <numFmt numFmtId="279" formatCode="0.0_;"/>
    <numFmt numFmtId="286" formatCode="#,##0_);\(#,##0\);_ \-\ \ "/>
    <numFmt numFmtId="287" formatCode="#,##0.000_);\(#,##0.000\);_ \-\ \ "/>
    <numFmt numFmtId="288" formatCode="#,##0_);[Red]\(#,##0\);\-"/>
    <numFmt numFmtId="289" formatCode="&quot;$&quot;\ \ #,##0_);[Red]\(&quot;$&quot;\ \ #,##0\)"/>
    <numFmt numFmtId="290" formatCode="&quot;$&quot;\ \ #,##0.0_);[Red]\(&quot;$&quot;\ \ #,##0.0\)"/>
    <numFmt numFmtId="291" formatCode="&quot;$&quot;\ \ #,##0.00_);[Red]\(&quot;$&quot;\ \ #,##0.00\)"/>
    <numFmt numFmtId="298" formatCode="&quot;$&quot;\ \ \ \ \ \ \ \ \ #,###.00_);&quot;$&quot;\ \ \ \ \ \ \ \ \ \(#,###.00\);&quot;$&quot;\ \ \ \ \ \ \ \ \ \ \ \ \ \ \-"/>
    <numFmt numFmtId="302" formatCode="&quot;$&quot;\ \ \ \ \ \ \ \ \ #,###.00_);&quot;$&quot;\ \ \ \ \ \ \ \ \ \(#,###.00\);&quot;$&quot;\ \ \ \ \ \ \ \ \ \ \ \ \ \ \ \ \-"/>
    <numFmt numFmtId="304" formatCode="&quot;$&quot;\ \ \ \ \ \ \ \ #,###.00_);&quot;$&quot;\ \ \ \ \ \ \ \ \(#,###.00\);&quot;$&quot;\ \ \ \ \ \ \ \ \ \ \ \ \ \ \ \ \-"/>
    <numFmt numFmtId="305" formatCode="&quot;$&quot;\ \ \ \ \ \ \ #,###.00_);&quot;$&quot;\ \ \ \ \ \ \ \ \(#,###.00\);&quot;$&quot;\ \ \ \ \ \ \ \ \ \ \ \ \ \ \ \ \-"/>
    <numFmt numFmtId="306" formatCode="&quot;$&quot;\ \ \ \ \ \ \ \ \ #,###.00_);&quot;$&quot;\ \ \ \ \ \ \ \(#,###.00\);&quot;$&quot;\ \ \ \ \ \ \ \ \ \ \ \ \ \ \ \ \-"/>
    <numFmt numFmtId="308" formatCode="#,##0.0000_);\(#,##0.0000\);_ \-\ \ "/>
    <numFmt numFmtId="309" formatCode="0.0_%;\(0.0\)%;\ \-\ \ \ "/>
    <numFmt numFmtId="310" formatCode="0.0%_;\(0.0\)%;\ \-\ \ \ "/>
    <numFmt numFmtId="317" formatCode="#,##0.00000___;"/>
    <numFmt numFmtId="318" formatCode="&quot;$&quot;#,##0;\-&quot;$&quot;#,##0"/>
    <numFmt numFmtId="319" formatCode="&quot;$&quot;#,##0;[Red]\-&quot;$&quot;#,##0"/>
    <numFmt numFmtId="320" formatCode="&quot;$&quot;#,##0.00;\-&quot;$&quot;#,##0.00"/>
    <numFmt numFmtId="321" formatCode="&quot;$&quot;#,##0.00;[Red]\-&quot;$&quot;#,##0.00"/>
    <numFmt numFmtId="322" formatCode="_-&quot;$&quot;* #,##0_-;\-&quot;$&quot;* #,##0_-;_-&quot;$&quot;* &quot;-&quot;_-;_-@_-"/>
    <numFmt numFmtId="323" formatCode="_-&quot;$&quot;* #,##0.00_-;\-&quot;$&quot;* #,##0.00_-;_-&quot;$&quot;* &quot;-&quot;??_-;_-@_-"/>
    <numFmt numFmtId="324" formatCode="#,###.0000_);\(#,##0.0000\);\ \-\ _ "/>
    <numFmt numFmtId="325" formatCode="#,###.00000_);\(#,##0.00000\);\ \-\ _ "/>
    <numFmt numFmtId="326" formatCode="#,###.000000_);\(#,##0.000000\);\ \-\ _ "/>
    <numFmt numFmtId="327" formatCode="#,##0___);\(#,##0\);___-\ \ "/>
    <numFmt numFmtId="328" formatCode="#,##0_____);\(#,##0\);_____-\ \ "/>
    <numFmt numFmtId="329" formatCode="#,##0.0____\);\(#,##0.0\);___ \-\ \ "/>
    <numFmt numFmtId="331" formatCode="0.00\ &quot;MW&quot;"/>
    <numFmt numFmtId="332" formatCode="0\ &quot;WTG&quot;"/>
    <numFmt numFmtId="333" formatCode="0.000"/>
    <numFmt numFmtId="335" formatCode="0.00000"/>
    <numFmt numFmtId="336" formatCode="0.0%"/>
    <numFmt numFmtId="340" formatCode="_(* #,##0.000_);_(* \(#,##0.000\);_(* &quot;-&quot;??_);_(@_)"/>
    <numFmt numFmtId="341" formatCode="#,##0.000"/>
    <numFmt numFmtId="342" formatCode="#,##0.0000"/>
    <numFmt numFmtId="344" formatCode="0.0000%"/>
    <numFmt numFmtId="351" formatCode="0&quot; $/MWh&quot;"/>
  </numFmts>
  <fonts count="153">
    <font>
      <sz val="10"/>
      <name val="Arial"/>
    </font>
    <font>
      <sz val="10"/>
      <name val="Arial"/>
    </font>
    <font>
      <sz val="8"/>
      <color indexed="8"/>
      <name val="Arial"/>
    </font>
    <font>
      <b/>
      <sz val="8"/>
      <color indexed="8"/>
      <name val="Arial"/>
    </font>
    <font>
      <b/>
      <sz val="12"/>
      <name val="Arial"/>
    </font>
    <font>
      <b/>
      <sz val="10"/>
      <name val="Arial"/>
    </font>
    <font>
      <sz val="8"/>
      <name val="Arial"/>
    </font>
    <font>
      <b/>
      <sz val="10"/>
      <color indexed="8"/>
      <name val="Arial"/>
    </font>
    <font>
      <sz val="10"/>
      <color indexed="12"/>
      <name val="Arial"/>
    </font>
    <font>
      <sz val="10"/>
      <color indexed="19"/>
      <name val="Arial"/>
    </font>
    <font>
      <sz val="8"/>
      <color indexed="8"/>
      <name val="Courier New"/>
    </font>
    <font>
      <sz val="10"/>
      <color indexed="8"/>
      <name val="Arial"/>
    </font>
    <font>
      <u/>
      <sz val="10"/>
      <color indexed="12"/>
      <name val="Arial"/>
    </font>
    <font>
      <b/>
      <i/>
      <u/>
      <sz val="12"/>
      <color indexed="8"/>
      <name val="Arial"/>
    </font>
    <font>
      <b/>
      <u/>
      <sz val="10"/>
      <color indexed="8"/>
      <name val="Arial"/>
    </font>
    <font>
      <u/>
      <sz val="10"/>
      <color indexed="8"/>
      <name val="Arial"/>
    </font>
    <font>
      <b/>
      <u/>
      <sz val="10"/>
      <name val="Arial"/>
    </font>
    <font>
      <u/>
      <sz val="10"/>
      <name val="Arial"/>
    </font>
    <font>
      <sz val="12"/>
      <name val="Arial"/>
    </font>
    <font>
      <sz val="10"/>
      <color indexed="23"/>
      <name val="Arial"/>
    </font>
    <font>
      <sz val="10"/>
      <name val="Arial MT"/>
    </font>
    <font>
      <b/>
      <sz val="10"/>
      <name val="Arial MT"/>
    </font>
    <font>
      <b/>
      <i/>
      <u/>
      <sz val="8"/>
      <color indexed="8"/>
      <name val="Arial"/>
    </font>
    <font>
      <sz val="10"/>
      <color indexed="10"/>
      <name val="Arial"/>
    </font>
    <font>
      <b/>
      <sz val="12"/>
      <color indexed="8"/>
      <name val="Arial"/>
    </font>
    <font>
      <i/>
      <sz val="10"/>
      <color indexed="8"/>
      <name val="Arial"/>
    </font>
    <font>
      <i/>
      <sz val="10"/>
      <name val="Arial"/>
    </font>
    <font>
      <b/>
      <i/>
      <u/>
      <sz val="12"/>
      <name val="Arial"/>
    </font>
    <font>
      <b/>
      <sz val="10"/>
      <color indexed="17"/>
      <name val="Arial"/>
    </font>
    <font>
      <sz val="10"/>
      <color indexed="20"/>
      <name val="Arial"/>
    </font>
    <font>
      <sz val="10"/>
      <name val="Arial"/>
    </font>
    <font>
      <sz val="10"/>
      <name val="Arial"/>
    </font>
    <font>
      <sz val="10"/>
      <name val="Arial"/>
    </font>
    <font>
      <i/>
      <u/>
      <sz val="10"/>
      <color indexed="12"/>
      <name val="Arial"/>
    </font>
    <font>
      <sz val="10"/>
      <color indexed="53"/>
      <name val="Arial"/>
      <family val="2"/>
    </font>
    <font>
      <b/>
      <sz val="10"/>
      <color indexed="53"/>
      <name val="Arial"/>
      <family val="2"/>
    </font>
    <font>
      <sz val="10"/>
      <color indexed="17"/>
      <name val="Arial"/>
      <family val="2"/>
    </font>
    <font>
      <sz val="10"/>
      <name val="Arial"/>
      <family val="2"/>
    </font>
    <font>
      <b/>
      <sz val="10"/>
      <name val="Arial"/>
      <family val="2"/>
    </font>
    <font>
      <b/>
      <sz val="10"/>
      <color indexed="8"/>
      <name val="Arial"/>
      <family val="2"/>
    </font>
    <font>
      <b/>
      <u/>
      <sz val="10"/>
      <color indexed="8"/>
      <name val="Arial"/>
      <family val="2"/>
    </font>
    <font>
      <sz val="9"/>
      <name val="Arial"/>
      <family val="2"/>
    </font>
    <font>
      <b/>
      <sz val="12"/>
      <name val="Arial"/>
      <family val="2"/>
    </font>
    <font>
      <b/>
      <sz val="8"/>
      <name val="Arial"/>
      <family val="2"/>
    </font>
    <font>
      <b/>
      <u/>
      <sz val="10"/>
      <name val="Arial"/>
      <family val="2"/>
    </font>
    <font>
      <sz val="10"/>
      <color indexed="44"/>
      <name val="Arial"/>
    </font>
    <font>
      <sz val="10"/>
      <color indexed="34"/>
      <name val="Arial"/>
    </font>
    <font>
      <sz val="10"/>
      <color indexed="29"/>
      <name val="Arial"/>
    </font>
    <font>
      <sz val="10"/>
      <color indexed="53"/>
      <name val="Arial"/>
    </font>
    <font>
      <sz val="7"/>
      <color indexed="81"/>
      <name val="Tahoma"/>
    </font>
    <font>
      <sz val="10"/>
      <color indexed="8"/>
      <name val="Arial"/>
      <family val="2"/>
    </font>
    <font>
      <sz val="8"/>
      <name val="Arial"/>
      <family val="2"/>
    </font>
    <font>
      <b/>
      <i/>
      <sz val="10"/>
      <color indexed="8"/>
      <name val="Arial"/>
      <family val="2"/>
    </font>
    <font>
      <u/>
      <sz val="10"/>
      <name val="Arial"/>
      <family val="2"/>
    </font>
    <font>
      <b/>
      <i/>
      <sz val="10"/>
      <name val="Arial"/>
      <family val="2"/>
    </font>
    <font>
      <b/>
      <sz val="12"/>
      <color indexed="8"/>
      <name val="Arial"/>
      <family val="2"/>
    </font>
    <font>
      <sz val="12"/>
      <name val="Arial"/>
      <family val="2"/>
    </font>
    <font>
      <b/>
      <sz val="11"/>
      <name val="Arial"/>
      <family val="2"/>
    </font>
    <font>
      <sz val="10"/>
      <color indexed="10"/>
      <name val="Arial"/>
      <family val="2"/>
    </font>
    <font>
      <sz val="10"/>
      <color indexed="22"/>
      <name val="Arial"/>
      <family val="2"/>
    </font>
    <font>
      <sz val="9"/>
      <color indexed="81"/>
      <name val="Geneva"/>
    </font>
    <font>
      <b/>
      <sz val="9"/>
      <color indexed="81"/>
      <name val="Geneva"/>
    </font>
    <font>
      <b/>
      <sz val="14"/>
      <name val="Arial"/>
      <family val="2"/>
    </font>
    <font>
      <b/>
      <sz val="16"/>
      <name val="Arial"/>
      <family val="2"/>
    </font>
    <font>
      <b/>
      <sz val="7"/>
      <color indexed="81"/>
      <name val="Tahoma"/>
    </font>
    <font>
      <i/>
      <u/>
      <sz val="10"/>
      <color indexed="8"/>
      <name val="Arial"/>
      <family val="2"/>
    </font>
    <font>
      <b/>
      <sz val="10"/>
      <color indexed="81"/>
      <name val="Tahoma"/>
      <family val="2"/>
    </font>
    <font>
      <sz val="10"/>
      <color indexed="81"/>
      <name val="Tahoma"/>
      <family val="2"/>
    </font>
    <font>
      <b/>
      <sz val="10"/>
      <color indexed="17"/>
      <name val="Arial"/>
      <family val="2"/>
    </font>
    <font>
      <sz val="10"/>
      <color indexed="20"/>
      <name val="Arial"/>
      <family val="2"/>
    </font>
    <font>
      <b/>
      <sz val="10"/>
      <color indexed="20"/>
      <name val="Arial"/>
      <family val="2"/>
    </font>
    <font>
      <u/>
      <sz val="10"/>
      <color indexed="8"/>
      <name val="Arial"/>
      <family val="2"/>
    </font>
    <font>
      <b/>
      <i/>
      <sz val="10"/>
      <color indexed="10"/>
      <name val="Arial"/>
      <family val="2"/>
    </font>
    <font>
      <b/>
      <sz val="10"/>
      <color indexed="10"/>
      <name val="Arial"/>
      <family val="2"/>
    </font>
    <font>
      <sz val="8"/>
      <color indexed="81"/>
      <name val="Tahoma"/>
    </font>
    <font>
      <b/>
      <sz val="8"/>
      <color indexed="81"/>
      <name val="Tahoma"/>
    </font>
    <font>
      <sz val="10"/>
      <color indexed="55"/>
      <name val="Arial"/>
      <family val="2"/>
    </font>
    <font>
      <sz val="10"/>
      <color indexed="50"/>
      <name val="Arial"/>
    </font>
    <font>
      <b/>
      <sz val="10"/>
      <color indexed="50"/>
      <name val="Arial MT"/>
    </font>
    <font>
      <b/>
      <sz val="10"/>
      <color indexed="50"/>
      <name val="Arial"/>
    </font>
    <font>
      <b/>
      <sz val="10"/>
      <color indexed="53"/>
      <name val="Arial MT"/>
    </font>
    <font>
      <b/>
      <i/>
      <u/>
      <sz val="10"/>
      <color indexed="8"/>
      <name val="Arial"/>
      <family val="2"/>
    </font>
    <font>
      <b/>
      <sz val="9.5"/>
      <name val="Courier"/>
    </font>
    <font>
      <sz val="10"/>
      <name val="Arial Narrow"/>
      <family val="2"/>
    </font>
    <font>
      <sz val="10"/>
      <name val="Geneva"/>
      <family val="2"/>
    </font>
    <font>
      <sz val="10"/>
      <name val="Book Antiqua"/>
      <family val="1"/>
    </font>
    <font>
      <sz val="10"/>
      <name val="Times New Roman"/>
    </font>
    <font>
      <sz val="10"/>
      <name val="Times New Roman"/>
      <family val="1"/>
    </font>
    <font>
      <sz val="10"/>
      <name val="MS Sans Serif"/>
      <family val="2"/>
    </font>
    <font>
      <sz val="10"/>
      <name val="MS Sans Serif"/>
    </font>
    <font>
      <sz val="11"/>
      <name val="__"/>
      <family val="3"/>
      <charset val="129"/>
    </font>
    <font>
      <sz val="12"/>
      <name val="Century Schoolbook"/>
    </font>
    <font>
      <sz val="10"/>
      <name val="Advisor SSi"/>
      <family val="1"/>
    </font>
    <font>
      <sz val="10"/>
      <name val="Helv"/>
    </font>
    <font>
      <b/>
      <sz val="9.85"/>
      <name val="Times New Roman"/>
    </font>
    <font>
      <b/>
      <sz val="12"/>
      <name val="Times New Roman"/>
    </font>
    <font>
      <b/>
      <u/>
      <sz val="11"/>
      <color indexed="37"/>
      <name val="Arial"/>
      <family val="2"/>
    </font>
    <font>
      <sz val="10"/>
      <color indexed="12"/>
      <name val="Arial"/>
      <family val="2"/>
    </font>
    <font>
      <b/>
      <i/>
      <sz val="16"/>
      <name val="Helv"/>
    </font>
    <font>
      <sz val="12"/>
      <name val="SWISS"/>
    </font>
    <font>
      <sz val="8"/>
      <name val="Helv"/>
    </font>
    <font>
      <sz val="8"/>
      <name val="SWISS"/>
    </font>
    <font>
      <sz val="10"/>
      <name val="SWISS"/>
    </font>
    <font>
      <sz val="12"/>
      <name val="Helv"/>
      <family val="2"/>
    </font>
    <font>
      <sz val="12"/>
      <name val="Courier"/>
      <family val="3"/>
    </font>
    <font>
      <sz val="8"/>
      <name val="Courier"/>
      <family val="3"/>
    </font>
    <font>
      <sz val="8"/>
      <name val="Arial"/>
    </font>
    <font>
      <sz val="11"/>
      <name val="Arial"/>
    </font>
    <font>
      <sz val="12"/>
      <name val="Arial MT"/>
    </font>
    <font>
      <sz val="8"/>
      <name val="MS Sans Serif"/>
      <family val="2"/>
    </font>
    <font>
      <sz val="10"/>
      <name val="Tms Rmn"/>
    </font>
    <font>
      <sz val="9"/>
      <name val="Arial"/>
    </font>
    <font>
      <sz val="12"/>
      <name val="Times New Roman"/>
      <family val="1"/>
    </font>
    <font>
      <sz val="10"/>
      <name val="Courier"/>
      <family val="3"/>
    </font>
    <font>
      <sz val="10"/>
      <name val="Univers (W1)"/>
    </font>
    <font>
      <sz val="12"/>
      <name val="Times New Roman"/>
    </font>
    <font>
      <sz val="10"/>
      <name val="Univers (W1)"/>
      <family val="2"/>
    </font>
    <font>
      <sz val="10"/>
      <name val="Geneva"/>
    </font>
    <font>
      <sz val="14"/>
      <name val="AngsanaUPC"/>
      <family val="1"/>
    </font>
    <font>
      <sz val="9"/>
      <name val="Arial Narrow"/>
      <family val="2"/>
    </font>
    <font>
      <sz val="12"/>
      <name val="EucrosiaUPC"/>
      <family val="1"/>
    </font>
    <font>
      <sz val="14"/>
      <name val="CordiaUPC"/>
      <family val="1"/>
    </font>
    <font>
      <sz val="14"/>
      <name val="FreesiaUPC"/>
      <family val="1"/>
    </font>
    <font>
      <sz val="12"/>
      <name val="Helv"/>
    </font>
    <font>
      <sz val="8.5"/>
      <name val="MS Sans Serif"/>
      <family val="2"/>
    </font>
    <font>
      <sz val="10"/>
      <name val="Helv"/>
      <family val="2"/>
    </font>
    <font>
      <sz val="11"/>
      <name val="Book Antiqua"/>
      <family val="1"/>
    </font>
    <font>
      <sz val="10"/>
      <color indexed="8"/>
      <name val="MS Sans Serif"/>
    </font>
    <font>
      <sz val="8"/>
      <name val="Tms Rmn"/>
    </font>
    <font>
      <sz val="10"/>
      <name val="TimesNewRomanPS"/>
      <family val="1"/>
    </font>
    <font>
      <sz val="9.85"/>
      <name val="Times New Roman"/>
    </font>
    <font>
      <sz val="12"/>
      <color indexed="17"/>
      <name val="SWISS"/>
      <family val="2"/>
    </font>
    <font>
      <sz val="8"/>
      <color indexed="12"/>
      <name val="Arial"/>
      <family val="2"/>
    </font>
    <font>
      <sz val="12"/>
      <name val="___"/>
      <family val="1"/>
      <charset val="129"/>
    </font>
    <font>
      <sz val="12"/>
      <name val="___"/>
      <family val="3"/>
      <charset val="129"/>
    </font>
    <font>
      <sz val="12"/>
      <name val="___"/>
      <family val="3"/>
      <charset val="129"/>
    </font>
    <font>
      <sz val="10"/>
      <name val="___"/>
      <family val="3"/>
      <charset val="129"/>
    </font>
    <font>
      <sz val="11"/>
      <name val="___"/>
      <family val="1"/>
      <charset val="129"/>
    </font>
    <font>
      <sz val="11"/>
      <name val="___"/>
      <family val="3"/>
      <charset val="129"/>
    </font>
    <font>
      <b/>
      <i/>
      <sz val="10"/>
      <color indexed="20"/>
      <name val="Arial"/>
      <family val="2"/>
    </font>
    <font>
      <sz val="8"/>
      <color indexed="8"/>
      <name val="Arial"/>
      <family val="2"/>
    </font>
    <font>
      <b/>
      <sz val="8"/>
      <color indexed="8"/>
      <name val="Arial"/>
      <family val="2"/>
    </font>
    <font>
      <sz val="14"/>
      <name val="Arial"/>
      <family val="2"/>
    </font>
    <font>
      <b/>
      <sz val="8"/>
      <color indexed="81"/>
      <name val="Tahoma"/>
      <family val="2"/>
    </font>
    <font>
      <sz val="8"/>
      <color indexed="81"/>
      <name val="Tahoma"/>
      <family val="2"/>
    </font>
    <font>
      <i/>
      <sz val="10"/>
      <name val="Arial"/>
      <family val="2"/>
    </font>
    <font>
      <i/>
      <sz val="10"/>
      <color indexed="8"/>
      <name val="Arial"/>
      <family val="2"/>
    </font>
    <font>
      <sz val="10"/>
      <color indexed="48"/>
      <name val="Arial"/>
      <family val="2"/>
    </font>
    <font>
      <b/>
      <sz val="10"/>
      <color indexed="9"/>
      <name val="Arial"/>
      <family val="2"/>
    </font>
    <font>
      <b/>
      <sz val="9"/>
      <color indexed="81"/>
      <name val="Tahoma"/>
      <family val="2"/>
    </font>
    <font>
      <sz val="9"/>
      <color indexed="81"/>
      <name val="Tahoma"/>
      <family val="2"/>
    </font>
    <font>
      <i/>
      <sz val="10"/>
      <color indexed="22"/>
      <name val="Arial"/>
      <family val="2"/>
    </font>
    <font>
      <sz val="10"/>
      <color indexed="9"/>
      <name val="Arial"/>
      <family val="2"/>
    </font>
  </fonts>
  <fills count="22">
    <fill>
      <patternFill patternType="none"/>
    </fill>
    <fill>
      <patternFill patternType="gray125"/>
    </fill>
    <fill>
      <patternFill patternType="solid">
        <fgColor indexed="15"/>
        <bgColor indexed="64"/>
      </patternFill>
    </fill>
    <fill>
      <patternFill patternType="solid">
        <fgColor indexed="22"/>
        <bgColor indexed="64"/>
      </patternFill>
    </fill>
    <fill>
      <patternFill patternType="solid">
        <fgColor indexed="26"/>
        <bgColor indexed="64"/>
      </patternFill>
    </fill>
    <fill>
      <patternFill patternType="solid">
        <fgColor indexed="9"/>
        <bgColor indexed="9"/>
      </patternFill>
    </fill>
    <fill>
      <patternFill patternType="solid">
        <fgColor indexed="43"/>
        <bgColor indexed="64"/>
      </patternFill>
    </fill>
    <fill>
      <patternFill patternType="solid">
        <fgColor indexed="9"/>
        <bgColor indexed="64"/>
      </patternFill>
    </fill>
    <fill>
      <patternFill patternType="solid">
        <fgColor indexed="11"/>
        <bgColor indexed="64"/>
      </patternFill>
    </fill>
    <fill>
      <patternFill patternType="solid">
        <fgColor indexed="13"/>
        <bgColor indexed="64"/>
      </patternFill>
    </fill>
    <fill>
      <patternFill patternType="solid">
        <fgColor indexed="44"/>
        <bgColor indexed="64"/>
      </patternFill>
    </fill>
    <fill>
      <patternFill patternType="solid">
        <fgColor indexed="29"/>
        <bgColor indexed="64"/>
      </patternFill>
    </fill>
    <fill>
      <patternFill patternType="solid">
        <fgColor indexed="53"/>
        <bgColor indexed="64"/>
      </patternFill>
    </fill>
    <fill>
      <patternFill patternType="solid">
        <fgColor indexed="42"/>
        <bgColor indexed="64"/>
      </patternFill>
    </fill>
    <fill>
      <patternFill patternType="solid">
        <fgColor indexed="47"/>
        <bgColor indexed="64"/>
      </patternFill>
    </fill>
    <fill>
      <patternFill patternType="solid">
        <fgColor indexed="20"/>
        <bgColor indexed="64"/>
      </patternFill>
    </fill>
    <fill>
      <patternFill patternType="solid">
        <fgColor indexed="23"/>
        <bgColor indexed="64"/>
      </patternFill>
    </fill>
    <fill>
      <patternFill patternType="gray0625">
        <fgColor indexed="8"/>
      </patternFill>
    </fill>
    <fill>
      <patternFill patternType="gray125">
        <fgColor indexed="8"/>
      </patternFill>
    </fill>
    <fill>
      <patternFill patternType="solid">
        <fgColor indexed="45"/>
        <bgColor indexed="64"/>
      </patternFill>
    </fill>
    <fill>
      <patternFill patternType="solid">
        <fgColor indexed="17"/>
        <bgColor indexed="64"/>
      </patternFill>
    </fill>
    <fill>
      <patternFill patternType="solid">
        <fgColor indexed="51"/>
        <bgColor indexed="64"/>
      </patternFill>
    </fill>
  </fills>
  <borders count="45">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double">
        <color indexed="64"/>
      </bottom>
      <diagonal/>
    </border>
    <border>
      <left/>
      <right style="medium">
        <color indexed="64"/>
      </right>
      <top/>
      <bottom/>
      <diagonal/>
    </border>
    <border>
      <left/>
      <right/>
      <top/>
      <bottom style="medium">
        <color indexed="64"/>
      </bottom>
      <diagonal/>
    </border>
    <border>
      <left/>
      <right/>
      <top style="medium">
        <color indexed="64"/>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thin">
        <color indexed="64"/>
      </left>
      <right/>
      <top/>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medium">
        <color indexed="64"/>
      </bottom>
      <diagonal/>
    </border>
    <border>
      <left/>
      <right/>
      <top style="double">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medium">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double">
        <color indexed="64"/>
      </bottom>
      <diagonal/>
    </border>
  </borders>
  <cellStyleXfs count="77">
    <xf numFmtId="0" fontId="0" fillId="0" borderId="0"/>
    <xf numFmtId="209" fontId="1" fillId="0" borderId="0" applyFont="0" applyFill="0" applyBorder="0" applyAlignment="0" applyProtection="0"/>
    <xf numFmtId="209" fontId="1" fillId="0" borderId="0" applyFont="0" applyFill="0" applyBorder="0" applyAlignment="0" applyProtection="0"/>
    <xf numFmtId="209" fontId="1" fillId="0" borderId="0" applyFont="0" applyFill="0" applyBorder="0" applyAlignment="0" applyProtection="0"/>
    <xf numFmtId="209" fontId="1" fillId="0" borderId="0" applyFont="0" applyFill="0" applyBorder="0" applyAlignment="0" applyProtection="0"/>
    <xf numFmtId="288" fontId="1" fillId="0" borderId="0" applyFont="0" applyFill="0" applyBorder="0" applyAlignment="0" applyProtection="0"/>
    <xf numFmtId="209" fontId="1" fillId="0" borderId="0" applyFont="0" applyFill="0" applyBorder="0" applyAlignment="0" applyProtection="0"/>
    <xf numFmtId="209" fontId="1" fillId="0" borderId="0" applyFont="0" applyFill="0" applyBorder="0" applyAlignment="0" applyProtection="0"/>
    <xf numFmtId="209" fontId="1" fillId="0" borderId="0" applyFont="0" applyFill="0" applyBorder="0" applyAlignment="0" applyProtection="0"/>
    <xf numFmtId="6" fontId="125" fillId="0" borderId="0" applyFont="0" applyFill="0" applyBorder="0" applyAlignment="0" applyProtection="0"/>
    <xf numFmtId="320" fontId="1" fillId="0" borderId="0" applyFont="0" applyFill="0" applyBorder="0" applyAlignment="0" applyProtection="0"/>
    <xf numFmtId="309" fontId="1" fillId="0" borderId="0" applyFont="0" applyFill="0" applyBorder="0" applyAlignment="0" applyProtection="0"/>
    <xf numFmtId="317" fontId="1" fillId="0" borderId="0" applyFont="0" applyFill="0" applyBorder="0" applyAlignment="0" applyProtection="0"/>
    <xf numFmtId="0" fontId="37" fillId="0" borderId="0" applyFont="0" applyFill="0" applyBorder="0" applyAlignment="0" applyProtection="0"/>
    <xf numFmtId="209" fontId="1" fillId="0" borderId="0" applyFont="0" applyFill="0" applyBorder="0" applyAlignment="0" applyProtection="0"/>
    <xf numFmtId="326" fontId="1" fillId="0" borderId="0" applyFont="0" applyFill="0" applyBorder="0" applyAlignment="0" applyProtection="0"/>
    <xf numFmtId="0" fontId="133" fillId="0" borderId="0"/>
    <xf numFmtId="0" fontId="133" fillId="0" borderId="0"/>
    <xf numFmtId="0" fontId="133" fillId="0" borderId="0"/>
    <xf numFmtId="0" fontId="134" fillId="0" borderId="0"/>
    <xf numFmtId="0" fontId="133" fillId="0" borderId="0"/>
    <xf numFmtId="0" fontId="90" fillId="0" borderId="0"/>
    <xf numFmtId="290" fontId="1" fillId="0" borderId="0" applyFont="0" applyFill="0" applyBorder="0" applyAlignment="0" applyProtection="0"/>
    <xf numFmtId="0" fontId="133" fillId="0" borderId="0"/>
    <xf numFmtId="0" fontId="136" fillId="0" borderId="0"/>
    <xf numFmtId="0" fontId="90" fillId="0" borderId="0"/>
    <xf numFmtId="0" fontId="134" fillId="0" borderId="0"/>
    <xf numFmtId="286" fontId="1" fillId="0" borderId="0" applyFont="0" applyFill="0" applyBorder="0" applyAlignment="0" applyProtection="0"/>
    <xf numFmtId="0" fontId="134" fillId="0" borderId="0"/>
    <xf numFmtId="0" fontId="88" fillId="0" borderId="0"/>
    <xf numFmtId="0" fontId="134" fillId="0" borderId="0"/>
    <xf numFmtId="0" fontId="37" fillId="0" borderId="0"/>
    <xf numFmtId="290" fontId="1" fillId="0" borderId="0" applyFont="0" applyFill="0" applyBorder="0" applyAlignment="0" applyProtection="0"/>
    <xf numFmtId="0" fontId="134" fillId="0" borderId="0"/>
    <xf numFmtId="290" fontId="1" fillId="0" borderId="0" applyFont="0" applyFill="0" applyBorder="0" applyAlignment="0" applyProtection="0"/>
    <xf numFmtId="0" fontId="133" fillId="0" borderId="0"/>
    <xf numFmtId="0" fontId="135" fillId="0" borderId="0"/>
    <xf numFmtId="0" fontId="136" fillId="0" borderId="0"/>
    <xf numFmtId="0" fontId="134" fillId="0" borderId="0"/>
    <xf numFmtId="0" fontId="125" fillId="0" borderId="0"/>
    <xf numFmtId="0" fontId="137" fillId="0" borderId="0"/>
    <xf numFmtId="0" fontId="138" fillId="0" borderId="0"/>
    <xf numFmtId="0" fontId="37" fillId="0" borderId="0"/>
    <xf numFmtId="0" fontId="88" fillId="0" borderId="0"/>
    <xf numFmtId="317" fontId="1" fillId="0" borderId="0" applyFont="0" applyFill="0" applyBorder="0" applyAlignment="0" applyProtection="0"/>
    <xf numFmtId="0" fontId="37" fillId="0" borderId="0"/>
    <xf numFmtId="0" fontId="133" fillId="0" borderId="0"/>
    <xf numFmtId="0" fontId="134" fillId="0" borderId="0"/>
    <xf numFmtId="0" fontId="37" fillId="0" borderId="0"/>
    <xf numFmtId="0" fontId="137" fillId="0" borderId="0"/>
    <xf numFmtId="0" fontId="90" fillId="0" borderId="0"/>
    <xf numFmtId="0" fontId="134" fillId="0" borderId="0"/>
    <xf numFmtId="37" fontId="1" fillId="0" borderId="0" applyFont="0" applyFill="0" applyBorder="0" applyAlignment="0" applyProtection="0"/>
    <xf numFmtId="44" fontId="1" fillId="0" borderId="0" applyFont="0" applyFill="0" applyBorder="0" applyAlignment="0" applyProtection="0"/>
    <xf numFmtId="6" fontId="90" fillId="0" borderId="0">
      <protection locked="0"/>
    </xf>
    <xf numFmtId="327" fontId="1" fillId="0" borderId="0">
      <protection locked="0"/>
    </xf>
    <xf numFmtId="38" fontId="51" fillId="3" borderId="0" applyNumberFormat="0" applyBorder="0" applyAlignment="0" applyProtection="0"/>
    <xf numFmtId="0" fontId="96" fillId="0" borderId="0" applyNumberFormat="0" applyFill="0" applyBorder="0" applyAlignment="0" applyProtection="0"/>
    <xf numFmtId="0" fontId="42" fillId="0" borderId="1" applyNumberFormat="0" applyAlignment="0" applyProtection="0">
      <alignment horizontal="left" vertical="center"/>
    </xf>
    <xf numFmtId="0" fontId="42" fillId="0" borderId="2">
      <alignment horizontal="left" vertical="center"/>
    </xf>
    <xf numFmtId="328" fontId="1" fillId="0" borderId="0">
      <protection locked="0"/>
    </xf>
    <xf numFmtId="328" fontId="1" fillId="0" borderId="0">
      <protection locked="0"/>
    </xf>
    <xf numFmtId="0" fontId="97" fillId="0" borderId="3" applyNumberFormat="0" applyFill="0" applyAlignment="0" applyProtection="0"/>
    <xf numFmtId="10" fontId="51" fillId="4" borderId="4" applyNumberFormat="0" applyBorder="0" applyAlignment="0" applyProtection="0"/>
    <xf numFmtId="227" fontId="98" fillId="0" borderId="0"/>
    <xf numFmtId="4" fontId="1" fillId="0" borderId="0"/>
    <xf numFmtId="0" fontId="18" fillId="0" borderId="0"/>
    <xf numFmtId="0" fontId="1" fillId="0" borderId="0"/>
    <xf numFmtId="3" fontId="11" fillId="0" borderId="0"/>
    <xf numFmtId="9" fontId="1" fillId="0" borderId="0" applyFont="0" applyFill="0" applyBorder="0" applyAlignment="0" applyProtection="0"/>
    <xf numFmtId="10" fontId="1" fillId="0" borderId="0" applyFont="0" applyFill="0" applyBorder="0" applyAlignment="0" applyProtection="0"/>
    <xf numFmtId="181" fontId="131" fillId="0" borderId="0"/>
    <xf numFmtId="328" fontId="1" fillId="0" borderId="6">
      <protection locked="0"/>
    </xf>
    <xf numFmtId="37" fontId="6" fillId="3" borderId="0" applyNumberFormat="0" applyBorder="0" applyAlignment="0" applyProtection="0"/>
    <xf numFmtId="37" fontId="6" fillId="0" borderId="0"/>
    <xf numFmtId="37" fontId="51" fillId="6" borderId="0" applyNumberFormat="0" applyBorder="0" applyAlignment="0" applyProtection="0"/>
    <xf numFmtId="3" fontId="132" fillId="0" borderId="3" applyProtection="0"/>
  </cellStyleXfs>
  <cellXfs count="1651">
    <xf numFmtId="0" fontId="0" fillId="0" borderId="0" xfId="0"/>
    <xf numFmtId="0" fontId="38" fillId="0" borderId="0" xfId="0" applyFont="1" applyBorder="1" applyAlignment="1">
      <alignment horizontal="center"/>
    </xf>
    <xf numFmtId="0" fontId="38" fillId="0" borderId="9" xfId="0" applyFont="1" applyBorder="1" applyAlignment="1">
      <alignment horizontal="center"/>
    </xf>
    <xf numFmtId="0" fontId="2" fillId="0" borderId="0" xfId="0" applyFont="1" applyAlignment="1"/>
    <xf numFmtId="0" fontId="0" fillId="0" borderId="0" xfId="0" applyFont="1" applyAlignment="1"/>
    <xf numFmtId="3" fontId="6" fillId="0" borderId="0" xfId="0" applyNumberFormat="1" applyFont="1" applyAlignment="1"/>
    <xf numFmtId="3" fontId="5" fillId="0" borderId="0" xfId="0" applyNumberFormat="1" applyFont="1" applyAlignment="1"/>
    <xf numFmtId="0" fontId="6" fillId="0" borderId="0" xfId="0" applyFont="1" applyAlignment="1">
      <alignment horizontal="center"/>
    </xf>
    <xf numFmtId="0" fontId="0" fillId="0" borderId="0" xfId="0" applyFont="1" applyAlignment="1">
      <alignment horizontal="center"/>
    </xf>
    <xf numFmtId="0" fontId="2" fillId="7" borderId="0" xfId="0" applyFont="1" applyFill="1" applyAlignment="1"/>
    <xf numFmtId="0" fontId="9" fillId="0" borderId="0" xfId="0" applyFont="1" applyAlignment="1"/>
    <xf numFmtId="0" fontId="10" fillId="0" borderId="0" xfId="0" applyFont="1" applyAlignment="1"/>
    <xf numFmtId="0" fontId="11" fillId="0" borderId="0" xfId="0" applyFont="1" applyAlignment="1"/>
    <xf numFmtId="9" fontId="11" fillId="0" borderId="0" xfId="0" applyNumberFormat="1" applyFont="1" applyAlignment="1"/>
    <xf numFmtId="0" fontId="3" fillId="7" borderId="0" xfId="0" applyFont="1" applyFill="1" applyAlignment="1"/>
    <xf numFmtId="0" fontId="9" fillId="0" borderId="0" xfId="0" applyFont="1" applyAlignment="1">
      <alignment horizontal="right"/>
    </xf>
    <xf numFmtId="0" fontId="12" fillId="0" borderId="0" xfId="0" applyFont="1" applyAlignment="1">
      <alignment horizontal="center"/>
    </xf>
    <xf numFmtId="0" fontId="11" fillId="0" borderId="0" xfId="0" applyFont="1" applyAlignment="1">
      <alignment horizontal="center"/>
    </xf>
    <xf numFmtId="3" fontId="11" fillId="0" borderId="0" xfId="0" applyNumberFormat="1" applyFont="1" applyAlignment="1"/>
    <xf numFmtId="10" fontId="11" fillId="0" borderId="0" xfId="0" applyNumberFormat="1" applyFont="1" applyAlignment="1"/>
    <xf numFmtId="0" fontId="11" fillId="0" borderId="0" xfId="0" applyFont="1" applyAlignment="1">
      <alignment horizontal="right"/>
    </xf>
    <xf numFmtId="0" fontId="12" fillId="0" borderId="0" xfId="0" applyFont="1" applyAlignment="1"/>
    <xf numFmtId="0" fontId="7" fillId="0" borderId="0" xfId="0" applyFont="1" applyAlignment="1"/>
    <xf numFmtId="3" fontId="1" fillId="0" borderId="0" xfId="65" applyNumberFormat="1" applyFont="1" applyAlignment="1" applyProtection="1">
      <protection locked="0"/>
    </xf>
    <xf numFmtId="3" fontId="1" fillId="0" borderId="0" xfId="65" applyNumberFormat="1" applyFont="1" applyAlignment="1"/>
    <xf numFmtId="3" fontId="1" fillId="3" borderId="0" xfId="65" applyNumberFormat="1" applyFont="1" applyFill="1" applyAlignment="1"/>
    <xf numFmtId="3" fontId="1" fillId="0" borderId="0" xfId="65" applyNumberFormat="1" applyFont="1" applyAlignment="1">
      <alignment horizontal="center"/>
    </xf>
    <xf numFmtId="3" fontId="5" fillId="0" borderId="0" xfId="65" applyNumberFormat="1" applyFont="1" applyAlignment="1"/>
    <xf numFmtId="10" fontId="5" fillId="0" borderId="0" xfId="65" applyNumberFormat="1" applyFont="1" applyAlignment="1"/>
    <xf numFmtId="10" fontId="1" fillId="0" borderId="0" xfId="65" applyNumberFormat="1"/>
    <xf numFmtId="3" fontId="1" fillId="0" borderId="0" xfId="65" applyNumberFormat="1"/>
    <xf numFmtId="3" fontId="11" fillId="0" borderId="0" xfId="65" applyNumberFormat="1" applyFont="1" applyAlignment="1"/>
    <xf numFmtId="3" fontId="19" fillId="0" borderId="0" xfId="65" applyNumberFormat="1" applyFont="1" applyAlignment="1"/>
    <xf numFmtId="164" fontId="19" fillId="0" borderId="0" xfId="65" applyNumberFormat="1" applyFont="1" applyAlignment="1"/>
    <xf numFmtId="9" fontId="19" fillId="0" borderId="0" xfId="65" applyNumberFormat="1" applyFont="1" applyAlignment="1"/>
    <xf numFmtId="3" fontId="21" fillId="0" borderId="0" xfId="65" applyNumberFormat="1" applyFont="1" applyAlignment="1">
      <alignment horizontal="left"/>
    </xf>
    <xf numFmtId="3" fontId="20" fillId="0" borderId="0" xfId="65" applyNumberFormat="1" applyFont="1" applyAlignment="1">
      <alignment horizontal="right"/>
    </xf>
    <xf numFmtId="3" fontId="6" fillId="0" borderId="0" xfId="65" applyNumberFormat="1" applyFont="1" applyAlignment="1"/>
    <xf numFmtId="3" fontId="1" fillId="0" borderId="0" xfId="0" applyNumberFormat="1" applyFont="1" applyAlignment="1"/>
    <xf numFmtId="0" fontId="1" fillId="0" borderId="0" xfId="0" applyFont="1" applyAlignment="1"/>
    <xf numFmtId="0" fontId="11" fillId="0" borderId="0" xfId="0" applyFont="1" applyAlignment="1">
      <alignment horizontal="left"/>
    </xf>
    <xf numFmtId="3" fontId="5" fillId="0" borderId="0" xfId="0" applyNumberFormat="1" applyFont="1" applyAlignment="1">
      <alignment horizontal="left"/>
    </xf>
    <xf numFmtId="3" fontId="11" fillId="8" borderId="0" xfId="0" applyNumberFormat="1" applyFont="1" applyFill="1" applyAlignment="1">
      <alignment horizontal="left"/>
    </xf>
    <xf numFmtId="3" fontId="11" fillId="9" borderId="0" xfId="0" applyNumberFormat="1" applyFont="1" applyFill="1" applyAlignment="1">
      <alignment horizontal="left"/>
    </xf>
    <xf numFmtId="10" fontId="1" fillId="0" borderId="0" xfId="0" applyNumberFormat="1" applyFont="1" applyAlignment="1"/>
    <xf numFmtId="3" fontId="0" fillId="0" borderId="0" xfId="0" applyNumberFormat="1"/>
    <xf numFmtId="3" fontId="1" fillId="0" borderId="0" xfId="0" applyNumberFormat="1" applyFont="1" applyAlignment="1">
      <alignment horizontal="center"/>
    </xf>
    <xf numFmtId="3" fontId="1" fillId="3" borderId="0" xfId="0" applyNumberFormat="1" applyFont="1" applyFill="1" applyAlignment="1"/>
    <xf numFmtId="0" fontId="1" fillId="3" borderId="0" xfId="0" applyFont="1" applyFill="1" applyAlignment="1"/>
    <xf numFmtId="0" fontId="27" fillId="0" borderId="0" xfId="0" applyFont="1" applyAlignment="1"/>
    <xf numFmtId="0" fontId="16" fillId="0" borderId="0" xfId="0" applyFont="1" applyAlignment="1"/>
    <xf numFmtId="0" fontId="23" fillId="0" borderId="0" xfId="0" applyFont="1" applyAlignment="1">
      <alignment horizontal="right"/>
    </xf>
    <xf numFmtId="0" fontId="14" fillId="0" borderId="0" xfId="0" applyFont="1" applyAlignment="1">
      <alignment horizontal="left"/>
    </xf>
    <xf numFmtId="0" fontId="8" fillId="0" borderId="0" xfId="0" applyFont="1" applyAlignment="1"/>
    <xf numFmtId="0" fontId="17" fillId="0" borderId="0" xfId="0" applyFont="1" applyAlignment="1">
      <alignment horizontal="center"/>
    </xf>
    <xf numFmtId="3" fontId="11" fillId="0" borderId="0" xfId="68" applyNumberFormat="1" applyFont="1" applyAlignment="1">
      <alignment horizontal="center"/>
    </xf>
    <xf numFmtId="3" fontId="11" fillId="0" borderId="0" xfId="68" applyNumberFormat="1" applyFont="1" applyAlignment="1"/>
    <xf numFmtId="3" fontId="11" fillId="0" borderId="0" xfId="68" applyNumberFormat="1" applyFont="1" applyAlignment="1">
      <alignment horizontal="left"/>
    </xf>
    <xf numFmtId="3" fontId="11" fillId="7" borderId="0" xfId="68" applyNumberFormat="1" applyFont="1" applyFill="1" applyAlignment="1"/>
    <xf numFmtId="37" fontId="0" fillId="0" borderId="0" xfId="52" applyFont="1"/>
    <xf numFmtId="0" fontId="5" fillId="0" borderId="0" xfId="0" applyFont="1" applyAlignment="1"/>
    <xf numFmtId="0" fontId="5" fillId="0" borderId="0" xfId="0" applyFont="1" applyAlignment="1">
      <alignment horizontal="right"/>
    </xf>
    <xf numFmtId="3" fontId="22" fillId="0" borderId="0" xfId="65" applyNumberFormat="1" applyFont="1" applyAlignment="1">
      <alignment horizontal="left"/>
    </xf>
    <xf numFmtId="37" fontId="11" fillId="0" borderId="0" xfId="52" applyFont="1" applyAlignment="1"/>
    <xf numFmtId="37" fontId="1" fillId="0" borderId="0" xfId="52" applyFont="1" applyAlignment="1"/>
    <xf numFmtId="0" fontId="0" fillId="0" borderId="0" xfId="0" applyFill="1"/>
    <xf numFmtId="0" fontId="5" fillId="0" borderId="0" xfId="0" applyFont="1" applyFill="1" applyAlignment="1">
      <alignment horizontal="center"/>
    </xf>
    <xf numFmtId="3" fontId="5" fillId="0" borderId="0" xfId="0" applyNumberFormat="1" applyFont="1" applyFill="1" applyAlignment="1"/>
    <xf numFmtId="0" fontId="5" fillId="0" borderId="0" xfId="0" applyFont="1" applyFill="1" applyAlignment="1"/>
    <xf numFmtId="0" fontId="5" fillId="0" borderId="0" xfId="0" applyFont="1" applyFill="1" applyAlignment="1">
      <alignment horizontal="right"/>
    </xf>
    <xf numFmtId="0" fontId="0" fillId="0" borderId="0" xfId="0" applyFill="1" applyAlignment="1"/>
    <xf numFmtId="0" fontId="8" fillId="0" borderId="0" xfId="0" applyFont="1" applyFill="1" applyAlignment="1">
      <alignment horizontal="right"/>
    </xf>
    <xf numFmtId="0" fontId="11" fillId="0" borderId="0" xfId="0" applyFont="1" applyFill="1"/>
    <xf numFmtId="0" fontId="7" fillId="0" borderId="0" xfId="0" applyFont="1" applyFill="1" applyAlignment="1">
      <alignment horizontal="right"/>
    </xf>
    <xf numFmtId="3" fontId="7" fillId="0" borderId="0" xfId="0" applyNumberFormat="1" applyFont="1" applyFill="1" applyAlignment="1">
      <alignment horizontal="left"/>
    </xf>
    <xf numFmtId="0" fontId="7" fillId="0" borderId="0" xfId="0" applyFont="1" applyFill="1" applyAlignment="1"/>
    <xf numFmtId="0" fontId="30" fillId="0" borderId="0" xfId="0" applyFont="1"/>
    <xf numFmtId="0" fontId="11" fillId="0" borderId="0" xfId="0" applyFont="1" applyFill="1" applyAlignment="1"/>
    <xf numFmtId="0" fontId="30" fillId="0" borderId="0" xfId="0" applyFont="1" applyFill="1"/>
    <xf numFmtId="0" fontId="30" fillId="0" borderId="0" xfId="0" applyFont="1" applyFill="1" applyAlignment="1"/>
    <xf numFmtId="15" fontId="7" fillId="0" borderId="0" xfId="0" applyNumberFormat="1" applyFont="1" applyFill="1" applyAlignment="1">
      <alignment horizontal="left"/>
    </xf>
    <xf numFmtId="0" fontId="30" fillId="0" borderId="0" xfId="0" applyFont="1" applyFill="1" applyAlignment="1">
      <alignment horizontal="left"/>
    </xf>
    <xf numFmtId="3" fontId="11" fillId="0" borderId="0" xfId="0" applyNumberFormat="1" applyFont="1" applyFill="1" applyAlignment="1"/>
    <xf numFmtId="0" fontId="11" fillId="0" borderId="0" xfId="0" applyFont="1" applyFill="1" applyAlignment="1">
      <alignment horizontal="fill"/>
    </xf>
    <xf numFmtId="0" fontId="5" fillId="0" borderId="0" xfId="0" applyFont="1" applyFill="1" applyAlignment="1">
      <alignment horizontal="left"/>
    </xf>
    <xf numFmtId="0" fontId="11" fillId="0" borderId="0" xfId="0" applyFont="1" applyFill="1" applyAlignment="1">
      <alignment horizontal="left"/>
    </xf>
    <xf numFmtId="0" fontId="8" fillId="0" borderId="0" xfId="0" applyFont="1" applyFill="1" applyAlignment="1"/>
    <xf numFmtId="0" fontId="30" fillId="0" borderId="0" xfId="0" applyFont="1" applyFill="1" applyBorder="1" applyAlignment="1"/>
    <xf numFmtId="3" fontId="31" fillId="0" borderId="0" xfId="0" applyNumberFormat="1" applyFont="1" applyFill="1" applyAlignment="1"/>
    <xf numFmtId="3" fontId="30" fillId="0" borderId="0" xfId="0" applyNumberFormat="1" applyFont="1" applyFill="1" applyAlignment="1"/>
    <xf numFmtId="3" fontId="30" fillId="0" borderId="0" xfId="0" applyNumberFormat="1" applyFont="1" applyFill="1" applyBorder="1" applyAlignment="1"/>
    <xf numFmtId="0" fontId="30" fillId="0" borderId="0" xfId="0" applyFont="1" applyFill="1" applyBorder="1" applyAlignment="1">
      <alignment horizontal="center"/>
    </xf>
    <xf numFmtId="0" fontId="11" fillId="0" borderId="0" xfId="0" applyFont="1" applyFill="1" applyBorder="1" applyAlignment="1"/>
    <xf numFmtId="0" fontId="30" fillId="0" borderId="0" xfId="0" applyFont="1" applyFill="1" applyBorder="1"/>
    <xf numFmtId="0" fontId="30" fillId="0" borderId="4" xfId="0" applyFont="1" applyFill="1" applyBorder="1" applyAlignment="1">
      <alignment horizontal="right"/>
    </xf>
    <xf numFmtId="0" fontId="11" fillId="0" borderId="4" xfId="0" applyFont="1" applyFill="1" applyBorder="1" applyAlignment="1"/>
    <xf numFmtId="1" fontId="30" fillId="0" borderId="0" xfId="0" applyNumberFormat="1" applyFont="1" applyFill="1" applyAlignment="1"/>
    <xf numFmtId="0" fontId="16" fillId="0" borderId="0" xfId="0" applyFont="1" applyFill="1" applyAlignment="1"/>
    <xf numFmtId="3" fontId="30" fillId="0" borderId="0" xfId="0" applyNumberFormat="1" applyFont="1" applyFill="1" applyAlignment="1">
      <alignment horizontal="right"/>
    </xf>
    <xf numFmtId="0" fontId="16" fillId="0" borderId="0" xfId="0" applyFont="1" applyFill="1" applyAlignment="1">
      <alignment horizontal="center"/>
    </xf>
    <xf numFmtId="0" fontId="17" fillId="0" borderId="0" xfId="0" applyFont="1" applyFill="1" applyAlignment="1">
      <alignment horizontal="center"/>
    </xf>
    <xf numFmtId="0" fontId="14" fillId="0" borderId="0" xfId="0" applyFont="1" applyFill="1" applyAlignment="1">
      <alignment horizontal="center"/>
    </xf>
    <xf numFmtId="0" fontId="23" fillId="0" borderId="0" xfId="0" applyFont="1" applyFill="1" applyAlignment="1"/>
    <xf numFmtId="4" fontId="30" fillId="0" borderId="0" xfId="0" applyNumberFormat="1" applyFont="1" applyFill="1" applyAlignment="1"/>
    <xf numFmtId="0" fontId="31" fillId="0" borderId="0" xfId="0" applyFont="1" applyFill="1" applyAlignment="1"/>
    <xf numFmtId="3" fontId="30" fillId="0" borderId="0" xfId="0" applyNumberFormat="1" applyFont="1" applyAlignment="1"/>
    <xf numFmtId="0" fontId="11" fillId="0" borderId="4" xfId="0" applyFont="1" applyBorder="1" applyAlignment="1"/>
    <xf numFmtId="0" fontId="30" fillId="0" borderId="0" xfId="0" applyFont="1" applyAlignment="1">
      <alignment horizontal="right"/>
    </xf>
    <xf numFmtId="0" fontId="30" fillId="0" borderId="0" xfId="0" applyFont="1" applyAlignment="1"/>
    <xf numFmtId="3" fontId="30" fillId="0" borderId="0" xfId="0" applyNumberFormat="1" applyFont="1" applyAlignment="1">
      <alignment horizontal="right"/>
    </xf>
    <xf numFmtId="3" fontId="31" fillId="0" borderId="0" xfId="0" applyNumberFormat="1" applyFont="1" applyAlignment="1"/>
    <xf numFmtId="10" fontId="30" fillId="0" borderId="0" xfId="0" applyNumberFormat="1" applyFont="1" applyAlignment="1"/>
    <xf numFmtId="0" fontId="31" fillId="0" borderId="0" xfId="0" applyFont="1" applyAlignment="1"/>
    <xf numFmtId="10" fontId="7" fillId="0" borderId="4" xfId="69" applyNumberFormat="1" applyFont="1" applyBorder="1" applyAlignment="1"/>
    <xf numFmtId="10" fontId="11" fillId="0" borderId="4" xfId="69" applyNumberFormat="1" applyFont="1" applyBorder="1" applyAlignment="1"/>
    <xf numFmtId="10" fontId="30" fillId="0" borderId="4" xfId="69" applyNumberFormat="1" applyFont="1" applyBorder="1" applyAlignment="1"/>
    <xf numFmtId="10" fontId="11" fillId="0" borderId="0" xfId="69" applyNumberFormat="1" applyFont="1" applyAlignment="1"/>
    <xf numFmtId="0" fontId="30" fillId="0" borderId="0" xfId="0" applyFont="1" applyAlignment="1">
      <alignment horizontal="left"/>
    </xf>
    <xf numFmtId="0" fontId="17" fillId="0" borderId="0" xfId="0" applyFont="1" applyAlignment="1"/>
    <xf numFmtId="9" fontId="11" fillId="0" borderId="0" xfId="69" applyFont="1" applyAlignment="1"/>
    <xf numFmtId="2" fontId="11" fillId="0" borderId="0" xfId="0" applyNumberFormat="1" applyFont="1" applyAlignment="1"/>
    <xf numFmtId="0" fontId="30" fillId="0" borderId="0" xfId="0" applyFont="1" applyAlignment="1">
      <alignment horizontal="center"/>
    </xf>
    <xf numFmtId="0" fontId="30" fillId="0" borderId="4" xfId="0" applyFont="1" applyBorder="1" applyAlignment="1"/>
    <xf numFmtId="0" fontId="12" fillId="0" borderId="0" xfId="0" applyFont="1" applyFill="1" applyAlignment="1"/>
    <xf numFmtId="10" fontId="30" fillId="0" borderId="0" xfId="0" applyNumberFormat="1" applyFont="1" applyFill="1" applyAlignment="1"/>
    <xf numFmtId="10" fontId="30" fillId="0" borderId="0" xfId="69" applyNumberFormat="1" applyFont="1" applyAlignment="1"/>
    <xf numFmtId="0" fontId="23" fillId="0" borderId="0" xfId="0" applyFont="1" applyFill="1" applyAlignment="1">
      <alignment horizontal="right"/>
    </xf>
    <xf numFmtId="0" fontId="15" fillId="0" borderId="0" xfId="0" applyFont="1" applyAlignment="1">
      <alignment horizontal="center"/>
    </xf>
    <xf numFmtId="0" fontId="15" fillId="0" borderId="0" xfId="0" applyFont="1" applyFill="1" applyAlignment="1">
      <alignment horizontal="center"/>
    </xf>
    <xf numFmtId="0" fontId="17" fillId="0" borderId="0" xfId="0" applyFont="1" applyFill="1" applyAlignment="1"/>
    <xf numFmtId="10" fontId="11" fillId="0" borderId="4" xfId="69" applyNumberFormat="1" applyFont="1" applyFill="1" applyBorder="1" applyAlignment="1"/>
    <xf numFmtId="0" fontId="30" fillId="0" borderId="0" xfId="0" applyNumberFormat="1" applyFont="1" applyFill="1" applyAlignment="1"/>
    <xf numFmtId="0" fontId="30" fillId="3" borderId="0" xfId="0" applyFont="1" applyFill="1" applyBorder="1" applyAlignment="1"/>
    <xf numFmtId="0" fontId="11" fillId="3" borderId="7" xfId="0" applyFont="1" applyFill="1" applyBorder="1" applyAlignment="1"/>
    <xf numFmtId="0" fontId="30" fillId="3" borderId="8" xfId="0" applyFont="1" applyFill="1" applyBorder="1" applyAlignment="1"/>
    <xf numFmtId="9" fontId="30" fillId="0" borderId="0" xfId="0" applyNumberFormat="1" applyFont="1" applyFill="1" applyAlignment="1"/>
    <xf numFmtId="9" fontId="11" fillId="0" borderId="4" xfId="69" applyFont="1" applyFill="1" applyBorder="1" applyAlignment="1"/>
    <xf numFmtId="10" fontId="7" fillId="0" borderId="0" xfId="69" applyNumberFormat="1" applyFont="1" applyFill="1" applyAlignment="1"/>
    <xf numFmtId="0" fontId="30" fillId="3" borderId="9" xfId="0" applyFont="1" applyFill="1" applyBorder="1" applyAlignment="1"/>
    <xf numFmtId="9" fontId="11" fillId="0" borderId="4" xfId="69" applyFont="1" applyBorder="1" applyAlignment="1"/>
    <xf numFmtId="9" fontId="14" fillId="0" borderId="0" xfId="69" applyFont="1" applyAlignment="1">
      <alignment horizontal="left"/>
    </xf>
    <xf numFmtId="9" fontId="11" fillId="0" borderId="0" xfId="69" applyFont="1" applyAlignment="1">
      <alignment horizontal="left"/>
    </xf>
    <xf numFmtId="9" fontId="30" fillId="0" borderId="0" xfId="69" applyFont="1"/>
    <xf numFmtId="9" fontId="15" fillId="0" borderId="0" xfId="69" applyFont="1" applyAlignment="1">
      <alignment horizontal="center"/>
    </xf>
    <xf numFmtId="0" fontId="32" fillId="0" borderId="0" xfId="0" applyFont="1"/>
    <xf numFmtId="165" fontId="1" fillId="0" borderId="0" xfId="67" applyNumberFormat="1" applyFont="1" applyFill="1" applyAlignment="1"/>
    <xf numFmtId="3" fontId="13" fillId="0" borderId="0" xfId="67" applyNumberFormat="1" applyFont="1" applyFill="1" applyAlignment="1">
      <alignment horizontal="left"/>
    </xf>
    <xf numFmtId="3" fontId="1" fillId="0" borderId="0" xfId="67" applyNumberFormat="1" applyFont="1" applyFill="1" applyAlignment="1"/>
    <xf numFmtId="3" fontId="4" fillId="0" borderId="0" xfId="67" applyNumberFormat="1" applyFont="1" applyFill="1" applyAlignment="1"/>
    <xf numFmtId="3" fontId="11" fillId="0" borderId="0" xfId="67" applyNumberFormat="1" applyFont="1" applyFill="1" applyAlignment="1"/>
    <xf numFmtId="3" fontId="11" fillId="0" borderId="0" xfId="67" applyNumberFormat="1" applyFont="1" applyFill="1" applyAlignment="1">
      <alignment horizontal="center"/>
    </xf>
    <xf numFmtId="3" fontId="11" fillId="0" borderId="0" xfId="67" applyNumberFormat="1" applyFont="1" applyFill="1" applyAlignment="1">
      <alignment horizontal="right"/>
    </xf>
    <xf numFmtId="3" fontId="1" fillId="0" borderId="0" xfId="67" applyNumberFormat="1" applyFont="1" applyFill="1" applyAlignment="1">
      <alignment horizontal="right"/>
    </xf>
    <xf numFmtId="3" fontId="1" fillId="0" borderId="0" xfId="67" applyNumberFormat="1" applyFont="1" applyFill="1" applyAlignment="1">
      <alignment horizontal="center"/>
    </xf>
    <xf numFmtId="10" fontId="11" fillId="0" borderId="0" xfId="67" applyNumberFormat="1" applyFont="1" applyFill="1" applyAlignment="1">
      <alignment horizontal="right"/>
    </xf>
    <xf numFmtId="3" fontId="11" fillId="0" borderId="0" xfId="67" applyNumberFormat="1" applyFont="1" applyFill="1" applyAlignment="1">
      <alignment horizontal="left"/>
    </xf>
    <xf numFmtId="0" fontId="11" fillId="0" borderId="0" xfId="67" applyFont="1" applyFill="1" applyAlignment="1">
      <alignment horizontal="right"/>
    </xf>
    <xf numFmtId="0" fontId="11" fillId="0" borderId="0" xfId="67" applyFont="1" applyFill="1" applyAlignment="1"/>
    <xf numFmtId="3" fontId="14" fillId="0" borderId="0" xfId="67" applyNumberFormat="1" applyFont="1" applyFill="1" applyAlignment="1">
      <alignment horizontal="center"/>
    </xf>
    <xf numFmtId="3" fontId="1" fillId="0" borderId="0" xfId="67" applyNumberFormat="1" applyFont="1" applyFill="1" applyAlignment="1" applyProtection="1">
      <protection locked="0"/>
    </xf>
    <xf numFmtId="3" fontId="15" fillId="0" borderId="0" xfId="67" applyNumberFormat="1" applyFont="1" applyFill="1" applyAlignment="1">
      <alignment horizontal="center"/>
    </xf>
    <xf numFmtId="0" fontId="1" fillId="0" borderId="0" xfId="67" applyFont="1" applyFill="1" applyAlignment="1"/>
    <xf numFmtId="0" fontId="1" fillId="0" borderId="0" xfId="67" applyFill="1"/>
    <xf numFmtId="3" fontId="11" fillId="0" borderId="0" xfId="67" applyNumberFormat="1" applyFont="1" applyFill="1" applyAlignment="1">
      <alignment horizontal="centerContinuous"/>
    </xf>
    <xf numFmtId="9" fontId="11" fillId="0" borderId="0" xfId="67" applyNumberFormat="1" applyFont="1" applyFill="1" applyAlignment="1">
      <alignment horizontal="center"/>
    </xf>
    <xf numFmtId="3" fontId="1" fillId="0" borderId="0" xfId="65" applyNumberFormat="1" applyFont="1" applyFill="1" applyAlignment="1">
      <alignment horizontal="center"/>
    </xf>
    <xf numFmtId="3" fontId="1" fillId="0" borderId="0" xfId="65" applyNumberFormat="1" applyFont="1" applyFill="1" applyAlignment="1"/>
    <xf numFmtId="3" fontId="1" fillId="0" borderId="0" xfId="65" applyNumberFormat="1" applyFont="1" applyFill="1" applyAlignment="1" applyProtection="1">
      <protection locked="0"/>
    </xf>
    <xf numFmtId="3" fontId="1" fillId="0" borderId="0" xfId="0" applyNumberFormat="1" applyFont="1" applyFill="1" applyAlignment="1"/>
    <xf numFmtId="0" fontId="1" fillId="0" borderId="0" xfId="0" applyFont="1" applyFill="1" applyAlignment="1"/>
    <xf numFmtId="3" fontId="0" fillId="0" borderId="0" xfId="0" applyNumberFormat="1" applyFill="1"/>
    <xf numFmtId="3" fontId="11" fillId="0" borderId="0" xfId="0" applyNumberFormat="1" applyFont="1" applyFill="1" applyAlignment="1">
      <alignment horizontal="left"/>
    </xf>
    <xf numFmtId="10" fontId="11" fillId="0" borderId="0" xfId="0" applyNumberFormat="1" applyFont="1" applyFill="1" applyAlignment="1">
      <alignment horizontal="right"/>
    </xf>
    <xf numFmtId="3" fontId="11" fillId="0" borderId="0" xfId="0" applyNumberFormat="1" applyFont="1" applyFill="1" applyAlignment="1">
      <alignment horizontal="right"/>
    </xf>
    <xf numFmtId="0" fontId="11" fillId="0" borderId="0" xfId="0" applyFont="1" applyFill="1" applyAlignment="1">
      <alignment horizontal="right"/>
    </xf>
    <xf numFmtId="10" fontId="11" fillId="0" borderId="0" xfId="0" applyNumberFormat="1" applyFont="1" applyFill="1" applyAlignment="1"/>
    <xf numFmtId="37" fontId="11" fillId="0" borderId="0" xfId="52" applyFont="1" applyFill="1" applyAlignment="1"/>
    <xf numFmtId="37" fontId="0" fillId="0" borderId="0" xfId="52" applyFont="1" applyFill="1"/>
    <xf numFmtId="0" fontId="24" fillId="0" borderId="0" xfId="0" applyFont="1" applyFill="1" applyAlignment="1">
      <alignment horizontal="left"/>
    </xf>
    <xf numFmtId="3" fontId="1" fillId="0" borderId="0" xfId="0" applyNumberFormat="1" applyFont="1" applyFill="1" applyAlignment="1">
      <alignment horizontal="centerContinuous"/>
    </xf>
    <xf numFmtId="3" fontId="25" fillId="0" borderId="0" xfId="0" applyNumberFormat="1" applyFont="1" applyFill="1" applyAlignment="1">
      <alignment horizontal="left"/>
    </xf>
    <xf numFmtId="3" fontId="26" fillId="0" borderId="0" xfId="0" applyNumberFormat="1" applyFont="1" applyFill="1" applyAlignment="1"/>
    <xf numFmtId="9" fontId="11" fillId="0" borderId="0" xfId="0" applyNumberFormat="1" applyFont="1" applyFill="1" applyAlignment="1"/>
    <xf numFmtId="9" fontId="0" fillId="0" borderId="0" xfId="69" applyFont="1" applyFill="1"/>
    <xf numFmtId="37" fontId="1" fillId="0" borderId="0" xfId="52" applyFont="1" applyFill="1" applyAlignment="1"/>
    <xf numFmtId="37" fontId="0" fillId="0" borderId="0" xfId="52" applyFont="1" applyFill="1" applyAlignment="1"/>
    <xf numFmtId="1" fontId="33" fillId="0" borderId="0" xfId="0" applyNumberFormat="1" applyFont="1" applyFill="1" applyAlignment="1"/>
    <xf numFmtId="37" fontId="1" fillId="0" borderId="0" xfId="52" applyFont="1" applyAlignment="1">
      <alignment horizontal="left"/>
    </xf>
    <xf numFmtId="0" fontId="0" fillId="0" borderId="0" xfId="0" applyAlignment="1">
      <alignment horizontal="center"/>
    </xf>
    <xf numFmtId="3" fontId="11" fillId="0" borderId="0" xfId="68" applyNumberFormat="1" applyFont="1" applyFill="1" applyAlignment="1">
      <alignment horizontal="center"/>
    </xf>
    <xf numFmtId="3" fontId="11" fillId="0" borderId="0" xfId="68" applyNumberFormat="1" applyFont="1" applyFill="1" applyAlignment="1"/>
    <xf numFmtId="3" fontId="11" fillId="0" borderId="0" xfId="68" applyFont="1" applyFill="1" applyAlignment="1"/>
    <xf numFmtId="3" fontId="7" fillId="0" borderId="0" xfId="68" applyNumberFormat="1" applyFont="1" applyFill="1" applyAlignment="1"/>
    <xf numFmtId="3" fontId="11" fillId="0" borderId="0" xfId="68" applyFont="1" applyFill="1" applyAlignment="1">
      <alignment horizontal="center"/>
    </xf>
    <xf numFmtId="3" fontId="29" fillId="0" borderId="0" xfId="68" applyFont="1" applyFill="1" applyAlignment="1"/>
    <xf numFmtId="37" fontId="29" fillId="0" borderId="0" xfId="52" applyFont="1" applyFill="1" applyAlignment="1"/>
    <xf numFmtId="3" fontId="29" fillId="0" borderId="0" xfId="68" applyNumberFormat="1" applyFont="1" applyFill="1" applyAlignment="1"/>
    <xf numFmtId="1" fontId="11" fillId="0" borderId="4" xfId="0" applyNumberFormat="1" applyFont="1" applyFill="1" applyBorder="1" applyAlignment="1"/>
    <xf numFmtId="3" fontId="11" fillId="10" borderId="0" xfId="0" applyNumberFormat="1" applyFont="1" applyFill="1" applyAlignment="1">
      <alignment horizontal="left"/>
    </xf>
    <xf numFmtId="3" fontId="11" fillId="11" borderId="0" xfId="0" applyNumberFormat="1" applyFont="1" applyFill="1" applyAlignment="1">
      <alignment horizontal="left"/>
    </xf>
    <xf numFmtId="3" fontId="11" fillId="12" borderId="0" xfId="0" applyNumberFormat="1" applyFont="1" applyFill="1" applyAlignment="1">
      <alignment horizontal="left"/>
    </xf>
    <xf numFmtId="3" fontId="36" fillId="0" borderId="0" xfId="68" applyFont="1" applyAlignment="1"/>
    <xf numFmtId="37" fontId="36" fillId="0" borderId="0" xfId="52" applyFont="1" applyAlignment="1"/>
    <xf numFmtId="3" fontId="36" fillId="0" borderId="0" xfId="68" applyNumberFormat="1" applyFont="1" applyAlignment="1"/>
    <xf numFmtId="3" fontId="36" fillId="7" borderId="0" xfId="68" applyNumberFormat="1" applyFont="1" applyFill="1" applyAlignment="1"/>
    <xf numFmtId="0" fontId="36" fillId="0" borderId="0" xfId="0" applyFont="1"/>
    <xf numFmtId="3" fontId="36" fillId="0" borderId="0" xfId="68" applyFont="1" applyFill="1" applyAlignment="1"/>
    <xf numFmtId="37" fontId="36" fillId="0" borderId="0" xfId="52" applyFont="1" applyFill="1" applyAlignment="1"/>
    <xf numFmtId="3" fontId="36" fillId="0" borderId="0" xfId="68" applyNumberFormat="1" applyFont="1" applyFill="1" applyAlignment="1"/>
    <xf numFmtId="0" fontId="36" fillId="0" borderId="0" xfId="0" applyFont="1" applyFill="1"/>
    <xf numFmtId="10" fontId="36" fillId="0" borderId="0" xfId="69" applyNumberFormat="1" applyFont="1" applyFill="1" applyAlignment="1"/>
    <xf numFmtId="10" fontId="36" fillId="0" borderId="0" xfId="69" applyNumberFormat="1" applyFont="1" applyFill="1"/>
    <xf numFmtId="0" fontId="36" fillId="0" borderId="0" xfId="0" applyFont="1" applyAlignment="1"/>
    <xf numFmtId="3" fontId="36" fillId="0" borderId="0" xfId="0" applyNumberFormat="1" applyFont="1" applyAlignment="1"/>
    <xf numFmtId="0" fontId="0" fillId="3" borderId="0" xfId="0" applyFill="1"/>
    <xf numFmtId="0" fontId="38" fillId="3" borderId="7" xfId="0" applyFont="1" applyFill="1" applyBorder="1" applyAlignment="1"/>
    <xf numFmtId="0" fontId="37" fillId="0" borderId="0" xfId="0" applyFont="1" applyFill="1" applyAlignment="1"/>
    <xf numFmtId="0" fontId="38" fillId="0" borderId="0" xfId="0" applyFont="1" applyFill="1" applyAlignment="1"/>
    <xf numFmtId="37" fontId="39" fillId="0" borderId="0" xfId="52" applyFont="1" applyFill="1" applyAlignment="1"/>
    <xf numFmtId="37" fontId="11" fillId="0" borderId="0" xfId="52" applyFont="1" applyFill="1" applyBorder="1" applyAlignment="1"/>
    <xf numFmtId="37" fontId="11" fillId="0" borderId="8" xfId="52" applyFont="1" applyFill="1" applyBorder="1" applyAlignment="1"/>
    <xf numFmtId="3" fontId="30" fillId="0" borderId="0" xfId="0" applyNumberFormat="1" applyFont="1" applyBorder="1" applyAlignment="1"/>
    <xf numFmtId="0" fontId="0" fillId="0" borderId="0" xfId="0" applyFill="1" applyBorder="1"/>
    <xf numFmtId="37" fontId="11" fillId="0" borderId="4" xfId="52" applyFont="1" applyFill="1" applyBorder="1" applyAlignment="1"/>
    <xf numFmtId="37" fontId="11" fillId="6" borderId="4" xfId="52" applyFont="1" applyFill="1" applyBorder="1" applyAlignment="1"/>
    <xf numFmtId="37" fontId="30" fillId="0" borderId="4" xfId="52" applyFont="1" applyFill="1" applyBorder="1" applyAlignment="1"/>
    <xf numFmtId="37" fontId="30" fillId="0" borderId="0" xfId="52" applyFont="1" applyFill="1" applyAlignment="1"/>
    <xf numFmtId="37" fontId="30" fillId="0" borderId="0" xfId="52" applyFont="1" applyFill="1"/>
    <xf numFmtId="37" fontId="11" fillId="0" borderId="4" xfId="52" applyFont="1" applyBorder="1" applyAlignment="1"/>
    <xf numFmtId="37" fontId="30" fillId="0" borderId="0" xfId="52" applyFont="1" applyAlignment="1"/>
    <xf numFmtId="43" fontId="11" fillId="0" borderId="4" xfId="52" applyNumberFormat="1" applyFont="1" applyBorder="1" applyAlignment="1"/>
    <xf numFmtId="37" fontId="7" fillId="0" borderId="4" xfId="52" applyFont="1" applyFill="1" applyBorder="1" applyAlignment="1"/>
    <xf numFmtId="43" fontId="30" fillId="0" borderId="4" xfId="52" applyNumberFormat="1" applyFont="1" applyBorder="1"/>
    <xf numFmtId="43" fontId="11" fillId="0" borderId="0" xfId="52" applyNumberFormat="1" applyFont="1" applyFill="1" applyAlignment="1"/>
    <xf numFmtId="37" fontId="11" fillId="0" borderId="0" xfId="52" applyFont="1" applyAlignment="1">
      <alignment horizontal="left"/>
    </xf>
    <xf numFmtId="37" fontId="36" fillId="0" borderId="0" xfId="52" applyFont="1"/>
    <xf numFmtId="37" fontId="29" fillId="0" borderId="0" xfId="52" applyFont="1" applyAlignment="1"/>
    <xf numFmtId="0" fontId="41" fillId="0" borderId="0" xfId="0" applyFont="1" applyFill="1" applyBorder="1" applyAlignment="1"/>
    <xf numFmtId="3" fontId="1" fillId="0" borderId="10" xfId="65" applyNumberFormat="1" applyFont="1" applyBorder="1" applyAlignment="1"/>
    <xf numFmtId="38" fontId="1" fillId="0" borderId="0" xfId="52" applyNumberFormat="1" applyFont="1" applyAlignment="1"/>
    <xf numFmtId="38" fontId="0" fillId="0" borderId="0" xfId="52" applyNumberFormat="1" applyFont="1"/>
    <xf numFmtId="0" fontId="38" fillId="0" borderId="0" xfId="0" applyFont="1"/>
    <xf numFmtId="0" fontId="42" fillId="0" borderId="0" xfId="0" applyFont="1"/>
    <xf numFmtId="0" fontId="1" fillId="0" borderId="0" xfId="52" applyNumberFormat="1" applyFont="1" applyFill="1" applyBorder="1" applyAlignment="1"/>
    <xf numFmtId="0" fontId="38" fillId="3" borderId="11" xfId="0" applyFont="1" applyFill="1" applyBorder="1"/>
    <xf numFmtId="0" fontId="38" fillId="3" borderId="12" xfId="0" applyFont="1" applyFill="1" applyBorder="1"/>
    <xf numFmtId="0" fontId="38" fillId="3" borderId="13" xfId="0" applyFont="1" applyFill="1" applyBorder="1"/>
    <xf numFmtId="0" fontId="38" fillId="3" borderId="14" xfId="52" applyNumberFormat="1" applyFont="1" applyFill="1" applyBorder="1" applyAlignment="1"/>
    <xf numFmtId="0" fontId="38" fillId="3" borderId="5" xfId="52" applyNumberFormat="1" applyFont="1" applyFill="1" applyBorder="1" applyAlignment="1"/>
    <xf numFmtId="0" fontId="38" fillId="3" borderId="15" xfId="52" applyNumberFormat="1" applyFont="1" applyFill="1" applyBorder="1" applyAlignment="1"/>
    <xf numFmtId="37" fontId="1" fillId="0" borderId="10" xfId="52" applyFont="1" applyBorder="1" applyAlignment="1">
      <alignment horizontal="left"/>
    </xf>
    <xf numFmtId="37" fontId="11" fillId="0" borderId="0" xfId="52" applyFont="1" applyBorder="1" applyAlignment="1"/>
    <xf numFmtId="37" fontId="8" fillId="0" borderId="0" xfId="52" applyFont="1" applyBorder="1" applyAlignment="1"/>
    <xf numFmtId="37" fontId="15" fillId="0" borderId="0" xfId="52" applyFont="1" applyBorder="1" applyAlignment="1"/>
    <xf numFmtId="37" fontId="15" fillId="0" borderId="7" xfId="52" applyFont="1" applyBorder="1" applyAlignment="1"/>
    <xf numFmtId="37" fontId="1" fillId="0" borderId="0" xfId="52" applyFont="1" applyBorder="1" applyAlignment="1"/>
    <xf numFmtId="37" fontId="11" fillId="0" borderId="7" xfId="52" applyFont="1" applyBorder="1" applyAlignment="1"/>
    <xf numFmtId="37" fontId="1" fillId="0" borderId="7" xfId="52" applyFont="1" applyBorder="1" applyAlignment="1"/>
    <xf numFmtId="37" fontId="1" fillId="0" borderId="8" xfId="52" applyFont="1" applyBorder="1" applyAlignment="1"/>
    <xf numFmtId="3" fontId="1" fillId="0" borderId="0" xfId="65" applyNumberFormat="1" applyFont="1" applyBorder="1" applyAlignment="1"/>
    <xf numFmtId="3" fontId="1" fillId="0" borderId="0" xfId="65" applyNumberFormat="1" applyBorder="1"/>
    <xf numFmtId="10" fontId="1" fillId="0" borderId="0" xfId="65" applyNumberFormat="1" applyBorder="1"/>
    <xf numFmtId="3" fontId="5" fillId="0" borderId="10" xfId="65" applyNumberFormat="1" applyFont="1" applyBorder="1" applyAlignment="1"/>
    <xf numFmtId="3" fontId="5" fillId="0" borderId="0" xfId="65" applyNumberFormat="1" applyFont="1" applyBorder="1" applyAlignment="1"/>
    <xf numFmtId="3" fontId="1" fillId="0" borderId="10" xfId="65" applyNumberFormat="1" applyBorder="1"/>
    <xf numFmtId="3" fontId="5" fillId="0" borderId="16" xfId="65" applyNumberFormat="1" applyFont="1" applyBorder="1" applyAlignment="1"/>
    <xf numFmtId="9" fontId="5" fillId="0" borderId="8" xfId="65" applyNumberFormat="1" applyFont="1" applyBorder="1" applyAlignment="1"/>
    <xf numFmtId="3" fontId="5" fillId="0" borderId="7" xfId="65" applyNumberFormat="1" applyFont="1" applyBorder="1" applyAlignment="1"/>
    <xf numFmtId="3" fontId="1" fillId="0" borderId="0" xfId="65" applyNumberFormat="1" applyFont="1" applyFill="1" applyBorder="1" applyAlignment="1"/>
    <xf numFmtId="3" fontId="1" fillId="0" borderId="10" xfId="65" applyNumberFormat="1" applyFont="1" applyFill="1" applyBorder="1" applyAlignment="1"/>
    <xf numFmtId="3" fontId="21" fillId="0" borderId="0" xfId="65" applyNumberFormat="1" applyFont="1" applyBorder="1" applyAlignment="1">
      <alignment horizontal="left"/>
    </xf>
    <xf numFmtId="3" fontId="1" fillId="0" borderId="0" xfId="0" applyNumberFormat="1" applyFont="1" applyFill="1" applyBorder="1" applyAlignment="1"/>
    <xf numFmtId="37" fontId="1" fillId="0" borderId="10" xfId="52" applyFont="1" applyFill="1" applyBorder="1" applyAlignment="1"/>
    <xf numFmtId="37" fontId="1" fillId="0" borderId="0" xfId="52" applyFont="1" applyFill="1" applyBorder="1" applyAlignment="1"/>
    <xf numFmtId="0" fontId="1" fillId="0" borderId="10" xfId="0" applyFont="1" applyBorder="1" applyAlignment="1">
      <alignment horizontal="center"/>
    </xf>
    <xf numFmtId="0" fontId="1" fillId="0" borderId="0" xfId="0" applyFont="1" applyBorder="1" applyAlignment="1"/>
    <xf numFmtId="10" fontId="1" fillId="0" borderId="0" xfId="69" applyNumberFormat="1" applyFont="1" applyBorder="1" applyAlignment="1"/>
    <xf numFmtId="10" fontId="1" fillId="0" borderId="7" xfId="69" applyNumberFormat="1" applyFont="1" applyBorder="1" applyAlignment="1"/>
    <xf numFmtId="9" fontId="1" fillId="0" borderId="0" xfId="0" applyNumberFormat="1" applyFont="1" applyBorder="1" applyAlignment="1">
      <alignment horizontal="center"/>
    </xf>
    <xf numFmtId="0" fontId="1" fillId="0" borderId="16" xfId="0" applyFont="1" applyBorder="1" applyAlignment="1">
      <alignment horizontal="center"/>
    </xf>
    <xf numFmtId="3" fontId="11" fillId="0" borderId="0" xfId="68" applyFont="1" applyFill="1" applyBorder="1" applyAlignment="1"/>
    <xf numFmtId="10" fontId="11" fillId="0" borderId="0" xfId="69" applyNumberFormat="1" applyFont="1" applyFill="1" applyBorder="1" applyAlignment="1"/>
    <xf numFmtId="9" fontId="11" fillId="0" borderId="0" xfId="68" applyNumberFormat="1" applyFont="1" applyFill="1" applyBorder="1" applyAlignment="1">
      <alignment horizontal="center"/>
    </xf>
    <xf numFmtId="3" fontId="5" fillId="0" borderId="8" xfId="65" applyNumberFormat="1" applyFont="1" applyBorder="1" applyAlignment="1"/>
    <xf numFmtId="3" fontId="5" fillId="0" borderId="17" xfId="65" applyNumberFormat="1" applyFont="1" applyBorder="1" applyAlignment="1"/>
    <xf numFmtId="0" fontId="37" fillId="0" borderId="0" xfId="0" applyFont="1"/>
    <xf numFmtId="3" fontId="1" fillId="3" borderId="9" xfId="65" applyNumberFormat="1" applyFill="1" applyBorder="1"/>
    <xf numFmtId="0" fontId="38" fillId="0" borderId="0" xfId="52" applyNumberFormat="1" applyFont="1" applyFill="1" applyBorder="1" applyAlignment="1"/>
    <xf numFmtId="0" fontId="43" fillId="3" borderId="18" xfId="0" applyFont="1" applyFill="1" applyBorder="1" applyAlignment="1"/>
    <xf numFmtId="0" fontId="43" fillId="3" borderId="7" xfId="0" applyFont="1" applyFill="1" applyBorder="1" applyAlignment="1"/>
    <xf numFmtId="3" fontId="38" fillId="0" borderId="19" xfId="0" applyNumberFormat="1" applyFont="1" applyBorder="1" applyAlignment="1">
      <alignment horizontal="left"/>
    </xf>
    <xf numFmtId="0" fontId="30" fillId="0" borderId="4" xfId="0" applyFont="1" applyFill="1" applyBorder="1"/>
    <xf numFmtId="3" fontId="45" fillId="0" borderId="0" xfId="0" applyNumberFormat="1" applyFont="1" applyFill="1" applyAlignment="1">
      <alignment horizontal="left"/>
    </xf>
    <xf numFmtId="3" fontId="46" fillId="0" borderId="0" xfId="0" applyNumberFormat="1" applyFont="1" applyFill="1" applyAlignment="1">
      <alignment horizontal="left"/>
    </xf>
    <xf numFmtId="3" fontId="47" fillId="0" borderId="0" xfId="0" applyNumberFormat="1" applyFont="1" applyFill="1" applyAlignment="1">
      <alignment horizontal="left"/>
    </xf>
    <xf numFmtId="3" fontId="48" fillId="0" borderId="0" xfId="0" applyNumberFormat="1" applyFont="1" applyFill="1" applyAlignment="1">
      <alignment horizontal="left"/>
    </xf>
    <xf numFmtId="9" fontId="30" fillId="0" borderId="4" xfId="69" applyFont="1" applyFill="1" applyBorder="1" applyAlignment="1"/>
    <xf numFmtId="10" fontId="30" fillId="0" borderId="4" xfId="69" applyNumberFormat="1" applyFont="1" applyFill="1" applyBorder="1" applyAlignment="1"/>
    <xf numFmtId="9" fontId="11" fillId="0" borderId="0" xfId="69" applyFont="1" applyBorder="1" applyAlignment="1"/>
    <xf numFmtId="38" fontId="5" fillId="0" borderId="0" xfId="52" applyNumberFormat="1" applyFont="1" applyAlignment="1"/>
    <xf numFmtId="38" fontId="5" fillId="0" borderId="0" xfId="52" applyNumberFormat="1" applyFont="1"/>
    <xf numFmtId="37" fontId="5" fillId="0" borderId="0" xfId="52" applyFont="1" applyAlignment="1">
      <alignment horizontal="center"/>
    </xf>
    <xf numFmtId="10" fontId="30" fillId="0" borderId="0" xfId="69" applyNumberFormat="1" applyFont="1" applyAlignment="1">
      <alignment horizontal="right"/>
    </xf>
    <xf numFmtId="10" fontId="11" fillId="0" borderId="0" xfId="69" applyNumberFormat="1" applyFont="1" applyAlignment="1">
      <alignment horizontal="right"/>
    </xf>
    <xf numFmtId="10" fontId="11" fillId="0" borderId="0" xfId="69" applyNumberFormat="1" applyFont="1" applyBorder="1" applyAlignment="1"/>
    <xf numFmtId="0" fontId="0" fillId="0" borderId="4" xfId="0" applyBorder="1" applyAlignment="1">
      <alignment horizontal="center"/>
    </xf>
    <xf numFmtId="10" fontId="50" fillId="0" borderId="4" xfId="69" applyNumberFormat="1" applyFont="1" applyBorder="1" applyAlignment="1"/>
    <xf numFmtId="3" fontId="37" fillId="0" borderId="0" xfId="68" applyNumberFormat="1" applyFont="1" applyFill="1" applyAlignment="1"/>
    <xf numFmtId="0" fontId="37" fillId="0" borderId="0" xfId="0" applyFont="1" applyFill="1"/>
    <xf numFmtId="4" fontId="11" fillId="0" borderId="0" xfId="68" applyNumberFormat="1" applyFont="1" applyFill="1" applyAlignment="1"/>
    <xf numFmtId="9" fontId="0" fillId="0" borderId="0" xfId="69" applyFont="1" applyBorder="1"/>
    <xf numFmtId="3" fontId="52" fillId="0" borderId="0" xfId="0" applyNumberFormat="1" applyFont="1" applyFill="1" applyAlignment="1"/>
    <xf numFmtId="3" fontId="1" fillId="0" borderId="0" xfId="0" applyNumberFormat="1" applyFont="1" applyAlignment="1">
      <alignment horizontal="centerContinuous"/>
    </xf>
    <xf numFmtId="38" fontId="1" fillId="0" borderId="20" xfId="52" applyNumberFormat="1" applyFont="1" applyBorder="1" applyAlignment="1"/>
    <xf numFmtId="38" fontId="1" fillId="0" borderId="0" xfId="52" applyNumberFormat="1" applyFont="1" applyBorder="1" applyAlignment="1">
      <alignment horizontal="left"/>
    </xf>
    <xf numFmtId="37" fontId="1" fillId="0" borderId="21" xfId="52" applyFont="1" applyBorder="1" applyAlignment="1"/>
    <xf numFmtId="0" fontId="0" fillId="0" borderId="0" xfId="0" applyBorder="1"/>
    <xf numFmtId="37" fontId="0" fillId="0" borderId="0" xfId="52" applyFont="1" applyBorder="1"/>
    <xf numFmtId="37" fontId="0" fillId="0" borderId="21" xfId="52" applyFont="1" applyBorder="1"/>
    <xf numFmtId="0" fontId="37" fillId="0" borderId="0" xfId="0" applyFont="1" applyAlignment="1">
      <alignment horizontal="center"/>
    </xf>
    <xf numFmtId="0" fontId="37" fillId="0" borderId="0" xfId="0" applyFont="1" applyAlignment="1"/>
    <xf numFmtId="3" fontId="37" fillId="0" borderId="0" xfId="0" applyNumberFormat="1" applyFont="1" applyAlignment="1"/>
    <xf numFmtId="3" fontId="37" fillId="0" borderId="0" xfId="0" applyNumberFormat="1" applyFont="1" applyAlignment="1">
      <alignment horizontal="left"/>
    </xf>
    <xf numFmtId="37" fontId="37" fillId="0" borderId="0" xfId="52" applyFont="1" applyAlignment="1">
      <alignment horizontal="left"/>
    </xf>
    <xf numFmtId="37" fontId="37" fillId="0" borderId="0" xfId="52" applyFont="1" applyAlignment="1"/>
    <xf numFmtId="37" fontId="37" fillId="0" borderId="0" xfId="52" applyFont="1"/>
    <xf numFmtId="41" fontId="0" fillId="0" borderId="0" xfId="0" applyNumberFormat="1"/>
    <xf numFmtId="3" fontId="38" fillId="0" borderId="0" xfId="0" applyNumberFormat="1" applyFont="1" applyAlignment="1"/>
    <xf numFmtId="3" fontId="38" fillId="0" borderId="0" xfId="0" applyNumberFormat="1" applyFont="1" applyFill="1" applyAlignment="1"/>
    <xf numFmtId="1" fontId="37" fillId="0" borderId="0" xfId="0" applyNumberFormat="1" applyFont="1" applyAlignment="1"/>
    <xf numFmtId="0" fontId="0" fillId="3" borderId="0" xfId="0" applyFill="1" applyAlignment="1">
      <alignment horizontal="center"/>
    </xf>
    <xf numFmtId="37" fontId="19" fillId="3" borderId="0" xfId="52" applyFont="1" applyFill="1" applyAlignment="1"/>
    <xf numFmtId="37" fontId="0" fillId="3" borderId="0" xfId="52" applyFont="1" applyFill="1"/>
    <xf numFmtId="0" fontId="38" fillId="0" borderId="0" xfId="0" applyFont="1" applyAlignment="1">
      <alignment horizontal="right"/>
    </xf>
    <xf numFmtId="0" fontId="42" fillId="0" borderId="0" xfId="0" applyFont="1" applyAlignment="1"/>
    <xf numFmtId="3" fontId="55" fillId="0" borderId="0" xfId="0" applyNumberFormat="1" applyFont="1" applyAlignment="1">
      <alignment horizontal="left"/>
    </xf>
    <xf numFmtId="3" fontId="55" fillId="0" borderId="0" xfId="68" applyFont="1" applyAlignment="1">
      <alignment horizontal="left"/>
    </xf>
    <xf numFmtId="3" fontId="42" fillId="0" borderId="0" xfId="0" applyNumberFormat="1" applyFont="1" applyFill="1" applyAlignment="1"/>
    <xf numFmtId="3" fontId="42" fillId="0" borderId="0" xfId="65" applyNumberFormat="1" applyFont="1" applyAlignment="1"/>
    <xf numFmtId="3" fontId="37" fillId="0" borderId="0" xfId="67" applyNumberFormat="1" applyFont="1" applyFill="1" applyAlignment="1"/>
    <xf numFmtId="3" fontId="42" fillId="0" borderId="0" xfId="67" applyNumberFormat="1" applyFont="1" applyFill="1" applyAlignment="1"/>
    <xf numFmtId="3" fontId="55" fillId="0" borderId="0" xfId="67" applyNumberFormat="1" applyFont="1" applyFill="1" applyAlignment="1">
      <alignment horizontal="left"/>
    </xf>
    <xf numFmtId="15" fontId="7" fillId="0" borderId="0" xfId="0" applyNumberFormat="1" applyFont="1" applyFill="1" applyAlignment="1">
      <alignment horizontal="right"/>
    </xf>
    <xf numFmtId="18" fontId="5" fillId="0" borderId="0" xfId="0" applyNumberFormat="1" applyFont="1" applyFill="1" applyAlignment="1">
      <alignment horizontal="right"/>
    </xf>
    <xf numFmtId="0" fontId="11" fillId="0" borderId="0" xfId="0" applyFont="1" applyBorder="1" applyAlignment="1"/>
    <xf numFmtId="3" fontId="30" fillId="0" borderId="4" xfId="0" applyNumberFormat="1" applyFont="1" applyBorder="1" applyAlignment="1"/>
    <xf numFmtId="3" fontId="59" fillId="3" borderId="0" xfId="0" applyNumberFormat="1" applyFont="1" applyFill="1" applyAlignment="1"/>
    <xf numFmtId="0" fontId="59" fillId="3" borderId="0" xfId="0" applyFont="1" applyFill="1" applyAlignment="1">
      <alignment horizontal="left"/>
    </xf>
    <xf numFmtId="9" fontId="59" fillId="3" borderId="0" xfId="69" applyFont="1" applyFill="1" applyBorder="1" applyAlignment="1"/>
    <xf numFmtId="0" fontId="59" fillId="3" borderId="0" xfId="0" applyFont="1" applyFill="1" applyAlignment="1"/>
    <xf numFmtId="0" fontId="59" fillId="3" borderId="0" xfId="0" applyFont="1" applyFill="1"/>
    <xf numFmtId="37" fontId="11" fillId="0" borderId="0" xfId="52" applyFont="1" applyFill="1" applyAlignment="1">
      <alignment horizontal="right"/>
    </xf>
    <xf numFmtId="37" fontId="37" fillId="0" borderId="0" xfId="52" applyFont="1" applyFill="1" applyAlignment="1"/>
    <xf numFmtId="0" fontId="5" fillId="0" borderId="0" xfId="0" applyFont="1" applyFill="1" applyBorder="1" applyAlignment="1"/>
    <xf numFmtId="0" fontId="30" fillId="0" borderId="0" xfId="0" applyFont="1" applyBorder="1"/>
    <xf numFmtId="0" fontId="30" fillId="0" borderId="0" xfId="0" applyFont="1" applyBorder="1" applyAlignment="1"/>
    <xf numFmtId="0" fontId="30" fillId="0" borderId="0" xfId="0" applyFont="1" applyBorder="1" applyAlignment="1">
      <alignment horizontal="right"/>
    </xf>
    <xf numFmtId="41" fontId="30" fillId="0" borderId="0" xfId="0" applyNumberFormat="1" applyFont="1" applyBorder="1"/>
    <xf numFmtId="10" fontId="30" fillId="0" borderId="0" xfId="0" applyNumberFormat="1" applyFont="1" applyBorder="1" applyAlignment="1"/>
    <xf numFmtId="37" fontId="1" fillId="0" borderId="0" xfId="52" applyFont="1" applyFill="1"/>
    <xf numFmtId="2" fontId="30" fillId="0" borderId="4" xfId="0" applyNumberFormat="1" applyFont="1" applyFill="1" applyBorder="1" applyAlignment="1">
      <alignment horizontal="right"/>
    </xf>
    <xf numFmtId="2" fontId="0" fillId="0" borderId="0" xfId="0" applyNumberFormat="1"/>
    <xf numFmtId="0" fontId="5" fillId="3" borderId="0" xfId="0" applyFont="1" applyFill="1" applyAlignment="1">
      <alignment horizontal="center"/>
    </xf>
    <xf numFmtId="0" fontId="62" fillId="0" borderId="0" xfId="0" applyFont="1"/>
    <xf numFmtId="0" fontId="44" fillId="0" borderId="0" xfId="0" applyFont="1"/>
    <xf numFmtId="0" fontId="0" fillId="0" borderId="4" xfId="0" applyBorder="1"/>
    <xf numFmtId="0" fontId="38" fillId="0" borderId="4" xfId="0" applyFont="1" applyBorder="1"/>
    <xf numFmtId="0" fontId="0" fillId="0" borderId="4" xfId="0" applyBorder="1" applyAlignment="1">
      <alignment horizontal="right"/>
    </xf>
    <xf numFmtId="0" fontId="0" fillId="0" borderId="9" xfId="0" applyBorder="1" applyAlignment="1">
      <alignment horizontal="right"/>
    </xf>
    <xf numFmtId="41" fontId="0" fillId="0" borderId="18" xfId="0" applyNumberFormat="1" applyBorder="1" applyAlignment="1">
      <alignment horizontal="right"/>
    </xf>
    <xf numFmtId="0" fontId="0" fillId="0" borderId="0" xfId="0" applyBorder="1" applyAlignment="1">
      <alignment horizontal="right"/>
    </xf>
    <xf numFmtId="0" fontId="0" fillId="0" borderId="19" xfId="0" applyBorder="1"/>
    <xf numFmtId="0" fontId="63" fillId="0" borderId="10" xfId="0" applyFont="1" applyBorder="1"/>
    <xf numFmtId="0" fontId="0" fillId="0" borderId="10" xfId="0" applyBorder="1"/>
    <xf numFmtId="0" fontId="38" fillId="0" borderId="10" xfId="0" applyFont="1" applyBorder="1"/>
    <xf numFmtId="0" fontId="38" fillId="0" borderId="22" xfId="0" applyFont="1" applyBorder="1"/>
    <xf numFmtId="0" fontId="0" fillId="0" borderId="16" xfId="0" applyBorder="1"/>
    <xf numFmtId="3" fontId="11" fillId="0" borderId="0" xfId="0" applyNumberFormat="1" applyFont="1" applyFill="1" applyBorder="1" applyAlignment="1">
      <alignment horizontal="left"/>
    </xf>
    <xf numFmtId="10" fontId="11" fillId="0" borderId="0" xfId="0" applyNumberFormat="1" applyFont="1" applyFill="1" applyBorder="1" applyAlignment="1"/>
    <xf numFmtId="0" fontId="0" fillId="0" borderId="0" xfId="0" applyAlignment="1">
      <alignment horizontal="right"/>
    </xf>
    <xf numFmtId="41" fontId="0" fillId="0" borderId="0" xfId="0" applyNumberFormat="1" applyAlignment="1">
      <alignment horizontal="right"/>
    </xf>
    <xf numFmtId="43" fontId="0" fillId="0" borderId="0" xfId="0" applyNumberFormat="1" applyAlignment="1">
      <alignment horizontal="right"/>
    </xf>
    <xf numFmtId="41" fontId="0" fillId="0" borderId="4" xfId="0" applyNumberFormat="1" applyBorder="1" applyAlignment="1">
      <alignment horizontal="right"/>
    </xf>
    <xf numFmtId="41" fontId="0" fillId="0" borderId="7" xfId="0" applyNumberFormat="1" applyBorder="1" applyAlignment="1">
      <alignment horizontal="right"/>
    </xf>
    <xf numFmtId="37" fontId="0" fillId="0" borderId="0" xfId="52" applyFont="1" applyBorder="1" applyAlignment="1">
      <alignment horizontal="right"/>
    </xf>
    <xf numFmtId="37" fontId="0" fillId="0" borderId="7" xfId="52" applyFont="1" applyBorder="1" applyAlignment="1">
      <alignment horizontal="right"/>
    </xf>
    <xf numFmtId="41" fontId="0" fillId="0" borderId="0" xfId="0" applyNumberFormat="1" applyBorder="1" applyAlignment="1">
      <alignment horizontal="right"/>
    </xf>
    <xf numFmtId="0" fontId="0" fillId="0" borderId="7" xfId="0" applyBorder="1" applyAlignment="1">
      <alignment horizontal="right"/>
    </xf>
    <xf numFmtId="43" fontId="0" fillId="0" borderId="0" xfId="0" applyNumberFormat="1" applyBorder="1" applyAlignment="1">
      <alignment horizontal="right"/>
    </xf>
    <xf numFmtId="167" fontId="0" fillId="0" borderId="4" xfId="0" applyNumberFormat="1" applyBorder="1" applyAlignment="1">
      <alignment horizontal="right"/>
    </xf>
    <xf numFmtId="0" fontId="0" fillId="0" borderId="23" xfId="0" applyBorder="1" applyAlignment="1">
      <alignment horizontal="right"/>
    </xf>
    <xf numFmtId="167" fontId="0" fillId="0" borderId="0" xfId="0" applyNumberFormat="1" applyBorder="1" applyAlignment="1">
      <alignment horizontal="right"/>
    </xf>
    <xf numFmtId="0" fontId="0" fillId="0" borderId="8" xfId="0" applyBorder="1" applyAlignment="1">
      <alignment horizontal="right"/>
    </xf>
    <xf numFmtId="0" fontId="0" fillId="0" borderId="17" xfId="0" applyBorder="1" applyAlignment="1">
      <alignment horizontal="right"/>
    </xf>
    <xf numFmtId="43" fontId="0" fillId="0" borderId="7" xfId="0" applyNumberFormat="1" applyBorder="1" applyAlignment="1">
      <alignment horizontal="right"/>
    </xf>
    <xf numFmtId="0" fontId="38" fillId="3" borderId="0" xfId="0" applyFont="1" applyFill="1"/>
    <xf numFmtId="37" fontId="0" fillId="0" borderId="4" xfId="52" applyFont="1" applyBorder="1"/>
    <xf numFmtId="37" fontId="11" fillId="0" borderId="5" xfId="52" applyFont="1" applyFill="1" applyBorder="1" applyAlignment="1"/>
    <xf numFmtId="37" fontId="0" fillId="9" borderId="4" xfId="52" applyFont="1" applyFill="1" applyBorder="1"/>
    <xf numFmtId="0" fontId="0" fillId="9" borderId="4" xfId="0" applyFill="1" applyBorder="1"/>
    <xf numFmtId="0" fontId="51" fillId="0" borderId="0" xfId="0" applyFont="1"/>
    <xf numFmtId="37" fontId="0" fillId="3" borderId="11" xfId="52" applyFont="1" applyFill="1" applyBorder="1"/>
    <xf numFmtId="0" fontId="0" fillId="3" borderId="12" xfId="0" applyFill="1" applyBorder="1"/>
    <xf numFmtId="37" fontId="0" fillId="3" borderId="12" xfId="52" applyFont="1" applyFill="1" applyBorder="1"/>
    <xf numFmtId="37" fontId="0" fillId="3" borderId="13" xfId="52" applyFont="1" applyFill="1" applyBorder="1"/>
    <xf numFmtId="0" fontId="0" fillId="3" borderId="14" xfId="0" applyFill="1" applyBorder="1"/>
    <xf numFmtId="0" fontId="0" fillId="3" borderId="5" xfId="0" applyFill="1" applyBorder="1"/>
    <xf numFmtId="0" fontId="0" fillId="3" borderId="15" xfId="0" applyFill="1" applyBorder="1"/>
    <xf numFmtId="0" fontId="5" fillId="0" borderId="4" xfId="0" applyFont="1" applyFill="1" applyBorder="1" applyAlignment="1">
      <alignment horizontal="center"/>
    </xf>
    <xf numFmtId="0" fontId="37" fillId="0" borderId="4" xfId="0" applyFont="1" applyFill="1" applyBorder="1" applyAlignment="1">
      <alignment horizontal="center"/>
    </xf>
    <xf numFmtId="1" fontId="37" fillId="0" borderId="4" xfId="0" applyNumberFormat="1" applyFont="1" applyFill="1" applyBorder="1" applyAlignment="1">
      <alignment horizontal="center"/>
    </xf>
    <xf numFmtId="9" fontId="37" fillId="0" borderId="4" xfId="69" applyFont="1" applyFill="1" applyBorder="1" applyAlignment="1">
      <alignment horizontal="center"/>
    </xf>
    <xf numFmtId="0" fontId="38" fillId="0" borderId="0" xfId="0" applyFont="1" applyAlignment="1">
      <alignment horizontal="center"/>
    </xf>
    <xf numFmtId="3" fontId="30" fillId="0" borderId="5" xfId="0" applyNumberFormat="1" applyFont="1" applyFill="1" applyBorder="1" applyAlignment="1"/>
    <xf numFmtId="3" fontId="11" fillId="0" borderId="0" xfId="0" applyNumberFormat="1" applyFont="1" applyFill="1" applyBorder="1" applyAlignment="1"/>
    <xf numFmtId="0" fontId="38" fillId="0" borderId="0" xfId="0" applyFont="1" applyFill="1" applyAlignment="1">
      <alignment horizontal="center"/>
    </xf>
    <xf numFmtId="0" fontId="38" fillId="0" borderId="4" xfId="0" applyFont="1" applyFill="1" applyBorder="1" applyAlignment="1">
      <alignment horizontal="center"/>
    </xf>
    <xf numFmtId="43" fontId="11" fillId="0" borderId="24" xfId="0" applyNumberFormat="1" applyFont="1" applyFill="1" applyBorder="1" applyAlignment="1"/>
    <xf numFmtId="43" fontId="30" fillId="0" borderId="24" xfId="0" applyNumberFormat="1" applyFont="1" applyFill="1" applyBorder="1"/>
    <xf numFmtId="3" fontId="31" fillId="9" borderId="25" xfId="0" applyNumberFormat="1" applyFont="1" applyFill="1" applyBorder="1" applyAlignment="1"/>
    <xf numFmtId="0" fontId="30" fillId="0" borderId="24" xfId="0" applyFont="1" applyFill="1" applyBorder="1"/>
    <xf numFmtId="3" fontId="31" fillId="6" borderId="25" xfId="0" applyNumberFormat="1" applyFont="1" applyFill="1" applyBorder="1" applyAlignment="1"/>
    <xf numFmtId="0" fontId="38" fillId="0" borderId="0" xfId="0" applyFont="1" applyAlignment="1"/>
    <xf numFmtId="3" fontId="5" fillId="0" borderId="0" xfId="65" applyNumberFormat="1" applyFont="1" applyAlignment="1" applyProtection="1">
      <protection locked="0"/>
    </xf>
    <xf numFmtId="37" fontId="0" fillId="0" borderId="0" xfId="0" applyNumberFormat="1" applyBorder="1"/>
    <xf numFmtId="0" fontId="5" fillId="0" borderId="0" xfId="0" applyFont="1"/>
    <xf numFmtId="3" fontId="38" fillId="0" borderId="0" xfId="65" applyNumberFormat="1" applyFont="1" applyAlignment="1"/>
    <xf numFmtId="3" fontId="38" fillId="0" borderId="0" xfId="65" applyNumberFormat="1" applyFont="1" applyAlignment="1" applyProtection="1">
      <protection locked="0"/>
    </xf>
    <xf numFmtId="37" fontId="38" fillId="0" borderId="0" xfId="52" applyFont="1"/>
    <xf numFmtId="10" fontId="50" fillId="0" borderId="4" xfId="69" applyNumberFormat="1" applyFont="1" applyFill="1" applyBorder="1" applyAlignment="1"/>
    <xf numFmtId="9" fontId="1" fillId="0" borderId="0" xfId="69" applyFont="1" applyAlignment="1"/>
    <xf numFmtId="37" fontId="38" fillId="0" borderId="0" xfId="52" applyFont="1" applyAlignment="1"/>
    <xf numFmtId="37" fontId="39" fillId="0" borderId="0" xfId="52" applyFont="1" applyAlignment="1"/>
    <xf numFmtId="37" fontId="5" fillId="0" borderId="0" xfId="52" applyFont="1" applyBorder="1" applyAlignment="1"/>
    <xf numFmtId="37" fontId="5" fillId="0" borderId="21" xfId="52" applyFont="1" applyBorder="1" applyAlignment="1"/>
    <xf numFmtId="37" fontId="37" fillId="0" borderId="0" xfId="52" applyFont="1" applyBorder="1" applyAlignment="1"/>
    <xf numFmtId="3" fontId="0" fillId="0" borderId="0" xfId="0" applyNumberFormat="1" applyFill="1" applyAlignment="1">
      <alignment horizontal="center"/>
    </xf>
    <xf numFmtId="4" fontId="0" fillId="0" borderId="0" xfId="0" applyNumberFormat="1" applyFill="1"/>
    <xf numFmtId="2" fontId="0" fillId="0" borderId="0" xfId="0" applyNumberFormat="1" applyBorder="1" applyAlignment="1">
      <alignment horizontal="center"/>
    </xf>
    <xf numFmtId="37" fontId="0" fillId="0" borderId="0" xfId="52" applyFont="1" applyFill="1" applyBorder="1"/>
    <xf numFmtId="37" fontId="39" fillId="0" borderId="0" xfId="52" applyFont="1" applyFill="1" applyBorder="1" applyAlignment="1"/>
    <xf numFmtId="37" fontId="38" fillId="0" borderId="0" xfId="52" applyFont="1" applyFill="1" applyAlignment="1"/>
    <xf numFmtId="37" fontId="38" fillId="0" borderId="0" xfId="52" applyFont="1" applyFill="1"/>
    <xf numFmtId="37" fontId="37" fillId="0" borderId="21" xfId="52" applyFont="1" applyBorder="1" applyAlignment="1"/>
    <xf numFmtId="1" fontId="30" fillId="0" borderId="0" xfId="0" applyNumberFormat="1" applyFont="1" applyBorder="1" applyAlignment="1">
      <alignment horizontal="center"/>
    </xf>
    <xf numFmtId="177" fontId="0" fillId="0" borderId="24" xfId="52" applyNumberFormat="1" applyFont="1" applyBorder="1"/>
    <xf numFmtId="3" fontId="1" fillId="0" borderId="18" xfId="65" applyNumberFormat="1" applyFont="1" applyBorder="1" applyAlignment="1"/>
    <xf numFmtId="3" fontId="5" fillId="3" borderId="26" xfId="65" applyNumberFormat="1" applyFont="1" applyFill="1" applyBorder="1" applyAlignment="1"/>
    <xf numFmtId="3" fontId="1" fillId="3" borderId="1" xfId="65" applyNumberFormat="1" applyFill="1" applyBorder="1"/>
    <xf numFmtId="0" fontId="38" fillId="3" borderId="1" xfId="0" applyFont="1" applyFill="1" applyBorder="1"/>
    <xf numFmtId="0" fontId="68" fillId="0" borderId="0" xfId="0" applyFont="1"/>
    <xf numFmtId="37" fontId="36" fillId="0" borderId="20" xfId="52" applyFont="1" applyBorder="1" applyAlignment="1"/>
    <xf numFmtId="37" fontId="38" fillId="3" borderId="0" xfId="52" applyFont="1" applyFill="1" applyBorder="1" applyAlignment="1"/>
    <xf numFmtId="37" fontId="36" fillId="0" borderId="0" xfId="52" applyFont="1" applyBorder="1" applyAlignment="1">
      <alignment horizontal="left"/>
    </xf>
    <xf numFmtId="37" fontId="36" fillId="0" borderId="0" xfId="52" applyFont="1" applyBorder="1" applyAlignment="1"/>
    <xf numFmtId="38" fontId="36" fillId="0" borderId="20" xfId="52" applyNumberFormat="1" applyFont="1" applyBorder="1" applyAlignment="1"/>
    <xf numFmtId="38" fontId="36" fillId="0" borderId="0" xfId="52" applyNumberFormat="1" applyFont="1" applyAlignment="1"/>
    <xf numFmtId="38" fontId="36" fillId="0" borderId="0" xfId="52" applyNumberFormat="1" applyFont="1"/>
    <xf numFmtId="38" fontId="58" fillId="0" borderId="20" xfId="52" applyNumberFormat="1" applyFont="1" applyBorder="1" applyAlignment="1"/>
    <xf numFmtId="37" fontId="58" fillId="0" borderId="0" xfId="52" applyFont="1" applyBorder="1" applyAlignment="1"/>
    <xf numFmtId="38" fontId="58" fillId="0" borderId="0" xfId="52" applyNumberFormat="1" applyFont="1" applyAlignment="1"/>
    <xf numFmtId="38" fontId="58" fillId="0" borderId="0" xfId="52" applyNumberFormat="1" applyFont="1"/>
    <xf numFmtId="37" fontId="58" fillId="0" borderId="21" xfId="52" applyFont="1" applyBorder="1" applyAlignment="1"/>
    <xf numFmtId="0" fontId="0" fillId="0" borderId="20" xfId="0" applyBorder="1"/>
    <xf numFmtId="38" fontId="0" fillId="0" borderId="0" xfId="0" applyNumberFormat="1" applyBorder="1"/>
    <xf numFmtId="0" fontId="38" fillId="0" borderId="0" xfId="0" applyFont="1" applyBorder="1"/>
    <xf numFmtId="37" fontId="36" fillId="0" borderId="21" xfId="52" applyFont="1" applyBorder="1" applyAlignment="1"/>
    <xf numFmtId="38" fontId="5" fillId="3" borderId="20" xfId="52" applyNumberFormat="1" applyFont="1" applyFill="1" applyBorder="1" applyAlignment="1"/>
    <xf numFmtId="38" fontId="5" fillId="3" borderId="0" xfId="52" applyNumberFormat="1" applyFont="1" applyFill="1" applyBorder="1" applyAlignment="1">
      <alignment horizontal="left"/>
    </xf>
    <xf numFmtId="37" fontId="5" fillId="3" borderId="0" xfId="52" applyFont="1" applyFill="1" applyBorder="1" applyAlignment="1"/>
    <xf numFmtId="37" fontId="38" fillId="0" borderId="0" xfId="52" applyFont="1" applyBorder="1" applyAlignment="1"/>
    <xf numFmtId="37" fontId="38" fillId="0" borderId="14" xfId="52" applyFont="1" applyBorder="1" applyAlignment="1"/>
    <xf numFmtId="37" fontId="38" fillId="0" borderId="5" xfId="52" applyFont="1" applyBorder="1" applyAlignment="1">
      <alignment horizontal="left"/>
    </xf>
    <xf numFmtId="37" fontId="38" fillId="0" borderId="5" xfId="52" applyFont="1" applyBorder="1"/>
    <xf numFmtId="37" fontId="58" fillId="3" borderId="0" xfId="52" applyFont="1" applyFill="1" applyBorder="1" applyAlignment="1">
      <alignment horizontal="center"/>
    </xf>
    <xf numFmtId="37" fontId="0" fillId="0" borderId="0" xfId="0" applyNumberFormat="1" applyAlignment="1">
      <alignment horizontal="center"/>
    </xf>
    <xf numFmtId="37" fontId="38" fillId="0" borderId="15" xfId="52" applyFont="1" applyBorder="1"/>
    <xf numFmtId="0" fontId="0" fillId="0" borderId="10" xfId="0" applyFill="1" applyBorder="1"/>
    <xf numFmtId="9" fontId="38" fillId="3" borderId="12" xfId="0" applyNumberFormat="1" applyFont="1" applyFill="1" applyBorder="1"/>
    <xf numFmtId="9" fontId="38" fillId="3" borderId="13" xfId="0" applyNumberFormat="1" applyFont="1" applyFill="1" applyBorder="1"/>
    <xf numFmtId="37" fontId="38" fillId="0" borderId="10" xfId="52" applyFont="1" applyBorder="1" applyAlignment="1">
      <alignment horizontal="left"/>
    </xf>
    <xf numFmtId="37" fontId="36" fillId="0" borderId="10" xfId="52" applyFont="1" applyBorder="1" applyAlignment="1">
      <alignment horizontal="left"/>
    </xf>
    <xf numFmtId="37" fontId="29" fillId="0" borderId="27" xfId="52" applyFont="1" applyBorder="1" applyAlignment="1">
      <alignment horizontal="left"/>
    </xf>
    <xf numFmtId="37" fontId="39" fillId="0" borderId="7" xfId="52" applyFont="1" applyFill="1" applyBorder="1" applyAlignment="1"/>
    <xf numFmtId="37" fontId="29" fillId="0" borderId="28" xfId="52" applyFont="1" applyBorder="1" applyAlignment="1"/>
    <xf numFmtId="37" fontId="29" fillId="0" borderId="29" xfId="52" applyFont="1" applyBorder="1" applyAlignment="1"/>
    <xf numFmtId="37" fontId="36" fillId="0" borderId="7" xfId="52" applyFont="1" applyBorder="1" applyAlignment="1"/>
    <xf numFmtId="3" fontId="70" fillId="0" borderId="0" xfId="0" applyNumberFormat="1" applyFont="1" applyAlignment="1">
      <alignment horizontal="left"/>
    </xf>
    <xf numFmtId="0" fontId="1" fillId="0" borderId="0" xfId="0" applyFont="1" applyBorder="1" applyAlignment="1">
      <alignment horizontal="center"/>
    </xf>
    <xf numFmtId="0" fontId="0" fillId="0" borderId="9" xfId="0" applyBorder="1"/>
    <xf numFmtId="37" fontId="0" fillId="0" borderId="28" xfId="52" applyFont="1" applyBorder="1"/>
    <xf numFmtId="37" fontId="68" fillId="0" borderId="0" xfId="52" applyFont="1"/>
    <xf numFmtId="37" fontId="68" fillId="0" borderId="0" xfId="52" applyFont="1" applyAlignment="1"/>
    <xf numFmtId="3" fontId="70" fillId="0" borderId="0" xfId="0" applyNumberFormat="1" applyFont="1" applyAlignment="1"/>
    <xf numFmtId="37" fontId="70" fillId="0" borderId="0" xfId="52" applyFont="1" applyAlignment="1"/>
    <xf numFmtId="3" fontId="39" fillId="0" borderId="0" xfId="0" applyNumberFormat="1" applyFont="1" applyAlignment="1">
      <alignment horizontal="center"/>
    </xf>
    <xf numFmtId="37" fontId="38" fillId="0" borderId="0" xfId="52" applyFont="1" applyAlignment="1">
      <alignment horizontal="center"/>
    </xf>
    <xf numFmtId="3" fontId="5" fillId="0" borderId="0" xfId="0" applyNumberFormat="1" applyFont="1" applyAlignment="1">
      <alignment horizontal="center"/>
    </xf>
    <xf numFmtId="37" fontId="51" fillId="0" borderId="10" xfId="52" applyFont="1" applyBorder="1" applyAlignment="1">
      <alignment horizontal="left"/>
    </xf>
    <xf numFmtId="37" fontId="51" fillId="0" borderId="16" xfId="52" applyFont="1" applyBorder="1" applyAlignment="1">
      <alignment horizontal="left"/>
    </xf>
    <xf numFmtId="37" fontId="38" fillId="0" borderId="0" xfId="52" applyFont="1" applyBorder="1"/>
    <xf numFmtId="10" fontId="37" fillId="0" borderId="0" xfId="69" applyNumberFormat="1" applyFont="1" applyFill="1" applyAlignment="1"/>
    <xf numFmtId="3" fontId="30" fillId="0" borderId="0" xfId="65" applyNumberFormat="1" applyFont="1" applyAlignment="1"/>
    <xf numFmtId="3" fontId="30" fillId="0" borderId="0" xfId="65" applyNumberFormat="1" applyFont="1" applyAlignment="1" applyProtection="1">
      <protection locked="0"/>
    </xf>
    <xf numFmtId="3" fontId="20" fillId="0" borderId="11" xfId="65" applyNumberFormat="1" applyFont="1" applyBorder="1" applyAlignment="1">
      <alignment horizontal="left"/>
    </xf>
    <xf numFmtId="3" fontId="1" fillId="0" borderId="12" xfId="65" applyNumberFormat="1" applyFont="1" applyBorder="1" applyAlignment="1"/>
    <xf numFmtId="3" fontId="20" fillId="0" borderId="20" xfId="65" applyNumberFormat="1" applyFont="1" applyBorder="1" applyAlignment="1">
      <alignment horizontal="left"/>
    </xf>
    <xf numFmtId="9" fontId="1" fillId="0" borderId="0" xfId="69" applyFont="1" applyBorder="1" applyAlignment="1"/>
    <xf numFmtId="9" fontId="1" fillId="0" borderId="21" xfId="69" applyFont="1" applyBorder="1" applyAlignment="1"/>
    <xf numFmtId="3" fontId="1" fillId="0" borderId="21" xfId="65" applyNumberFormat="1" applyFont="1" applyBorder="1" applyAlignment="1"/>
    <xf numFmtId="3" fontId="21" fillId="0" borderId="20" xfId="65" applyNumberFormat="1" applyFont="1" applyBorder="1" applyAlignment="1">
      <alignment horizontal="left"/>
    </xf>
    <xf numFmtId="3" fontId="5" fillId="0" borderId="21" xfId="65" applyNumberFormat="1" applyFont="1" applyBorder="1" applyAlignment="1"/>
    <xf numFmtId="3" fontId="1" fillId="0" borderId="20" xfId="65" applyNumberFormat="1" applyFont="1" applyBorder="1" applyAlignment="1"/>
    <xf numFmtId="3" fontId="30" fillId="0" borderId="12" xfId="65" applyNumberFormat="1" applyFont="1" applyBorder="1" applyAlignment="1"/>
    <xf numFmtId="37" fontId="58" fillId="0" borderId="0" xfId="52" applyFont="1"/>
    <xf numFmtId="0" fontId="58" fillId="0" borderId="0" xfId="0" applyFont="1"/>
    <xf numFmtId="0" fontId="30" fillId="0" borderId="30" xfId="0" applyFont="1" applyFill="1" applyBorder="1"/>
    <xf numFmtId="9" fontId="11" fillId="0" borderId="0" xfId="69" applyFont="1" applyFill="1" applyBorder="1" applyAlignment="1">
      <alignment horizontal="left"/>
    </xf>
    <xf numFmtId="37" fontId="1" fillId="0" borderId="0" xfId="52" applyFont="1" applyFill="1" applyBorder="1" applyAlignment="1">
      <alignment horizontal="right"/>
    </xf>
    <xf numFmtId="0" fontId="37" fillId="0" borderId="0" xfId="0" applyFont="1" applyBorder="1"/>
    <xf numFmtId="3" fontId="53" fillId="0" borderId="0" xfId="0" applyNumberFormat="1" applyFont="1" applyAlignment="1">
      <alignment horizontal="center"/>
    </xf>
    <xf numFmtId="0" fontId="37" fillId="0" borderId="0" xfId="0" applyFont="1" applyAlignment="1">
      <alignment horizontal="left"/>
    </xf>
    <xf numFmtId="10" fontId="1" fillId="0" borderId="0" xfId="69" applyNumberFormat="1" applyFont="1" applyFill="1" applyAlignment="1">
      <alignment horizontal="center"/>
    </xf>
    <xf numFmtId="0" fontId="1" fillId="0" borderId="0" xfId="66" applyNumberFormat="1" applyFont="1" applyFill="1" applyAlignment="1">
      <alignment horizontal="right"/>
    </xf>
    <xf numFmtId="0" fontId="38" fillId="0" borderId="0" xfId="0" applyFont="1" applyFill="1"/>
    <xf numFmtId="37" fontId="58" fillId="6" borderId="24" xfId="52" applyFont="1" applyFill="1" applyBorder="1"/>
    <xf numFmtId="0" fontId="58" fillId="6" borderId="4" xfId="0" applyFont="1" applyFill="1" applyBorder="1" applyAlignment="1">
      <alignment horizontal="center"/>
    </xf>
    <xf numFmtId="0" fontId="34" fillId="13" borderId="4" xfId="0" applyFont="1" applyFill="1" applyBorder="1" applyAlignment="1">
      <alignment horizontal="center"/>
    </xf>
    <xf numFmtId="37" fontId="35" fillId="13" borderId="4" xfId="52" applyFont="1" applyFill="1" applyBorder="1"/>
    <xf numFmtId="37" fontId="34" fillId="13" borderId="4" xfId="52" applyFont="1" applyFill="1" applyBorder="1"/>
    <xf numFmtId="3" fontId="11" fillId="3" borderId="0" xfId="68" applyNumberFormat="1" applyFont="1" applyFill="1" applyAlignment="1">
      <alignment horizontal="center"/>
    </xf>
    <xf numFmtId="3" fontId="11" fillId="3" borderId="0" xfId="68" applyNumberFormat="1" applyFont="1" applyFill="1" applyAlignment="1"/>
    <xf numFmtId="37" fontId="37" fillId="0" borderId="20" xfId="52" applyFont="1" applyBorder="1" applyAlignment="1"/>
    <xf numFmtId="37" fontId="37" fillId="0" borderId="0" xfId="52" applyFont="1" applyBorder="1" applyAlignment="1">
      <alignment horizontal="left"/>
    </xf>
    <xf numFmtId="37" fontId="11" fillId="0" borderId="6" xfId="52" applyFont="1" applyFill="1" applyBorder="1" applyAlignment="1"/>
    <xf numFmtId="3" fontId="11" fillId="0" borderId="0" xfId="0" applyNumberFormat="1" applyFont="1" applyFill="1" applyBorder="1" applyAlignment="1">
      <alignment horizontal="right"/>
    </xf>
    <xf numFmtId="22" fontId="0" fillId="0" borderId="0" xfId="0" applyNumberFormat="1"/>
    <xf numFmtId="0" fontId="0" fillId="0" borderId="7" xfId="0" applyBorder="1"/>
    <xf numFmtId="0" fontId="12" fillId="0" borderId="0" xfId="0" applyFont="1" applyFill="1" applyBorder="1" applyAlignment="1"/>
    <xf numFmtId="10" fontId="30" fillId="0" borderId="0" xfId="0" applyNumberFormat="1" applyFont="1" applyFill="1" applyBorder="1" applyAlignment="1"/>
    <xf numFmtId="4" fontId="30" fillId="0" borderId="0" xfId="0" applyNumberFormat="1" applyFont="1" applyFill="1" applyBorder="1" applyAlignment="1"/>
    <xf numFmtId="9" fontId="11" fillId="0" borderId="31" xfId="69" applyFont="1" applyFill="1" applyBorder="1" applyAlignment="1">
      <alignment horizontal="left"/>
    </xf>
    <xf numFmtId="3" fontId="38" fillId="0" borderId="0" xfId="65" applyNumberFormat="1" applyFont="1" applyBorder="1" applyAlignment="1"/>
    <xf numFmtId="9" fontId="38" fillId="0" borderId="0" xfId="69" applyFont="1" applyBorder="1" applyAlignment="1"/>
    <xf numFmtId="0" fontId="30" fillId="14" borderId="0" xfId="0" applyFont="1" applyFill="1" applyAlignment="1"/>
    <xf numFmtId="0" fontId="37" fillId="14" borderId="0" xfId="0" applyFont="1" applyFill="1" applyAlignment="1"/>
    <xf numFmtId="3" fontId="30" fillId="14" borderId="0" xfId="0" applyNumberFormat="1" applyFont="1" applyFill="1" applyAlignment="1"/>
    <xf numFmtId="9" fontId="11" fillId="14" borderId="4" xfId="69" applyFont="1" applyFill="1" applyBorder="1" applyAlignment="1"/>
    <xf numFmtId="0" fontId="11" fillId="14" borderId="0" xfId="0" applyFont="1" applyFill="1" applyAlignment="1"/>
    <xf numFmtId="0" fontId="30" fillId="14" borderId="0" xfId="0" applyFont="1" applyFill="1"/>
    <xf numFmtId="9" fontId="30" fillId="14" borderId="4" xfId="69" applyFont="1" applyFill="1" applyBorder="1"/>
    <xf numFmtId="9" fontId="30" fillId="14" borderId="4" xfId="0" applyNumberFormat="1" applyFont="1" applyFill="1" applyBorder="1" applyAlignment="1"/>
    <xf numFmtId="38" fontId="58" fillId="0" borderId="0" xfId="52" applyNumberFormat="1" applyFont="1" applyBorder="1" applyAlignment="1"/>
    <xf numFmtId="37" fontId="38" fillId="3" borderId="12" xfId="52" applyFont="1" applyFill="1" applyBorder="1"/>
    <xf numFmtId="37" fontId="38" fillId="3" borderId="13" xfId="52" applyFont="1" applyFill="1" applyBorder="1"/>
    <xf numFmtId="0" fontId="53" fillId="0" borderId="0" xfId="0" applyFont="1" applyAlignment="1">
      <alignment horizontal="center"/>
    </xf>
    <xf numFmtId="0" fontId="50" fillId="0" borderId="0" xfId="0" applyFont="1" applyFill="1" applyAlignment="1">
      <alignment horizontal="left"/>
    </xf>
    <xf numFmtId="37" fontId="38" fillId="0" borderId="6" xfId="52" applyFont="1" applyBorder="1" applyAlignment="1"/>
    <xf numFmtId="37" fontId="38" fillId="0" borderId="32" xfId="52" applyFont="1" applyBorder="1" applyAlignment="1"/>
    <xf numFmtId="37" fontId="58" fillId="0" borderId="0" xfId="52" applyFont="1" applyBorder="1" applyAlignment="1">
      <alignment horizontal="center"/>
    </xf>
    <xf numFmtId="37" fontId="37" fillId="0" borderId="0" xfId="52" applyFont="1" applyFill="1" applyAlignment="1">
      <alignment horizontal="right"/>
    </xf>
    <xf numFmtId="37" fontId="37" fillId="0" borderId="0" xfId="52" applyFont="1" applyBorder="1"/>
    <xf numFmtId="37" fontId="37" fillId="0" borderId="6" xfId="52" applyFont="1" applyBorder="1"/>
    <xf numFmtId="3" fontId="39" fillId="0" borderId="6" xfId="0" applyNumberFormat="1" applyFont="1" applyFill="1" applyBorder="1" applyAlignment="1">
      <alignment horizontal="left"/>
    </xf>
    <xf numFmtId="37" fontId="39" fillId="0" borderId="6" xfId="52" applyFont="1" applyFill="1" applyBorder="1" applyAlignment="1">
      <alignment horizontal="right"/>
    </xf>
    <xf numFmtId="10" fontId="39" fillId="0" borderId="6" xfId="0" applyNumberFormat="1" applyFont="1" applyFill="1" applyBorder="1" applyAlignment="1">
      <alignment horizontal="right"/>
    </xf>
    <xf numFmtId="3" fontId="39" fillId="0" borderId="6" xfId="0" applyNumberFormat="1" applyFont="1" applyFill="1" applyBorder="1" applyAlignment="1">
      <alignment horizontal="right"/>
    </xf>
    <xf numFmtId="3" fontId="38" fillId="0" borderId="32" xfId="0" applyNumberFormat="1" applyFont="1" applyFill="1" applyBorder="1" applyAlignment="1"/>
    <xf numFmtId="37" fontId="39" fillId="0" borderId="32" xfId="52" applyFont="1" applyFill="1" applyBorder="1" applyAlignment="1">
      <alignment horizontal="right"/>
    </xf>
    <xf numFmtId="10" fontId="39" fillId="0" borderId="32" xfId="0" applyNumberFormat="1" applyFont="1" applyFill="1" applyBorder="1" applyAlignment="1">
      <alignment horizontal="right"/>
    </xf>
    <xf numFmtId="3" fontId="39" fillId="0" borderId="32" xfId="0" applyNumberFormat="1" applyFont="1" applyFill="1" applyBorder="1" applyAlignment="1">
      <alignment horizontal="right"/>
    </xf>
    <xf numFmtId="37" fontId="38" fillId="0" borderId="32" xfId="52" applyFont="1" applyFill="1" applyBorder="1" applyAlignment="1"/>
    <xf numFmtId="10" fontId="39" fillId="0" borderId="32" xfId="0" applyNumberFormat="1" applyFont="1" applyFill="1" applyBorder="1" applyAlignment="1"/>
    <xf numFmtId="3" fontId="35" fillId="0" borderId="0" xfId="0" applyNumberFormat="1" applyFont="1" applyBorder="1" applyAlignment="1">
      <alignment horizontal="right"/>
    </xf>
    <xf numFmtId="37" fontId="39" fillId="0" borderId="0" xfId="52" applyFont="1" applyBorder="1" applyAlignment="1"/>
    <xf numFmtId="0" fontId="37" fillId="15" borderId="0" xfId="0" applyFont="1" applyFill="1" applyAlignment="1">
      <alignment horizontal="center"/>
    </xf>
    <xf numFmtId="37" fontId="1" fillId="15" borderId="0" xfId="52" applyFont="1" applyFill="1" applyAlignment="1"/>
    <xf numFmtId="37" fontId="1" fillId="15" borderId="0" xfId="52" applyFont="1" applyFill="1" applyBorder="1" applyAlignment="1"/>
    <xf numFmtId="37" fontId="0" fillId="15" borderId="0" xfId="52" applyFont="1" applyFill="1" applyAlignment="1"/>
    <xf numFmtId="37" fontId="11" fillId="15" borderId="0" xfId="52" applyFont="1" applyFill="1" applyAlignment="1"/>
    <xf numFmtId="37" fontId="0" fillId="15" borderId="0" xfId="52" applyFont="1" applyFill="1"/>
    <xf numFmtId="37" fontId="68" fillId="0" borderId="0" xfId="52" applyFont="1" applyBorder="1" applyAlignment="1">
      <alignment horizontal="right"/>
    </xf>
    <xf numFmtId="37" fontId="38" fillId="3" borderId="20" xfId="52" applyFont="1" applyFill="1" applyBorder="1" applyAlignment="1"/>
    <xf numFmtId="37" fontId="38" fillId="3" borderId="21" xfId="52" applyFont="1" applyFill="1" applyBorder="1"/>
    <xf numFmtId="0" fontId="37" fillId="3" borderId="0" xfId="0" applyFont="1" applyFill="1"/>
    <xf numFmtId="3" fontId="0" fillId="0" borderId="0" xfId="0" applyNumberFormat="1" applyAlignment="1">
      <alignment horizontal="center"/>
    </xf>
    <xf numFmtId="37" fontId="38" fillId="0" borderId="33" xfId="52" applyFont="1" applyBorder="1" applyAlignment="1"/>
    <xf numFmtId="3" fontId="11" fillId="0" borderId="0" xfId="68" applyFont="1" applyFill="1" applyBorder="1" applyAlignment="1">
      <alignment horizontal="center"/>
    </xf>
    <xf numFmtId="37" fontId="37" fillId="0" borderId="6" xfId="52" applyFont="1" applyBorder="1" applyAlignment="1"/>
    <xf numFmtId="3" fontId="30" fillId="3" borderId="0" xfId="0" applyNumberFormat="1" applyFont="1" applyFill="1" applyAlignment="1"/>
    <xf numFmtId="0" fontId="30" fillId="3" borderId="0" xfId="0" applyFont="1" applyFill="1" applyAlignment="1"/>
    <xf numFmtId="37" fontId="30" fillId="3" borderId="0" xfId="52" applyFont="1" applyFill="1" applyAlignment="1"/>
    <xf numFmtId="0" fontId="11" fillId="3" borderId="0" xfId="0" applyFont="1" applyFill="1" applyAlignment="1"/>
    <xf numFmtId="0" fontId="30" fillId="3" borderId="0" xfId="0" applyFont="1" applyFill="1"/>
    <xf numFmtId="0" fontId="38" fillId="3" borderId="0" xfId="0" applyFont="1" applyFill="1" applyAlignment="1"/>
    <xf numFmtId="10" fontId="11" fillId="0" borderId="32" xfId="0" applyNumberFormat="1" applyFont="1" applyFill="1" applyBorder="1" applyAlignment="1"/>
    <xf numFmtId="0" fontId="38" fillId="0" borderId="32" xfId="0" applyFont="1" applyBorder="1"/>
    <xf numFmtId="3" fontId="11" fillId="0" borderId="32" xfId="0" applyNumberFormat="1" applyFont="1" applyFill="1" applyBorder="1" applyAlignment="1">
      <alignment horizontal="right"/>
    </xf>
    <xf numFmtId="0" fontId="44" fillId="0" borderId="0" xfId="0" applyFont="1" applyAlignment="1">
      <alignment horizontal="center"/>
    </xf>
    <xf numFmtId="9" fontId="11" fillId="3" borderId="0" xfId="68" applyNumberFormat="1" applyFont="1" applyFill="1" applyBorder="1" applyAlignment="1">
      <alignment horizontal="center"/>
    </xf>
    <xf numFmtId="37" fontId="11" fillId="3" borderId="0" xfId="52" applyFont="1" applyFill="1" applyBorder="1" applyAlignment="1"/>
    <xf numFmtId="37" fontId="11" fillId="6" borderId="0" xfId="52" applyFont="1" applyFill="1" applyBorder="1" applyAlignment="1"/>
    <xf numFmtId="37" fontId="0" fillId="0" borderId="0" xfId="52" applyFont="1" applyAlignment="1">
      <alignment horizontal="left"/>
    </xf>
    <xf numFmtId="3" fontId="50" fillId="0" borderId="0" xfId="0" applyNumberFormat="1" applyFont="1" applyAlignment="1">
      <alignment horizontal="left"/>
    </xf>
    <xf numFmtId="3" fontId="37" fillId="0" borderId="0" xfId="68" applyFont="1" applyFill="1" applyAlignment="1"/>
    <xf numFmtId="3" fontId="39" fillId="0" borderId="0" xfId="68" applyNumberFormat="1" applyFont="1" applyAlignment="1"/>
    <xf numFmtId="3" fontId="39" fillId="7" borderId="0" xfId="68" applyNumberFormat="1" applyFont="1" applyFill="1" applyAlignment="1"/>
    <xf numFmtId="3" fontId="68" fillId="0" borderId="0" xfId="68" applyFont="1" applyFill="1" applyAlignment="1"/>
    <xf numFmtId="37" fontId="68" fillId="0" borderId="0" xfId="52" applyFont="1" applyFill="1" applyAlignment="1"/>
    <xf numFmtId="3" fontId="68" fillId="0" borderId="0" xfId="68" applyNumberFormat="1" applyFont="1" applyFill="1" applyAlignment="1"/>
    <xf numFmtId="0" fontId="68" fillId="0" borderId="0" xfId="0" applyFont="1" applyFill="1"/>
    <xf numFmtId="37" fontId="37" fillId="0" borderId="30" xfId="52" applyFont="1" applyBorder="1" applyAlignment="1">
      <alignment horizontal="right"/>
    </xf>
    <xf numFmtId="0" fontId="0" fillId="0" borderId="0" xfId="0" applyFill="1" applyAlignment="1">
      <alignment horizontal="center"/>
    </xf>
    <xf numFmtId="37" fontId="36" fillId="0" borderId="0" xfId="52" applyFont="1" applyFill="1" applyAlignment="1">
      <alignment horizontal="center"/>
    </xf>
    <xf numFmtId="37" fontId="36" fillId="0" borderId="0" xfId="52" applyFont="1" applyBorder="1"/>
    <xf numFmtId="37" fontId="36" fillId="0" borderId="21" xfId="52" applyFont="1" applyBorder="1"/>
    <xf numFmtId="0" fontId="0" fillId="14" borderId="0" xfId="0" applyFill="1" applyAlignment="1">
      <alignment horizontal="center"/>
    </xf>
    <xf numFmtId="0" fontId="50" fillId="0" borderId="0" xfId="0" applyFont="1" applyAlignment="1"/>
    <xf numFmtId="37" fontId="38" fillId="0" borderId="7" xfId="52" applyFont="1" applyBorder="1" applyAlignment="1"/>
    <xf numFmtId="37" fontId="37" fillId="0" borderId="8" xfId="52" applyFont="1" applyBorder="1"/>
    <xf numFmtId="37" fontId="37" fillId="0" borderId="8" xfId="52" applyFont="1" applyBorder="1" applyAlignment="1"/>
    <xf numFmtId="37" fontId="37" fillId="0" borderId="17" xfId="52" applyFont="1" applyBorder="1" applyAlignment="1"/>
    <xf numFmtId="0" fontId="11" fillId="0" borderId="7" xfId="0" applyFont="1" applyBorder="1" applyAlignment="1"/>
    <xf numFmtId="9" fontId="0" fillId="0" borderId="21" xfId="69" applyFont="1" applyBorder="1"/>
    <xf numFmtId="38" fontId="38" fillId="0" borderId="14" xfId="52" applyNumberFormat="1" applyFont="1" applyBorder="1" applyAlignment="1"/>
    <xf numFmtId="0" fontId="38" fillId="0" borderId="5" xfId="0" applyFont="1" applyBorder="1"/>
    <xf numFmtId="0" fontId="0" fillId="0" borderId="0" xfId="0" applyFill="1" applyBorder="1" applyAlignment="1">
      <alignment horizontal="center"/>
    </xf>
    <xf numFmtId="37" fontId="38" fillId="0" borderId="0" xfId="52" applyFont="1" applyFill="1" applyBorder="1"/>
    <xf numFmtId="37" fontId="58" fillId="0" borderId="20" xfId="52" applyFont="1" applyBorder="1" applyAlignment="1"/>
    <xf numFmtId="37" fontId="0" fillId="0" borderId="20" xfId="52" applyFont="1" applyBorder="1"/>
    <xf numFmtId="37" fontId="58" fillId="0" borderId="0" xfId="52" applyFont="1" applyFill="1" applyAlignment="1">
      <alignment horizontal="center"/>
    </xf>
    <xf numFmtId="37" fontId="58" fillId="0" borderId="0" xfId="52" applyFont="1" applyBorder="1"/>
    <xf numFmtId="37" fontId="58" fillId="0" borderId="21" xfId="52" applyFont="1" applyBorder="1"/>
    <xf numFmtId="9" fontId="37" fillId="0" borderId="4" xfId="69" applyFont="1" applyFill="1" applyBorder="1"/>
    <xf numFmtId="37" fontId="29" fillId="0" borderId="0" xfId="52" applyFont="1" applyBorder="1" applyAlignment="1"/>
    <xf numFmtId="37" fontId="5" fillId="3" borderId="21" xfId="52" applyFont="1" applyFill="1" applyBorder="1" applyAlignment="1"/>
    <xf numFmtId="37" fontId="38" fillId="0" borderId="21" xfId="52" applyFont="1" applyBorder="1" applyAlignment="1"/>
    <xf numFmtId="43" fontId="58" fillId="0" borderId="4" xfId="52" applyNumberFormat="1" applyFont="1" applyBorder="1" applyAlignment="1"/>
    <xf numFmtId="3" fontId="38" fillId="0" borderId="10" xfId="65" applyNumberFormat="1" applyFont="1" applyBorder="1" applyAlignment="1"/>
    <xf numFmtId="0" fontId="0" fillId="0" borderId="8" xfId="0" applyBorder="1"/>
    <xf numFmtId="0" fontId="0" fillId="0" borderId="17" xfId="0" applyBorder="1"/>
    <xf numFmtId="37" fontId="29" fillId="0" borderId="10" xfId="52" applyFont="1" applyBorder="1" applyAlignment="1">
      <alignment horizontal="left"/>
    </xf>
    <xf numFmtId="37" fontId="29" fillId="0" borderId="7" xfId="52" applyFont="1" applyBorder="1" applyAlignment="1"/>
    <xf numFmtId="4" fontId="5" fillId="0" borderId="0" xfId="65" applyFont="1" applyAlignment="1"/>
    <xf numFmtId="37" fontId="38" fillId="3" borderId="0" xfId="52" applyFont="1" applyFill="1" applyAlignment="1"/>
    <xf numFmtId="37" fontId="37" fillId="3" borderId="0" xfId="52" applyFont="1" applyFill="1" applyAlignment="1"/>
    <xf numFmtId="37" fontId="37" fillId="3" borderId="0" xfId="52" applyFont="1" applyFill="1"/>
    <xf numFmtId="37" fontId="38" fillId="3" borderId="0" xfId="52" applyFont="1" applyFill="1"/>
    <xf numFmtId="37" fontId="1" fillId="3" borderId="0" xfId="52" applyFont="1" applyFill="1" applyAlignment="1"/>
    <xf numFmtId="0" fontId="39" fillId="3" borderId="0" xfId="0" applyFont="1" applyFill="1" applyAlignment="1">
      <alignment horizontal="center"/>
    </xf>
    <xf numFmtId="0" fontId="39" fillId="3" borderId="0" xfId="0" applyFont="1" applyFill="1" applyAlignment="1">
      <alignment horizontal="left"/>
    </xf>
    <xf numFmtId="37" fontId="1" fillId="0" borderId="20" xfId="52" applyFont="1" applyBorder="1" applyAlignment="1"/>
    <xf numFmtId="9" fontId="37" fillId="0" borderId="0" xfId="52" applyNumberFormat="1" applyFont="1" applyFill="1" applyBorder="1" applyAlignment="1"/>
    <xf numFmtId="37" fontId="11" fillId="0" borderId="0" xfId="0" applyNumberFormat="1" applyFont="1" applyFill="1" applyAlignment="1"/>
    <xf numFmtId="3" fontId="62" fillId="14" borderId="0" xfId="0" applyNumberFormat="1" applyFont="1" applyFill="1" applyAlignment="1"/>
    <xf numFmtId="0" fontId="11" fillId="14" borderId="0" xfId="0" applyFont="1" applyFill="1" applyAlignment="1">
      <alignment horizontal="left"/>
    </xf>
    <xf numFmtId="9" fontId="11" fillId="14" borderId="0" xfId="69" applyFont="1" applyFill="1" applyBorder="1" applyAlignment="1"/>
    <xf numFmtId="37" fontId="11" fillId="14" borderId="4" xfId="52" applyFont="1" applyFill="1" applyBorder="1" applyAlignment="1"/>
    <xf numFmtId="0" fontId="11" fillId="14" borderId="4" xfId="0" applyFont="1" applyFill="1" applyBorder="1" applyAlignment="1"/>
    <xf numFmtId="9" fontId="11" fillId="14" borderId="11" xfId="69" applyFont="1" applyFill="1" applyBorder="1" applyAlignment="1"/>
    <xf numFmtId="0" fontId="11" fillId="14" borderId="12" xfId="0" applyFont="1" applyFill="1" applyBorder="1" applyAlignment="1"/>
    <xf numFmtId="0" fontId="11" fillId="14" borderId="13" xfId="0" applyFont="1" applyFill="1" applyBorder="1" applyAlignment="1"/>
    <xf numFmtId="41" fontId="11" fillId="14" borderId="4" xfId="0" applyNumberFormat="1" applyFont="1" applyFill="1" applyBorder="1" applyAlignment="1"/>
    <xf numFmtId="0" fontId="11" fillId="14" borderId="0" xfId="0" applyFont="1" applyFill="1" applyBorder="1" applyAlignment="1"/>
    <xf numFmtId="3" fontId="57" fillId="14" borderId="0" xfId="0" applyNumberFormat="1" applyFont="1" applyFill="1" applyAlignment="1"/>
    <xf numFmtId="3" fontId="11" fillId="14" borderId="4" xfId="0" applyNumberFormat="1" applyFont="1" applyFill="1" applyBorder="1" applyAlignment="1">
      <alignment horizontal="left"/>
    </xf>
    <xf numFmtId="0" fontId="11" fillId="14" borderId="34" xfId="0" applyFont="1" applyFill="1" applyBorder="1" applyAlignment="1">
      <alignment horizontal="left"/>
    </xf>
    <xf numFmtId="0" fontId="11" fillId="14" borderId="34" xfId="0" applyFont="1" applyFill="1" applyBorder="1" applyAlignment="1"/>
    <xf numFmtId="9" fontId="30" fillId="14" borderId="4" xfId="69" applyFont="1" applyFill="1" applyBorder="1" applyAlignment="1"/>
    <xf numFmtId="9" fontId="11" fillId="14" borderId="4" xfId="0" applyNumberFormat="1" applyFont="1" applyFill="1" applyBorder="1" applyAlignment="1"/>
    <xf numFmtId="9" fontId="11" fillId="14" borderId="0" xfId="0" applyNumberFormat="1" applyFont="1" applyFill="1" applyAlignment="1"/>
    <xf numFmtId="0" fontId="30" fillId="14" borderId="4" xfId="0" applyFont="1" applyFill="1" applyBorder="1" applyAlignment="1"/>
    <xf numFmtId="3" fontId="30" fillId="14" borderId="4" xfId="0" applyNumberFormat="1" applyFont="1" applyFill="1" applyBorder="1" applyAlignment="1"/>
    <xf numFmtId="0" fontId="0" fillId="16" borderId="0" xfId="0" applyFill="1" applyAlignment="1">
      <alignment horizontal="center"/>
    </xf>
    <xf numFmtId="0" fontId="0" fillId="16" borderId="0" xfId="0" applyFill="1"/>
    <xf numFmtId="1" fontId="30" fillId="0" borderId="4" xfId="0" applyNumberFormat="1" applyFont="1" applyBorder="1" applyAlignment="1">
      <alignment horizontal="center"/>
    </xf>
    <xf numFmtId="0" fontId="0" fillId="3" borderId="35" xfId="0" applyFill="1" applyBorder="1" applyAlignment="1">
      <alignment horizontal="center"/>
    </xf>
    <xf numFmtId="0" fontId="0" fillId="3" borderId="36" xfId="0" applyFill="1" applyBorder="1" applyAlignment="1">
      <alignment horizontal="center"/>
    </xf>
    <xf numFmtId="1" fontId="0" fillId="3" borderId="36" xfId="0" applyNumberFormat="1" applyFill="1" applyBorder="1" applyAlignment="1">
      <alignment horizontal="center"/>
    </xf>
    <xf numFmtId="38" fontId="0" fillId="3" borderId="36" xfId="0" applyNumberFormat="1" applyFill="1" applyBorder="1" applyAlignment="1">
      <alignment horizontal="center"/>
    </xf>
    <xf numFmtId="37" fontId="0" fillId="3" borderId="36" xfId="0" applyNumberFormat="1" applyFill="1" applyBorder="1" applyAlignment="1">
      <alignment horizontal="center"/>
    </xf>
    <xf numFmtId="3" fontId="0" fillId="3" borderId="36" xfId="0" applyNumberFormat="1" applyFill="1" applyBorder="1" applyAlignment="1">
      <alignment horizontal="center"/>
    </xf>
    <xf numFmtId="0" fontId="0" fillId="3" borderId="37" xfId="0" applyFill="1" applyBorder="1" applyAlignment="1">
      <alignment horizontal="center"/>
    </xf>
    <xf numFmtId="38" fontId="38" fillId="0" borderId="32" xfId="0" applyNumberFormat="1" applyFont="1" applyFill="1" applyBorder="1"/>
    <xf numFmtId="10" fontId="11" fillId="0" borderId="30" xfId="69" applyNumberFormat="1" applyFont="1" applyFill="1" applyBorder="1" applyAlignment="1"/>
    <xf numFmtId="0" fontId="38" fillId="3" borderId="0" xfId="0" applyFont="1" applyFill="1" applyBorder="1"/>
    <xf numFmtId="37" fontId="38" fillId="3" borderId="0" xfId="52" applyFont="1" applyFill="1" applyBorder="1"/>
    <xf numFmtId="3" fontId="1" fillId="0" borderId="4" xfId="65" applyNumberFormat="1" applyBorder="1"/>
    <xf numFmtId="14" fontId="1" fillId="0" borderId="4" xfId="65" applyNumberFormat="1" applyBorder="1"/>
    <xf numFmtId="0" fontId="38" fillId="3" borderId="0" xfId="0" applyFont="1" applyFill="1" applyBorder="1" applyAlignment="1"/>
    <xf numFmtId="0" fontId="38" fillId="3" borderId="16" xfId="0" applyFont="1" applyFill="1" applyBorder="1" applyAlignment="1">
      <alignment horizontal="center"/>
    </xf>
    <xf numFmtId="37" fontId="39" fillId="3" borderId="8" xfId="52" applyFont="1" applyFill="1" applyBorder="1" applyAlignment="1"/>
    <xf numFmtId="183" fontId="38" fillId="3" borderId="10" xfId="0" applyNumberFormat="1" applyFont="1" applyFill="1" applyBorder="1" applyAlignment="1">
      <alignment horizontal="center"/>
    </xf>
    <xf numFmtId="37" fontId="1" fillId="0" borderId="4" xfId="52" applyBorder="1" applyAlignment="1">
      <alignment horizontal="center"/>
    </xf>
    <xf numFmtId="184" fontId="38" fillId="3" borderId="10" xfId="0" applyNumberFormat="1" applyFont="1" applyFill="1" applyBorder="1" applyAlignment="1">
      <alignment horizontal="center"/>
    </xf>
    <xf numFmtId="0" fontId="38" fillId="0" borderId="0" xfId="0" applyFont="1" applyFill="1" applyBorder="1" applyAlignment="1"/>
    <xf numFmtId="0" fontId="32" fillId="3" borderId="35" xfId="0" applyFont="1" applyFill="1" applyBorder="1" applyAlignment="1">
      <alignment horizontal="center"/>
    </xf>
    <xf numFmtId="0" fontId="32" fillId="3" borderId="36" xfId="0" applyFont="1" applyFill="1" applyBorder="1" applyAlignment="1">
      <alignment horizontal="center"/>
    </xf>
    <xf numFmtId="0" fontId="32" fillId="3" borderId="37" xfId="0" applyFont="1" applyFill="1" applyBorder="1" applyAlignment="1">
      <alignment horizontal="center"/>
    </xf>
    <xf numFmtId="3" fontId="76" fillId="0" borderId="0" xfId="65" applyNumberFormat="1" applyFont="1" applyAlignment="1">
      <alignment horizontal="center"/>
    </xf>
    <xf numFmtId="3" fontId="76" fillId="0" borderId="0" xfId="65" applyNumberFormat="1" applyFont="1" applyAlignment="1"/>
    <xf numFmtId="4" fontId="76" fillId="0" borderId="0" xfId="65" applyFont="1"/>
    <xf numFmtId="3" fontId="76" fillId="0" borderId="0" xfId="65" applyNumberFormat="1" applyFont="1" applyAlignment="1" applyProtection="1">
      <protection locked="0"/>
    </xf>
    <xf numFmtId="0" fontId="76" fillId="0" borderId="0" xfId="0" applyFont="1"/>
    <xf numFmtId="10" fontId="76" fillId="0" borderId="0" xfId="65" applyNumberFormat="1" applyFont="1"/>
    <xf numFmtId="3" fontId="76" fillId="0" borderId="0" xfId="65" applyNumberFormat="1" applyFont="1" applyFill="1" applyAlignment="1"/>
    <xf numFmtId="3" fontId="76" fillId="0" borderId="0" xfId="65" applyNumberFormat="1" applyFont="1" applyFill="1" applyAlignment="1" applyProtection="1">
      <protection locked="0"/>
    </xf>
    <xf numFmtId="0" fontId="76" fillId="0" borderId="0" xfId="0" applyFont="1" applyFill="1"/>
    <xf numFmtId="3" fontId="76" fillId="0" borderId="0" xfId="65" applyNumberFormat="1" applyFont="1"/>
    <xf numFmtId="3" fontId="1" fillId="0" borderId="7" xfId="65" applyNumberFormat="1" applyBorder="1"/>
    <xf numFmtId="3" fontId="1" fillId="0" borderId="7" xfId="65" applyNumberFormat="1" applyFill="1" applyBorder="1"/>
    <xf numFmtId="10" fontId="38" fillId="3" borderId="0" xfId="69" applyNumberFormat="1" applyFont="1" applyFill="1" applyBorder="1" applyAlignment="1"/>
    <xf numFmtId="9" fontId="11" fillId="0" borderId="0" xfId="69" applyFont="1" applyFill="1" applyBorder="1" applyAlignment="1"/>
    <xf numFmtId="10" fontId="7" fillId="0" borderId="0" xfId="69" applyNumberFormat="1" applyFont="1" applyFill="1" applyBorder="1" applyAlignment="1"/>
    <xf numFmtId="3" fontId="76" fillId="0" borderId="0" xfId="65" applyNumberFormat="1" applyFont="1" applyBorder="1" applyAlignment="1"/>
    <xf numFmtId="3" fontId="38" fillId="0" borderId="21" xfId="65" applyNumberFormat="1" applyFont="1" applyBorder="1" applyAlignment="1"/>
    <xf numFmtId="37" fontId="39" fillId="3" borderId="4" xfId="52" applyFont="1" applyFill="1" applyBorder="1" applyAlignment="1"/>
    <xf numFmtId="3" fontId="76" fillId="0" borderId="0" xfId="65" applyNumberFormat="1" applyFont="1" applyBorder="1"/>
    <xf numFmtId="10" fontId="76" fillId="0" borderId="0" xfId="65" applyNumberFormat="1" applyFont="1" applyBorder="1"/>
    <xf numFmtId="164" fontId="76" fillId="0" borderId="0" xfId="65" applyNumberFormat="1" applyFont="1" applyAlignment="1"/>
    <xf numFmtId="37" fontId="0" fillId="0" borderId="0" xfId="52" applyFont="1" applyFill="1" applyAlignment="1">
      <alignment horizontal="center"/>
    </xf>
    <xf numFmtId="0" fontId="58" fillId="0" borderId="0" xfId="0" applyFont="1" applyBorder="1"/>
    <xf numFmtId="0" fontId="58" fillId="0" borderId="0" xfId="0" applyFont="1" applyFill="1" applyAlignment="1">
      <alignment horizontal="center"/>
    </xf>
    <xf numFmtId="0" fontId="44" fillId="3" borderId="8" xfId="0" applyFont="1" applyFill="1" applyBorder="1" applyAlignment="1"/>
    <xf numFmtId="0" fontId="30" fillId="3" borderId="17" xfId="0" applyFont="1" applyFill="1" applyBorder="1" applyAlignment="1"/>
    <xf numFmtId="10" fontId="39" fillId="3" borderId="9" xfId="69" applyNumberFormat="1" applyFont="1" applyFill="1" applyBorder="1" applyAlignment="1"/>
    <xf numFmtId="0" fontId="39" fillId="3" borderId="0" xfId="0" applyFont="1" applyFill="1" applyBorder="1" applyAlignment="1"/>
    <xf numFmtId="10" fontId="39" fillId="3" borderId="0" xfId="69" applyNumberFormat="1" applyFont="1" applyFill="1" applyBorder="1" applyAlignment="1"/>
    <xf numFmtId="0" fontId="0" fillId="0" borderId="0" xfId="0" applyBorder="1" applyAlignment="1">
      <alignment horizontal="center"/>
    </xf>
    <xf numFmtId="3" fontId="34" fillId="0" borderId="0" xfId="65" applyNumberFormat="1" applyFont="1" applyAlignment="1">
      <alignment horizontal="center"/>
    </xf>
    <xf numFmtId="3" fontId="35" fillId="0" borderId="0" xfId="65" applyNumberFormat="1" applyFont="1" applyAlignment="1"/>
    <xf numFmtId="3" fontId="35" fillId="0" borderId="0" xfId="65" applyNumberFormat="1" applyFont="1" applyAlignment="1" applyProtection="1">
      <protection locked="0"/>
    </xf>
    <xf numFmtId="0" fontId="35" fillId="0" borderId="0" xfId="0" applyFont="1"/>
    <xf numFmtId="3" fontId="77" fillId="0" borderId="0" xfId="65" applyNumberFormat="1" applyFont="1" applyAlignment="1">
      <alignment horizontal="center"/>
    </xf>
    <xf numFmtId="3" fontId="79" fillId="0" borderId="0" xfId="65" applyNumberFormat="1" applyFont="1" applyAlignment="1"/>
    <xf numFmtId="0" fontId="77" fillId="0" borderId="0" xfId="0" applyFont="1"/>
    <xf numFmtId="14" fontId="11" fillId="0" borderId="4" xfId="0" applyNumberFormat="1" applyFont="1" applyFill="1" applyBorder="1" applyAlignment="1"/>
    <xf numFmtId="0" fontId="37" fillId="0" borderId="0" xfId="66" applyFont="1" applyFill="1" applyAlignment="1"/>
    <xf numFmtId="0" fontId="37" fillId="0" borderId="0" xfId="66" applyNumberFormat="1" applyFont="1" applyFill="1" applyAlignment="1"/>
    <xf numFmtId="0" fontId="81" fillId="0" borderId="0" xfId="66" applyNumberFormat="1" applyFont="1" applyFill="1" applyAlignment="1">
      <alignment horizontal="left"/>
    </xf>
    <xf numFmtId="0" fontId="38" fillId="0" borderId="0" xfId="66" applyNumberFormat="1" applyFont="1" applyFill="1" applyAlignment="1"/>
    <xf numFmtId="0" fontId="37" fillId="0" borderId="0" xfId="66" applyNumberFormat="1" applyFont="1" applyFill="1" applyAlignment="1">
      <alignment horizontal="left"/>
    </xf>
    <xf numFmtId="0" fontId="50" fillId="0" borderId="0" xfId="66" applyNumberFormat="1" applyFont="1" applyFill="1" applyAlignment="1">
      <alignment horizontal="right"/>
    </xf>
    <xf numFmtId="3" fontId="37" fillId="0" borderId="0" xfId="66" applyNumberFormat="1" applyFont="1" applyFill="1" applyAlignment="1">
      <alignment horizontal="center"/>
    </xf>
    <xf numFmtId="0" fontId="50" fillId="0" borderId="0" xfId="66" applyNumberFormat="1" applyFont="1" applyFill="1" applyAlignment="1">
      <alignment horizontal="left"/>
    </xf>
    <xf numFmtId="3" fontId="50" fillId="0" borderId="0" xfId="66" applyNumberFormat="1" applyFont="1" applyFill="1" applyAlignment="1">
      <alignment horizontal="right"/>
    </xf>
    <xf numFmtId="3" fontId="37" fillId="0" borderId="0" xfId="66" applyNumberFormat="1" applyFont="1" applyFill="1" applyAlignment="1"/>
    <xf numFmtId="3" fontId="39" fillId="0" borderId="9" xfId="66" applyNumberFormat="1" applyFont="1" applyFill="1" applyBorder="1" applyAlignment="1">
      <alignment horizontal="right"/>
    </xf>
    <xf numFmtId="3" fontId="37" fillId="0" borderId="10" xfId="66" applyNumberFormat="1" applyFont="1" applyFill="1" applyBorder="1" applyAlignment="1"/>
    <xf numFmtId="0" fontId="37" fillId="0" borderId="0" xfId="66" applyNumberFormat="1" applyFont="1" applyFill="1" applyBorder="1" applyAlignment="1"/>
    <xf numFmtId="3" fontId="50" fillId="0" borderId="0" xfId="66" applyNumberFormat="1" applyFont="1" applyFill="1" applyBorder="1" applyAlignment="1">
      <alignment horizontal="right"/>
    </xf>
    <xf numFmtId="9" fontId="50" fillId="0" borderId="0" xfId="66" applyNumberFormat="1" applyFont="1" applyFill="1" applyBorder="1" applyAlignment="1">
      <alignment horizontal="right"/>
    </xf>
    <xf numFmtId="0" fontId="37" fillId="0" borderId="18" xfId="66" applyFont="1" applyFill="1" applyBorder="1" applyAlignment="1"/>
    <xf numFmtId="0" fontId="50" fillId="0" borderId="10" xfId="66" applyNumberFormat="1" applyFont="1" applyFill="1" applyBorder="1" applyAlignment="1">
      <alignment horizontal="left"/>
    </xf>
    <xf numFmtId="3" fontId="50" fillId="0" borderId="0" xfId="66" applyNumberFormat="1" applyFont="1" applyFill="1" applyBorder="1" applyAlignment="1"/>
    <xf numFmtId="0" fontId="37" fillId="0" borderId="0" xfId="66" applyFont="1" applyFill="1" applyBorder="1" applyAlignment="1"/>
    <xf numFmtId="0" fontId="37" fillId="0" borderId="0" xfId="0" applyFont="1" applyFill="1" applyBorder="1"/>
    <xf numFmtId="0" fontId="50" fillId="0" borderId="7" xfId="0" applyFont="1" applyFill="1" applyBorder="1" applyAlignment="1"/>
    <xf numFmtId="3" fontId="37" fillId="0" borderId="0" xfId="66" applyNumberFormat="1" applyFont="1" applyFill="1" applyBorder="1" applyAlignment="1"/>
    <xf numFmtId="0" fontId="37" fillId="0" borderId="7" xfId="66" applyFont="1" applyFill="1" applyBorder="1" applyAlignment="1"/>
    <xf numFmtId="0" fontId="50" fillId="0" borderId="16" xfId="66" applyNumberFormat="1" applyFont="1" applyFill="1" applyBorder="1" applyAlignment="1">
      <alignment horizontal="left"/>
    </xf>
    <xf numFmtId="3" fontId="37" fillId="0" borderId="8" xfId="66" applyNumberFormat="1" applyFont="1" applyFill="1" applyBorder="1" applyAlignment="1"/>
    <xf numFmtId="0" fontId="37" fillId="0" borderId="8" xfId="66" applyFont="1" applyFill="1" applyBorder="1" applyAlignment="1"/>
    <xf numFmtId="0" fontId="37" fillId="0" borderId="17" xfId="66" applyFont="1" applyFill="1" applyBorder="1" applyAlignment="1"/>
    <xf numFmtId="0" fontId="38" fillId="0" borderId="0" xfId="66" applyNumberFormat="1" applyFont="1" applyFill="1" applyBorder="1" applyAlignment="1"/>
    <xf numFmtId="0" fontId="37" fillId="0" borderId="9" xfId="0" applyFont="1" applyFill="1" applyBorder="1"/>
    <xf numFmtId="0" fontId="37" fillId="0" borderId="10" xfId="66" applyFont="1" applyFill="1" applyBorder="1" applyAlignment="1"/>
    <xf numFmtId="0" fontId="39" fillId="0" borderId="0" xfId="66" applyNumberFormat="1" applyFont="1" applyFill="1" applyBorder="1" applyAlignment="1">
      <alignment horizontal="centerContinuous"/>
    </xf>
    <xf numFmtId="0" fontId="50" fillId="0" borderId="0" xfId="66" applyNumberFormat="1" applyFont="1" applyFill="1" applyBorder="1" applyAlignment="1">
      <alignment horizontal="centerContinuous"/>
    </xf>
    <xf numFmtId="0" fontId="39" fillId="0" borderId="10" xfId="66" applyNumberFormat="1" applyFont="1" applyFill="1" applyBorder="1" applyAlignment="1">
      <alignment horizontal="left"/>
    </xf>
    <xf numFmtId="0" fontId="71" fillId="0" borderId="0" xfId="66" applyNumberFormat="1" applyFont="1" applyFill="1" applyBorder="1" applyAlignment="1">
      <alignment horizontal="center"/>
    </xf>
    <xf numFmtId="0" fontId="37" fillId="0" borderId="0" xfId="66" applyNumberFormat="1" applyFont="1" applyFill="1" applyBorder="1" applyAlignment="1">
      <alignment horizontal="center"/>
    </xf>
    <xf numFmtId="0" fontId="37" fillId="0" borderId="9" xfId="66" applyNumberFormat="1" applyFont="1" applyFill="1" applyBorder="1" applyAlignment="1"/>
    <xf numFmtId="10" fontId="50" fillId="0" borderId="0" xfId="66" applyNumberFormat="1" applyFont="1" applyFill="1" applyBorder="1" applyAlignment="1">
      <alignment horizontal="center"/>
    </xf>
    <xf numFmtId="10" fontId="37" fillId="0" borderId="0" xfId="66" applyNumberFormat="1" applyFont="1" applyFill="1" applyBorder="1" applyAlignment="1">
      <alignment horizontal="center"/>
    </xf>
    <xf numFmtId="10" fontId="50" fillId="0" borderId="7" xfId="66" applyNumberFormat="1" applyFont="1" applyFill="1" applyBorder="1" applyAlignment="1">
      <alignment horizontal="center"/>
    </xf>
    <xf numFmtId="0" fontId="40" fillId="0" borderId="10" xfId="66" applyNumberFormat="1" applyFont="1" applyFill="1" applyBorder="1" applyAlignment="1">
      <alignment horizontal="left"/>
    </xf>
    <xf numFmtId="0" fontId="39" fillId="0" borderId="0" xfId="66" applyNumberFormat="1" applyFont="1" applyFill="1" applyBorder="1" applyAlignment="1">
      <alignment horizontal="right"/>
    </xf>
    <xf numFmtId="0" fontId="39" fillId="0" borderId="7" xfId="66" applyNumberFormat="1" applyFont="1" applyFill="1" applyBorder="1" applyAlignment="1">
      <alignment horizontal="right"/>
    </xf>
    <xf numFmtId="3" fontId="50" fillId="0" borderId="10" xfId="66" applyNumberFormat="1" applyFont="1" applyFill="1" applyBorder="1" applyAlignment="1">
      <alignment horizontal="left"/>
    </xf>
    <xf numFmtId="9" fontId="37" fillId="0" borderId="0" xfId="66" applyNumberFormat="1" applyFont="1" applyFill="1" applyBorder="1" applyAlignment="1"/>
    <xf numFmtId="0" fontId="40" fillId="0" borderId="10" xfId="66" applyNumberFormat="1" applyFont="1" applyFill="1" applyBorder="1" applyAlignment="1">
      <alignment horizontal="center"/>
    </xf>
    <xf numFmtId="0" fontId="39" fillId="0" borderId="10" xfId="66" applyFont="1" applyFill="1" applyBorder="1" applyAlignment="1">
      <alignment horizontal="left"/>
    </xf>
    <xf numFmtId="0" fontId="50" fillId="0" borderId="0" xfId="66" applyFont="1" applyFill="1" applyBorder="1" applyAlignment="1">
      <alignment horizontal="center"/>
    </xf>
    <xf numFmtId="0" fontId="50" fillId="0" borderId="0" xfId="66" applyNumberFormat="1" applyFont="1" applyFill="1" applyBorder="1" applyAlignment="1">
      <alignment horizontal="center"/>
    </xf>
    <xf numFmtId="0" fontId="39" fillId="0" borderId="10" xfId="66" applyNumberFormat="1" applyFont="1" applyFill="1" applyBorder="1" applyAlignment="1"/>
    <xf numFmtId="0" fontId="50" fillId="0" borderId="0" xfId="66" applyNumberFormat="1" applyFont="1" applyFill="1" applyBorder="1" applyAlignment="1">
      <alignment horizontal="right"/>
    </xf>
    <xf numFmtId="0" fontId="39" fillId="0" borderId="10" xfId="66" applyNumberFormat="1" applyFont="1" applyFill="1" applyBorder="1" applyAlignment="1">
      <alignment horizontal="center"/>
    </xf>
    <xf numFmtId="38" fontId="50" fillId="0" borderId="10" xfId="66" applyNumberFormat="1" applyFont="1" applyFill="1" applyBorder="1" applyAlignment="1">
      <alignment horizontal="left"/>
    </xf>
    <xf numFmtId="9" fontId="50" fillId="0" borderId="0" xfId="66" applyNumberFormat="1" applyFont="1" applyFill="1" applyBorder="1" applyAlignment="1">
      <alignment horizontal="center"/>
    </xf>
    <xf numFmtId="3" fontId="50" fillId="0" borderId="0" xfId="66" applyNumberFormat="1" applyFont="1" applyFill="1" applyBorder="1" applyAlignment="1">
      <alignment horizontal="center"/>
    </xf>
    <xf numFmtId="3" fontId="39" fillId="0" borderId="0" xfId="66" applyNumberFormat="1" applyFont="1" applyFill="1" applyBorder="1" applyAlignment="1"/>
    <xf numFmtId="3" fontId="50" fillId="0" borderId="8" xfId="66" applyNumberFormat="1" applyFont="1" applyFill="1" applyBorder="1" applyAlignment="1">
      <alignment horizontal="center"/>
    </xf>
    <xf numFmtId="9" fontId="38" fillId="0" borderId="0" xfId="66" applyNumberFormat="1" applyFont="1" applyFill="1" applyBorder="1" applyAlignment="1"/>
    <xf numFmtId="3" fontId="39" fillId="0" borderId="7" xfId="66" applyNumberFormat="1" applyFont="1" applyFill="1" applyBorder="1" applyAlignment="1"/>
    <xf numFmtId="0" fontId="37" fillId="0" borderId="8" xfId="0" applyFont="1" applyFill="1" applyBorder="1"/>
    <xf numFmtId="0" fontId="39" fillId="0" borderId="9" xfId="66" applyFont="1" applyFill="1" applyBorder="1" applyAlignment="1">
      <alignment horizontal="center" vertical="center"/>
    </xf>
    <xf numFmtId="0" fontId="39" fillId="0" borderId="9" xfId="66" applyNumberFormat="1" applyFont="1" applyFill="1" applyBorder="1" applyAlignment="1">
      <alignment horizontal="center" vertical="center"/>
    </xf>
    <xf numFmtId="0" fontId="39" fillId="0" borderId="0" xfId="66" applyFont="1" applyFill="1" applyBorder="1" applyAlignment="1">
      <alignment horizontal="center" vertical="center"/>
    </xf>
    <xf numFmtId="0" fontId="39" fillId="0" borderId="0" xfId="66" applyNumberFormat="1" applyFont="1" applyFill="1" applyBorder="1" applyAlignment="1">
      <alignment horizontal="center" vertical="center"/>
    </xf>
    <xf numFmtId="0" fontId="37" fillId="0" borderId="10" xfId="66" applyNumberFormat="1" applyFont="1" applyFill="1" applyBorder="1" applyAlignment="1"/>
    <xf numFmtId="10" fontId="50" fillId="0" borderId="0" xfId="66" applyNumberFormat="1" applyFont="1" applyFill="1" applyBorder="1" applyAlignment="1"/>
    <xf numFmtId="10" fontId="50" fillId="0" borderId="0" xfId="66" applyNumberFormat="1" applyFont="1" applyFill="1" applyBorder="1" applyAlignment="1">
      <alignment horizontal="right"/>
    </xf>
    <xf numFmtId="0" fontId="37" fillId="0" borderId="10" xfId="0" applyFont="1" applyFill="1" applyBorder="1"/>
    <xf numFmtId="0" fontId="37" fillId="0" borderId="0" xfId="66" applyNumberFormat="1" applyFont="1" applyFill="1" applyBorder="1" applyAlignment="1">
      <alignment horizontal="right"/>
    </xf>
    <xf numFmtId="14" fontId="65" fillId="0" borderId="0" xfId="66" applyNumberFormat="1" applyFont="1" applyFill="1" applyBorder="1" applyAlignment="1">
      <alignment horizontal="right"/>
    </xf>
    <xf numFmtId="0" fontId="50" fillId="0" borderId="0" xfId="66" applyFont="1" applyFill="1" applyBorder="1" applyAlignment="1">
      <alignment horizontal="right"/>
    </xf>
    <xf numFmtId="0" fontId="38" fillId="0" borderId="16" xfId="66" applyNumberFormat="1" applyFont="1" applyFill="1" applyBorder="1" applyAlignment="1"/>
    <xf numFmtId="10" fontId="37" fillId="0" borderId="0" xfId="66" applyNumberFormat="1" applyFont="1" applyFill="1" applyBorder="1" applyAlignment="1"/>
    <xf numFmtId="0" fontId="38" fillId="0" borderId="0" xfId="66" applyNumberFormat="1" applyFont="1" applyFill="1" applyBorder="1" applyAlignment="1">
      <alignment horizontal="left"/>
    </xf>
    <xf numFmtId="0" fontId="37" fillId="0" borderId="0" xfId="66" applyFont="1" applyFill="1" applyAlignment="1">
      <alignment horizontal="right"/>
    </xf>
    <xf numFmtId="0" fontId="37" fillId="0" borderId="8" xfId="66" applyNumberFormat="1" applyFont="1" applyFill="1" applyBorder="1" applyAlignment="1"/>
    <xf numFmtId="0" fontId="0" fillId="0" borderId="7" xfId="0" applyFill="1" applyBorder="1"/>
    <xf numFmtId="168" fontId="11" fillId="0" borderId="4" xfId="52" applyNumberFormat="1" applyFont="1" applyFill="1" applyBorder="1" applyAlignment="1"/>
    <xf numFmtId="0" fontId="11" fillId="0" borderId="0" xfId="0" applyFont="1" applyFill="1" applyAlignment="1">
      <alignment horizontal="center"/>
    </xf>
    <xf numFmtId="3" fontId="21" fillId="0" borderId="16" xfId="65" applyNumberFormat="1" applyFont="1" applyBorder="1" applyAlignment="1">
      <alignment horizontal="left"/>
    </xf>
    <xf numFmtId="0" fontId="38" fillId="3" borderId="0" xfId="0" applyNumberFormat="1" applyFont="1" applyFill="1" applyBorder="1" applyAlignment="1">
      <alignment horizontal="center"/>
    </xf>
    <xf numFmtId="184" fontId="38" fillId="3" borderId="0" xfId="0" applyNumberFormat="1" applyFont="1" applyFill="1" applyBorder="1" applyAlignment="1">
      <alignment horizontal="center"/>
    </xf>
    <xf numFmtId="0" fontId="38" fillId="3" borderId="8" xfId="0" applyFont="1" applyFill="1" applyBorder="1" applyAlignment="1">
      <alignment horizontal="center"/>
    </xf>
    <xf numFmtId="0" fontId="30" fillId="3" borderId="9" xfId="0" applyFont="1" applyFill="1" applyBorder="1" applyAlignment="1">
      <alignment horizontal="center"/>
    </xf>
    <xf numFmtId="0" fontId="32" fillId="0" borderId="0" xfId="0" applyFont="1" applyFill="1"/>
    <xf numFmtId="0" fontId="44" fillId="0" borderId="0" xfId="0" applyFont="1" applyFill="1" applyAlignment="1">
      <alignment horizontal="center"/>
    </xf>
    <xf numFmtId="0" fontId="26" fillId="0" borderId="0" xfId="0" applyFont="1" applyFill="1" applyAlignment="1"/>
    <xf numFmtId="0" fontId="38" fillId="0" borderId="0" xfId="0" applyFont="1" applyFill="1" applyAlignment="1">
      <alignment horizontal="right"/>
    </xf>
    <xf numFmtId="3" fontId="5" fillId="0" borderId="0" xfId="0" applyNumberFormat="1" applyFont="1" applyFill="1" applyAlignment="1">
      <alignment horizontal="left"/>
    </xf>
    <xf numFmtId="3" fontId="53" fillId="0" borderId="0" xfId="0" applyNumberFormat="1" applyFont="1" applyFill="1" applyAlignment="1">
      <alignment horizontal="center"/>
    </xf>
    <xf numFmtId="0" fontId="53" fillId="0" borderId="0" xfId="0" applyFont="1" applyFill="1" applyAlignment="1">
      <alignment horizontal="center"/>
    </xf>
    <xf numFmtId="9" fontId="11" fillId="0" borderId="0" xfId="69" applyFont="1" applyFill="1" applyAlignment="1">
      <alignment horizontal="left"/>
    </xf>
    <xf numFmtId="9" fontId="15" fillId="0" borderId="0" xfId="69" applyFont="1" applyFill="1" applyAlignment="1">
      <alignment horizontal="center"/>
    </xf>
    <xf numFmtId="0" fontId="32" fillId="0" borderId="0" xfId="0" applyFont="1" applyFill="1" applyBorder="1" applyAlignment="1">
      <alignment horizontal="center"/>
    </xf>
    <xf numFmtId="1" fontId="39" fillId="17" borderId="31" xfId="0" applyNumberFormat="1" applyFont="1" applyFill="1" applyBorder="1" applyAlignment="1"/>
    <xf numFmtId="0" fontId="39" fillId="17" borderId="2" xfId="0" applyFont="1" applyFill="1" applyBorder="1" applyAlignment="1"/>
    <xf numFmtId="0" fontId="39" fillId="17" borderId="34" xfId="0" applyFont="1" applyFill="1" applyBorder="1" applyAlignment="1"/>
    <xf numFmtId="37" fontId="38" fillId="3" borderId="11" xfId="52" applyFont="1" applyFill="1" applyBorder="1" applyAlignment="1"/>
    <xf numFmtId="37" fontId="38" fillId="3" borderId="12" xfId="52" applyFont="1" applyFill="1" applyBorder="1" applyAlignment="1"/>
    <xf numFmtId="37" fontId="38" fillId="3" borderId="13" xfId="52" applyFont="1" applyFill="1" applyBorder="1" applyAlignment="1"/>
    <xf numFmtId="10" fontId="30" fillId="0" borderId="11" xfId="69" applyNumberFormat="1" applyFont="1" applyFill="1" applyBorder="1" applyAlignment="1">
      <alignment horizontal="center"/>
    </xf>
    <xf numFmtId="0" fontId="41" fillId="0" borderId="12" xfId="0" applyFont="1" applyFill="1" applyBorder="1" applyAlignment="1"/>
    <xf numFmtId="0" fontId="30" fillId="0" borderId="13" xfId="0" applyFont="1" applyFill="1" applyBorder="1"/>
    <xf numFmtId="0" fontId="30" fillId="0" borderId="15" xfId="0" applyFont="1" applyFill="1" applyBorder="1"/>
    <xf numFmtId="9" fontId="11" fillId="0" borderId="20" xfId="69" applyFont="1" applyFill="1" applyBorder="1" applyAlignment="1">
      <alignment horizontal="center"/>
    </xf>
    <xf numFmtId="0" fontId="30" fillId="0" borderId="21" xfId="0" applyFont="1" applyFill="1" applyBorder="1"/>
    <xf numFmtId="0" fontId="0" fillId="0" borderId="14" xfId="0" applyFill="1" applyBorder="1" applyAlignment="1">
      <alignment horizontal="center"/>
    </xf>
    <xf numFmtId="0" fontId="30" fillId="0" borderId="4" xfId="0" applyFont="1" applyBorder="1" applyAlignment="1">
      <alignment horizontal="right"/>
    </xf>
    <xf numFmtId="0" fontId="30" fillId="0" borderId="4" xfId="0" applyFont="1" applyBorder="1"/>
    <xf numFmtId="0" fontId="38" fillId="3" borderId="31" xfId="0" applyFont="1" applyFill="1" applyBorder="1" applyAlignment="1">
      <alignment horizontal="center"/>
    </xf>
    <xf numFmtId="0" fontId="38" fillId="3" borderId="2" xfId="0" applyFont="1" applyFill="1" applyBorder="1" applyAlignment="1">
      <alignment horizontal="center"/>
    </xf>
    <xf numFmtId="0" fontId="38" fillId="3" borderId="4" xfId="0" applyFont="1" applyFill="1" applyBorder="1" applyAlignment="1">
      <alignment horizontal="center"/>
    </xf>
    <xf numFmtId="37" fontId="1" fillId="0" borderId="4" xfId="52" applyFont="1" applyFill="1" applyBorder="1" applyAlignment="1"/>
    <xf numFmtId="9" fontId="50" fillId="0" borderId="7" xfId="66" applyNumberFormat="1" applyFont="1" applyFill="1" applyBorder="1" applyAlignment="1">
      <alignment horizontal="center"/>
    </xf>
    <xf numFmtId="0" fontId="38" fillId="3" borderId="0" xfId="52" applyNumberFormat="1" applyFont="1" applyFill="1" applyBorder="1" applyAlignment="1"/>
    <xf numFmtId="37" fontId="38" fillId="0" borderId="6" xfId="52" applyFont="1" applyBorder="1"/>
    <xf numFmtId="37" fontId="11" fillId="0" borderId="0" xfId="52" applyFont="1" applyAlignment="1">
      <alignment horizontal="center"/>
    </xf>
    <xf numFmtId="37" fontId="11" fillId="0" borderId="0" xfId="52" applyFont="1" applyAlignment="1">
      <alignment horizontal="right"/>
    </xf>
    <xf numFmtId="37" fontId="11" fillId="3" borderId="0" xfId="52" applyFont="1" applyFill="1" applyAlignment="1"/>
    <xf numFmtId="37" fontId="50" fillId="0" borderId="0" xfId="52" applyFont="1" applyBorder="1" applyAlignment="1"/>
    <xf numFmtId="37" fontId="11" fillId="0" borderId="0" xfId="52" applyFont="1" applyBorder="1" applyAlignment="1">
      <alignment horizontal="right"/>
    </xf>
    <xf numFmtId="37" fontId="1" fillId="0" borderId="6" xfId="52" applyFont="1" applyBorder="1" applyAlignment="1"/>
    <xf numFmtId="37" fontId="11" fillId="0" borderId="6" xfId="52" applyFont="1" applyBorder="1" applyAlignment="1">
      <alignment horizontal="center"/>
    </xf>
    <xf numFmtId="37" fontId="11" fillId="0" borderId="6" xfId="52" applyFont="1" applyBorder="1" applyAlignment="1">
      <alignment horizontal="right"/>
    </xf>
    <xf numFmtId="37" fontId="1" fillId="0" borderId="33" xfId="52" applyFont="1" applyBorder="1" applyAlignment="1"/>
    <xf numFmtId="37" fontId="0" fillId="0" borderId="33" xfId="52" applyFont="1" applyBorder="1" applyAlignment="1">
      <alignment horizontal="center"/>
    </xf>
    <xf numFmtId="0" fontId="37" fillId="0" borderId="0" xfId="0" applyFont="1" applyBorder="1" applyAlignment="1">
      <alignment horizontal="center"/>
    </xf>
    <xf numFmtId="37" fontId="38" fillId="3" borderId="0" xfId="52" applyFont="1" applyFill="1" applyAlignment="1">
      <alignment horizontal="left"/>
    </xf>
    <xf numFmtId="37" fontId="36" fillId="3" borderId="0" xfId="52" applyFont="1" applyFill="1" applyAlignment="1"/>
    <xf numFmtId="37" fontId="38" fillId="0" borderId="0" xfId="52" applyFont="1" applyAlignment="1">
      <alignment horizontal="left"/>
    </xf>
    <xf numFmtId="37" fontId="37" fillId="0" borderId="6" xfId="52" applyFont="1" applyBorder="1" applyAlignment="1">
      <alignment horizontal="left"/>
    </xf>
    <xf numFmtId="37" fontId="37" fillId="0" borderId="0" xfId="52" applyFont="1" applyAlignment="1">
      <alignment horizontal="right"/>
    </xf>
    <xf numFmtId="37" fontId="38" fillId="0" borderId="0" xfId="52" applyFont="1" applyBorder="1" applyAlignment="1">
      <alignment horizontal="left"/>
    </xf>
    <xf numFmtId="37" fontId="28" fillId="0" borderId="0" xfId="52" applyFont="1" applyAlignment="1"/>
    <xf numFmtId="37" fontId="38" fillId="0" borderId="33" xfId="52" applyFont="1" applyBorder="1" applyAlignment="1">
      <alignment horizontal="left"/>
    </xf>
    <xf numFmtId="37" fontId="28" fillId="0" borderId="0" xfId="52" applyFont="1"/>
    <xf numFmtId="37" fontId="54" fillId="0" borderId="0" xfId="52" applyFont="1" applyAlignment="1"/>
    <xf numFmtId="37" fontId="54" fillId="0" borderId="32" xfId="52" applyFont="1" applyBorder="1" applyAlignment="1"/>
    <xf numFmtId="37" fontId="54" fillId="3" borderId="0" xfId="52" applyFont="1" applyFill="1" applyAlignment="1"/>
    <xf numFmtId="37" fontId="54" fillId="0" borderId="0" xfId="52" applyFont="1"/>
    <xf numFmtId="37" fontId="54" fillId="0" borderId="8" xfId="52" applyFont="1" applyBorder="1"/>
    <xf numFmtId="37" fontId="54" fillId="3" borderId="0" xfId="52" applyFont="1" applyFill="1"/>
    <xf numFmtId="37" fontId="39" fillId="0" borderId="0" xfId="52" applyFont="1" applyAlignment="1">
      <alignment horizontal="left"/>
    </xf>
    <xf numFmtId="37" fontId="39" fillId="0" borderId="6" xfId="52" applyFont="1" applyBorder="1" applyAlignment="1">
      <alignment horizontal="left"/>
    </xf>
    <xf numFmtId="37" fontId="39" fillId="0" borderId="32" xfId="52" applyFont="1" applyBorder="1" applyAlignment="1">
      <alignment horizontal="left"/>
    </xf>
    <xf numFmtId="37" fontId="27" fillId="0" borderId="0" xfId="52" applyFont="1" applyAlignment="1"/>
    <xf numFmtId="37" fontId="11" fillId="0" borderId="0" xfId="52" applyFont="1" applyFill="1" applyAlignment="1">
      <alignment horizontal="left"/>
    </xf>
    <xf numFmtId="9" fontId="38" fillId="0" borderId="0" xfId="69" applyFont="1" applyBorder="1" applyAlignment="1">
      <alignment horizontal="center"/>
    </xf>
    <xf numFmtId="37" fontId="37" fillId="0" borderId="0" xfId="52" applyFont="1" applyFill="1" applyBorder="1"/>
    <xf numFmtId="37" fontId="37" fillId="0" borderId="0" xfId="52" applyFont="1" applyAlignment="1">
      <alignment horizontal="center"/>
    </xf>
    <xf numFmtId="37" fontId="11" fillId="0" borderId="5" xfId="52" applyFont="1" applyFill="1" applyBorder="1" applyAlignment="1">
      <alignment horizontal="right"/>
    </xf>
    <xf numFmtId="37" fontId="38" fillId="0" borderId="0" xfId="52" applyFont="1" applyFill="1" applyAlignment="1">
      <alignment horizontal="center"/>
    </xf>
    <xf numFmtId="37" fontId="15" fillId="0" borderId="0" xfId="52" applyFont="1" applyFill="1" applyAlignment="1"/>
    <xf numFmtId="37" fontId="39" fillId="0" borderId="0" xfId="52" applyFont="1" applyFill="1" applyAlignment="1">
      <alignment horizontal="left"/>
    </xf>
    <xf numFmtId="37" fontId="39" fillId="0" borderId="32" xfId="52" applyFont="1" applyFill="1" applyBorder="1" applyAlignment="1"/>
    <xf numFmtId="37" fontId="39" fillId="0" borderId="6" xfId="52" applyFont="1" applyFill="1" applyBorder="1" applyAlignment="1"/>
    <xf numFmtId="37" fontId="11" fillId="0" borderId="28" xfId="52" applyFont="1" applyFill="1" applyBorder="1" applyAlignment="1"/>
    <xf numFmtId="37" fontId="11" fillId="0" borderId="12" xfId="52" applyFont="1" applyFill="1" applyBorder="1" applyAlignment="1"/>
    <xf numFmtId="37" fontId="50" fillId="0" borderId="0" xfId="52" applyFont="1" applyFill="1" applyAlignment="1"/>
    <xf numFmtId="37" fontId="37" fillId="0" borderId="0" xfId="52" applyFont="1" applyFill="1"/>
    <xf numFmtId="37" fontId="12" fillId="0" borderId="0" xfId="52" applyFont="1" applyFill="1" applyAlignment="1"/>
    <xf numFmtId="37" fontId="1" fillId="0" borderId="0" xfId="52" applyFont="1" applyFill="1" applyAlignment="1">
      <alignment horizontal="center"/>
    </xf>
    <xf numFmtId="37" fontId="29" fillId="0" borderId="0" xfId="52" applyFont="1" applyAlignment="1">
      <alignment horizontal="left"/>
    </xf>
    <xf numFmtId="37" fontId="70" fillId="0" borderId="0" xfId="52" applyFont="1" applyAlignment="1">
      <alignment horizontal="left"/>
    </xf>
    <xf numFmtId="37" fontId="70" fillId="0" borderId="0" xfId="52" applyFont="1" applyAlignment="1">
      <alignment horizontal="right"/>
    </xf>
    <xf numFmtId="180" fontId="29" fillId="0" borderId="0" xfId="52" applyNumberFormat="1" applyFont="1" applyAlignment="1">
      <alignment horizontal="right"/>
    </xf>
    <xf numFmtId="0" fontId="42" fillId="0" borderId="0" xfId="0" applyFont="1" applyAlignment="1">
      <alignment horizontal="left"/>
    </xf>
    <xf numFmtId="37" fontId="37" fillId="0" borderId="12" xfId="52" applyFont="1" applyBorder="1"/>
    <xf numFmtId="37" fontId="50" fillId="0" borderId="12" xfId="52" applyFont="1" applyFill="1" applyBorder="1" applyAlignment="1"/>
    <xf numFmtId="37" fontId="11" fillId="0" borderId="12" xfId="52" applyFont="1" applyFill="1" applyBorder="1" applyAlignment="1">
      <alignment horizontal="left"/>
    </xf>
    <xf numFmtId="37" fontId="0" fillId="0" borderId="12" xfId="52" applyFont="1" applyBorder="1"/>
    <xf numFmtId="37" fontId="11" fillId="0" borderId="28" xfId="52" applyFont="1" applyFill="1" applyBorder="1" applyAlignment="1">
      <alignment horizontal="left"/>
    </xf>
    <xf numFmtId="37" fontId="11" fillId="0" borderId="6" xfId="52" applyFont="1" applyFill="1" applyBorder="1" applyAlignment="1">
      <alignment horizontal="left"/>
    </xf>
    <xf numFmtId="37" fontId="0" fillId="0" borderId="6" xfId="52" applyFont="1" applyBorder="1"/>
    <xf numFmtId="37" fontId="39" fillId="0" borderId="32" xfId="52" applyFont="1" applyFill="1" applyBorder="1" applyAlignment="1">
      <alignment horizontal="left"/>
    </xf>
    <xf numFmtId="37" fontId="0" fillId="0" borderId="32" xfId="52" applyFont="1" applyBorder="1"/>
    <xf numFmtId="37" fontId="39" fillId="0" borderId="6" xfId="52" applyFont="1" applyFill="1" applyBorder="1" applyAlignment="1">
      <alignment horizontal="left"/>
    </xf>
    <xf numFmtId="37" fontId="11" fillId="0" borderId="33" xfId="52" applyFont="1" applyFill="1" applyBorder="1" applyAlignment="1">
      <alignment horizontal="left"/>
    </xf>
    <xf numFmtId="37" fontId="0" fillId="0" borderId="33" xfId="52" applyFont="1" applyBorder="1"/>
    <xf numFmtId="37" fontId="11" fillId="0" borderId="33" xfId="52" applyFont="1" applyFill="1" applyBorder="1" applyAlignment="1"/>
    <xf numFmtId="180" fontId="11" fillId="0" borderId="0" xfId="52" applyNumberFormat="1" applyFont="1" applyFill="1" applyAlignment="1"/>
    <xf numFmtId="37" fontId="52" fillId="14" borderId="0" xfId="52" applyFont="1" applyFill="1" applyAlignment="1">
      <alignment horizontal="left"/>
    </xf>
    <xf numFmtId="0" fontId="38" fillId="18" borderId="4" xfId="0" applyFont="1" applyFill="1" applyBorder="1"/>
    <xf numFmtId="38" fontId="38" fillId="6" borderId="4" xfId="0" applyNumberFormat="1" applyFont="1" applyFill="1" applyBorder="1"/>
    <xf numFmtId="18" fontId="5" fillId="0" borderId="0" xfId="0" applyNumberFormat="1" applyFont="1" applyFill="1" applyAlignment="1">
      <alignment horizontal="left"/>
    </xf>
    <xf numFmtId="0" fontId="38" fillId="18" borderId="31" xfId="0" applyFont="1" applyFill="1" applyBorder="1"/>
    <xf numFmtId="0" fontId="38" fillId="18" borderId="2" xfId="0" applyFont="1" applyFill="1" applyBorder="1"/>
    <xf numFmtId="0" fontId="38" fillId="18" borderId="34" xfId="0" applyFont="1" applyFill="1" applyBorder="1"/>
    <xf numFmtId="3" fontId="50" fillId="0" borderId="7" xfId="66" applyNumberFormat="1" applyFont="1" applyFill="1" applyBorder="1" applyAlignment="1">
      <alignment horizontal="center"/>
    </xf>
    <xf numFmtId="3" fontId="11" fillId="3" borderId="0" xfId="68" applyFont="1" applyFill="1" applyBorder="1" applyAlignment="1">
      <alignment horizontal="center"/>
    </xf>
    <xf numFmtId="331" fontId="7" fillId="0" borderId="0" xfId="52" applyNumberFormat="1" applyFont="1" applyFill="1" applyAlignment="1">
      <alignment horizontal="center"/>
    </xf>
    <xf numFmtId="332" fontId="5" fillId="0" borderId="0" xfId="0" applyNumberFormat="1" applyFont="1" applyFill="1" applyAlignment="1">
      <alignment horizontal="center"/>
    </xf>
    <xf numFmtId="177" fontId="11" fillId="0" borderId="4" xfId="52" applyNumberFormat="1" applyFont="1" applyBorder="1" applyAlignment="1"/>
    <xf numFmtId="177" fontId="11" fillId="6" borderId="4" xfId="52" applyNumberFormat="1" applyFont="1" applyFill="1" applyBorder="1" applyAlignment="1"/>
    <xf numFmtId="180" fontId="30" fillId="0" borderId="25" xfId="52" applyNumberFormat="1" applyFont="1" applyBorder="1" applyAlignment="1"/>
    <xf numFmtId="180" fontId="30" fillId="0" borderId="4" xfId="52" applyNumberFormat="1" applyFont="1" applyBorder="1" applyAlignment="1"/>
    <xf numFmtId="0" fontId="37" fillId="0" borderId="19" xfId="66" applyNumberFormat="1" applyFont="1" applyFill="1" applyBorder="1" applyAlignment="1">
      <alignment horizontal="left"/>
    </xf>
    <xf numFmtId="0" fontId="37" fillId="0" borderId="9" xfId="0" applyFont="1" applyBorder="1"/>
    <xf numFmtId="10" fontId="37" fillId="0" borderId="9" xfId="66" applyNumberFormat="1" applyFont="1" applyFill="1" applyBorder="1" applyAlignment="1">
      <alignment horizontal="center"/>
    </xf>
    <xf numFmtId="335" fontId="50" fillId="0" borderId="18" xfId="66" applyNumberFormat="1" applyFont="1" applyFill="1" applyBorder="1" applyAlignment="1">
      <alignment horizontal="right"/>
    </xf>
    <xf numFmtId="0" fontId="37" fillId="0" borderId="10" xfId="66" applyNumberFormat="1" applyFont="1" applyFill="1" applyBorder="1" applyAlignment="1">
      <alignment horizontal="left"/>
    </xf>
    <xf numFmtId="335" fontId="50" fillId="0" borderId="7" xfId="66" applyNumberFormat="1" applyFont="1" applyFill="1" applyBorder="1" applyAlignment="1">
      <alignment horizontal="right"/>
    </xf>
    <xf numFmtId="0" fontId="37" fillId="0" borderId="16" xfId="66" applyNumberFormat="1" applyFont="1" applyFill="1" applyBorder="1" applyAlignment="1">
      <alignment horizontal="left"/>
    </xf>
    <xf numFmtId="0" fontId="37" fillId="0" borderId="8" xfId="0" applyFont="1" applyBorder="1"/>
    <xf numFmtId="335" fontId="50" fillId="0" borderId="17" xfId="66" applyNumberFormat="1" applyFont="1" applyFill="1" applyBorder="1" applyAlignment="1">
      <alignment horizontal="right"/>
    </xf>
    <xf numFmtId="10" fontId="50" fillId="0" borderId="0" xfId="69" applyNumberFormat="1" applyFont="1" applyFill="1" applyBorder="1" applyAlignment="1">
      <alignment horizontal="center"/>
    </xf>
    <xf numFmtId="9" fontId="50" fillId="0" borderId="0" xfId="69" applyFont="1" applyFill="1" applyBorder="1" applyAlignment="1">
      <alignment horizontal="right"/>
    </xf>
    <xf numFmtId="0" fontId="50" fillId="0" borderId="4" xfId="66" applyNumberFormat="1" applyFont="1" applyFill="1" applyBorder="1" applyAlignment="1">
      <alignment horizontal="center"/>
    </xf>
    <xf numFmtId="9" fontId="37" fillId="0" borderId="0" xfId="69" applyFont="1" applyFill="1" applyBorder="1" applyAlignment="1"/>
    <xf numFmtId="9" fontId="37" fillId="0" borderId="8" xfId="69" applyFont="1" applyFill="1" applyBorder="1" applyAlignment="1"/>
    <xf numFmtId="0" fontId="50" fillId="0" borderId="0" xfId="0" applyFont="1" applyFill="1" applyBorder="1" applyAlignment="1"/>
    <xf numFmtId="0" fontId="37" fillId="0" borderId="7" xfId="0" applyFont="1" applyFill="1" applyBorder="1"/>
    <xf numFmtId="0" fontId="37" fillId="0" borderId="0" xfId="66" applyNumberFormat="1" applyFont="1" applyFill="1" applyBorder="1" applyAlignment="1">
      <alignment horizontal="left"/>
    </xf>
    <xf numFmtId="0" fontId="39" fillId="0" borderId="19" xfId="66" applyNumberFormat="1" applyFont="1" applyFill="1" applyBorder="1" applyAlignment="1">
      <alignment horizontal="left"/>
    </xf>
    <xf numFmtId="0" fontId="39" fillId="0" borderId="9" xfId="66" applyNumberFormat="1" applyFont="1" applyFill="1" applyBorder="1" applyAlignment="1">
      <alignment horizontal="left"/>
    </xf>
    <xf numFmtId="0" fontId="50" fillId="0" borderId="9" xfId="66" applyNumberFormat="1" applyFont="1" applyFill="1" applyBorder="1" applyAlignment="1">
      <alignment horizontal="left"/>
    </xf>
    <xf numFmtId="0" fontId="37" fillId="0" borderId="18" xfId="0" applyFont="1" applyFill="1" applyBorder="1"/>
    <xf numFmtId="0" fontId="37" fillId="0" borderId="7" xfId="66" applyNumberFormat="1" applyFont="1" applyFill="1" applyBorder="1" applyAlignment="1">
      <alignment horizontal="center"/>
    </xf>
    <xf numFmtId="0" fontId="37" fillId="0" borderId="7" xfId="66" applyNumberFormat="1" applyFont="1" applyFill="1" applyBorder="1" applyAlignment="1"/>
    <xf numFmtId="3" fontId="38" fillId="0" borderId="0" xfId="0" applyNumberFormat="1" applyFont="1" applyFill="1" applyBorder="1"/>
    <xf numFmtId="0" fontId="38" fillId="0" borderId="32" xfId="66" applyNumberFormat="1" applyFont="1" applyFill="1" applyBorder="1" applyAlignment="1"/>
    <xf numFmtId="3" fontId="39" fillId="0" borderId="32" xfId="66" applyNumberFormat="1" applyFont="1" applyFill="1" applyBorder="1" applyAlignment="1"/>
    <xf numFmtId="9" fontId="38" fillId="0" borderId="32" xfId="66" applyNumberFormat="1" applyFont="1" applyFill="1" applyBorder="1" applyAlignment="1"/>
    <xf numFmtId="3" fontId="38" fillId="0" borderId="38" xfId="66" applyNumberFormat="1" applyFont="1" applyFill="1" applyBorder="1" applyAlignment="1"/>
    <xf numFmtId="3" fontId="39" fillId="0" borderId="32" xfId="66" applyNumberFormat="1" applyFont="1" applyFill="1" applyBorder="1" applyAlignment="1">
      <alignment horizontal="right"/>
    </xf>
    <xf numFmtId="9" fontId="39" fillId="0" borderId="32" xfId="66" applyNumberFormat="1" applyFont="1" applyFill="1" applyBorder="1" applyAlignment="1">
      <alignment horizontal="right"/>
    </xf>
    <xf numFmtId="3" fontId="38" fillId="0" borderId="39" xfId="66" applyNumberFormat="1" applyFont="1" applyFill="1" applyBorder="1" applyAlignment="1"/>
    <xf numFmtId="3" fontId="39" fillId="0" borderId="6" xfId="66" applyNumberFormat="1" applyFont="1" applyFill="1" applyBorder="1" applyAlignment="1">
      <alignment horizontal="right"/>
    </xf>
    <xf numFmtId="9" fontId="39" fillId="0" borderId="6" xfId="66" applyNumberFormat="1" applyFont="1" applyFill="1" applyBorder="1" applyAlignment="1">
      <alignment horizontal="right"/>
    </xf>
    <xf numFmtId="335" fontId="50" fillId="0" borderId="0" xfId="66" applyNumberFormat="1" applyFont="1" applyFill="1" applyBorder="1" applyAlignment="1">
      <alignment horizontal="right"/>
    </xf>
    <xf numFmtId="37" fontId="50" fillId="0" borderId="0" xfId="52" applyFont="1" applyFill="1" applyAlignment="1">
      <alignment horizontal="right"/>
    </xf>
    <xf numFmtId="3" fontId="38" fillId="0" borderId="32" xfId="66" applyNumberFormat="1" applyFont="1" applyFill="1" applyBorder="1" applyAlignment="1"/>
    <xf numFmtId="0" fontId="38" fillId="0" borderId="7" xfId="66" applyNumberFormat="1" applyFont="1" applyFill="1" applyBorder="1" applyAlignment="1">
      <alignment horizontal="right"/>
    </xf>
    <xf numFmtId="0" fontId="39" fillId="0" borderId="38" xfId="66" applyNumberFormat="1" applyFont="1" applyFill="1" applyBorder="1" applyAlignment="1">
      <alignment horizontal="left"/>
    </xf>
    <xf numFmtId="3" fontId="39" fillId="0" borderId="40" xfId="66" applyNumberFormat="1" applyFont="1" applyFill="1" applyBorder="1" applyAlignment="1"/>
    <xf numFmtId="0" fontId="38" fillId="0" borderId="10" xfId="0" applyFont="1" applyFill="1" applyBorder="1"/>
    <xf numFmtId="0" fontId="37" fillId="0" borderId="7" xfId="0" applyFont="1" applyBorder="1"/>
    <xf numFmtId="9" fontId="37" fillId="0" borderId="0" xfId="69" applyFont="1" applyFill="1" applyBorder="1"/>
    <xf numFmtId="0" fontId="37" fillId="0" borderId="16" xfId="0" applyFont="1" applyFill="1" applyBorder="1"/>
    <xf numFmtId="333" fontId="37" fillId="0" borderId="0" xfId="0" applyNumberFormat="1" applyFont="1" applyFill="1" applyBorder="1"/>
    <xf numFmtId="0" fontId="38" fillId="0" borderId="38" xfId="66" applyNumberFormat="1" applyFont="1" applyFill="1" applyBorder="1" applyAlignment="1"/>
    <xf numFmtId="3" fontId="38" fillId="0" borderId="8" xfId="66" applyNumberFormat="1" applyFont="1" applyFill="1" applyBorder="1" applyAlignment="1"/>
    <xf numFmtId="15" fontId="39" fillId="0" borderId="0" xfId="66" applyNumberFormat="1" applyFont="1" applyFill="1" applyBorder="1" applyAlignment="1">
      <alignment horizontal="center"/>
    </xf>
    <xf numFmtId="0" fontId="37" fillId="0" borderId="19" xfId="0" applyFont="1" applyFill="1" applyBorder="1"/>
    <xf numFmtId="0" fontId="38" fillId="0" borderId="10" xfId="0" applyFont="1" applyFill="1" applyBorder="1" applyAlignment="1">
      <alignment horizontal="center"/>
    </xf>
    <xf numFmtId="9" fontId="37" fillId="0" borderId="0" xfId="69" applyFont="1" applyFill="1" applyBorder="1" applyAlignment="1">
      <alignment horizontal="center"/>
    </xf>
    <xf numFmtId="9" fontId="37" fillId="0" borderId="7" xfId="69" applyFont="1" applyFill="1" applyBorder="1" applyAlignment="1">
      <alignment horizontal="center"/>
    </xf>
    <xf numFmtId="15" fontId="38" fillId="0" borderId="0" xfId="66" applyNumberFormat="1" applyFont="1" applyFill="1" applyBorder="1" applyAlignment="1">
      <alignment horizontal="center"/>
    </xf>
    <xf numFmtId="15" fontId="38" fillId="0" borderId="0" xfId="0" applyNumberFormat="1" applyFont="1" applyBorder="1" applyAlignment="1">
      <alignment horizontal="center"/>
    </xf>
    <xf numFmtId="9" fontId="0" fillId="0" borderId="0" xfId="69" applyFont="1" applyBorder="1" applyAlignment="1">
      <alignment horizontal="center"/>
    </xf>
    <xf numFmtId="9" fontId="0" fillId="0" borderId="7" xfId="69" applyFont="1" applyBorder="1" applyAlignment="1">
      <alignment horizontal="center"/>
    </xf>
    <xf numFmtId="0" fontId="0" fillId="0" borderId="7" xfId="0" applyBorder="1" applyAlignment="1">
      <alignment horizontal="center"/>
    </xf>
    <xf numFmtId="0" fontId="38" fillId="0" borderId="16" xfId="0" applyFont="1" applyFill="1" applyBorder="1" applyAlignment="1">
      <alignment horizontal="center"/>
    </xf>
    <xf numFmtId="15" fontId="38" fillId="0" borderId="8" xfId="0" applyNumberFormat="1" applyFont="1" applyBorder="1" applyAlignment="1">
      <alignment horizontal="center"/>
    </xf>
    <xf numFmtId="0" fontId="140" fillId="0" borderId="0" xfId="0" applyFont="1" applyFill="1" applyBorder="1" applyAlignment="1">
      <alignment horizontal="left"/>
    </xf>
    <xf numFmtId="0" fontId="51" fillId="0" borderId="0" xfId="66" applyFont="1" applyFill="1" applyBorder="1" applyAlignment="1"/>
    <xf numFmtId="0" fontId="140" fillId="0" borderId="8" xfId="0" applyFont="1" applyBorder="1" applyAlignment="1">
      <alignment horizontal="left"/>
    </xf>
    <xf numFmtId="0" fontId="51" fillId="0" borderId="8" xfId="66" applyFont="1" applyFill="1" applyBorder="1" applyAlignment="1"/>
    <xf numFmtId="0" fontId="141" fillId="0" borderId="0" xfId="0" applyFont="1" applyFill="1" applyBorder="1" applyAlignment="1">
      <alignment horizontal="left"/>
    </xf>
    <xf numFmtId="1" fontId="140" fillId="0" borderId="4" xfId="0" applyNumberFormat="1" applyFont="1" applyFill="1" applyBorder="1" applyAlignment="1">
      <alignment horizontal="center"/>
    </xf>
    <xf numFmtId="1" fontId="140" fillId="0" borderId="4" xfId="0" applyNumberFormat="1" applyFont="1" applyBorder="1" applyAlignment="1">
      <alignment horizontal="center"/>
    </xf>
    <xf numFmtId="3" fontId="51" fillId="0" borderId="0" xfId="0" applyNumberFormat="1" applyFont="1" applyBorder="1" applyAlignment="1"/>
    <xf numFmtId="37" fontId="37" fillId="0" borderId="0" xfId="52" applyFont="1" applyFill="1" applyBorder="1" applyAlignment="1"/>
    <xf numFmtId="0" fontId="38" fillId="0" borderId="32" xfId="66" applyFont="1" applyFill="1" applyBorder="1" applyAlignment="1">
      <alignment horizontal="right"/>
    </xf>
    <xf numFmtId="37" fontId="37" fillId="0" borderId="32" xfId="52" applyFont="1" applyFill="1" applyBorder="1" applyAlignment="1"/>
    <xf numFmtId="0" fontId="38" fillId="0" borderId="6" xfId="66" applyFont="1" applyFill="1" applyBorder="1" applyAlignment="1">
      <alignment horizontal="right"/>
    </xf>
    <xf numFmtId="37" fontId="37" fillId="0" borderId="6" xfId="52" applyFont="1" applyFill="1" applyBorder="1" applyAlignment="1"/>
    <xf numFmtId="0" fontId="38" fillId="0" borderId="32" xfId="0" applyFont="1" applyFill="1" applyBorder="1"/>
    <xf numFmtId="0" fontId="37" fillId="0" borderId="0" xfId="66" applyFont="1" applyFill="1" applyBorder="1" applyAlignment="1">
      <alignment horizontal="right"/>
    </xf>
    <xf numFmtId="0" fontId="38" fillId="0" borderId="19" xfId="66" applyNumberFormat="1" applyFont="1" applyFill="1" applyBorder="1" applyAlignment="1"/>
    <xf numFmtId="37" fontId="0" fillId="0" borderId="7" xfId="52" applyFont="1" applyBorder="1"/>
    <xf numFmtId="37" fontId="37" fillId="0" borderId="7" xfId="52" applyFont="1" applyFill="1" applyBorder="1" applyAlignment="1"/>
    <xf numFmtId="0" fontId="38" fillId="0" borderId="38" xfId="66" applyNumberFormat="1" applyFont="1" applyFill="1" applyBorder="1" applyAlignment="1">
      <alignment horizontal="left"/>
    </xf>
    <xf numFmtId="37" fontId="37" fillId="0" borderId="40" xfId="52" applyFont="1" applyFill="1" applyBorder="1" applyAlignment="1"/>
    <xf numFmtId="0" fontId="38" fillId="0" borderId="39" xfId="66" applyNumberFormat="1" applyFont="1" applyFill="1" applyBorder="1" applyAlignment="1">
      <alignment horizontal="left"/>
    </xf>
    <xf numFmtId="0" fontId="38" fillId="0" borderId="38" xfId="0" applyFont="1" applyFill="1" applyBorder="1"/>
    <xf numFmtId="38" fontId="38" fillId="0" borderId="40" xfId="0" applyNumberFormat="1" applyFont="1" applyFill="1" applyBorder="1"/>
    <xf numFmtId="3" fontId="37" fillId="0" borderId="0" xfId="0" applyNumberFormat="1" applyFont="1" applyFill="1"/>
    <xf numFmtId="1" fontId="37" fillId="0" borderId="0" xfId="0" applyNumberFormat="1" applyFont="1" applyFill="1"/>
    <xf numFmtId="0" fontId="11" fillId="0" borderId="25" xfId="0" applyFont="1" applyFill="1" applyBorder="1" applyAlignment="1">
      <alignment horizontal="center"/>
    </xf>
    <xf numFmtId="38" fontId="38" fillId="3" borderId="24" xfId="0" applyNumberFormat="1" applyFont="1" applyFill="1" applyBorder="1"/>
    <xf numFmtId="0" fontId="37" fillId="3" borderId="0" xfId="66" applyFont="1" applyFill="1" applyAlignment="1">
      <alignment horizontal="right"/>
    </xf>
    <xf numFmtId="0" fontId="142" fillId="0" borderId="0" xfId="0" applyFont="1" applyFill="1"/>
    <xf numFmtId="0" fontId="142" fillId="0" borderId="0" xfId="66" applyNumberFormat="1" applyFont="1" applyFill="1" applyAlignment="1"/>
    <xf numFmtId="0" fontId="50" fillId="14" borderId="0" xfId="66" applyNumberFormat="1" applyFont="1" applyFill="1" applyAlignment="1">
      <alignment horizontal="left"/>
    </xf>
    <xf numFmtId="0" fontId="37" fillId="14" borderId="0" xfId="0" applyFont="1" applyFill="1"/>
    <xf numFmtId="10" fontId="50" fillId="14" borderId="0" xfId="66" applyNumberFormat="1" applyFont="1" applyFill="1" applyAlignment="1">
      <alignment horizontal="right"/>
    </xf>
    <xf numFmtId="0" fontId="37" fillId="14" borderId="0" xfId="66" applyNumberFormat="1" applyFont="1" applyFill="1" applyAlignment="1"/>
    <xf numFmtId="3" fontId="37" fillId="14" borderId="0" xfId="66" applyNumberFormat="1" applyFont="1" applyFill="1" applyAlignment="1">
      <alignment horizontal="right"/>
    </xf>
    <xf numFmtId="10" fontId="37" fillId="14" borderId="0" xfId="66" applyNumberFormat="1" applyFont="1" applyFill="1" applyAlignment="1"/>
    <xf numFmtId="3" fontId="37" fillId="14" borderId="0" xfId="66" applyNumberFormat="1" applyFont="1" applyFill="1" applyAlignment="1"/>
    <xf numFmtId="2" fontId="37" fillId="14" borderId="0" xfId="66" applyNumberFormat="1" applyFont="1" applyFill="1" applyAlignment="1">
      <alignment horizontal="right"/>
    </xf>
    <xf numFmtId="2" fontId="37" fillId="14" borderId="0" xfId="66" applyNumberFormat="1" applyFont="1" applyFill="1" applyAlignment="1"/>
    <xf numFmtId="0" fontId="38" fillId="14" borderId="19" xfId="66" applyNumberFormat="1" applyFont="1" applyFill="1" applyBorder="1" applyAlignment="1">
      <alignment horizontal="left"/>
    </xf>
    <xf numFmtId="0" fontId="38" fillId="14" borderId="10" xfId="66" applyNumberFormat="1" applyFont="1" applyFill="1" applyBorder="1" applyAlignment="1">
      <alignment horizontal="left"/>
    </xf>
    <xf numFmtId="0" fontId="39" fillId="14" borderId="0" xfId="66" applyNumberFormat="1" applyFont="1" applyFill="1" applyBorder="1" applyAlignment="1">
      <alignment horizontal="center"/>
    </xf>
    <xf numFmtId="0" fontId="39" fillId="14" borderId="0" xfId="66" applyNumberFormat="1" applyFont="1" applyFill="1" applyBorder="1" applyAlignment="1">
      <alignment horizontal="right"/>
    </xf>
    <xf numFmtId="0" fontId="38" fillId="14" borderId="0" xfId="66" applyFont="1" applyFill="1" applyBorder="1" applyAlignment="1">
      <alignment horizontal="right"/>
    </xf>
    <xf numFmtId="0" fontId="38" fillId="14" borderId="9" xfId="66" applyNumberFormat="1" applyFont="1" applyFill="1" applyBorder="1" applyAlignment="1"/>
    <xf numFmtId="0" fontId="38" fillId="14" borderId="18" xfId="66" applyNumberFormat="1" applyFont="1" applyFill="1" applyBorder="1" applyAlignment="1"/>
    <xf numFmtId="0" fontId="38" fillId="14" borderId="0" xfId="66" applyNumberFormat="1" applyFont="1" applyFill="1" applyBorder="1" applyAlignment="1"/>
    <xf numFmtId="0" fontId="38" fillId="14" borderId="7" xfId="66" applyNumberFormat="1" applyFont="1" applyFill="1" applyBorder="1" applyAlignment="1"/>
    <xf numFmtId="0" fontId="38" fillId="14" borderId="10" xfId="0" applyFont="1" applyFill="1" applyBorder="1" applyAlignment="1">
      <alignment horizontal="center"/>
    </xf>
    <xf numFmtId="0" fontId="38" fillId="14" borderId="0" xfId="0" applyFont="1" applyFill="1" applyBorder="1" applyAlignment="1">
      <alignment horizontal="center"/>
    </xf>
    <xf numFmtId="0" fontId="38" fillId="14" borderId="7" xfId="0" applyFont="1" applyFill="1" applyBorder="1" applyAlignment="1">
      <alignment horizontal="center"/>
    </xf>
    <xf numFmtId="38" fontId="30" fillId="0" borderId="30" xfId="52" applyNumberFormat="1" applyFont="1" applyFill="1" applyBorder="1"/>
    <xf numFmtId="0" fontId="38" fillId="14" borderId="10" xfId="0" applyFont="1" applyFill="1" applyBorder="1"/>
    <xf numFmtId="15" fontId="38" fillId="14" borderId="0" xfId="0" applyNumberFormat="1" applyFont="1" applyFill="1" applyBorder="1"/>
    <xf numFmtId="0" fontId="38" fillId="14" borderId="19" xfId="0" applyFont="1" applyFill="1" applyBorder="1"/>
    <xf numFmtId="0" fontId="38" fillId="14" borderId="9" xfId="0" applyFont="1" applyFill="1" applyBorder="1" applyAlignment="1">
      <alignment horizontal="center"/>
    </xf>
    <xf numFmtId="0" fontId="38" fillId="14" borderId="9" xfId="0" applyFont="1" applyFill="1" applyBorder="1"/>
    <xf numFmtId="0" fontId="38" fillId="14" borderId="18" xfId="0" applyFont="1" applyFill="1" applyBorder="1"/>
    <xf numFmtId="3" fontId="39" fillId="14" borderId="0" xfId="65" applyNumberFormat="1" applyFont="1" applyFill="1" applyBorder="1" applyAlignment="1"/>
    <xf numFmtId="3" fontId="38" fillId="14" borderId="0" xfId="65" applyNumberFormat="1" applyFont="1" applyFill="1" applyBorder="1" applyAlignment="1"/>
    <xf numFmtId="3" fontId="39" fillId="0" borderId="7" xfId="65" applyNumberFormat="1" applyFont="1" applyFill="1" applyBorder="1" applyAlignment="1"/>
    <xf numFmtId="9" fontId="38" fillId="0" borderId="8" xfId="65" applyNumberFormat="1" applyFont="1" applyBorder="1" applyAlignment="1"/>
    <xf numFmtId="3" fontId="38" fillId="0" borderId="8" xfId="65" applyNumberFormat="1" applyFont="1" applyBorder="1" applyAlignment="1"/>
    <xf numFmtId="3" fontId="38" fillId="0" borderId="41" xfId="65" applyNumberFormat="1" applyFont="1" applyBorder="1" applyAlignment="1"/>
    <xf numFmtId="205" fontId="11" fillId="0" borderId="4" xfId="52" applyNumberFormat="1" applyFont="1" applyFill="1" applyBorder="1" applyAlignment="1"/>
    <xf numFmtId="204" fontId="11" fillId="0" borderId="0" xfId="52" applyNumberFormat="1" applyFont="1" applyAlignment="1"/>
    <xf numFmtId="204" fontId="11" fillId="0" borderId="15" xfId="52" applyNumberFormat="1" applyFont="1" applyBorder="1" applyAlignment="1"/>
    <xf numFmtId="204" fontId="5" fillId="0" borderId="0" xfId="52" applyNumberFormat="1" applyFont="1" applyFill="1" applyBorder="1" applyAlignment="1"/>
    <xf numFmtId="340" fontId="11" fillId="0" borderId="4" xfId="52" applyNumberFormat="1" applyFont="1" applyFill="1" applyBorder="1" applyAlignment="1"/>
    <xf numFmtId="340" fontId="11" fillId="0" borderId="4" xfId="52" applyNumberFormat="1" applyFont="1" applyBorder="1" applyAlignment="1"/>
    <xf numFmtId="3" fontId="30" fillId="0" borderId="0" xfId="0" applyNumberFormat="1" applyFont="1" applyFill="1" applyAlignment="1">
      <alignment horizontal="center"/>
    </xf>
    <xf numFmtId="177" fontId="39" fillId="6" borderId="6" xfId="52" applyNumberFormat="1" applyFont="1" applyFill="1" applyBorder="1" applyAlignment="1"/>
    <xf numFmtId="204" fontId="32" fillId="0" borderId="0" xfId="52" applyNumberFormat="1" applyFont="1"/>
    <xf numFmtId="204" fontId="38" fillId="0" borderId="0" xfId="52" applyNumberFormat="1" applyFont="1"/>
    <xf numFmtId="204" fontId="30" fillId="0" borderId="0" xfId="52" applyNumberFormat="1" applyFont="1" applyFill="1" applyAlignment="1"/>
    <xf numFmtId="204" fontId="30" fillId="0" borderId="0" xfId="52" applyNumberFormat="1" applyFont="1" applyFill="1"/>
    <xf numFmtId="204" fontId="30" fillId="0" borderId="0" xfId="52" applyNumberFormat="1" applyFont="1"/>
    <xf numFmtId="204" fontId="30" fillId="0" borderId="0" xfId="52" applyNumberFormat="1" applyFont="1" applyAlignment="1"/>
    <xf numFmtId="204" fontId="38" fillId="0" borderId="6" xfId="52" applyNumberFormat="1" applyFont="1" applyBorder="1"/>
    <xf numFmtId="177" fontId="38" fillId="0" borderId="8" xfId="52" applyNumberFormat="1" applyFont="1" applyBorder="1" applyAlignment="1"/>
    <xf numFmtId="177" fontId="38" fillId="0" borderId="6" xfId="52" applyNumberFormat="1" applyFont="1" applyBorder="1" applyAlignment="1"/>
    <xf numFmtId="204" fontId="38" fillId="0" borderId="8" xfId="52" applyNumberFormat="1" applyFont="1" applyBorder="1"/>
    <xf numFmtId="37" fontId="39" fillId="6" borderId="35" xfId="52" applyFont="1" applyFill="1" applyBorder="1" applyAlignment="1"/>
    <xf numFmtId="37" fontId="39" fillId="6" borderId="37" xfId="52" applyFont="1" applyFill="1" applyBorder="1" applyAlignment="1"/>
    <xf numFmtId="10" fontId="39" fillId="0" borderId="0" xfId="66" applyNumberFormat="1" applyFont="1" applyFill="1" applyBorder="1" applyAlignment="1">
      <alignment horizontal="center"/>
    </xf>
    <xf numFmtId="10" fontId="39" fillId="0" borderId="7" xfId="66" applyNumberFormat="1" applyFont="1" applyFill="1" applyBorder="1" applyAlignment="1">
      <alignment horizontal="center"/>
    </xf>
    <xf numFmtId="1" fontId="0" fillId="0" borderId="0" xfId="0" applyNumberFormat="1" applyFill="1" applyBorder="1" applyAlignment="1">
      <alignment horizontal="center"/>
    </xf>
    <xf numFmtId="38" fontId="0" fillId="0" borderId="0" xfId="0" applyNumberFormat="1" applyFill="1" applyBorder="1" applyAlignment="1">
      <alignment horizontal="center"/>
    </xf>
    <xf numFmtId="37" fontId="0" fillId="0" borderId="0" xfId="0" applyNumberFormat="1" applyFill="1" applyBorder="1" applyAlignment="1">
      <alignment horizontal="center"/>
    </xf>
    <xf numFmtId="3" fontId="0" fillId="0" borderId="0" xfId="0" applyNumberFormat="1" applyFill="1" applyBorder="1" applyAlignment="1">
      <alignment horizontal="center"/>
    </xf>
    <xf numFmtId="37" fontId="139" fillId="19" borderId="0" xfId="52" applyFont="1" applyFill="1" applyAlignment="1">
      <alignment horizontal="left"/>
    </xf>
    <xf numFmtId="0" fontId="34" fillId="0" borderId="0" xfId="0" applyFont="1" applyAlignment="1"/>
    <xf numFmtId="0" fontId="37" fillId="0" borderId="0" xfId="0" applyFont="1" applyFill="1" applyBorder="1" applyAlignment="1"/>
    <xf numFmtId="333" fontId="11" fillId="0" borderId="4" xfId="0" applyNumberFormat="1" applyFont="1" applyBorder="1" applyAlignment="1"/>
    <xf numFmtId="333" fontId="30" fillId="0" borderId="4" xfId="0" applyNumberFormat="1" applyFont="1" applyBorder="1" applyAlignment="1"/>
    <xf numFmtId="335" fontId="5" fillId="0" borderId="0" xfId="0" applyNumberFormat="1" applyFont="1" applyAlignment="1"/>
    <xf numFmtId="37" fontId="5" fillId="0" borderId="0" xfId="52" applyFont="1" applyAlignment="1">
      <alignment horizontal="left"/>
    </xf>
    <xf numFmtId="9" fontId="37" fillId="0" borderId="0" xfId="69" applyFont="1" applyAlignment="1"/>
    <xf numFmtId="37" fontId="38" fillId="0" borderId="6" xfId="52" applyFont="1" applyBorder="1" applyAlignment="1">
      <alignment horizontal="left"/>
    </xf>
    <xf numFmtId="37" fontId="38" fillId="0" borderId="32" xfId="52" applyFont="1" applyBorder="1"/>
    <xf numFmtId="0" fontId="37" fillId="0" borderId="17" xfId="0" applyFont="1" applyFill="1" applyBorder="1"/>
    <xf numFmtId="9" fontId="38" fillId="3" borderId="0" xfId="0" applyNumberFormat="1" applyFont="1" applyFill="1" applyBorder="1"/>
    <xf numFmtId="0" fontId="0" fillId="3" borderId="0" xfId="0" applyFill="1" applyBorder="1"/>
    <xf numFmtId="38" fontId="0" fillId="3" borderId="0" xfId="0" applyNumberFormat="1" applyFill="1" applyBorder="1"/>
    <xf numFmtId="0" fontId="38" fillId="3" borderId="20" xfId="0" applyFont="1" applyFill="1" applyBorder="1"/>
    <xf numFmtId="9" fontId="38" fillId="3" borderId="21" xfId="0" applyNumberFormat="1" applyFont="1" applyFill="1" applyBorder="1"/>
    <xf numFmtId="0" fontId="0" fillId="3" borderId="20" xfId="0" applyFill="1" applyBorder="1"/>
    <xf numFmtId="0" fontId="0" fillId="3" borderId="21" xfId="0" applyFill="1" applyBorder="1"/>
    <xf numFmtId="3" fontId="1" fillId="0" borderId="9" xfId="67" applyNumberFormat="1" applyFont="1" applyFill="1" applyBorder="1" applyAlignment="1"/>
    <xf numFmtId="3" fontId="1" fillId="0" borderId="18" xfId="67" applyNumberFormat="1" applyFont="1" applyFill="1" applyBorder="1" applyAlignment="1"/>
    <xf numFmtId="3" fontId="11" fillId="0" borderId="10" xfId="67" applyNumberFormat="1" applyFont="1" applyFill="1" applyBorder="1" applyAlignment="1">
      <alignment horizontal="center"/>
    </xf>
    <xf numFmtId="3" fontId="15" fillId="0" borderId="0" xfId="67" applyNumberFormat="1" applyFont="1" applyFill="1" applyBorder="1" applyAlignment="1">
      <alignment horizontal="center"/>
    </xf>
    <xf numFmtId="3" fontId="1" fillId="0" borderId="0" xfId="67" applyNumberFormat="1" applyFont="1" applyFill="1" applyBorder="1" applyAlignment="1">
      <alignment horizontal="center"/>
    </xf>
    <xf numFmtId="3" fontId="1" fillId="0" borderId="7" xfId="67" applyNumberFormat="1" applyFont="1" applyFill="1" applyBorder="1" applyAlignment="1"/>
    <xf numFmtId="3" fontId="11" fillId="0" borderId="10" xfId="67" applyNumberFormat="1" applyFont="1" applyFill="1" applyBorder="1" applyAlignment="1">
      <alignment horizontal="left"/>
    </xf>
    <xf numFmtId="10" fontId="11" fillId="0" borderId="0" xfId="67" applyNumberFormat="1" applyFont="1" applyFill="1" applyBorder="1" applyAlignment="1">
      <alignment horizontal="center"/>
    </xf>
    <xf numFmtId="10" fontId="1" fillId="0" borderId="0" xfId="67" applyNumberFormat="1" applyFont="1" applyFill="1" applyBorder="1" applyAlignment="1">
      <alignment horizontal="center"/>
    </xf>
    <xf numFmtId="3" fontId="15" fillId="0" borderId="10" xfId="67" applyNumberFormat="1" applyFont="1" applyFill="1" applyBorder="1" applyAlignment="1">
      <alignment horizontal="left"/>
    </xf>
    <xf numFmtId="3" fontId="15" fillId="0" borderId="0" xfId="67" applyNumberFormat="1" applyFont="1" applyFill="1" applyBorder="1" applyAlignment="1">
      <alignment horizontal="right"/>
    </xf>
    <xf numFmtId="3" fontId="1" fillId="0" borderId="0" xfId="67" applyNumberFormat="1" applyFont="1" applyFill="1" applyBorder="1" applyAlignment="1"/>
    <xf numFmtId="3" fontId="15" fillId="0" borderId="10" xfId="67" applyNumberFormat="1" applyFont="1" applyFill="1" applyBorder="1" applyAlignment="1">
      <alignment horizontal="center"/>
    </xf>
    <xf numFmtId="10" fontId="71" fillId="0" borderId="0" xfId="67" applyNumberFormat="1" applyFont="1" applyFill="1" applyBorder="1" applyAlignment="1">
      <alignment horizontal="center"/>
    </xf>
    <xf numFmtId="0" fontId="11" fillId="0" borderId="10" xfId="67" applyFont="1" applyFill="1" applyBorder="1" applyAlignment="1">
      <alignment horizontal="left"/>
    </xf>
    <xf numFmtId="3" fontId="11" fillId="0" borderId="10" xfId="67" applyNumberFormat="1" applyFont="1" applyFill="1" applyBorder="1" applyAlignment="1"/>
    <xf numFmtId="3" fontId="11" fillId="0" borderId="0" xfId="67" applyNumberFormat="1" applyFont="1" applyFill="1" applyBorder="1" applyAlignment="1">
      <alignment horizontal="right"/>
    </xf>
    <xf numFmtId="3" fontId="53" fillId="0" borderId="0" xfId="67" applyNumberFormat="1" applyFont="1" applyFill="1" applyBorder="1" applyAlignment="1">
      <alignment horizontal="center"/>
    </xf>
    <xf numFmtId="9" fontId="11" fillId="0" borderId="0" xfId="67" applyNumberFormat="1" applyFont="1" applyFill="1" applyBorder="1" applyAlignment="1">
      <alignment horizontal="center"/>
    </xf>
    <xf numFmtId="3" fontId="11" fillId="0" borderId="0" xfId="67" applyNumberFormat="1" applyFont="1" applyFill="1" applyBorder="1" applyAlignment="1">
      <alignment horizontal="center"/>
    </xf>
    <xf numFmtId="3" fontId="11" fillId="0" borderId="16" xfId="67" applyNumberFormat="1" applyFont="1" applyFill="1" applyBorder="1" applyAlignment="1"/>
    <xf numFmtId="3" fontId="1" fillId="0" borderId="8" xfId="67" applyNumberFormat="1" applyFont="1" applyFill="1" applyBorder="1" applyAlignment="1"/>
    <xf numFmtId="3" fontId="1" fillId="0" borderId="17" xfId="67" applyNumberFormat="1" applyFont="1" applyFill="1" applyBorder="1" applyAlignment="1"/>
    <xf numFmtId="3" fontId="17" fillId="0" borderId="0" xfId="67" applyNumberFormat="1" applyFont="1" applyFill="1" applyBorder="1" applyAlignment="1">
      <alignment horizontal="centerContinuous"/>
    </xf>
    <xf numFmtId="3" fontId="1" fillId="0" borderId="0" xfId="67" applyNumberFormat="1" applyFont="1" applyFill="1" applyBorder="1" applyAlignment="1">
      <alignment horizontal="centerContinuous"/>
    </xf>
    <xf numFmtId="3" fontId="11" fillId="0" borderId="0" xfId="67" applyNumberFormat="1" applyFont="1" applyFill="1" applyBorder="1" applyAlignment="1">
      <alignment horizontal="left"/>
    </xf>
    <xf numFmtId="3" fontId="11" fillId="0" borderId="0" xfId="67" applyNumberFormat="1" applyFont="1" applyFill="1" applyBorder="1" applyAlignment="1"/>
    <xf numFmtId="3" fontId="14" fillId="0" borderId="19" xfId="67" applyNumberFormat="1" applyFont="1" applyFill="1" applyBorder="1" applyAlignment="1">
      <alignment horizontal="center"/>
    </xf>
    <xf numFmtId="3" fontId="17" fillId="0" borderId="9" xfId="67" applyNumberFormat="1" applyFont="1" applyFill="1" applyBorder="1" applyAlignment="1">
      <alignment horizontal="right"/>
    </xf>
    <xf numFmtId="3" fontId="1" fillId="0" borderId="9" xfId="67" applyNumberFormat="1" applyFont="1" applyFill="1" applyBorder="1" applyAlignment="1">
      <alignment horizontal="right"/>
    </xf>
    <xf numFmtId="10" fontId="1" fillId="0" borderId="0" xfId="69" applyNumberFormat="1" applyFont="1" applyFill="1" applyBorder="1" applyAlignment="1"/>
    <xf numFmtId="0" fontId="11" fillId="0" borderId="0" xfId="67" applyFont="1" applyFill="1" applyBorder="1" applyAlignment="1"/>
    <xf numFmtId="3" fontId="11" fillId="0" borderId="0" xfId="67" applyNumberFormat="1" applyFont="1" applyFill="1" applyBorder="1" applyAlignment="1">
      <alignment horizontal="centerContinuous"/>
    </xf>
    <xf numFmtId="3" fontId="11" fillId="0" borderId="9" xfId="67" applyNumberFormat="1" applyFont="1" applyFill="1" applyBorder="1" applyAlignment="1">
      <alignment horizontal="right"/>
    </xf>
    <xf numFmtId="3" fontId="11" fillId="0" borderId="18" xfId="67" applyNumberFormat="1" applyFont="1" applyFill="1" applyBorder="1" applyAlignment="1">
      <alignment horizontal="right"/>
    </xf>
    <xf numFmtId="9" fontId="11" fillId="0" borderId="0" xfId="69" applyFont="1" applyFill="1" applyBorder="1" applyAlignment="1">
      <alignment horizontal="right"/>
    </xf>
    <xf numFmtId="3" fontId="11" fillId="0" borderId="7" xfId="67" applyNumberFormat="1" applyFont="1" applyFill="1" applyBorder="1" applyAlignment="1">
      <alignment horizontal="right"/>
    </xf>
    <xf numFmtId="3" fontId="14" fillId="0" borderId="10" xfId="67" applyNumberFormat="1" applyFont="1" applyFill="1" applyBorder="1" applyAlignment="1">
      <alignment horizontal="center"/>
    </xf>
    <xf numFmtId="3" fontId="11" fillId="0" borderId="16" xfId="67" applyNumberFormat="1" applyFont="1" applyFill="1" applyBorder="1" applyAlignment="1">
      <alignment horizontal="left"/>
    </xf>
    <xf numFmtId="3" fontId="11" fillId="0" borderId="8" xfId="67" applyNumberFormat="1" applyFont="1" applyFill="1" applyBorder="1" applyAlignment="1">
      <alignment horizontal="right"/>
    </xf>
    <xf numFmtId="9" fontId="11" fillId="0" borderId="8" xfId="69" applyFont="1" applyFill="1" applyBorder="1" applyAlignment="1">
      <alignment horizontal="right"/>
    </xf>
    <xf numFmtId="3" fontId="11" fillId="0" borderId="17" xfId="67" applyNumberFormat="1" applyFont="1" applyFill="1" applyBorder="1" applyAlignment="1">
      <alignment horizontal="right"/>
    </xf>
    <xf numFmtId="0" fontId="11" fillId="0" borderId="9" xfId="67" applyFont="1" applyFill="1" applyBorder="1" applyAlignment="1">
      <alignment horizontal="center" vertical="center"/>
    </xf>
    <xf numFmtId="3" fontId="11" fillId="0" borderId="9" xfId="67" applyNumberFormat="1" applyFont="1" applyFill="1" applyBorder="1" applyAlignment="1">
      <alignment horizontal="center" vertical="center"/>
    </xf>
    <xf numFmtId="3" fontId="11" fillId="0" borderId="9" xfId="67" applyNumberFormat="1" applyFont="1" applyFill="1" applyBorder="1" applyAlignment="1">
      <alignment horizontal="right" vertical="center"/>
    </xf>
    <xf numFmtId="3" fontId="16" fillId="0" borderId="9" xfId="67" applyNumberFormat="1" applyFont="1" applyFill="1" applyBorder="1" applyAlignment="1">
      <alignment horizontal="left"/>
    </xf>
    <xf numFmtId="0" fontId="15" fillId="0" borderId="0" xfId="67" applyFont="1" applyFill="1" applyBorder="1" applyAlignment="1">
      <alignment horizontal="center" vertical="center"/>
    </xf>
    <xf numFmtId="3" fontId="15" fillId="0" borderId="0" xfId="67" applyNumberFormat="1" applyFont="1" applyFill="1" applyBorder="1" applyAlignment="1">
      <alignment horizontal="center" vertical="center"/>
    </xf>
    <xf numFmtId="3" fontId="15" fillId="0" borderId="0" xfId="67" applyNumberFormat="1" applyFont="1" applyFill="1" applyBorder="1" applyAlignment="1">
      <alignment horizontal="right" vertical="center"/>
    </xf>
    <xf numFmtId="14" fontId="15" fillId="0" borderId="0" xfId="67" applyNumberFormat="1" applyFont="1" applyFill="1" applyBorder="1" applyAlignment="1">
      <alignment horizontal="right"/>
    </xf>
    <xf numFmtId="14" fontId="15" fillId="0" borderId="7" xfId="67" applyNumberFormat="1" applyFont="1" applyFill="1" applyBorder="1" applyAlignment="1">
      <alignment horizontal="right"/>
    </xf>
    <xf numFmtId="0" fontId="11" fillId="0" borderId="0" xfId="67" applyFont="1" applyFill="1" applyBorder="1" applyAlignment="1">
      <alignment horizontal="center"/>
    </xf>
    <xf numFmtId="10" fontId="11" fillId="0" borderId="0" xfId="67" applyNumberFormat="1" applyFont="1" applyFill="1" applyBorder="1" applyAlignment="1"/>
    <xf numFmtId="166" fontId="1" fillId="0" borderId="0" xfId="67" applyNumberFormat="1" applyFont="1" applyFill="1" applyBorder="1" applyAlignment="1"/>
    <xf numFmtId="0" fontId="11" fillId="0" borderId="0" xfId="67" applyFont="1" applyFill="1" applyBorder="1" applyAlignment="1">
      <alignment horizontal="right"/>
    </xf>
    <xf numFmtId="0" fontId="11" fillId="0" borderId="7" xfId="67" applyFont="1" applyFill="1" applyBorder="1" applyAlignment="1">
      <alignment horizontal="right"/>
    </xf>
    <xf numFmtId="10" fontId="11" fillId="0" borderId="0" xfId="67" applyNumberFormat="1" applyFont="1" applyFill="1" applyBorder="1" applyAlignment="1">
      <alignment horizontal="right"/>
    </xf>
    <xf numFmtId="0" fontId="11" fillId="0" borderId="7" xfId="67" applyFont="1" applyFill="1" applyBorder="1" applyAlignment="1"/>
    <xf numFmtId="3" fontId="1" fillId="0" borderId="10" xfId="67" applyNumberFormat="1" applyFont="1" applyFill="1" applyBorder="1" applyAlignment="1"/>
    <xf numFmtId="3" fontId="1" fillId="0" borderId="16" xfId="67" applyNumberFormat="1" applyFont="1" applyFill="1" applyBorder="1" applyAlignment="1"/>
    <xf numFmtId="0" fontId="0" fillId="0" borderId="8" xfId="0" applyFill="1" applyBorder="1"/>
    <xf numFmtId="3" fontId="11" fillId="0" borderId="4" xfId="67" applyNumberFormat="1" applyFont="1" applyFill="1" applyBorder="1" applyAlignment="1">
      <alignment horizontal="center"/>
    </xf>
    <xf numFmtId="37" fontId="39" fillId="3" borderId="0" xfId="52" applyFont="1" applyFill="1" applyAlignment="1">
      <alignment horizontal="center"/>
    </xf>
    <xf numFmtId="3" fontId="39" fillId="3" borderId="0" xfId="0" applyNumberFormat="1" applyFont="1" applyFill="1" applyAlignment="1">
      <alignment horizontal="right"/>
    </xf>
    <xf numFmtId="3" fontId="39" fillId="3" borderId="0" xfId="0" applyNumberFormat="1" applyFont="1" applyFill="1" applyAlignment="1">
      <alignment horizontal="center"/>
    </xf>
    <xf numFmtId="37" fontId="37" fillId="0" borderId="16" xfId="52" applyFont="1" applyBorder="1" applyAlignment="1">
      <alignment horizontal="left"/>
    </xf>
    <xf numFmtId="3" fontId="38" fillId="0" borderId="9" xfId="0" applyNumberFormat="1" applyFont="1" applyBorder="1" applyAlignment="1">
      <alignment horizontal="left"/>
    </xf>
    <xf numFmtId="37" fontId="1" fillId="0" borderId="0" xfId="52" applyFont="1" applyBorder="1" applyAlignment="1">
      <alignment horizontal="left"/>
    </xf>
    <xf numFmtId="37" fontId="29" fillId="0" borderId="0" xfId="52" applyFont="1" applyBorder="1" applyAlignment="1">
      <alignment horizontal="left"/>
    </xf>
    <xf numFmtId="37" fontId="51" fillId="0" borderId="0" xfId="52" applyFont="1" applyBorder="1" applyAlignment="1">
      <alignment horizontal="left"/>
    </xf>
    <xf numFmtId="37" fontId="51" fillId="0" borderId="8" xfId="52" applyFont="1" applyBorder="1" applyAlignment="1">
      <alignment horizontal="left"/>
    </xf>
    <xf numFmtId="3" fontId="38" fillId="0" borderId="20" xfId="65" applyNumberFormat="1" applyFont="1" applyBorder="1" applyAlignment="1"/>
    <xf numFmtId="9" fontId="38" fillId="0" borderId="20" xfId="69" applyFont="1" applyBorder="1" applyAlignment="1"/>
    <xf numFmtId="9" fontId="38" fillId="0" borderId="21" xfId="69" applyFont="1" applyBorder="1" applyAlignment="1"/>
    <xf numFmtId="3" fontId="35" fillId="0" borderId="14" xfId="65" applyNumberFormat="1" applyFont="1" applyBorder="1" applyAlignment="1"/>
    <xf numFmtId="3" fontId="35" fillId="0" borderId="5" xfId="65" applyNumberFormat="1" applyFont="1" applyBorder="1" applyAlignment="1"/>
    <xf numFmtId="3" fontId="35" fillId="0" borderId="15" xfId="65" applyNumberFormat="1" applyFont="1" applyBorder="1" applyAlignment="1"/>
    <xf numFmtId="3" fontId="78" fillId="0" borderId="14" xfId="65" applyNumberFormat="1" applyFont="1" applyBorder="1" applyAlignment="1">
      <alignment horizontal="left"/>
    </xf>
    <xf numFmtId="3" fontId="79" fillId="0" borderId="5" xfId="65" applyNumberFormat="1" applyFont="1" applyBorder="1" applyAlignment="1"/>
    <xf numFmtId="3" fontId="79" fillId="0" borderId="15" xfId="65" applyNumberFormat="1" applyFont="1" applyBorder="1" applyAlignment="1"/>
    <xf numFmtId="0" fontId="17" fillId="14" borderId="0" xfId="0" applyFont="1" applyFill="1" applyAlignment="1"/>
    <xf numFmtId="10" fontId="30" fillId="14" borderId="0" xfId="0" applyNumberFormat="1" applyFont="1" applyFill="1" applyAlignment="1"/>
    <xf numFmtId="3" fontId="11" fillId="14" borderId="0" xfId="0" applyNumberFormat="1" applyFont="1" applyFill="1" applyAlignment="1"/>
    <xf numFmtId="10" fontId="11" fillId="14" borderId="4" xfId="69" applyNumberFormat="1" applyFont="1" applyFill="1" applyBorder="1" applyAlignment="1"/>
    <xf numFmtId="44" fontId="11" fillId="14" borderId="4" xfId="53" applyFont="1" applyFill="1" applyBorder="1" applyAlignment="1"/>
    <xf numFmtId="10" fontId="39" fillId="3" borderId="19" xfId="69" applyNumberFormat="1" applyFont="1" applyFill="1" applyBorder="1" applyAlignment="1">
      <alignment horizontal="center"/>
    </xf>
    <xf numFmtId="10" fontId="39" fillId="3" borderId="16" xfId="69" applyNumberFormat="1" applyFont="1" applyFill="1" applyBorder="1" applyAlignment="1">
      <alignment horizontal="center"/>
    </xf>
    <xf numFmtId="3" fontId="50" fillId="0" borderId="0" xfId="0" applyNumberFormat="1" applyFont="1" applyFill="1" applyAlignment="1">
      <alignment horizontal="left"/>
    </xf>
    <xf numFmtId="335" fontId="7" fillId="0" borderId="0" xfId="0" applyNumberFormat="1" applyFont="1" applyFill="1" applyAlignment="1"/>
    <xf numFmtId="0" fontId="39" fillId="3" borderId="0" xfId="0" applyFont="1" applyFill="1" applyAlignment="1">
      <alignment horizontal="right"/>
    </xf>
    <xf numFmtId="0" fontId="30" fillId="0" borderId="0" xfId="0" applyFont="1" applyFill="1" applyAlignment="1">
      <alignment horizontal="center"/>
    </xf>
    <xf numFmtId="194" fontId="11" fillId="0" borderId="4" xfId="52" applyNumberFormat="1" applyFont="1" applyFill="1" applyBorder="1" applyAlignment="1"/>
    <xf numFmtId="37" fontId="30" fillId="0" borderId="0" xfId="52" applyFont="1" applyBorder="1" applyAlignment="1"/>
    <xf numFmtId="0" fontId="145" fillId="14" borderId="10" xfId="0" applyFont="1" applyFill="1" applyBorder="1"/>
    <xf numFmtId="37" fontId="145" fillId="14" borderId="0" xfId="52" applyFont="1" applyFill="1" applyBorder="1"/>
    <xf numFmtId="1" fontId="146" fillId="14" borderId="21" xfId="65" applyNumberFormat="1" applyFont="1" applyFill="1" applyBorder="1" applyAlignment="1">
      <alignment horizontal="right"/>
    </xf>
    <xf numFmtId="3" fontId="146" fillId="14" borderId="0" xfId="65" applyNumberFormat="1" applyFont="1" applyFill="1" applyBorder="1" applyAlignment="1"/>
    <xf numFmtId="1" fontId="146" fillId="14" borderId="0" xfId="65" applyNumberFormat="1" applyFont="1" applyFill="1" applyBorder="1" applyAlignment="1">
      <alignment horizontal="right"/>
    </xf>
    <xf numFmtId="37" fontId="5" fillId="3" borderId="5" xfId="52" applyFont="1" applyFill="1" applyBorder="1" applyAlignment="1"/>
    <xf numFmtId="37" fontId="5" fillId="3" borderId="15" xfId="52" applyFont="1" applyFill="1" applyBorder="1" applyAlignment="1"/>
    <xf numFmtId="9" fontId="38" fillId="0" borderId="0" xfId="69" applyFont="1" applyAlignment="1">
      <alignment horizontal="center"/>
    </xf>
    <xf numFmtId="9" fontId="54" fillId="0" borderId="32" xfId="69" applyFont="1" applyBorder="1" applyAlignment="1"/>
    <xf numFmtId="9" fontId="38" fillId="0" borderId="6" xfId="69" applyFont="1" applyBorder="1"/>
    <xf numFmtId="9" fontId="37" fillId="0" borderId="0" xfId="69" applyFont="1"/>
    <xf numFmtId="9" fontId="0" fillId="0" borderId="0" xfId="69" applyFont="1"/>
    <xf numFmtId="9" fontId="54" fillId="0" borderId="8" xfId="69" applyFont="1" applyBorder="1"/>
    <xf numFmtId="9" fontId="38" fillId="0" borderId="0" xfId="69" applyFont="1" applyAlignment="1"/>
    <xf numFmtId="9" fontId="38" fillId="0" borderId="6" xfId="69" applyFont="1" applyBorder="1" applyAlignment="1"/>
    <xf numFmtId="9" fontId="38" fillId="0" borderId="32" xfId="69" applyFont="1" applyBorder="1" applyAlignment="1"/>
    <xf numFmtId="9" fontId="37" fillId="0" borderId="0" xfId="69" applyFont="1" applyBorder="1" applyAlignment="1"/>
    <xf numFmtId="9" fontId="37" fillId="0" borderId="0" xfId="69" applyFont="1" applyBorder="1"/>
    <xf numFmtId="9" fontId="37" fillId="0" borderId="6" xfId="69" applyFont="1" applyBorder="1"/>
    <xf numFmtId="9" fontId="38" fillId="0" borderId="0" xfId="69" applyFont="1"/>
    <xf numFmtId="9" fontId="37" fillId="0" borderId="6" xfId="69" applyFont="1" applyBorder="1" applyAlignment="1"/>
    <xf numFmtId="9" fontId="38" fillId="0" borderId="33" xfId="69" applyFont="1" applyBorder="1" applyAlignment="1"/>
    <xf numFmtId="204" fontId="11" fillId="0" borderId="0" xfId="52" applyNumberFormat="1" applyFont="1" applyFill="1" applyAlignment="1"/>
    <xf numFmtId="204" fontId="30" fillId="6" borderId="0" xfId="52" applyNumberFormat="1" applyFont="1" applyFill="1" applyBorder="1" applyAlignment="1">
      <alignment horizontal="right"/>
    </xf>
    <xf numFmtId="204" fontId="11" fillId="0" borderId="4" xfId="52" applyNumberFormat="1" applyFont="1" applyFill="1" applyBorder="1" applyAlignment="1"/>
    <xf numFmtId="204" fontId="11" fillId="6" borderId="4" xfId="52" applyNumberFormat="1" applyFont="1" applyFill="1" applyBorder="1" applyAlignment="1">
      <alignment horizontal="right"/>
    </xf>
    <xf numFmtId="204" fontId="11" fillId="0" borderId="0" xfId="0" applyNumberFormat="1" applyFont="1" applyFill="1" applyBorder="1" applyAlignment="1"/>
    <xf numFmtId="204" fontId="30" fillId="6" borderId="0" xfId="0" applyNumberFormat="1" applyFont="1" applyFill="1" applyBorder="1" applyAlignment="1">
      <alignment horizontal="right"/>
    </xf>
    <xf numFmtId="204" fontId="30" fillId="6" borderId="0" xfId="52" applyNumberFormat="1" applyFont="1" applyFill="1" applyBorder="1" applyAlignment="1"/>
    <xf numFmtId="204" fontId="5" fillId="0" borderId="32" xfId="0" applyNumberFormat="1" applyFont="1" applyFill="1" applyBorder="1" applyAlignment="1"/>
    <xf numFmtId="204" fontId="5" fillId="0" borderId="8" xfId="0" applyNumberFormat="1" applyFont="1" applyFill="1" applyBorder="1" applyAlignment="1"/>
    <xf numFmtId="204" fontId="30" fillId="0" borderId="0" xfId="0" applyNumberFormat="1" applyFont="1" applyFill="1" applyAlignment="1"/>
    <xf numFmtId="204" fontId="39" fillId="0" borderId="0" xfId="0" applyNumberFormat="1" applyFont="1" applyFill="1" applyAlignment="1">
      <alignment horizontal="center"/>
    </xf>
    <xf numFmtId="204" fontId="39" fillId="0" borderId="0" xfId="0" applyNumberFormat="1" applyFont="1" applyFill="1" applyAlignment="1">
      <alignment horizontal="left"/>
    </xf>
    <xf numFmtId="204" fontId="7" fillId="0" borderId="0" xfId="52" applyNumberFormat="1" applyFont="1" applyFill="1" applyAlignment="1"/>
    <xf numFmtId="204" fontId="7" fillId="0" borderId="0" xfId="52" applyNumberFormat="1" applyFont="1" applyFill="1" applyAlignment="1">
      <alignment horizontal="right"/>
    </xf>
    <xf numFmtId="204" fontId="30" fillId="0" borderId="4" xfId="52" applyNumberFormat="1" applyFont="1" applyFill="1" applyBorder="1" applyAlignment="1"/>
    <xf numFmtId="204" fontId="30" fillId="0" borderId="30" xfId="52" applyNumberFormat="1" applyFont="1" applyFill="1" applyBorder="1" applyAlignment="1"/>
    <xf numFmtId="9" fontId="0" fillId="0" borderId="8" xfId="69" applyFont="1" applyBorder="1" applyAlignment="1">
      <alignment horizontal="center"/>
    </xf>
    <xf numFmtId="37" fontId="38" fillId="14" borderId="0" xfId="52" applyFont="1" applyFill="1"/>
    <xf numFmtId="3" fontId="38" fillId="0" borderId="0" xfId="0" applyNumberFormat="1" applyFont="1"/>
    <xf numFmtId="341" fontId="19" fillId="0" borderId="0" xfId="65" applyNumberFormat="1" applyFont="1" applyAlignment="1"/>
    <xf numFmtId="3" fontId="5" fillId="3" borderId="1" xfId="65" applyNumberFormat="1" applyFont="1" applyFill="1" applyBorder="1" applyAlignment="1"/>
    <xf numFmtId="3" fontId="21" fillId="0" borderId="8" xfId="65" applyNumberFormat="1" applyFont="1" applyBorder="1" applyAlignment="1">
      <alignment horizontal="left"/>
    </xf>
    <xf numFmtId="15" fontId="38" fillId="0" borderId="0" xfId="0" applyNumberFormat="1" applyFont="1" applyFill="1" applyBorder="1"/>
    <xf numFmtId="0" fontId="38" fillId="0" borderId="0" xfId="0" applyFont="1" applyFill="1" applyBorder="1"/>
    <xf numFmtId="0" fontId="38" fillId="3" borderId="26" xfId="0" applyFont="1" applyFill="1" applyBorder="1"/>
    <xf numFmtId="15" fontId="38" fillId="3" borderId="1" xfId="0" applyNumberFormat="1" applyFont="1" applyFill="1" applyBorder="1"/>
    <xf numFmtId="15" fontId="38" fillId="3" borderId="42" xfId="0" applyNumberFormat="1" applyFont="1" applyFill="1" applyBorder="1"/>
    <xf numFmtId="14" fontId="38" fillId="3" borderId="1" xfId="0" applyNumberFormat="1" applyFont="1" applyFill="1" applyBorder="1"/>
    <xf numFmtId="0" fontId="38" fillId="0" borderId="0" xfId="52" applyNumberFormat="1" applyFont="1" applyFill="1" applyBorder="1" applyAlignment="1">
      <alignment horizontal="center"/>
    </xf>
    <xf numFmtId="10" fontId="11" fillId="0" borderId="0" xfId="69" applyNumberFormat="1" applyFont="1" applyAlignment="1">
      <alignment horizontal="center"/>
    </xf>
    <xf numFmtId="0" fontId="38" fillId="0" borderId="4" xfId="52" applyNumberFormat="1" applyFont="1" applyFill="1" applyBorder="1" applyAlignment="1"/>
    <xf numFmtId="10" fontId="1" fillId="0" borderId="0" xfId="69" applyNumberFormat="1" applyFont="1" applyAlignment="1" applyProtection="1">
      <protection locked="0"/>
    </xf>
    <xf numFmtId="9" fontId="1" fillId="0" borderId="4" xfId="69" applyBorder="1" applyAlignment="1">
      <alignment horizontal="right"/>
    </xf>
    <xf numFmtId="3" fontId="1" fillId="0" borderId="4" xfId="65" applyNumberFormat="1" applyBorder="1" applyAlignment="1">
      <alignment horizontal="right"/>
    </xf>
    <xf numFmtId="37" fontId="38" fillId="3" borderId="0" xfId="52" applyFont="1" applyFill="1" applyBorder="1" applyAlignment="1">
      <alignment horizontal="center"/>
    </xf>
    <xf numFmtId="0" fontId="30" fillId="3" borderId="0" xfId="0" applyFont="1" applyFill="1" applyBorder="1"/>
    <xf numFmtId="3" fontId="38" fillId="3" borderId="0" xfId="0" applyNumberFormat="1" applyFont="1" applyFill="1" applyBorder="1" applyAlignment="1">
      <alignment horizontal="center"/>
    </xf>
    <xf numFmtId="0" fontId="72" fillId="3" borderId="19" xfId="0" applyFont="1" applyFill="1" applyBorder="1" applyAlignment="1">
      <alignment horizontal="center"/>
    </xf>
    <xf numFmtId="37" fontId="5" fillId="0" borderId="0" xfId="52" applyFont="1" applyAlignment="1"/>
    <xf numFmtId="3" fontId="30" fillId="0" borderId="0" xfId="65" applyNumberFormat="1" applyFont="1" applyBorder="1" applyAlignment="1"/>
    <xf numFmtId="3" fontId="1" fillId="0" borderId="12" xfId="65" applyNumberFormat="1" applyFont="1" applyBorder="1" applyAlignment="1">
      <alignment horizontal="center"/>
    </xf>
    <xf numFmtId="3" fontId="1" fillId="0" borderId="0" xfId="65" applyNumberFormat="1" applyFont="1" applyBorder="1" applyAlignment="1">
      <alignment horizontal="center"/>
    </xf>
    <xf numFmtId="9" fontId="1" fillId="0" borderId="0" xfId="65" applyNumberFormat="1" applyBorder="1" applyAlignment="1">
      <alignment horizontal="center"/>
    </xf>
    <xf numFmtId="3" fontId="5" fillId="0" borderId="0" xfId="65" applyNumberFormat="1" applyFont="1" applyBorder="1" applyAlignment="1">
      <alignment horizontal="center"/>
    </xf>
    <xf numFmtId="9" fontId="1" fillId="0" borderId="0" xfId="69" applyFont="1" applyBorder="1" applyAlignment="1">
      <alignment horizontal="center"/>
    </xf>
    <xf numFmtId="44" fontId="1" fillId="0" borderId="0" xfId="53" applyBorder="1" applyAlignment="1">
      <alignment horizontal="center"/>
    </xf>
    <xf numFmtId="3" fontId="38" fillId="0" borderId="0" xfId="65" applyNumberFormat="1" applyFont="1" applyBorder="1" applyAlignment="1">
      <alignment horizontal="center"/>
    </xf>
    <xf numFmtId="3" fontId="35" fillId="0" borderId="5" xfId="65" applyNumberFormat="1" applyFont="1" applyBorder="1" applyAlignment="1">
      <alignment horizontal="center"/>
    </xf>
    <xf numFmtId="3" fontId="38" fillId="0" borderId="0" xfId="65" applyNumberFormat="1" applyFont="1" applyAlignment="1">
      <alignment horizontal="center"/>
    </xf>
    <xf numFmtId="3" fontId="30" fillId="0" borderId="12" xfId="65" applyNumberFormat="1" applyFont="1" applyBorder="1" applyAlignment="1">
      <alignment horizontal="center"/>
    </xf>
    <xf numFmtId="3" fontId="79" fillId="0" borderId="5" xfId="65" applyNumberFormat="1" applyFont="1" applyBorder="1" applyAlignment="1">
      <alignment horizontal="center"/>
    </xf>
    <xf numFmtId="3" fontId="5" fillId="0" borderId="0" xfId="65" applyNumberFormat="1" applyFont="1" applyAlignment="1">
      <alignment horizontal="center"/>
    </xf>
    <xf numFmtId="3" fontId="76" fillId="0" borderId="0" xfId="65" applyNumberFormat="1" applyFont="1" applyBorder="1" applyAlignment="1">
      <alignment horizontal="center"/>
    </xf>
    <xf numFmtId="0" fontId="145" fillId="14" borderId="0" xfId="0" applyFont="1" applyFill="1" applyBorder="1" applyAlignment="1">
      <alignment horizontal="center"/>
    </xf>
    <xf numFmtId="3" fontId="39" fillId="14" borderId="0" xfId="65" applyNumberFormat="1" applyFont="1" applyFill="1" applyBorder="1" applyAlignment="1">
      <alignment horizontal="center"/>
    </xf>
    <xf numFmtId="3" fontId="146" fillId="14" borderId="0" xfId="65" applyNumberFormat="1" applyFont="1" applyFill="1" applyBorder="1" applyAlignment="1">
      <alignment horizontal="center"/>
    </xf>
    <xf numFmtId="3" fontId="38" fillId="14" borderId="0" xfId="65" applyNumberFormat="1" applyFont="1" applyFill="1" applyBorder="1" applyAlignment="1">
      <alignment horizontal="center"/>
    </xf>
    <xf numFmtId="9" fontId="38" fillId="0" borderId="8" xfId="65" applyNumberFormat="1" applyFont="1" applyBorder="1" applyAlignment="1">
      <alignment horizontal="center"/>
    </xf>
    <xf numFmtId="3" fontId="1" fillId="0" borderId="0" xfId="65" applyNumberFormat="1" applyAlignment="1">
      <alignment horizontal="center"/>
    </xf>
    <xf numFmtId="3" fontId="19" fillId="0" borderId="0" xfId="65" applyNumberFormat="1" applyFont="1" applyAlignment="1">
      <alignment horizontal="center"/>
    </xf>
    <xf numFmtId="3" fontId="1" fillId="3" borderId="9" xfId="65" applyNumberFormat="1" applyFill="1" applyBorder="1" applyAlignment="1">
      <alignment horizontal="center"/>
    </xf>
    <xf numFmtId="3" fontId="38" fillId="0" borderId="0" xfId="65" applyNumberFormat="1" applyFont="1" applyFill="1" applyBorder="1" applyAlignment="1">
      <alignment horizontal="center"/>
    </xf>
    <xf numFmtId="3" fontId="38" fillId="0" borderId="0" xfId="65" applyNumberFormat="1" applyFont="1" applyFill="1" applyBorder="1" applyAlignment="1"/>
    <xf numFmtId="14" fontId="38" fillId="3" borderId="9" xfId="0" applyNumberFormat="1" applyFont="1" applyFill="1" applyBorder="1"/>
    <xf numFmtId="3" fontId="38" fillId="0" borderId="19" xfId="65" applyNumberFormat="1" applyFont="1" applyBorder="1" applyAlignment="1"/>
    <xf numFmtId="3" fontId="38" fillId="0" borderId="9" xfId="65" applyNumberFormat="1" applyFont="1" applyBorder="1" applyAlignment="1"/>
    <xf numFmtId="3" fontId="38" fillId="0" borderId="18" xfId="65" applyNumberFormat="1" applyFont="1" applyBorder="1" applyAlignment="1"/>
    <xf numFmtId="3" fontId="1" fillId="0" borderId="7" xfId="65" applyNumberFormat="1" applyFont="1" applyBorder="1" applyAlignment="1"/>
    <xf numFmtId="3" fontId="21" fillId="0" borderId="10" xfId="65" applyNumberFormat="1" applyFont="1" applyBorder="1" applyAlignment="1">
      <alignment horizontal="left"/>
    </xf>
    <xf numFmtId="3" fontId="20" fillId="0" borderId="10" xfId="65" applyNumberFormat="1" applyFont="1" applyBorder="1" applyAlignment="1">
      <alignment horizontal="left"/>
    </xf>
    <xf numFmtId="3" fontId="30" fillId="0" borderId="7" xfId="65" applyNumberFormat="1" applyFont="1" applyBorder="1" applyAlignment="1"/>
    <xf numFmtId="3" fontId="20" fillId="0" borderId="16" xfId="65" applyNumberFormat="1" applyFont="1" applyBorder="1" applyAlignment="1">
      <alignment horizontal="left"/>
    </xf>
    <xf numFmtId="3" fontId="30" fillId="0" borderId="8" xfId="65" applyNumberFormat="1" applyFont="1" applyBorder="1" applyAlignment="1"/>
    <xf numFmtId="3" fontId="30" fillId="0" borderId="17" xfId="65" applyNumberFormat="1" applyFont="1" applyBorder="1" applyAlignment="1"/>
    <xf numFmtId="3" fontId="38" fillId="3" borderId="1" xfId="65" applyNumberFormat="1" applyFont="1" applyFill="1" applyBorder="1" applyAlignment="1">
      <alignment horizontal="center"/>
    </xf>
    <xf numFmtId="3" fontId="38" fillId="3" borderId="1" xfId="65" applyNumberFormat="1" applyFont="1" applyFill="1" applyBorder="1" applyAlignment="1"/>
    <xf numFmtId="0" fontId="38" fillId="3" borderId="10" xfId="0" applyFont="1" applyFill="1" applyBorder="1" applyAlignment="1">
      <alignment horizontal="center"/>
    </xf>
    <xf numFmtId="0" fontId="39" fillId="3" borderId="7" xfId="0" applyFont="1" applyFill="1" applyBorder="1" applyAlignment="1"/>
    <xf numFmtId="342" fontId="76" fillId="0" borderId="0" xfId="65" applyNumberFormat="1" applyFont="1"/>
    <xf numFmtId="37" fontId="38" fillId="3" borderId="11" xfId="52" applyFont="1" applyFill="1" applyBorder="1"/>
    <xf numFmtId="37" fontId="38" fillId="0" borderId="20" xfId="52" applyFont="1" applyBorder="1"/>
    <xf numFmtId="37" fontId="38" fillId="0" borderId="21" xfId="52" applyFont="1" applyBorder="1"/>
    <xf numFmtId="37" fontId="37" fillId="0" borderId="20" xfId="52" applyFont="1" applyBorder="1"/>
    <xf numFmtId="37" fontId="5" fillId="3" borderId="20" xfId="52" applyFont="1" applyFill="1" applyBorder="1" applyAlignment="1"/>
    <xf numFmtId="37" fontId="5" fillId="3" borderId="0" xfId="52" applyFont="1" applyFill="1" applyBorder="1" applyAlignment="1">
      <alignment horizontal="left"/>
    </xf>
    <xf numFmtId="37" fontId="5" fillId="0" borderId="20" xfId="52" applyFont="1" applyBorder="1" applyAlignment="1"/>
    <xf numFmtId="37" fontId="5" fillId="0" borderId="0" xfId="52" applyFont="1" applyBorder="1" applyAlignment="1">
      <alignment horizontal="left"/>
    </xf>
    <xf numFmtId="37" fontId="38" fillId="0" borderId="20" xfId="52" applyFont="1" applyBorder="1" applyAlignment="1"/>
    <xf numFmtId="37" fontId="5" fillId="3" borderId="14" xfId="52" applyFont="1" applyFill="1" applyBorder="1" applyAlignment="1"/>
    <xf numFmtId="37" fontId="5" fillId="3" borderId="5" xfId="52" applyFont="1" applyFill="1" applyBorder="1" applyAlignment="1">
      <alignment horizontal="left"/>
    </xf>
    <xf numFmtId="37" fontId="0" fillId="0" borderId="19" xfId="52" applyFont="1" applyBorder="1"/>
    <xf numFmtId="37" fontId="0" fillId="0" borderId="9" xfId="52" applyFont="1" applyBorder="1"/>
    <xf numFmtId="37" fontId="0" fillId="0" borderId="18" xfId="52" applyFont="1" applyBorder="1"/>
    <xf numFmtId="37" fontId="0" fillId="0" borderId="10" xfId="52" applyFont="1" applyBorder="1"/>
    <xf numFmtId="37" fontId="38" fillId="3" borderId="10" xfId="52" applyFont="1" applyFill="1" applyBorder="1"/>
    <xf numFmtId="37" fontId="0" fillId="0" borderId="0" xfId="52" applyFont="1" applyBorder="1" applyAlignment="1">
      <alignment horizontal="center"/>
    </xf>
    <xf numFmtId="37" fontId="37" fillId="0" borderId="10" xfId="52" applyFont="1" applyBorder="1"/>
    <xf numFmtId="37" fontId="0" fillId="0" borderId="38" xfId="52" applyFont="1" applyBorder="1"/>
    <xf numFmtId="37" fontId="0" fillId="0" borderId="32" xfId="52" applyFont="1" applyBorder="1" applyAlignment="1">
      <alignment horizontal="center"/>
    </xf>
    <xf numFmtId="37" fontId="38" fillId="0" borderId="0" xfId="52" applyFont="1" applyBorder="1" applyAlignment="1">
      <alignment horizontal="center"/>
    </xf>
    <xf numFmtId="37" fontId="38" fillId="0" borderId="10" xfId="52" applyFont="1" applyBorder="1"/>
    <xf numFmtId="37" fontId="44" fillId="0" borderId="0" xfId="52" applyFont="1" applyBorder="1" applyAlignment="1">
      <alignment horizontal="center"/>
    </xf>
    <xf numFmtId="37" fontId="37" fillId="0" borderId="7" xfId="52" applyFont="1" applyBorder="1"/>
    <xf numFmtId="37" fontId="37" fillId="0" borderId="0" xfId="52" applyFont="1" applyBorder="1" applyAlignment="1">
      <alignment horizontal="center"/>
    </xf>
    <xf numFmtId="37" fontId="0" fillId="0" borderId="16" xfId="52" applyFont="1" applyBorder="1"/>
    <xf numFmtId="37" fontId="37" fillId="0" borderId="8" xfId="52" applyFont="1" applyBorder="1" applyAlignment="1">
      <alignment horizontal="center"/>
    </xf>
    <xf numFmtId="37" fontId="0" fillId="0" borderId="17" xfId="52" applyFont="1" applyBorder="1"/>
    <xf numFmtId="10" fontId="147" fillId="0" borderId="4" xfId="69" applyNumberFormat="1" applyFont="1" applyBorder="1"/>
    <xf numFmtId="9" fontId="30" fillId="0" borderId="4" xfId="69" applyFont="1" applyFill="1" applyBorder="1" applyAlignment="1">
      <alignment horizontal="center"/>
    </xf>
    <xf numFmtId="0" fontId="38" fillId="0" borderId="6" xfId="0" applyFont="1" applyFill="1" applyBorder="1"/>
    <xf numFmtId="3" fontId="38" fillId="0" borderId="6" xfId="0" applyNumberFormat="1" applyFont="1" applyFill="1" applyBorder="1"/>
    <xf numFmtId="0" fontId="38" fillId="0" borderId="39" xfId="0" applyFont="1" applyFill="1" applyBorder="1"/>
    <xf numFmtId="3" fontId="58" fillId="0" borderId="12" xfId="65" applyNumberFormat="1" applyFont="1" applyBorder="1" applyAlignment="1"/>
    <xf numFmtId="14" fontId="38" fillId="3" borderId="18" xfId="0" applyNumberFormat="1" applyFont="1" applyFill="1" applyBorder="1"/>
    <xf numFmtId="3" fontId="1" fillId="0" borderId="8" xfId="65" applyNumberFormat="1" applyFont="1" applyBorder="1" applyAlignment="1"/>
    <xf numFmtId="44" fontId="1" fillId="3" borderId="0" xfId="53" applyFill="1" applyBorder="1"/>
    <xf numFmtId="37" fontId="37" fillId="0" borderId="0" xfId="0" applyNumberFormat="1" applyFont="1" applyFill="1" applyBorder="1"/>
    <xf numFmtId="204" fontId="38" fillId="0" borderId="0" xfId="52" applyNumberFormat="1" applyFont="1" applyFill="1" applyBorder="1"/>
    <xf numFmtId="177" fontId="39" fillId="0" borderId="0" xfId="52" applyNumberFormat="1" applyFont="1" applyFill="1" applyBorder="1" applyAlignment="1"/>
    <xf numFmtId="3" fontId="38" fillId="0" borderId="7" xfId="66" applyNumberFormat="1" applyFont="1" applyFill="1" applyBorder="1" applyAlignment="1">
      <alignment horizontal="right"/>
    </xf>
    <xf numFmtId="3" fontId="140" fillId="0" borderId="7" xfId="66" applyNumberFormat="1" applyFont="1" applyFill="1" applyBorder="1" applyAlignment="1">
      <alignment horizontal="right"/>
    </xf>
    <xf numFmtId="3" fontId="51" fillId="0" borderId="7" xfId="66" applyNumberFormat="1" applyFont="1" applyFill="1" applyBorder="1" applyAlignment="1">
      <alignment horizontal="right"/>
    </xf>
    <xf numFmtId="3" fontId="38" fillId="0" borderId="7" xfId="66" applyNumberFormat="1" applyFont="1" applyFill="1" applyBorder="1" applyAlignment="1"/>
    <xf numFmtId="3" fontId="37" fillId="0" borderId="10" xfId="0" applyNumberFormat="1" applyFont="1" applyFill="1" applyBorder="1"/>
    <xf numFmtId="204" fontId="11" fillId="0" borderId="0" xfId="0" applyNumberFormat="1" applyFont="1" applyAlignment="1"/>
    <xf numFmtId="37" fontId="38" fillId="0" borderId="0" xfId="0" applyNumberFormat="1" applyFont="1" applyAlignment="1">
      <alignment horizontal="center"/>
    </xf>
    <xf numFmtId="177" fontId="50" fillId="6" borderId="0" xfId="52" applyNumberFormat="1" applyFont="1" applyFill="1" applyBorder="1" applyAlignment="1"/>
    <xf numFmtId="177" fontId="50" fillId="6" borderId="4" xfId="52" applyNumberFormat="1" applyFont="1" applyFill="1" applyBorder="1" applyAlignment="1"/>
    <xf numFmtId="10" fontId="37" fillId="0" borderId="4" xfId="69" applyNumberFormat="1" applyFont="1" applyBorder="1" applyAlignment="1">
      <alignment horizontal="center"/>
    </xf>
    <xf numFmtId="9" fontId="39" fillId="3" borderId="0" xfId="69" applyFont="1" applyFill="1" applyBorder="1" applyAlignment="1">
      <alignment horizontal="center"/>
    </xf>
    <xf numFmtId="9" fontId="39" fillId="3" borderId="4" xfId="69" applyFont="1" applyFill="1" applyBorder="1" applyAlignment="1">
      <alignment horizontal="center"/>
    </xf>
    <xf numFmtId="4" fontId="1" fillId="0" borderId="0" xfId="65" applyNumberFormat="1" applyFont="1" applyAlignment="1"/>
    <xf numFmtId="3" fontId="5" fillId="0" borderId="0" xfId="65" applyNumberFormat="1" applyFont="1" applyFill="1" applyAlignment="1"/>
    <xf numFmtId="9" fontId="5" fillId="0" borderId="0" xfId="69" applyFont="1" applyFill="1" applyAlignment="1">
      <alignment horizontal="center"/>
    </xf>
    <xf numFmtId="10" fontId="1" fillId="0" borderId="0" xfId="65" applyNumberFormat="1" applyFill="1"/>
    <xf numFmtId="10" fontId="5" fillId="0" borderId="0" xfId="65" applyNumberFormat="1" applyFont="1" applyFill="1" applyAlignment="1"/>
    <xf numFmtId="342" fontId="76" fillId="0" borderId="0" xfId="65" applyNumberFormat="1" applyFont="1" applyFill="1"/>
    <xf numFmtId="10" fontId="76" fillId="0" borderId="0" xfId="65" applyNumberFormat="1" applyFont="1" applyFill="1"/>
    <xf numFmtId="37" fontId="5" fillId="0" borderId="0" xfId="52" applyFont="1" applyFill="1" applyAlignment="1"/>
    <xf numFmtId="3" fontId="38" fillId="0" borderId="0" xfId="65" applyNumberFormat="1" applyFont="1" applyFill="1" applyAlignment="1"/>
    <xf numFmtId="3" fontId="76" fillId="0" borderId="0" xfId="65" applyNumberFormat="1" applyFont="1" applyFill="1"/>
    <xf numFmtId="3" fontId="38" fillId="0" borderId="0" xfId="65" applyNumberFormat="1" applyFont="1" applyFill="1" applyAlignment="1" applyProtection="1">
      <protection locked="0"/>
    </xf>
    <xf numFmtId="4" fontId="76" fillId="0" borderId="0" xfId="65" applyFont="1" applyFill="1"/>
    <xf numFmtId="164" fontId="19" fillId="0" borderId="0" xfId="65" applyNumberFormat="1" applyFont="1" applyFill="1" applyAlignment="1"/>
    <xf numFmtId="3" fontId="19" fillId="0" borderId="0" xfId="65" applyNumberFormat="1" applyFont="1" applyFill="1" applyAlignment="1"/>
    <xf numFmtId="4" fontId="5" fillId="0" borderId="0" xfId="65" applyFont="1" applyFill="1" applyAlignment="1"/>
    <xf numFmtId="9" fontId="5" fillId="0" borderId="0" xfId="65" applyNumberFormat="1" applyFont="1" applyBorder="1" applyAlignment="1"/>
    <xf numFmtId="3" fontId="19" fillId="0" borderId="10" xfId="65" applyNumberFormat="1" applyFont="1" applyBorder="1" applyAlignment="1"/>
    <xf numFmtId="3" fontId="19" fillId="0" borderId="0" xfId="65" applyNumberFormat="1" applyFont="1" applyBorder="1" applyAlignment="1"/>
    <xf numFmtId="3" fontId="19" fillId="0" borderId="7" xfId="65" applyNumberFormat="1" applyFont="1" applyBorder="1" applyAlignment="1"/>
    <xf numFmtId="10" fontId="19" fillId="0" borderId="0" xfId="65" applyNumberFormat="1" applyFont="1" applyBorder="1" applyAlignment="1"/>
    <xf numFmtId="3" fontId="38" fillId="0" borderId="7" xfId="65" applyNumberFormat="1" applyFont="1" applyBorder="1" applyAlignment="1"/>
    <xf numFmtId="3" fontId="37" fillId="0" borderId="10" xfId="65" applyNumberFormat="1" applyFont="1" applyBorder="1"/>
    <xf numFmtId="3" fontId="37" fillId="0" borderId="0" xfId="65" applyNumberFormat="1" applyFont="1" applyBorder="1"/>
    <xf numFmtId="3" fontId="37" fillId="0" borderId="0" xfId="65" applyNumberFormat="1" applyFont="1" applyBorder="1" applyAlignment="1"/>
    <xf numFmtId="3" fontId="37" fillId="0" borderId="7" xfId="65" applyNumberFormat="1" applyFont="1" applyBorder="1"/>
    <xf numFmtId="3" fontId="37" fillId="0" borderId="10" xfId="65" applyNumberFormat="1" applyFont="1" applyBorder="1" applyAlignment="1"/>
    <xf numFmtId="3" fontId="37" fillId="0" borderId="7" xfId="65" applyNumberFormat="1" applyFont="1" applyBorder="1" applyAlignment="1"/>
    <xf numFmtId="10" fontId="37" fillId="0" borderId="0" xfId="65" applyNumberFormat="1" applyFont="1" applyBorder="1" applyAlignment="1"/>
    <xf numFmtId="3" fontId="37" fillId="0" borderId="10" xfId="65" applyNumberFormat="1" applyFont="1" applyFill="1" applyBorder="1" applyAlignment="1"/>
    <xf numFmtId="3" fontId="37" fillId="0" borderId="0" xfId="65" applyNumberFormat="1" applyFont="1" applyFill="1" applyBorder="1" applyAlignment="1"/>
    <xf numFmtId="3" fontId="37" fillId="0" borderId="7" xfId="65" applyNumberFormat="1" applyFont="1" applyFill="1" applyBorder="1"/>
    <xf numFmtId="3" fontId="38" fillId="0" borderId="16" xfId="65" applyNumberFormat="1" applyFont="1" applyBorder="1" applyAlignment="1"/>
    <xf numFmtId="3" fontId="38" fillId="0" borderId="17" xfId="65" applyNumberFormat="1" applyFont="1" applyBorder="1" applyAlignment="1"/>
    <xf numFmtId="0" fontId="38" fillId="13" borderId="10" xfId="0" applyFont="1" applyFill="1" applyBorder="1"/>
    <xf numFmtId="0" fontId="38" fillId="13" borderId="0" xfId="0" applyFont="1" applyFill="1" applyBorder="1"/>
    <xf numFmtId="15" fontId="38" fillId="13" borderId="0" xfId="0" applyNumberFormat="1" applyFont="1" applyFill="1" applyBorder="1"/>
    <xf numFmtId="15" fontId="38" fillId="13" borderId="7" xfId="0" applyNumberFormat="1" applyFont="1" applyFill="1" applyBorder="1"/>
    <xf numFmtId="0" fontId="145" fillId="13" borderId="10" xfId="0" applyFont="1" applyFill="1" applyBorder="1"/>
    <xf numFmtId="0" fontId="145" fillId="13" borderId="0" xfId="0" applyFont="1" applyFill="1" applyBorder="1"/>
    <xf numFmtId="37" fontId="145" fillId="13" borderId="0" xfId="52" applyFont="1" applyFill="1" applyBorder="1"/>
    <xf numFmtId="0" fontId="37" fillId="13" borderId="7" xfId="0" applyFont="1" applyFill="1" applyBorder="1"/>
    <xf numFmtId="0" fontId="38" fillId="13" borderId="19" xfId="0" applyFont="1" applyFill="1" applyBorder="1"/>
    <xf numFmtId="0" fontId="38" fillId="13" borderId="9" xfId="0" applyFont="1" applyFill="1" applyBorder="1"/>
    <xf numFmtId="0" fontId="38" fillId="13" borderId="9" xfId="0" applyFont="1" applyFill="1" applyBorder="1" applyAlignment="1">
      <alignment horizontal="center"/>
    </xf>
    <xf numFmtId="3" fontId="37" fillId="13" borderId="18" xfId="65" applyNumberFormat="1" applyFont="1" applyFill="1" applyBorder="1" applyAlignment="1"/>
    <xf numFmtId="0" fontId="38" fillId="20" borderId="1" xfId="0" applyFont="1" applyFill="1" applyBorder="1"/>
    <xf numFmtId="15" fontId="38" fillId="20" borderId="1" xfId="0" applyNumberFormat="1" applyFont="1" applyFill="1" applyBorder="1"/>
    <xf numFmtId="15" fontId="38" fillId="20" borderId="42" xfId="0" applyNumberFormat="1" applyFont="1" applyFill="1" applyBorder="1"/>
    <xf numFmtId="0" fontId="38" fillId="6" borderId="19" xfId="0" applyFont="1" applyFill="1" applyBorder="1"/>
    <xf numFmtId="0" fontId="38" fillId="6" borderId="9" xfId="0" applyFont="1" applyFill="1" applyBorder="1"/>
    <xf numFmtId="0" fontId="38" fillId="6" borderId="9" xfId="0" applyFont="1" applyFill="1" applyBorder="1" applyAlignment="1">
      <alignment horizontal="center"/>
    </xf>
    <xf numFmtId="0" fontId="38" fillId="6" borderId="10" xfId="0" applyFont="1" applyFill="1" applyBorder="1"/>
    <xf numFmtId="0" fontId="38" fillId="6" borderId="0" xfId="0" applyFont="1" applyFill="1" applyBorder="1"/>
    <xf numFmtId="15" fontId="38" fillId="6" borderId="0" xfId="0" applyNumberFormat="1" applyFont="1" applyFill="1" applyBorder="1"/>
    <xf numFmtId="0" fontId="145" fillId="6" borderId="10" xfId="0" applyFont="1" applyFill="1" applyBorder="1"/>
    <xf numFmtId="0" fontId="145" fillId="6" borderId="0" xfId="0" applyFont="1" applyFill="1" applyBorder="1"/>
    <xf numFmtId="37" fontId="145" fillId="6" borderId="0" xfId="52" applyFont="1" applyFill="1" applyBorder="1"/>
    <xf numFmtId="0" fontId="0" fillId="6" borderId="7" xfId="0" applyFill="1" applyBorder="1"/>
    <xf numFmtId="3" fontId="1" fillId="6" borderId="18" xfId="65" applyNumberFormat="1" applyFont="1" applyFill="1" applyBorder="1" applyAlignment="1"/>
    <xf numFmtId="15" fontId="38" fillId="6" borderId="7" xfId="0" applyNumberFormat="1" applyFont="1" applyFill="1" applyBorder="1"/>
    <xf numFmtId="0" fontId="38" fillId="21" borderId="26" xfId="0" applyFont="1" applyFill="1" applyBorder="1"/>
    <xf numFmtId="0" fontId="38" fillId="21" borderId="1" xfId="0" applyFont="1" applyFill="1" applyBorder="1"/>
    <xf numFmtId="15" fontId="38" fillId="21" borderId="1" xfId="0" applyNumberFormat="1" applyFont="1" applyFill="1" applyBorder="1"/>
    <xf numFmtId="15" fontId="38" fillId="21" borderId="42" xfId="0" applyNumberFormat="1" applyFont="1" applyFill="1" applyBorder="1"/>
    <xf numFmtId="0" fontId="38" fillId="21" borderId="24" xfId="0" applyFont="1" applyFill="1" applyBorder="1" applyAlignment="1">
      <alignment horizontal="center"/>
    </xf>
    <xf numFmtId="3" fontId="5" fillId="21" borderId="26" xfId="65" applyNumberFormat="1" applyFont="1" applyFill="1" applyBorder="1" applyAlignment="1"/>
    <xf numFmtId="3" fontId="5" fillId="21" borderId="1" xfId="65" applyNumberFormat="1" applyFont="1" applyFill="1" applyBorder="1" applyAlignment="1"/>
    <xf numFmtId="3" fontId="1" fillId="21" borderId="1" xfId="65" applyNumberFormat="1" applyFill="1" applyBorder="1"/>
    <xf numFmtId="14" fontId="38" fillId="21" borderId="1" xfId="0" applyNumberFormat="1" applyFont="1" applyFill="1" applyBorder="1"/>
    <xf numFmtId="3" fontId="5" fillId="20" borderId="1" xfId="65" applyNumberFormat="1" applyFont="1" applyFill="1" applyBorder="1" applyAlignment="1"/>
    <xf numFmtId="3" fontId="1" fillId="20" borderId="1" xfId="65" applyNumberFormat="1" applyFill="1" applyBorder="1"/>
    <xf numFmtId="14" fontId="38" fillId="20" borderId="1" xfId="0" applyNumberFormat="1" applyFont="1" applyFill="1" applyBorder="1"/>
    <xf numFmtId="14" fontId="38" fillId="20" borderId="42" xfId="0" applyNumberFormat="1" applyFont="1" applyFill="1" applyBorder="1"/>
    <xf numFmtId="3" fontId="76" fillId="0" borderId="0" xfId="65" applyNumberFormat="1" applyFont="1" applyFill="1" applyBorder="1" applyAlignment="1"/>
    <xf numFmtId="3" fontId="5" fillId="0" borderId="0" xfId="65" applyNumberFormat="1" applyFont="1" applyFill="1" applyBorder="1" applyAlignment="1"/>
    <xf numFmtId="3" fontId="6" fillId="0" borderId="0" xfId="65" applyNumberFormat="1" applyFont="1" applyBorder="1" applyAlignment="1"/>
    <xf numFmtId="3" fontId="1" fillId="3" borderId="0" xfId="65" applyNumberFormat="1" applyFont="1" applyFill="1" applyBorder="1" applyAlignment="1"/>
    <xf numFmtId="3" fontId="1" fillId="0" borderId="0" xfId="65" applyNumberFormat="1" applyFont="1" applyBorder="1" applyAlignment="1" applyProtection="1">
      <protection locked="0"/>
    </xf>
    <xf numFmtId="0" fontId="2" fillId="0" borderId="0" xfId="0" applyFont="1" applyBorder="1" applyAlignment="1"/>
    <xf numFmtId="0" fontId="10" fillId="0" borderId="0" xfId="0" applyFont="1" applyBorder="1" applyAlignment="1"/>
    <xf numFmtId="3" fontId="1" fillId="0" borderId="16" xfId="65" applyNumberFormat="1" applyFont="1" applyBorder="1" applyAlignment="1"/>
    <xf numFmtId="3" fontId="1" fillId="0" borderId="17" xfId="65" applyNumberFormat="1" applyBorder="1"/>
    <xf numFmtId="3" fontId="1" fillId="0" borderId="0" xfId="65" applyNumberFormat="1" applyFont="1" applyFill="1" applyBorder="1" applyAlignment="1">
      <alignment horizontal="center"/>
    </xf>
    <xf numFmtId="3" fontId="37" fillId="0" borderId="16" xfId="65" applyNumberFormat="1" applyFont="1" applyBorder="1" applyAlignment="1"/>
    <xf numFmtId="3" fontId="37" fillId="0" borderId="8" xfId="65" applyNumberFormat="1" applyFont="1" applyBorder="1" applyAlignment="1"/>
    <xf numFmtId="3" fontId="37" fillId="0" borderId="17" xfId="65" applyNumberFormat="1" applyFont="1" applyBorder="1"/>
    <xf numFmtId="14" fontId="38" fillId="21" borderId="42" xfId="0" applyNumberFormat="1" applyFont="1" applyFill="1" applyBorder="1"/>
    <xf numFmtId="0" fontId="148" fillId="20" borderId="24" xfId="0" applyFont="1" applyFill="1" applyBorder="1" applyAlignment="1">
      <alignment horizontal="center"/>
    </xf>
    <xf numFmtId="0" fontId="148" fillId="20" borderId="26" xfId="0" applyFont="1" applyFill="1" applyBorder="1"/>
    <xf numFmtId="3" fontId="148" fillId="20" borderId="26" xfId="65" applyNumberFormat="1" applyFont="1" applyFill="1" applyBorder="1" applyAlignment="1"/>
    <xf numFmtId="3" fontId="38" fillId="0" borderId="10" xfId="65" applyNumberFormat="1" applyFont="1" applyFill="1" applyBorder="1" applyAlignment="1"/>
    <xf numFmtId="3" fontId="38" fillId="0" borderId="7" xfId="65" applyNumberFormat="1" applyFont="1" applyFill="1" applyBorder="1" applyAlignment="1"/>
    <xf numFmtId="3" fontId="0" fillId="0" borderId="0" xfId="0" applyNumberFormat="1" applyBorder="1"/>
    <xf numFmtId="37" fontId="38" fillId="0" borderId="7" xfId="52" applyFont="1" applyFill="1" applyBorder="1"/>
    <xf numFmtId="3" fontId="54" fillId="0" borderId="26" xfId="65" applyNumberFormat="1" applyFont="1" applyBorder="1" applyAlignment="1"/>
    <xf numFmtId="3" fontId="54" fillId="0" borderId="1" xfId="65" applyNumberFormat="1" applyFont="1" applyBorder="1" applyAlignment="1"/>
    <xf numFmtId="9" fontId="54" fillId="0" borderId="1" xfId="65" applyNumberFormat="1" applyFont="1" applyBorder="1" applyAlignment="1"/>
    <xf numFmtId="3" fontId="5" fillId="0" borderId="42" xfId="65" applyNumberFormat="1" applyFont="1" applyBorder="1" applyAlignment="1"/>
    <xf numFmtId="0" fontId="38" fillId="3" borderId="0" xfId="0" applyFont="1" applyFill="1" applyBorder="1" applyAlignment="1">
      <alignment horizontal="center"/>
    </xf>
    <xf numFmtId="0" fontId="38" fillId="3" borderId="7" xfId="0" applyFont="1" applyFill="1" applyBorder="1" applyAlignment="1">
      <alignment horizontal="center"/>
    </xf>
    <xf numFmtId="10" fontId="38" fillId="3" borderId="0" xfId="69" applyNumberFormat="1" applyFont="1" applyFill="1" applyBorder="1" applyAlignment="1">
      <alignment horizontal="right"/>
    </xf>
    <xf numFmtId="10" fontId="38" fillId="3" borderId="0" xfId="0" applyNumberFormat="1" applyFont="1" applyFill="1" applyBorder="1" applyAlignment="1">
      <alignment horizontal="right"/>
    </xf>
    <xf numFmtId="10" fontId="38" fillId="3" borderId="0" xfId="69" applyNumberFormat="1" applyFont="1" applyFill="1" applyBorder="1" applyAlignment="1">
      <alignment horizontal="center"/>
    </xf>
    <xf numFmtId="0" fontId="54" fillId="3" borderId="0" xfId="0" applyFont="1" applyFill="1" applyBorder="1" applyAlignment="1">
      <alignment horizontal="right"/>
    </xf>
    <xf numFmtId="0" fontId="54" fillId="3" borderId="9" xfId="0" applyFont="1" applyFill="1" applyBorder="1" applyAlignment="1"/>
    <xf numFmtId="0" fontId="54" fillId="3" borderId="9" xfId="0" applyFont="1" applyFill="1" applyBorder="1" applyAlignment="1">
      <alignment horizontal="center"/>
    </xf>
    <xf numFmtId="0" fontId="30" fillId="3" borderId="9" xfId="0" applyFont="1" applyFill="1" applyBorder="1"/>
    <xf numFmtId="0" fontId="30" fillId="3" borderId="18" xfId="0" applyFont="1" applyFill="1" applyBorder="1"/>
    <xf numFmtId="0" fontId="54" fillId="3" borderId="7" xfId="0" applyFont="1" applyFill="1" applyBorder="1" applyAlignment="1">
      <alignment horizontal="center"/>
    </xf>
    <xf numFmtId="0" fontId="30" fillId="3" borderId="7" xfId="0" applyFont="1" applyFill="1" applyBorder="1"/>
    <xf numFmtId="184" fontId="38" fillId="3" borderId="16" xfId="0" applyNumberFormat="1" applyFont="1" applyFill="1" applyBorder="1" applyAlignment="1">
      <alignment horizontal="center"/>
    </xf>
    <xf numFmtId="184" fontId="38" fillId="3" borderId="8" xfId="0" applyNumberFormat="1" applyFont="1" applyFill="1" applyBorder="1" applyAlignment="1">
      <alignment horizontal="center"/>
    </xf>
    <xf numFmtId="10" fontId="38" fillId="3" borderId="8" xfId="0" applyNumberFormat="1" applyFont="1" applyFill="1" applyBorder="1" applyAlignment="1">
      <alignment horizontal="right"/>
    </xf>
    <xf numFmtId="10" fontId="38" fillId="3" borderId="8" xfId="69" applyNumberFormat="1" applyFont="1" applyFill="1" applyBorder="1" applyAlignment="1">
      <alignment horizontal="right"/>
    </xf>
    <xf numFmtId="0" fontId="38" fillId="3" borderId="17" xfId="0" applyFont="1" applyFill="1" applyBorder="1" applyAlignment="1">
      <alignment horizontal="center"/>
    </xf>
    <xf numFmtId="37" fontId="38" fillId="3" borderId="0" xfId="0" applyNumberFormat="1" applyFont="1" applyFill="1" applyBorder="1" applyAlignment="1">
      <alignment horizontal="center"/>
    </xf>
    <xf numFmtId="0" fontId="37" fillId="0" borderId="0" xfId="0" applyFont="1" applyFill="1" applyBorder="1" applyAlignment="1">
      <alignment horizontal="center"/>
    </xf>
    <xf numFmtId="10" fontId="37" fillId="0" borderId="0" xfId="0" applyNumberFormat="1" applyFont="1" applyFill="1" applyBorder="1"/>
    <xf numFmtId="0" fontId="39" fillId="0" borderId="0" xfId="66" applyNumberFormat="1" applyFont="1" applyFill="1" applyBorder="1" applyAlignment="1">
      <alignment horizontal="right" vertical="center"/>
    </xf>
    <xf numFmtId="166" fontId="37" fillId="0" borderId="0" xfId="66" applyNumberFormat="1" applyFont="1" applyFill="1" applyBorder="1" applyAlignment="1"/>
    <xf numFmtId="3" fontId="37" fillId="0" borderId="0" xfId="0" applyNumberFormat="1" applyFont="1" applyFill="1" applyBorder="1"/>
    <xf numFmtId="0" fontId="39" fillId="0" borderId="9" xfId="66" applyNumberFormat="1" applyFont="1" applyFill="1" applyBorder="1" applyAlignment="1">
      <alignment horizontal="right" vertical="center"/>
    </xf>
    <xf numFmtId="37" fontId="69" fillId="0" borderId="0" xfId="52" applyFont="1" applyAlignment="1">
      <alignment horizontal="left"/>
    </xf>
    <xf numFmtId="37" fontId="69" fillId="0" borderId="0" xfId="52" applyFont="1" applyFill="1" applyAlignment="1"/>
    <xf numFmtId="37" fontId="69" fillId="0" borderId="0" xfId="52" applyFont="1" applyFill="1" applyBorder="1" applyAlignment="1"/>
    <xf numFmtId="9" fontId="69" fillId="0" borderId="0" xfId="69" applyNumberFormat="1" applyFont="1" applyFill="1" applyAlignment="1">
      <alignment horizontal="center"/>
    </xf>
    <xf numFmtId="204" fontId="11" fillId="0" borderId="0" xfId="52" applyNumberFormat="1" applyFont="1" applyFill="1" applyBorder="1" applyAlignment="1"/>
    <xf numFmtId="204" fontId="50" fillId="0" borderId="0" xfId="52" applyNumberFormat="1" applyFont="1" applyFill="1" applyBorder="1" applyAlignment="1"/>
    <xf numFmtId="204" fontId="7" fillId="0" borderId="32" xfId="52" applyNumberFormat="1" applyFont="1" applyFill="1" applyBorder="1" applyAlignment="1">
      <alignment horizontal="right"/>
    </xf>
    <xf numFmtId="204" fontId="7" fillId="0" borderId="32" xfId="52" applyNumberFormat="1" applyFont="1" applyFill="1" applyBorder="1" applyAlignment="1"/>
    <xf numFmtId="37" fontId="54" fillId="0" borderId="0" xfId="52" applyFont="1" applyAlignment="1">
      <alignment horizontal="center"/>
    </xf>
    <xf numFmtId="10" fontId="37" fillId="0" borderId="0" xfId="69" applyNumberFormat="1" applyFont="1" applyAlignment="1"/>
    <xf numFmtId="9" fontId="11" fillId="0" borderId="0" xfId="69" applyNumberFormat="1" applyFont="1" applyAlignment="1"/>
    <xf numFmtId="10" fontId="38" fillId="3" borderId="9" xfId="69" applyNumberFormat="1" applyFont="1" applyFill="1" applyBorder="1" applyAlignment="1"/>
    <xf numFmtId="10" fontId="38" fillId="3" borderId="8" xfId="69" applyNumberFormat="1" applyFont="1" applyFill="1" applyBorder="1" applyAlignment="1"/>
    <xf numFmtId="14" fontId="0" fillId="0" borderId="0" xfId="0" applyNumberFormat="1" applyAlignment="1"/>
    <xf numFmtId="3" fontId="1" fillId="0" borderId="0" xfId="0" applyNumberFormat="1" applyFont="1" applyBorder="1" applyAlignment="1"/>
    <xf numFmtId="37" fontId="1" fillId="0" borderId="19" xfId="52" applyFont="1" applyBorder="1" applyAlignment="1">
      <alignment horizontal="left"/>
    </xf>
    <xf numFmtId="0" fontId="0" fillId="0" borderId="18" xfId="0" applyBorder="1"/>
    <xf numFmtId="3" fontId="1" fillId="0" borderId="7" xfId="0" applyNumberFormat="1" applyFont="1" applyBorder="1" applyAlignment="1"/>
    <xf numFmtId="37" fontId="29" fillId="0" borderId="16" xfId="52" applyFont="1" applyBorder="1" applyAlignment="1">
      <alignment horizontal="left"/>
    </xf>
    <xf numFmtId="37" fontId="0" fillId="0" borderId="31" xfId="0" applyNumberFormat="1" applyBorder="1"/>
    <xf numFmtId="3" fontId="1" fillId="0" borderId="2" xfId="0" applyNumberFormat="1" applyFont="1" applyBorder="1" applyAlignment="1"/>
    <xf numFmtId="3" fontId="1" fillId="0" borderId="34" xfId="0" applyNumberFormat="1" applyFont="1" applyBorder="1" applyAlignment="1"/>
    <xf numFmtId="37" fontId="0" fillId="0" borderId="11" xfId="0" applyNumberFormat="1" applyBorder="1"/>
    <xf numFmtId="3" fontId="1" fillId="0" borderId="12" xfId="0" applyNumberFormat="1" applyFont="1" applyBorder="1" applyAlignment="1"/>
    <xf numFmtId="3" fontId="1" fillId="0" borderId="13" xfId="0" applyNumberFormat="1" applyFont="1" applyBorder="1" applyAlignment="1"/>
    <xf numFmtId="3" fontId="1" fillId="0" borderId="21" xfId="0" applyNumberFormat="1" applyFont="1" applyBorder="1" applyAlignment="1"/>
    <xf numFmtId="14" fontId="0" fillId="0" borderId="11" xfId="0" applyNumberFormat="1" applyBorder="1" applyAlignment="1"/>
    <xf numFmtId="14" fontId="0" fillId="0" borderId="12" xfId="0" applyNumberFormat="1" applyBorder="1" applyAlignment="1"/>
    <xf numFmtId="14" fontId="0" fillId="0" borderId="0" xfId="0" applyNumberFormat="1" applyBorder="1" applyAlignment="1"/>
    <xf numFmtId="14" fontId="0" fillId="0" borderId="21" xfId="0" applyNumberFormat="1" applyBorder="1" applyAlignment="1"/>
    <xf numFmtId="14" fontId="0" fillId="0" borderId="31" xfId="0" applyNumberFormat="1" applyBorder="1" applyAlignment="1"/>
    <xf numFmtId="14" fontId="0" fillId="0" borderId="2" xfId="0" applyNumberFormat="1" applyBorder="1" applyAlignment="1"/>
    <xf numFmtId="0" fontId="1" fillId="0" borderId="0" xfId="0" applyFont="1" applyFill="1" applyBorder="1" applyAlignment="1">
      <alignment horizontal="left"/>
    </xf>
    <xf numFmtId="10" fontId="0" fillId="0" borderId="0" xfId="0" applyNumberFormat="1" applyBorder="1"/>
    <xf numFmtId="10" fontId="0" fillId="0" borderId="0" xfId="69" applyNumberFormat="1" applyFont="1" applyBorder="1"/>
    <xf numFmtId="37" fontId="50" fillId="0" borderId="0" xfId="52" applyFont="1" applyFill="1" applyBorder="1" applyAlignment="1">
      <alignment horizontal="center"/>
    </xf>
    <xf numFmtId="0" fontId="38" fillId="3" borderId="18" xfId="0" applyFont="1" applyFill="1" applyBorder="1"/>
    <xf numFmtId="0" fontId="38" fillId="3" borderId="17" xfId="0" applyFont="1" applyFill="1" applyBorder="1"/>
    <xf numFmtId="0" fontId="1" fillId="3" borderId="0" xfId="0" applyFont="1" applyFill="1" applyBorder="1" applyAlignment="1">
      <alignment horizontal="left"/>
    </xf>
    <xf numFmtId="0" fontId="17" fillId="0" borderId="0" xfId="0" applyFont="1" applyBorder="1" applyAlignment="1">
      <alignment horizontal="center"/>
    </xf>
    <xf numFmtId="0" fontId="1" fillId="0" borderId="10" xfId="0" applyFont="1" applyBorder="1" applyAlignment="1"/>
    <xf numFmtId="0" fontId="1" fillId="0" borderId="8" xfId="0" applyFont="1" applyFill="1" applyBorder="1" applyAlignment="1">
      <alignment horizontal="left"/>
    </xf>
    <xf numFmtId="10" fontId="1" fillId="0" borderId="8" xfId="69" applyNumberFormat="1" applyFont="1" applyBorder="1" applyAlignment="1"/>
    <xf numFmtId="3" fontId="71" fillId="0" borderId="7" xfId="0" applyNumberFormat="1" applyFont="1" applyBorder="1" applyAlignment="1"/>
    <xf numFmtId="0" fontId="11" fillId="0" borderId="17" xfId="0" applyFont="1" applyBorder="1" applyAlignment="1"/>
    <xf numFmtId="0" fontId="145" fillId="0" borderId="0" xfId="0" applyFont="1" applyAlignment="1">
      <alignment horizontal="center"/>
    </xf>
    <xf numFmtId="0" fontId="145" fillId="0" borderId="0" xfId="0" applyFont="1"/>
    <xf numFmtId="3" fontId="145" fillId="0" borderId="0" xfId="0" applyNumberFormat="1" applyFont="1"/>
    <xf numFmtId="0" fontId="37" fillId="0" borderId="0" xfId="0" applyFont="1" applyFill="1" applyAlignment="1">
      <alignment horizontal="left"/>
    </xf>
    <xf numFmtId="14" fontId="1" fillId="0" borderId="0" xfId="65" applyNumberFormat="1" applyBorder="1"/>
    <xf numFmtId="0" fontId="0" fillId="0" borderId="18" xfId="0" applyFill="1" applyBorder="1"/>
    <xf numFmtId="10" fontId="11" fillId="0" borderId="8" xfId="69" applyNumberFormat="1" applyFont="1" applyFill="1" applyBorder="1" applyAlignment="1"/>
    <xf numFmtId="3" fontId="11" fillId="0" borderId="17" xfId="68" applyFont="1" applyFill="1" applyBorder="1" applyAlignment="1"/>
    <xf numFmtId="10" fontId="11" fillId="0" borderId="0" xfId="69" applyNumberFormat="1" applyFont="1" applyFill="1" applyBorder="1" applyAlignment="1">
      <alignment horizontal="center"/>
    </xf>
    <xf numFmtId="9" fontId="1" fillId="0" borderId="0" xfId="69" applyFont="1" applyFill="1" applyBorder="1" applyAlignment="1"/>
    <xf numFmtId="9" fontId="1" fillId="0" borderId="0" xfId="69" applyFill="1" applyBorder="1" applyAlignment="1"/>
    <xf numFmtId="14" fontId="36" fillId="0" borderId="2" xfId="0" applyNumberFormat="1" applyFont="1" applyBorder="1" applyAlignment="1"/>
    <xf numFmtId="14" fontId="36" fillId="0" borderId="4" xfId="65" applyNumberFormat="1" applyFont="1" applyBorder="1"/>
    <xf numFmtId="37" fontId="5" fillId="0" borderId="0" xfId="52" applyFont="1" applyFill="1" applyAlignment="1">
      <alignment horizontal="center"/>
    </xf>
    <xf numFmtId="3" fontId="1" fillId="0" borderId="5" xfId="0" applyNumberFormat="1" applyFont="1" applyBorder="1" applyAlignment="1"/>
    <xf numFmtId="14" fontId="37" fillId="0" borderId="12" xfId="0" applyNumberFormat="1" applyFont="1" applyBorder="1" applyAlignment="1"/>
    <xf numFmtId="14" fontId="36" fillId="0" borderId="5" xfId="0" applyNumberFormat="1" applyFont="1" applyBorder="1" applyAlignment="1"/>
    <xf numFmtId="14" fontId="37" fillId="0" borderId="0" xfId="0" applyNumberFormat="1" applyFont="1" applyBorder="1" applyAlignment="1"/>
    <xf numFmtId="14" fontId="37" fillId="0" borderId="5" xfId="0" applyNumberFormat="1" applyFont="1" applyBorder="1" applyAlignment="1"/>
    <xf numFmtId="14" fontId="11" fillId="0" borderId="0" xfId="0" applyNumberFormat="1" applyFont="1" applyFill="1" applyBorder="1" applyAlignment="1"/>
    <xf numFmtId="3" fontId="38" fillId="0" borderId="0" xfId="0" applyNumberFormat="1" applyFont="1" applyFill="1" applyBorder="1" applyAlignment="1"/>
    <xf numFmtId="3" fontId="37" fillId="0" borderId="0" xfId="65" applyNumberFormat="1" applyFont="1" applyAlignment="1">
      <alignment horizontal="center"/>
    </xf>
    <xf numFmtId="3" fontId="37" fillId="0" borderId="0" xfId="65" applyNumberFormat="1" applyFont="1" applyAlignment="1"/>
    <xf numFmtId="4" fontId="37" fillId="0" borderId="0" xfId="65" applyFont="1"/>
    <xf numFmtId="10" fontId="37" fillId="0" borderId="0" xfId="65" applyNumberFormat="1" applyFont="1"/>
    <xf numFmtId="164" fontId="37" fillId="0" borderId="0" xfId="65" applyNumberFormat="1" applyFont="1" applyAlignment="1"/>
    <xf numFmtId="3" fontId="37" fillId="0" borderId="0" xfId="65" applyNumberFormat="1" applyFont="1" applyAlignment="1" applyProtection="1">
      <protection locked="0"/>
    </xf>
    <xf numFmtId="9" fontId="37" fillId="0" borderId="0" xfId="69" applyFont="1" applyAlignment="1">
      <alignment horizontal="center"/>
    </xf>
    <xf numFmtId="3" fontId="50" fillId="0" borderId="0" xfId="65" applyNumberFormat="1" applyFont="1" applyAlignment="1">
      <alignment horizontal="left"/>
    </xf>
    <xf numFmtId="204" fontId="38" fillId="0" borderId="0" xfId="52" applyNumberFormat="1" applyFont="1" applyBorder="1"/>
    <xf numFmtId="177" fontId="38" fillId="0" borderId="0" xfId="52" applyNumberFormat="1" applyFont="1" applyFill="1" applyBorder="1" applyAlignment="1"/>
    <xf numFmtId="0" fontId="17" fillId="0" borderId="19" xfId="0" applyFont="1" applyBorder="1" applyAlignment="1">
      <alignment horizontal="left"/>
    </xf>
    <xf numFmtId="0" fontId="30" fillId="0" borderId="9" xfId="0" applyFont="1" applyBorder="1"/>
    <xf numFmtId="41" fontId="30" fillId="0" borderId="9" xfId="0" applyNumberFormat="1" applyFont="1" applyBorder="1"/>
    <xf numFmtId="0" fontId="53" fillId="0" borderId="9" xfId="0" applyFont="1" applyFill="1" applyBorder="1" applyAlignment="1">
      <alignment horizontal="left"/>
    </xf>
    <xf numFmtId="0" fontId="16" fillId="0" borderId="9" xfId="0" applyFont="1" applyFill="1" applyBorder="1" applyAlignment="1">
      <alignment horizontal="center"/>
    </xf>
    <xf numFmtId="0" fontId="17" fillId="0" borderId="9" xfId="0" applyFont="1" applyFill="1" applyBorder="1" applyAlignment="1"/>
    <xf numFmtId="0" fontId="30" fillId="0" borderId="9" xfId="0" applyFont="1" applyFill="1" applyBorder="1" applyAlignment="1"/>
    <xf numFmtId="0" fontId="11" fillId="0" borderId="9" xfId="0" applyFont="1" applyBorder="1" applyAlignment="1"/>
    <xf numFmtId="0" fontId="11" fillId="0" borderId="18" xfId="0" applyFont="1" applyBorder="1" applyAlignment="1"/>
    <xf numFmtId="0" fontId="30" fillId="0" borderId="10" xfId="0" applyFont="1" applyBorder="1"/>
    <xf numFmtId="0" fontId="30" fillId="0" borderId="10" xfId="0" applyFont="1" applyBorder="1" applyAlignment="1">
      <alignment horizontal="center"/>
    </xf>
    <xf numFmtId="333" fontId="11" fillId="0" borderId="10" xfId="0" applyNumberFormat="1" applyFont="1" applyBorder="1" applyAlignment="1"/>
    <xf numFmtId="0" fontId="11" fillId="0" borderId="7" xfId="0" applyFont="1" applyFill="1" applyBorder="1" applyAlignment="1"/>
    <xf numFmtId="10" fontId="38" fillId="0" borderId="0" xfId="69" applyNumberFormat="1" applyFont="1" applyBorder="1" applyAlignment="1"/>
    <xf numFmtId="9" fontId="30" fillId="0" borderId="43" xfId="69" applyFont="1" applyBorder="1" applyAlignment="1">
      <alignment horizontal="right"/>
    </xf>
    <xf numFmtId="0" fontId="30" fillId="0" borderId="8" xfId="0" applyFont="1" applyBorder="1" applyAlignment="1"/>
    <xf numFmtId="0" fontId="30" fillId="0" borderId="8" xfId="0" applyFont="1" applyBorder="1"/>
    <xf numFmtId="0" fontId="11" fillId="0" borderId="8" xfId="0" applyFont="1" applyBorder="1" applyAlignment="1"/>
    <xf numFmtId="0" fontId="30" fillId="0" borderId="8" xfId="0" applyFont="1" applyFill="1" applyBorder="1"/>
    <xf numFmtId="0" fontId="11" fillId="0" borderId="8" xfId="0" applyFont="1" applyFill="1" applyBorder="1" applyAlignment="1"/>
    <xf numFmtId="0" fontId="11" fillId="0" borderId="17" xfId="0" applyFont="1" applyFill="1" applyBorder="1" applyAlignment="1"/>
    <xf numFmtId="3" fontId="30" fillId="0" borderId="0" xfId="0" applyNumberFormat="1" applyFont="1" applyAlignment="1">
      <alignment horizontal="center"/>
    </xf>
    <xf numFmtId="3" fontId="39" fillId="0" borderId="0" xfId="0" applyNumberFormat="1" applyFont="1" applyFill="1" applyBorder="1" applyAlignment="1">
      <alignment horizontal="left"/>
    </xf>
    <xf numFmtId="3" fontId="39" fillId="0" borderId="0" xfId="0" applyNumberFormat="1" applyFont="1" applyFill="1" applyAlignment="1">
      <alignment horizontal="center"/>
    </xf>
    <xf numFmtId="0" fontId="0" fillId="0" borderId="32" xfId="0" applyBorder="1"/>
    <xf numFmtId="9" fontId="1" fillId="0" borderId="32" xfId="69" applyFont="1" applyFill="1" applyBorder="1" applyAlignment="1"/>
    <xf numFmtId="37" fontId="37" fillId="0" borderId="34" xfId="52" applyFont="1" applyBorder="1" applyAlignment="1">
      <alignment horizontal="center"/>
    </xf>
    <xf numFmtId="9" fontId="1" fillId="0" borderId="4" xfId="69" applyFont="1" applyFill="1" applyBorder="1" applyAlignment="1"/>
    <xf numFmtId="9" fontId="1" fillId="0" borderId="0" xfId="69" applyFont="1" applyFill="1" applyAlignment="1">
      <alignment horizontal="center"/>
    </xf>
    <xf numFmtId="9" fontId="1" fillId="0" borderId="32" xfId="69" applyFont="1" applyFill="1" applyBorder="1" applyAlignment="1">
      <alignment horizontal="center"/>
    </xf>
    <xf numFmtId="37" fontId="37" fillId="0" borderId="32" xfId="52" applyFont="1" applyBorder="1" applyAlignment="1"/>
    <xf numFmtId="37" fontId="1" fillId="0" borderId="32" xfId="52" applyFont="1" applyBorder="1" applyAlignment="1"/>
    <xf numFmtId="14" fontId="151" fillId="0" borderId="20" xfId="0" applyNumberFormat="1" applyFont="1" applyBorder="1" applyAlignment="1"/>
    <xf numFmtId="14" fontId="151" fillId="0" borderId="31" xfId="0" applyNumberFormat="1" applyFont="1" applyBorder="1" applyAlignment="1"/>
    <xf numFmtId="37" fontId="59" fillId="0" borderId="20" xfId="0" applyNumberFormat="1" applyFont="1" applyBorder="1"/>
    <xf numFmtId="37" fontId="59" fillId="0" borderId="31" xfId="0" applyNumberFormat="1" applyFont="1" applyBorder="1"/>
    <xf numFmtId="3" fontId="38" fillId="0" borderId="0" xfId="65" applyNumberFormat="1" applyFont="1" applyAlignment="1">
      <alignment horizontal="left"/>
    </xf>
    <xf numFmtId="177" fontId="39" fillId="0" borderId="32" xfId="52" applyNumberFormat="1" applyFont="1" applyFill="1" applyBorder="1" applyAlignment="1"/>
    <xf numFmtId="204" fontId="38" fillId="0" borderId="32" xfId="52" applyNumberFormat="1" applyFont="1" applyFill="1" applyBorder="1"/>
    <xf numFmtId="9" fontId="11" fillId="0" borderId="0" xfId="0" applyNumberFormat="1" applyFont="1" applyAlignment="1">
      <alignment horizontal="left"/>
    </xf>
    <xf numFmtId="37" fontId="37" fillId="0" borderId="44" xfId="52" applyFont="1" applyFill="1" applyBorder="1" applyAlignment="1"/>
    <xf numFmtId="37" fontId="11" fillId="0" borderId="0" xfId="0" applyNumberFormat="1" applyFont="1" applyFill="1" applyBorder="1" applyAlignment="1"/>
    <xf numFmtId="204" fontId="50" fillId="6" borderId="0" xfId="52" applyNumberFormat="1" applyFont="1" applyFill="1" applyBorder="1" applyAlignment="1"/>
    <xf numFmtId="204" fontId="11" fillId="6" borderId="4" xfId="52" applyNumberFormat="1" applyFont="1" applyFill="1" applyBorder="1" applyAlignment="1"/>
    <xf numFmtId="204" fontId="38" fillId="0" borderId="6" xfId="52" applyNumberFormat="1" applyFont="1" applyFill="1" applyBorder="1" applyAlignment="1"/>
    <xf numFmtId="204" fontId="39" fillId="6" borderId="6" xfId="52" applyNumberFormat="1" applyFont="1" applyFill="1" applyBorder="1" applyAlignment="1"/>
    <xf numFmtId="0" fontId="39" fillId="0" borderId="0" xfId="0" applyFont="1" applyFill="1" applyAlignment="1"/>
    <xf numFmtId="0" fontId="39" fillId="0" borderId="0" xfId="0" applyFont="1" applyFill="1" applyAlignment="1">
      <alignment horizontal="right"/>
    </xf>
    <xf numFmtId="4" fontId="38" fillId="0" borderId="0" xfId="0" applyNumberFormat="1" applyFont="1" applyFill="1" applyAlignment="1"/>
    <xf numFmtId="204" fontId="39" fillId="0" borderId="6" xfId="52" applyNumberFormat="1" applyFont="1" applyFill="1" applyBorder="1" applyAlignment="1"/>
    <xf numFmtId="3" fontId="39" fillId="0" borderId="0" xfId="0" applyNumberFormat="1" applyFont="1" applyFill="1" applyAlignment="1"/>
    <xf numFmtId="0" fontId="39" fillId="0" borderId="0" xfId="0" applyFont="1" applyFill="1"/>
    <xf numFmtId="204" fontId="1" fillId="0" borderId="30" xfId="52" applyNumberFormat="1" applyFont="1" applyFill="1" applyBorder="1" applyAlignment="1">
      <alignment horizontal="right"/>
    </xf>
    <xf numFmtId="204" fontId="1" fillId="6" borderId="0" xfId="52" applyNumberFormat="1" applyFont="1" applyFill="1" applyBorder="1" applyAlignment="1">
      <alignment horizontal="right"/>
    </xf>
    <xf numFmtId="3" fontId="1" fillId="0" borderId="4" xfId="0" applyNumberFormat="1" applyFont="1" applyBorder="1" applyAlignment="1"/>
    <xf numFmtId="204" fontId="11" fillId="0" borderId="4" xfId="52" applyNumberFormat="1" applyFont="1" applyBorder="1" applyAlignment="1"/>
    <xf numFmtId="0" fontId="1" fillId="0" borderId="0" xfId="0" applyFont="1" applyFill="1"/>
    <xf numFmtId="0" fontId="1" fillId="0" borderId="4" xfId="0" applyFont="1" applyFill="1" applyBorder="1"/>
    <xf numFmtId="4" fontId="1" fillId="0" borderId="4" xfId="0" applyNumberFormat="1" applyFont="1" applyBorder="1" applyAlignment="1"/>
    <xf numFmtId="0" fontId="1" fillId="0" borderId="4" xfId="0" applyFont="1" applyBorder="1" applyAlignment="1"/>
    <xf numFmtId="340" fontId="37" fillId="0" borderId="0" xfId="52" applyNumberFormat="1" applyFont="1" applyFill="1" applyBorder="1" applyAlignment="1"/>
    <xf numFmtId="0" fontId="152" fillId="0" borderId="0" xfId="0" applyFont="1"/>
    <xf numFmtId="3" fontId="37" fillId="0" borderId="0" xfId="0" applyNumberFormat="1" applyFont="1" applyFill="1" applyAlignment="1"/>
    <xf numFmtId="340" fontId="50" fillId="0" borderId="0" xfId="52" applyNumberFormat="1" applyFont="1" applyBorder="1" applyAlignment="1"/>
    <xf numFmtId="3" fontId="37" fillId="3" borderId="0" xfId="0" applyNumberFormat="1" applyFont="1" applyFill="1" applyAlignment="1"/>
    <xf numFmtId="37" fontId="148" fillId="3" borderId="0" xfId="52" applyFont="1" applyFill="1"/>
    <xf numFmtId="340" fontId="50" fillId="3" borderId="0" xfId="52" applyNumberFormat="1" applyFont="1" applyFill="1" applyBorder="1" applyAlignment="1"/>
    <xf numFmtId="0" fontId="50" fillId="3" borderId="0" xfId="0" applyFont="1" applyFill="1" applyAlignment="1"/>
    <xf numFmtId="9" fontId="37" fillId="3" borderId="0" xfId="69" applyFont="1" applyFill="1"/>
    <xf numFmtId="37" fontId="152" fillId="3" borderId="0" xfId="52" applyFont="1" applyFill="1"/>
    <xf numFmtId="9" fontId="0" fillId="3" borderId="0" xfId="69" applyFont="1" applyFill="1"/>
    <xf numFmtId="204" fontId="11" fillId="6" borderId="25" xfId="52" applyNumberFormat="1" applyFont="1" applyFill="1" applyBorder="1" applyAlignment="1"/>
    <xf numFmtId="204" fontId="38" fillId="0" borderId="6" xfId="0" applyNumberFormat="1" applyFont="1" applyBorder="1"/>
    <xf numFmtId="0" fontId="38" fillId="0" borderId="0" xfId="0" applyFont="1" applyFill="1" applyAlignment="1">
      <alignment horizontal="left"/>
    </xf>
    <xf numFmtId="10" fontId="38" fillId="0" borderId="0" xfId="0" applyNumberFormat="1" applyFont="1" applyFill="1" applyAlignment="1"/>
    <xf numFmtId="0" fontId="73" fillId="0" borderId="0" xfId="0" applyFont="1" applyFill="1" applyAlignment="1"/>
    <xf numFmtId="0" fontId="39" fillId="0" borderId="0" xfId="0" applyFont="1" applyAlignment="1"/>
    <xf numFmtId="10" fontId="30" fillId="0" borderId="0" xfId="69" applyNumberFormat="1" applyFont="1" applyFill="1"/>
    <xf numFmtId="204" fontId="1" fillId="0" borderId="4" xfId="52" applyNumberFormat="1" applyFont="1" applyFill="1" applyBorder="1"/>
    <xf numFmtId="10" fontId="58" fillId="0" borderId="4" xfId="69" applyNumberFormat="1" applyFont="1" applyBorder="1" applyAlignment="1"/>
    <xf numFmtId="0" fontId="58" fillId="0" borderId="0" xfId="0" applyFont="1" applyFill="1" applyAlignment="1"/>
    <xf numFmtId="14" fontId="0" fillId="0" borderId="0" xfId="0" applyNumberFormat="1"/>
    <xf numFmtId="205" fontId="0" fillId="0" borderId="4" xfId="52" applyNumberFormat="1" applyFont="1" applyBorder="1"/>
    <xf numFmtId="10" fontId="38" fillId="0" borderId="0" xfId="69" applyNumberFormat="1" applyFont="1"/>
    <xf numFmtId="2" fontId="37" fillId="0" borderId="4" xfId="0" applyNumberFormat="1" applyFont="1" applyFill="1" applyBorder="1" applyAlignment="1">
      <alignment horizontal="center"/>
    </xf>
    <xf numFmtId="10" fontId="73" fillId="0" borderId="4" xfId="69" applyNumberFormat="1" applyFont="1" applyBorder="1" applyAlignment="1"/>
    <xf numFmtId="0" fontId="30" fillId="0" borderId="0" xfId="0" applyFont="1" applyFill="1" applyAlignment="1">
      <alignment horizontal="right"/>
    </xf>
    <xf numFmtId="4" fontId="36" fillId="0" borderId="0" xfId="65" applyFont="1" applyBorder="1" applyAlignment="1"/>
    <xf numFmtId="37" fontId="58" fillId="0" borderId="0" xfId="52" applyFont="1" applyAlignment="1"/>
    <xf numFmtId="177" fontId="37" fillId="6" borderId="4" xfId="52" applyNumberFormat="1" applyFont="1" applyFill="1" applyBorder="1" applyAlignment="1"/>
    <xf numFmtId="37" fontId="30" fillId="0" borderId="4" xfId="52" applyFont="1" applyFill="1" applyBorder="1"/>
    <xf numFmtId="344" fontId="30" fillId="0" borderId="4" xfId="69" applyNumberFormat="1" applyFont="1" applyFill="1" applyBorder="1"/>
    <xf numFmtId="336" fontId="30" fillId="0" borderId="4" xfId="69" applyNumberFormat="1" applyFont="1" applyFill="1" applyBorder="1"/>
    <xf numFmtId="37" fontId="58" fillId="0" borderId="0" xfId="52" applyFont="1" applyFill="1" applyAlignment="1"/>
    <xf numFmtId="204" fontId="11" fillId="0" borderId="0" xfId="0" applyNumberFormat="1" applyFont="1" applyFill="1" applyAlignment="1"/>
    <xf numFmtId="9" fontId="97" fillId="0" borderId="0" xfId="69" applyFont="1" applyFill="1" applyAlignment="1"/>
    <xf numFmtId="10" fontId="1" fillId="0" borderId="0" xfId="0" applyNumberFormat="1" applyFont="1" applyFill="1" applyAlignment="1"/>
    <xf numFmtId="204" fontId="7" fillId="0" borderId="0" xfId="0" applyNumberFormat="1" applyFont="1" applyFill="1" applyAlignment="1"/>
    <xf numFmtId="0" fontId="147" fillId="0" borderId="0" xfId="0" applyFont="1" applyAlignment="1">
      <alignment horizontal="center"/>
    </xf>
    <xf numFmtId="37" fontId="0" fillId="0" borderId="0" xfId="0" applyNumberFormat="1"/>
    <xf numFmtId="10" fontId="0" fillId="0" borderId="0" xfId="0" applyNumberFormat="1" applyAlignment="1">
      <alignment horizontal="center"/>
    </xf>
    <xf numFmtId="0" fontId="51" fillId="0" borderId="0" xfId="0" applyFont="1" applyAlignment="1">
      <alignment horizontal="center"/>
    </xf>
    <xf numFmtId="15" fontId="51" fillId="0" borderId="0" xfId="0" applyNumberFormat="1" applyFont="1" applyAlignment="1">
      <alignment horizontal="center"/>
    </xf>
    <xf numFmtId="9" fontId="147" fillId="0" borderId="0" xfId="69" applyFont="1" applyAlignment="1">
      <alignment horizontal="center"/>
    </xf>
    <xf numFmtId="10" fontId="51" fillId="0" borderId="0" xfId="69" applyNumberFormat="1" applyFont="1"/>
    <xf numFmtId="37" fontId="0" fillId="0" borderId="0" xfId="52" applyFont="1" applyAlignment="1">
      <alignment horizontal="center"/>
    </xf>
    <xf numFmtId="351" fontId="147" fillId="0" borderId="0" xfId="0" applyNumberFormat="1" applyFont="1" applyAlignment="1">
      <alignment horizontal="center"/>
    </xf>
    <xf numFmtId="9" fontId="0" fillId="0" borderId="0" xfId="0" applyNumberFormat="1"/>
    <xf numFmtId="336" fontId="37" fillId="0" borderId="0" xfId="69" applyNumberFormat="1" applyFont="1" applyFill="1" applyBorder="1"/>
  </cellXfs>
  <cellStyles count="77">
    <cellStyle name="__ [0]___" xfId="1"/>
    <cellStyle name="__ [0]____" xfId="2"/>
    <cellStyle name="__ [0]______" xfId="3"/>
    <cellStyle name="__ [0]__________" xfId="4"/>
    <cellStyle name="__ [0]_94___" xfId="5"/>
    <cellStyle name="__ [0]_dimon" xfId="6"/>
    <cellStyle name="__ [0]_form" xfId="7"/>
    <cellStyle name="__ [0]_laroux" xfId="8"/>
    <cellStyle name="__ [0]_laroux_1" xfId="9"/>
    <cellStyle name="__ [0]_laroux_2" xfId="10"/>
    <cellStyle name="__ [0]_PERSONAL" xfId="11"/>
    <cellStyle name="__ [0]_PERSONAL_1" xfId="12"/>
    <cellStyle name="__ [0]_PERSONAL_2" xfId="13"/>
    <cellStyle name="__ [0]_PERSONAL_3" xfId="14"/>
    <cellStyle name="__ [0]_Sheet2" xfId="15"/>
    <cellStyle name="____.____" xfId="16"/>
    <cellStyle name="_____" xfId="17"/>
    <cellStyle name="______" xfId="18"/>
    <cellStyle name="_______" xfId="19"/>
    <cellStyle name="________" xfId="20"/>
    <cellStyle name="__________" xfId="21"/>
    <cellStyle name="____________" xfId="22"/>
    <cellStyle name="_________1" xfId="23"/>
    <cellStyle name="_________2" xfId="24"/>
    <cellStyle name="________1" xfId="25"/>
    <cellStyle name="______1" xfId="26"/>
    <cellStyle name="___94___" xfId="27"/>
    <cellStyle name="___97___" xfId="28"/>
    <cellStyle name="___970120" xfId="29"/>
    <cellStyle name="___BEBU_GI" xfId="30"/>
    <cellStyle name="___dimon" xfId="31"/>
    <cellStyle name="___form" xfId="32"/>
    <cellStyle name="___ga_PB" xfId="33"/>
    <cellStyle name="___laroux" xfId="34"/>
    <cellStyle name="___laroux_1" xfId="35"/>
    <cellStyle name="___laroux_2" xfId="36"/>
    <cellStyle name="___laroux_3" xfId="37"/>
    <cellStyle name="___laroux_4" xfId="38"/>
    <cellStyle name="___laroux_5" xfId="39"/>
    <cellStyle name="___laroux_6" xfId="40"/>
    <cellStyle name="___laroux_7" xfId="41"/>
    <cellStyle name="___laroux_8" xfId="42"/>
    <cellStyle name="___PERSONAL" xfId="43"/>
    <cellStyle name="___PERSONAL_1" xfId="44"/>
    <cellStyle name="___PERSONAL_2" xfId="45"/>
    <cellStyle name="___PERSONAL_3" xfId="46"/>
    <cellStyle name="___PERSONAL_4" xfId="47"/>
    <cellStyle name="___Query11" xfId="48"/>
    <cellStyle name="___Sheet1" xfId="49"/>
    <cellStyle name="___Sheet1 (2)" xfId="50"/>
    <cellStyle name="___Sheet2" xfId="51"/>
    <cellStyle name="Comma" xfId="52" builtinId="3"/>
    <cellStyle name="Currency" xfId="53" builtinId="4"/>
    <cellStyle name="Date" xfId="54"/>
    <cellStyle name="Fixed" xfId="55"/>
    <cellStyle name="Grey" xfId="56"/>
    <cellStyle name="HEADER" xfId="57"/>
    <cellStyle name="Header1" xfId="58"/>
    <cellStyle name="Header2" xfId="59"/>
    <cellStyle name="Heading1" xfId="60"/>
    <cellStyle name="Heading2" xfId="61"/>
    <cellStyle name="HIGHLIGHT" xfId="62"/>
    <cellStyle name="Input [yellow]" xfId="63"/>
    <cellStyle name="Normal" xfId="0" builtinId="0"/>
    <cellStyle name="Normal - Style1" xfId="64"/>
    <cellStyle name="Normal_Debt" xfId="65"/>
    <cellStyle name="Normal_EWCSum" xfId="66"/>
    <cellStyle name="Normal_ExecSum" xfId="67"/>
    <cellStyle name="Normal_Zond" xfId="68"/>
    <cellStyle name="Percent" xfId="69" builtinId="5"/>
    <cellStyle name="Percent [2]" xfId="70"/>
    <cellStyle name="summation" xfId="71"/>
    <cellStyle name="Total" xfId="72" builtinId="25" customBuiltin="1"/>
    <cellStyle name="Unprot" xfId="73"/>
    <cellStyle name="Unprot$" xfId="74"/>
    <cellStyle name="Unprot_dimon" xfId="75"/>
    <cellStyle name="Unprotect" xfId="7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EWC Quarterly Cash</a:t>
            </a:r>
          </a:p>
        </c:rich>
      </c:tx>
      <c:layout>
        <c:manualLayout>
          <c:xMode val="edge"/>
          <c:yMode val="edge"/>
          <c:x val="0.40880787366789489"/>
          <c:y val="4.455589596009743E-2"/>
        </c:manualLayout>
      </c:layout>
      <c:overlay val="0"/>
      <c:spPr>
        <a:noFill/>
        <a:ln w="25400">
          <a:noFill/>
        </a:ln>
      </c:spPr>
    </c:title>
    <c:autoTitleDeleted val="0"/>
    <c:plotArea>
      <c:layout>
        <c:manualLayout>
          <c:layoutTarget val="inner"/>
          <c:xMode val="edge"/>
          <c:yMode val="edge"/>
          <c:x val="4.5604065588450426E-2"/>
          <c:y val="0.25248341044055211"/>
          <c:w val="0.93162591130691585"/>
          <c:h val="0.64358516386807396"/>
        </c:manualLayout>
      </c:layout>
      <c:barChart>
        <c:barDir val="col"/>
        <c:grouping val="clustered"/>
        <c:varyColors val="0"/>
        <c:ser>
          <c:idx val="0"/>
          <c:order val="0"/>
          <c:spPr>
            <a:solidFill>
              <a:srgbClr val="9999FF"/>
            </a:solidFill>
            <a:ln w="12700">
              <a:solidFill>
                <a:srgbClr val="000000"/>
              </a:solidFill>
              <a:prstDash val="solid"/>
            </a:ln>
          </c:spPr>
          <c:invertIfNegative val="0"/>
          <c:val>
            <c:numRef>
              <c:f>EWC!#REF!</c:f>
              <c:numCache>
                <c:formatCode>#,##0_);\(#,##0\)</c:formatCode>
                <c:ptCount val="1"/>
                <c:pt idx="0">
                  <c:v>1</c:v>
                </c:pt>
              </c:numCache>
            </c:numRef>
          </c:val>
        </c:ser>
        <c:dLbls>
          <c:showLegendKey val="0"/>
          <c:showVal val="0"/>
          <c:showCatName val="0"/>
          <c:showSerName val="0"/>
          <c:showPercent val="0"/>
          <c:showBubbleSize val="0"/>
        </c:dLbls>
        <c:gapWidth val="150"/>
        <c:axId val="246358688"/>
        <c:axId val="246358128"/>
      </c:barChart>
      <c:catAx>
        <c:axId val="246358688"/>
        <c:scaling>
          <c:orientation val="minMax"/>
        </c:scaling>
        <c:delete val="0"/>
        <c:axPos val="b"/>
        <c:majorTickMark val="none"/>
        <c:minorTickMark val="none"/>
        <c:tickLblPos val="none"/>
        <c:spPr>
          <a:ln w="3175">
            <a:solidFill>
              <a:srgbClr val="000000"/>
            </a:solidFill>
            <a:prstDash val="solid"/>
          </a:ln>
        </c:spPr>
        <c:crossAx val="246358128"/>
        <c:crosses val="autoZero"/>
        <c:auto val="1"/>
        <c:lblAlgn val="ctr"/>
        <c:lblOffset val="100"/>
        <c:tickLblSkip val="4"/>
        <c:tickMarkSkip val="1"/>
        <c:noMultiLvlLbl val="0"/>
      </c:catAx>
      <c:valAx>
        <c:axId val="246358128"/>
        <c:scaling>
          <c:orientation val="minMax"/>
        </c:scaling>
        <c:delete val="0"/>
        <c:axPos val="l"/>
        <c:majorGridlines>
          <c:spPr>
            <a:ln w="3175">
              <a:solidFill>
                <a:srgbClr val="000000"/>
              </a:solidFill>
              <a:prstDash val="solid"/>
            </a:ln>
          </c:spPr>
        </c:majorGridlines>
        <c:numFmt formatCode="#,##0_);\(#,##0\)" sourceLinked="1"/>
        <c:majorTickMark val="out"/>
        <c:minorTickMark val="none"/>
        <c:tickLblPos val="nextTo"/>
        <c:spPr>
          <a:ln w="3175">
            <a:solidFill>
              <a:srgbClr val="000000"/>
            </a:solidFill>
            <a:prstDash val="solid"/>
          </a:ln>
        </c:spPr>
        <c:txPr>
          <a:bodyPr rot="0" vert="horz"/>
          <a:lstStyle/>
          <a:p>
            <a:pPr>
              <a:defRPr sz="525" b="0" i="0" u="none" strike="noStrike" baseline="0">
                <a:solidFill>
                  <a:srgbClr val="000000"/>
                </a:solidFill>
                <a:latin typeface="Arial"/>
                <a:ea typeface="Arial"/>
                <a:cs typeface="Arial"/>
              </a:defRPr>
            </a:pPr>
            <a:endParaRPr lang="en-US"/>
          </a:p>
        </c:txPr>
        <c:crossAx val="246358688"/>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5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Outside Quarterly Cash</a:t>
            </a:r>
          </a:p>
        </c:rich>
      </c:tx>
      <c:layout>
        <c:manualLayout>
          <c:xMode val="edge"/>
          <c:yMode val="edge"/>
          <c:x val="0.37357488107419617"/>
          <c:y val="4.5456142849480165E-2"/>
        </c:manualLayout>
      </c:layout>
      <c:overlay val="0"/>
      <c:spPr>
        <a:noFill/>
        <a:ln w="25400">
          <a:noFill/>
        </a:ln>
      </c:spPr>
    </c:title>
    <c:autoTitleDeleted val="0"/>
    <c:plotArea>
      <c:layout>
        <c:manualLayout>
          <c:layoutTarget val="inner"/>
          <c:xMode val="edge"/>
          <c:yMode val="edge"/>
          <c:x val="5.3641521385012783E-2"/>
          <c:y val="0.25758480948038759"/>
          <c:w val="0.91956893802879058"/>
          <c:h val="0.63638599989272226"/>
        </c:manualLayout>
      </c:layout>
      <c:barChart>
        <c:barDir val="col"/>
        <c:grouping val="clustered"/>
        <c:varyColors val="0"/>
        <c:ser>
          <c:idx val="0"/>
          <c:order val="0"/>
          <c:spPr>
            <a:solidFill>
              <a:srgbClr val="9999FF"/>
            </a:solidFill>
            <a:ln w="12700">
              <a:solidFill>
                <a:srgbClr val="000000"/>
              </a:solidFill>
              <a:prstDash val="solid"/>
            </a:ln>
          </c:spPr>
          <c:invertIfNegative val="0"/>
          <c:val>
            <c:numRef>
              <c:f>Outside!#REF!</c:f>
              <c:numCache>
                <c:formatCode>#,##0_);\(#,##0\)</c:formatCode>
                <c:ptCount val="1"/>
                <c:pt idx="0">
                  <c:v>1</c:v>
                </c:pt>
              </c:numCache>
            </c:numRef>
          </c:val>
        </c:ser>
        <c:dLbls>
          <c:showLegendKey val="0"/>
          <c:showVal val="0"/>
          <c:showCatName val="0"/>
          <c:showSerName val="0"/>
          <c:showPercent val="0"/>
          <c:showBubbleSize val="0"/>
        </c:dLbls>
        <c:gapWidth val="150"/>
        <c:axId val="251877312"/>
        <c:axId val="251877872"/>
      </c:barChart>
      <c:catAx>
        <c:axId val="251877312"/>
        <c:scaling>
          <c:orientation val="minMax"/>
        </c:scaling>
        <c:delete val="0"/>
        <c:axPos val="b"/>
        <c:majorTickMark val="none"/>
        <c:minorTickMark val="none"/>
        <c:tickLblPos val="none"/>
        <c:spPr>
          <a:ln w="3175">
            <a:solidFill>
              <a:srgbClr val="000000"/>
            </a:solidFill>
            <a:prstDash val="solid"/>
          </a:ln>
        </c:spPr>
        <c:crossAx val="251877872"/>
        <c:crosses val="autoZero"/>
        <c:auto val="1"/>
        <c:lblAlgn val="ctr"/>
        <c:lblOffset val="100"/>
        <c:tickMarkSkip val="1"/>
        <c:noMultiLvlLbl val="0"/>
      </c:catAx>
      <c:valAx>
        <c:axId val="251877872"/>
        <c:scaling>
          <c:orientation val="minMax"/>
        </c:scaling>
        <c:delete val="0"/>
        <c:axPos val="l"/>
        <c:majorGridlines>
          <c:spPr>
            <a:ln w="3175">
              <a:solidFill>
                <a:srgbClr val="000000"/>
              </a:solidFill>
              <a:prstDash val="solid"/>
            </a:ln>
          </c:spPr>
        </c:majorGridlines>
        <c:numFmt formatCode="#,##0_);\(#,##0\)" sourceLinked="1"/>
        <c:majorTickMark val="out"/>
        <c:minorTickMark val="none"/>
        <c:tickLblPos val="nextTo"/>
        <c:spPr>
          <a:ln w="3175">
            <a:solidFill>
              <a:srgbClr val="000000"/>
            </a:solidFill>
            <a:prstDash val="solid"/>
          </a:ln>
        </c:spPr>
        <c:txPr>
          <a:bodyPr rot="0" vert="horz"/>
          <a:lstStyle/>
          <a:p>
            <a:pPr>
              <a:defRPr sz="500" b="0" i="0" u="none" strike="noStrike" baseline="0">
                <a:solidFill>
                  <a:srgbClr val="000000"/>
                </a:solidFill>
                <a:latin typeface="Arial"/>
                <a:ea typeface="Arial"/>
                <a:cs typeface="Arial"/>
              </a:defRPr>
            </a:pPr>
            <a:endParaRPr lang="en-US"/>
          </a:p>
        </c:txPr>
        <c:crossAx val="251877312"/>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5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1" i="0" u="none" strike="noStrike" baseline="0">
                <a:solidFill>
                  <a:srgbClr val="000000"/>
                </a:solidFill>
                <a:latin typeface="Arial"/>
                <a:ea typeface="Arial"/>
                <a:cs typeface="Arial"/>
              </a:defRPr>
            </a:pPr>
            <a:r>
              <a:rPr lang="en-US"/>
              <a:t>Enron Corp. Merchant Wind Play</a:t>
            </a:r>
          </a:p>
        </c:rich>
      </c:tx>
      <c:layout>
        <c:manualLayout>
          <c:xMode val="edge"/>
          <c:yMode val="edge"/>
          <c:x val="0.22839248865228259"/>
          <c:y val="3.2259103426559334E-2"/>
        </c:manualLayout>
      </c:layout>
      <c:overlay val="0"/>
      <c:spPr>
        <a:noFill/>
        <a:ln w="25400">
          <a:noFill/>
        </a:ln>
      </c:spPr>
    </c:title>
    <c:autoTitleDeleted val="0"/>
    <c:plotArea>
      <c:layout>
        <c:manualLayout>
          <c:layoutTarget val="inner"/>
          <c:xMode val="edge"/>
          <c:yMode val="edge"/>
          <c:x val="0.20881598962494408"/>
          <c:y val="0.18664195553937901"/>
          <c:w val="0.76837758682303636"/>
          <c:h val="0.75348048717749305"/>
        </c:manualLayout>
      </c:layout>
      <c:barChart>
        <c:barDir val="col"/>
        <c:grouping val="clustered"/>
        <c:varyColors val="0"/>
        <c:ser>
          <c:idx val="0"/>
          <c:order val="0"/>
          <c:tx>
            <c:strRef>
              <c:f>Merchant!$B$4</c:f>
              <c:strCache>
                <c:ptCount val="1"/>
                <c:pt idx="0">
                  <c:v>PV(Market Price)</c:v>
                </c:pt>
              </c:strCache>
            </c:strRef>
          </c:tx>
          <c:spPr>
            <a:solidFill>
              <a:srgbClr val="9999FF"/>
            </a:solidFill>
            <a:ln w="12700">
              <a:solidFill>
                <a:srgbClr val="000000"/>
              </a:solidFill>
              <a:prstDash val="solid"/>
            </a:ln>
          </c:spPr>
          <c:invertIfNegative val="0"/>
          <c:val>
            <c:numRef>
              <c:f>Merchant!$B$5</c:f>
              <c:numCache>
                <c:formatCode>#,##0_);\(#,##0\)</c:formatCode>
                <c:ptCount val="1"/>
                <c:pt idx="0">
                  <c:v>68955.688803655008</c:v>
                </c:pt>
              </c:numCache>
            </c:numRef>
          </c:val>
        </c:ser>
        <c:ser>
          <c:idx val="1"/>
          <c:order val="1"/>
          <c:tx>
            <c:strRef>
              <c:f>Merchant!$C$4</c:f>
              <c:strCache>
                <c:ptCount val="1"/>
                <c:pt idx="0">
                  <c:v>PV(Contract Price)</c:v>
                </c:pt>
              </c:strCache>
            </c:strRef>
          </c:tx>
          <c:spPr>
            <a:pattFill prst="dkHorz">
              <a:fgClr>
                <a:srgbClr xmlns:mc="http://schemas.openxmlformats.org/markup-compatibility/2006" xmlns:a14="http://schemas.microsoft.com/office/drawing/2010/main" val="9999FF" mc:Ignorable="a14" a14:legacySpreadsheetColorIndex="24"/>
              </a:fgClr>
              <a:bgClr>
                <a:srgbClr xmlns:mc="http://schemas.openxmlformats.org/markup-compatibility/2006" xmlns:a14="http://schemas.microsoft.com/office/drawing/2010/main" val="993366" mc:Ignorable="a14" a14:legacySpreadsheetColorIndex="25"/>
              </a:bgClr>
            </a:pattFill>
            <a:ln w="12700">
              <a:solidFill>
                <a:srgbClr val="000000"/>
              </a:solidFill>
              <a:prstDash val="solid"/>
            </a:ln>
          </c:spPr>
          <c:invertIfNegative val="0"/>
          <c:val>
            <c:numRef>
              <c:f>Merchant!$C$5</c:f>
              <c:numCache>
                <c:formatCode>#,##0_);\(#,##0\)</c:formatCode>
                <c:ptCount val="1"/>
                <c:pt idx="0">
                  <c:v>-68955.688803655008</c:v>
                </c:pt>
              </c:numCache>
            </c:numRef>
          </c:val>
        </c:ser>
        <c:ser>
          <c:idx val="2"/>
          <c:order val="2"/>
          <c:tx>
            <c:strRef>
              <c:f>Merchant!$D$4</c:f>
              <c:strCache>
                <c:ptCount val="1"/>
                <c:pt idx="0">
                  <c:v>PV(Green Premium)</c:v>
                </c:pt>
              </c:strCache>
            </c:strRef>
          </c:tx>
          <c:spPr>
            <a:solidFill>
              <a:srgbClr val="CCFFCC"/>
            </a:solidFill>
            <a:ln w="12700">
              <a:solidFill>
                <a:srgbClr val="000000"/>
              </a:solidFill>
              <a:prstDash val="solid"/>
            </a:ln>
          </c:spPr>
          <c:invertIfNegative val="0"/>
          <c:val>
            <c:numRef>
              <c:f>Merchant!$D$5</c:f>
              <c:numCache>
                <c:formatCode>#,##0_);\(#,##0\)</c:formatCode>
                <c:ptCount val="1"/>
                <c:pt idx="0">
                  <c:v>24184.412061342769</c:v>
                </c:pt>
              </c:numCache>
            </c:numRef>
          </c:val>
        </c:ser>
        <c:ser>
          <c:idx val="3"/>
          <c:order val="3"/>
          <c:tx>
            <c:strRef>
              <c:f>Merchant!$E$4</c:f>
              <c:strCache>
                <c:ptCount val="1"/>
                <c:pt idx="0">
                  <c:v>FMV(Project)</c:v>
                </c:pt>
              </c:strCache>
            </c:strRef>
          </c:tx>
          <c:spPr>
            <a:solidFill>
              <a:srgbClr val="FF9900"/>
            </a:solidFill>
            <a:ln w="12700">
              <a:solidFill>
                <a:srgbClr val="000000"/>
              </a:solidFill>
              <a:prstDash val="solid"/>
            </a:ln>
          </c:spPr>
          <c:invertIfNegative val="0"/>
          <c:val>
            <c:numRef>
              <c:f>Merchant!$E$5</c:f>
              <c:numCache>
                <c:formatCode>#,##0_);\(#,##0\)</c:formatCode>
                <c:ptCount val="1"/>
                <c:pt idx="0">
                  <c:v>131611.67485312273</c:v>
                </c:pt>
              </c:numCache>
            </c:numRef>
          </c:val>
        </c:ser>
        <c:ser>
          <c:idx val="4"/>
          <c:order val="4"/>
          <c:tx>
            <c:strRef>
              <c:f>Merchant!$F$4</c:f>
              <c:strCache>
                <c:ptCount val="1"/>
                <c:pt idx="0">
                  <c:v>Cost(Project)</c:v>
                </c:pt>
              </c:strCache>
            </c:strRef>
          </c:tx>
          <c:spPr>
            <a:pattFill prst="dkHorz">
              <a:fgClr>
                <a:srgbClr xmlns:mc="http://schemas.openxmlformats.org/markup-compatibility/2006" xmlns:a14="http://schemas.microsoft.com/office/drawing/2010/main" val="FF9900" mc:Ignorable="a14" a14:legacySpreadsheetColorIndex="52"/>
              </a:fgClr>
              <a:bgClr>
                <a:srgbClr xmlns:mc="http://schemas.openxmlformats.org/markup-compatibility/2006" xmlns:a14="http://schemas.microsoft.com/office/drawing/2010/main" val="660066" mc:Ignorable="a14" a14:legacySpreadsheetColorIndex="28"/>
              </a:bgClr>
            </a:pattFill>
            <a:ln w="12700">
              <a:solidFill>
                <a:srgbClr val="000000"/>
              </a:solidFill>
              <a:prstDash val="solid"/>
            </a:ln>
          </c:spPr>
          <c:invertIfNegative val="0"/>
          <c:val>
            <c:numRef>
              <c:f>Merchant!$F$5</c:f>
              <c:numCache>
                <c:formatCode>#,##0_);\(#,##0\)</c:formatCode>
                <c:ptCount val="1"/>
                <c:pt idx="0">
                  <c:v>-131695.53852738941</c:v>
                </c:pt>
              </c:numCache>
            </c:numRef>
          </c:val>
        </c:ser>
        <c:ser>
          <c:idx val="6"/>
          <c:order val="5"/>
          <c:tx>
            <c:strRef>
              <c:f>Merchant!$G$4</c:f>
              <c:strCache>
                <c:ptCount val="1"/>
                <c:pt idx="0">
                  <c:v>Total</c:v>
                </c:pt>
              </c:strCache>
            </c:strRef>
          </c:tx>
          <c:spPr>
            <a:pattFill prst="wdUpDiag">
              <a:fgClr>
                <a:srgbClr xmlns:mc="http://schemas.openxmlformats.org/markup-compatibility/2006" xmlns:a14="http://schemas.microsoft.com/office/drawing/2010/main" val="993366" mc:Ignorable="a14" a14:legacySpreadsheetColorIndex="61"/>
              </a:fgClr>
              <a:bgClr>
                <a:srgbClr xmlns:mc="http://schemas.openxmlformats.org/markup-compatibility/2006" xmlns:a14="http://schemas.microsoft.com/office/drawing/2010/main" val="FFFFFF" mc:Ignorable="a14" a14:legacySpreadsheetColorIndex="9"/>
              </a:bgClr>
            </a:pattFill>
            <a:ln w="12700">
              <a:solidFill>
                <a:srgbClr val="000000"/>
              </a:solidFill>
              <a:prstDash val="solid"/>
            </a:ln>
          </c:spPr>
          <c:invertIfNegative val="0"/>
          <c:val>
            <c:numRef>
              <c:f>Merchant!$G$5</c:f>
              <c:numCache>
                <c:formatCode>#,##0_);\(#,##0\)</c:formatCode>
                <c:ptCount val="1"/>
                <c:pt idx="0">
                  <c:v>24100.548387076095</c:v>
                </c:pt>
              </c:numCache>
            </c:numRef>
          </c:val>
        </c:ser>
        <c:dLbls>
          <c:showLegendKey val="0"/>
          <c:showVal val="0"/>
          <c:showCatName val="0"/>
          <c:showSerName val="0"/>
          <c:showPercent val="0"/>
          <c:showBubbleSize val="0"/>
        </c:dLbls>
        <c:gapWidth val="150"/>
        <c:axId val="252767856"/>
        <c:axId val="252768416"/>
      </c:barChart>
      <c:catAx>
        <c:axId val="252767856"/>
        <c:scaling>
          <c:orientation val="minMax"/>
        </c:scaling>
        <c:delete val="0"/>
        <c:axPos val="b"/>
        <c:majorTickMark val="out"/>
        <c:minorTickMark val="none"/>
        <c:tickLblPos val="none"/>
        <c:spPr>
          <a:ln w="6350">
            <a:noFill/>
          </a:ln>
        </c:spPr>
        <c:crossAx val="252768416"/>
        <c:crosses val="autoZero"/>
        <c:auto val="1"/>
        <c:lblAlgn val="ctr"/>
        <c:lblOffset val="100"/>
        <c:tickMarkSkip val="1"/>
        <c:noMultiLvlLbl val="0"/>
      </c:catAx>
      <c:valAx>
        <c:axId val="252768416"/>
        <c:scaling>
          <c:orientation val="minMax"/>
        </c:scaling>
        <c:delete val="0"/>
        <c:axPos val="l"/>
        <c:majorGridlines>
          <c:spPr>
            <a:ln w="3175">
              <a:solidFill>
                <a:srgbClr val="000000"/>
              </a:solidFill>
              <a:prstDash val="solid"/>
            </a:ln>
          </c:spPr>
        </c:majorGridlines>
        <c:title>
          <c:tx>
            <c:rich>
              <a:bodyPr rot="0" vert="horz"/>
              <a:lstStyle/>
              <a:p>
                <a:pPr algn="ctr">
                  <a:defRPr sz="1100" b="1" i="0" u="none" strike="noStrike" baseline="0">
                    <a:solidFill>
                      <a:srgbClr val="000000"/>
                    </a:solidFill>
                    <a:latin typeface="Arial"/>
                    <a:ea typeface="Arial"/>
                    <a:cs typeface="Arial"/>
                  </a:defRPr>
                </a:pPr>
                <a:r>
                  <a:rPr lang="en-US"/>
                  <a:t>$000</a:t>
                </a:r>
              </a:p>
            </c:rich>
          </c:tx>
          <c:layout>
            <c:manualLayout>
              <c:xMode val="edge"/>
              <c:yMode val="edge"/>
              <c:x val="2.610199870311801E-2"/>
              <c:y val="0.52997098486490335"/>
            </c:manualLayout>
          </c:layout>
          <c:overlay val="0"/>
          <c:spPr>
            <a:noFill/>
            <a:ln w="25400">
              <a:noFill/>
            </a:ln>
          </c:spPr>
        </c:title>
        <c:numFmt formatCode="#,##0_);\(#,##0\)"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252767856"/>
        <c:crosses val="autoZero"/>
        <c:crossBetween val="between"/>
      </c:valAx>
      <c:spPr>
        <a:noFill/>
        <a:ln w="3175">
          <a:solidFill>
            <a:srgbClr val="00000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6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0"/>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1" i="0" u="none" strike="noStrike" baseline="0">
                <a:solidFill>
                  <a:srgbClr val="000000"/>
                </a:solidFill>
                <a:latin typeface="Arial"/>
                <a:ea typeface="Arial"/>
                <a:cs typeface="Arial"/>
              </a:defRPr>
            </a:pPr>
            <a:r>
              <a:rPr lang="en-US"/>
              <a:t>Enron Corp. Sweetwater 130MW Project</a:t>
            </a:r>
          </a:p>
        </c:rich>
      </c:tx>
      <c:layout>
        <c:manualLayout>
          <c:xMode val="edge"/>
          <c:yMode val="edge"/>
          <c:x val="0.1710152459566891"/>
          <c:y val="3.2184906056965945E-2"/>
        </c:manualLayout>
      </c:layout>
      <c:overlay val="0"/>
      <c:spPr>
        <a:noFill/>
        <a:ln w="25400">
          <a:noFill/>
        </a:ln>
      </c:spPr>
    </c:title>
    <c:autoTitleDeleted val="0"/>
    <c:plotArea>
      <c:layout>
        <c:manualLayout>
          <c:layoutTarget val="inner"/>
          <c:xMode val="edge"/>
          <c:yMode val="edge"/>
          <c:x val="0.20847572840434481"/>
          <c:y val="0.18621267075816011"/>
          <c:w val="0.76875424849102147"/>
          <c:h val="0.7540463704774879"/>
        </c:manualLayout>
      </c:layout>
      <c:barChart>
        <c:barDir val="col"/>
        <c:grouping val="clustered"/>
        <c:varyColors val="0"/>
        <c:ser>
          <c:idx val="0"/>
          <c:order val="0"/>
          <c:tx>
            <c:strRef>
              <c:f>Merchant!$B$4</c:f>
              <c:strCache>
                <c:ptCount val="1"/>
                <c:pt idx="0">
                  <c:v>PV(Market Price)</c:v>
                </c:pt>
              </c:strCache>
            </c:strRef>
          </c:tx>
          <c:spPr>
            <a:solidFill>
              <a:srgbClr val="9999FF"/>
            </a:solidFill>
            <a:ln w="12700">
              <a:solidFill>
                <a:srgbClr val="000000"/>
              </a:solidFill>
              <a:prstDash val="solid"/>
            </a:ln>
          </c:spPr>
          <c:invertIfNegative val="0"/>
          <c:val>
            <c:numRef>
              <c:f>Merchant!$B$5</c:f>
              <c:numCache>
                <c:formatCode>#,##0_);\(#,##0\)</c:formatCode>
                <c:ptCount val="1"/>
                <c:pt idx="0">
                  <c:v>68955.688803655008</c:v>
                </c:pt>
              </c:numCache>
            </c:numRef>
          </c:val>
        </c:ser>
        <c:ser>
          <c:idx val="1"/>
          <c:order val="1"/>
          <c:tx>
            <c:strRef>
              <c:f>Merchant!$C$4</c:f>
              <c:strCache>
                <c:ptCount val="1"/>
                <c:pt idx="0">
                  <c:v>PV(Contract Price)</c:v>
                </c:pt>
              </c:strCache>
            </c:strRef>
          </c:tx>
          <c:spPr>
            <a:pattFill prst="dkHorz">
              <a:fgClr>
                <a:srgbClr xmlns:mc="http://schemas.openxmlformats.org/markup-compatibility/2006" xmlns:a14="http://schemas.microsoft.com/office/drawing/2010/main" val="9999FF" mc:Ignorable="a14" a14:legacySpreadsheetColorIndex="24"/>
              </a:fgClr>
              <a:bgClr>
                <a:srgbClr xmlns:mc="http://schemas.openxmlformats.org/markup-compatibility/2006" xmlns:a14="http://schemas.microsoft.com/office/drawing/2010/main" val="993366" mc:Ignorable="a14" a14:legacySpreadsheetColorIndex="25"/>
              </a:bgClr>
            </a:pattFill>
            <a:ln w="12700">
              <a:solidFill>
                <a:srgbClr val="000000"/>
              </a:solidFill>
              <a:prstDash val="solid"/>
            </a:ln>
          </c:spPr>
          <c:invertIfNegative val="0"/>
          <c:val>
            <c:numRef>
              <c:f>Merchant!$C$5</c:f>
              <c:numCache>
                <c:formatCode>#,##0_);\(#,##0\)</c:formatCode>
                <c:ptCount val="1"/>
                <c:pt idx="0">
                  <c:v>-68955.688803655008</c:v>
                </c:pt>
              </c:numCache>
            </c:numRef>
          </c:val>
        </c:ser>
        <c:ser>
          <c:idx val="2"/>
          <c:order val="2"/>
          <c:tx>
            <c:strRef>
              <c:f>Merchant!$D$4</c:f>
              <c:strCache>
                <c:ptCount val="1"/>
                <c:pt idx="0">
                  <c:v>PV(Green Premium)</c:v>
                </c:pt>
              </c:strCache>
            </c:strRef>
          </c:tx>
          <c:spPr>
            <a:solidFill>
              <a:srgbClr val="CCFFCC"/>
            </a:solidFill>
            <a:ln w="12700">
              <a:solidFill>
                <a:srgbClr val="000000"/>
              </a:solidFill>
              <a:prstDash val="solid"/>
            </a:ln>
          </c:spPr>
          <c:invertIfNegative val="0"/>
          <c:val>
            <c:numRef>
              <c:f>Merchant!$D$5</c:f>
              <c:numCache>
                <c:formatCode>#,##0_);\(#,##0\)</c:formatCode>
                <c:ptCount val="1"/>
                <c:pt idx="0">
                  <c:v>24184.412061342769</c:v>
                </c:pt>
              </c:numCache>
            </c:numRef>
          </c:val>
        </c:ser>
        <c:ser>
          <c:idx val="3"/>
          <c:order val="3"/>
          <c:tx>
            <c:strRef>
              <c:f>Merchant!$E$4</c:f>
              <c:strCache>
                <c:ptCount val="1"/>
                <c:pt idx="0">
                  <c:v>FMV(Project)</c:v>
                </c:pt>
              </c:strCache>
            </c:strRef>
          </c:tx>
          <c:spPr>
            <a:solidFill>
              <a:srgbClr val="FF9900"/>
            </a:solidFill>
            <a:ln w="12700">
              <a:solidFill>
                <a:srgbClr val="000000"/>
              </a:solidFill>
              <a:prstDash val="solid"/>
            </a:ln>
          </c:spPr>
          <c:invertIfNegative val="0"/>
          <c:val>
            <c:numRef>
              <c:f>Merchant!$E$5</c:f>
              <c:numCache>
                <c:formatCode>#,##0_);\(#,##0\)</c:formatCode>
                <c:ptCount val="1"/>
                <c:pt idx="0">
                  <c:v>131611.67485312273</c:v>
                </c:pt>
              </c:numCache>
            </c:numRef>
          </c:val>
        </c:ser>
        <c:ser>
          <c:idx val="4"/>
          <c:order val="4"/>
          <c:tx>
            <c:strRef>
              <c:f>Merchant!$F$4</c:f>
              <c:strCache>
                <c:ptCount val="1"/>
                <c:pt idx="0">
                  <c:v>Cost(Project)</c:v>
                </c:pt>
              </c:strCache>
            </c:strRef>
          </c:tx>
          <c:spPr>
            <a:pattFill prst="dkHorz">
              <a:fgClr>
                <a:srgbClr xmlns:mc="http://schemas.openxmlformats.org/markup-compatibility/2006" xmlns:a14="http://schemas.microsoft.com/office/drawing/2010/main" val="FF9900" mc:Ignorable="a14" a14:legacySpreadsheetColorIndex="52"/>
              </a:fgClr>
              <a:bgClr>
                <a:srgbClr xmlns:mc="http://schemas.openxmlformats.org/markup-compatibility/2006" xmlns:a14="http://schemas.microsoft.com/office/drawing/2010/main" val="660066" mc:Ignorable="a14" a14:legacySpreadsheetColorIndex="28"/>
              </a:bgClr>
            </a:pattFill>
            <a:ln w="12700">
              <a:solidFill>
                <a:srgbClr val="000000"/>
              </a:solidFill>
              <a:prstDash val="solid"/>
            </a:ln>
          </c:spPr>
          <c:invertIfNegative val="0"/>
          <c:val>
            <c:numRef>
              <c:f>Merchant!$F$5</c:f>
              <c:numCache>
                <c:formatCode>#,##0_);\(#,##0\)</c:formatCode>
                <c:ptCount val="1"/>
                <c:pt idx="0">
                  <c:v>-131695.53852738941</c:v>
                </c:pt>
              </c:numCache>
            </c:numRef>
          </c:val>
        </c:ser>
        <c:ser>
          <c:idx val="6"/>
          <c:order val="5"/>
          <c:tx>
            <c:strRef>
              <c:f>Merchant!$G$4</c:f>
              <c:strCache>
                <c:ptCount val="1"/>
                <c:pt idx="0">
                  <c:v>Total</c:v>
                </c:pt>
              </c:strCache>
            </c:strRef>
          </c:tx>
          <c:spPr>
            <a:pattFill prst="wdUpDiag">
              <a:fgClr>
                <a:srgbClr xmlns:mc="http://schemas.openxmlformats.org/markup-compatibility/2006" xmlns:a14="http://schemas.microsoft.com/office/drawing/2010/main" val="993366" mc:Ignorable="a14" a14:legacySpreadsheetColorIndex="61"/>
              </a:fgClr>
              <a:bgClr>
                <a:srgbClr xmlns:mc="http://schemas.openxmlformats.org/markup-compatibility/2006" xmlns:a14="http://schemas.microsoft.com/office/drawing/2010/main" val="FFFFFF" mc:Ignorable="a14" a14:legacySpreadsheetColorIndex="9"/>
              </a:bgClr>
            </a:pattFill>
            <a:ln w="12700">
              <a:solidFill>
                <a:srgbClr val="000000"/>
              </a:solidFill>
              <a:prstDash val="solid"/>
            </a:ln>
          </c:spPr>
          <c:invertIfNegative val="0"/>
          <c:val>
            <c:numRef>
              <c:f>Merchant!$G$5</c:f>
              <c:numCache>
                <c:formatCode>#,##0_);\(#,##0\)</c:formatCode>
                <c:ptCount val="1"/>
                <c:pt idx="0">
                  <c:v>24100.548387076095</c:v>
                </c:pt>
              </c:numCache>
            </c:numRef>
          </c:val>
        </c:ser>
        <c:dLbls>
          <c:showLegendKey val="0"/>
          <c:showVal val="0"/>
          <c:showCatName val="0"/>
          <c:showSerName val="0"/>
          <c:showPercent val="0"/>
          <c:showBubbleSize val="0"/>
        </c:dLbls>
        <c:gapWidth val="150"/>
        <c:axId val="252774016"/>
        <c:axId val="252774576"/>
      </c:barChart>
      <c:catAx>
        <c:axId val="252774016"/>
        <c:scaling>
          <c:orientation val="minMax"/>
        </c:scaling>
        <c:delete val="0"/>
        <c:axPos val="b"/>
        <c:majorTickMark val="out"/>
        <c:minorTickMark val="none"/>
        <c:tickLblPos val="none"/>
        <c:spPr>
          <a:ln w="6350">
            <a:noFill/>
          </a:ln>
        </c:spPr>
        <c:crossAx val="252774576"/>
        <c:crosses val="autoZero"/>
        <c:auto val="1"/>
        <c:lblAlgn val="ctr"/>
        <c:lblOffset val="100"/>
        <c:tickMarkSkip val="1"/>
        <c:noMultiLvlLbl val="0"/>
      </c:catAx>
      <c:valAx>
        <c:axId val="252774576"/>
        <c:scaling>
          <c:orientation val="minMax"/>
        </c:scaling>
        <c:delete val="0"/>
        <c:axPos val="l"/>
        <c:majorGridlines>
          <c:spPr>
            <a:ln w="3175">
              <a:solidFill>
                <a:srgbClr val="000000"/>
              </a:solidFill>
              <a:prstDash val="solid"/>
            </a:ln>
          </c:spPr>
        </c:majorGridlines>
        <c:title>
          <c:tx>
            <c:rich>
              <a:bodyPr rot="0" vert="horz"/>
              <a:lstStyle/>
              <a:p>
                <a:pPr algn="ctr">
                  <a:defRPr sz="1100" b="1" i="0" u="none" strike="noStrike" baseline="0">
                    <a:solidFill>
                      <a:srgbClr val="000000"/>
                    </a:solidFill>
                    <a:latin typeface="Arial"/>
                    <a:ea typeface="Arial"/>
                    <a:cs typeface="Arial"/>
                  </a:defRPr>
                </a:pPr>
                <a:r>
                  <a:rPr lang="en-US"/>
                  <a:t>$000</a:t>
                </a:r>
              </a:p>
            </c:rich>
          </c:tx>
          <c:layout>
            <c:manualLayout>
              <c:xMode val="edge"/>
              <c:yMode val="edge"/>
              <c:x val="2.6059466050543101E-2"/>
              <c:y val="0.53105094993993818"/>
            </c:manualLayout>
          </c:layout>
          <c:overlay val="0"/>
          <c:spPr>
            <a:noFill/>
            <a:ln w="25400">
              <a:noFill/>
            </a:ln>
          </c:spPr>
        </c:title>
        <c:numFmt formatCode="#,##0_);\(#,##0\)"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252774016"/>
        <c:crosses val="autoZero"/>
        <c:crossBetween val="between"/>
      </c:valAx>
      <c:spPr>
        <a:noFill/>
        <a:ln w="3175">
          <a:solidFill>
            <a:srgbClr val="00000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6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775" b="0" i="0" u="none" strike="noStrike" baseline="0">
                <a:solidFill>
                  <a:srgbClr val="000000"/>
                </a:solidFill>
                <a:latin typeface="Arial"/>
                <a:ea typeface="Arial"/>
                <a:cs typeface="Arial"/>
              </a:defRPr>
            </a:pPr>
            <a:r>
              <a:rPr lang="en-US"/>
              <a:t>EPMI Perspective</a:t>
            </a:r>
          </a:p>
        </c:rich>
      </c:tx>
      <c:layout>
        <c:manualLayout>
          <c:xMode val="edge"/>
          <c:yMode val="edge"/>
          <c:x val="0.33502747234397956"/>
          <c:y val="3.4189080528528461E-2"/>
        </c:manualLayout>
      </c:layout>
      <c:overlay val="0"/>
      <c:spPr>
        <a:noFill/>
        <a:ln w="25400">
          <a:noFill/>
        </a:ln>
      </c:spPr>
    </c:title>
    <c:autoTitleDeleted val="0"/>
    <c:plotArea>
      <c:layout>
        <c:manualLayout>
          <c:layoutTarget val="inner"/>
          <c:xMode val="edge"/>
          <c:yMode val="edge"/>
          <c:x val="0.17845684456513486"/>
          <c:y val="0.23647447365565519"/>
          <c:w val="0.50675009635948665"/>
          <c:h val="0.69232888070270138"/>
        </c:manualLayout>
      </c:layout>
      <c:barChart>
        <c:barDir val="col"/>
        <c:grouping val="clustered"/>
        <c:varyColors val="0"/>
        <c:ser>
          <c:idx val="0"/>
          <c:order val="0"/>
          <c:tx>
            <c:strRef>
              <c:f>Merchant!$B$7</c:f>
              <c:strCache>
                <c:ptCount val="1"/>
                <c:pt idx="0">
                  <c:v>PV(Market Price)</c:v>
                </c:pt>
              </c:strCache>
            </c:strRef>
          </c:tx>
          <c:spPr>
            <a:solidFill>
              <a:srgbClr val="9999FF"/>
            </a:solidFill>
            <a:ln w="12700">
              <a:solidFill>
                <a:srgbClr val="000000"/>
              </a:solidFill>
              <a:prstDash val="solid"/>
            </a:ln>
          </c:spPr>
          <c:invertIfNegative val="0"/>
          <c:val>
            <c:numRef>
              <c:f>Merchant!$B$8</c:f>
              <c:numCache>
                <c:formatCode>#,##0_);\(#,##0\)</c:formatCode>
                <c:ptCount val="1"/>
                <c:pt idx="0">
                  <c:v>68955.688803655008</c:v>
                </c:pt>
              </c:numCache>
            </c:numRef>
          </c:val>
        </c:ser>
        <c:ser>
          <c:idx val="1"/>
          <c:order val="1"/>
          <c:tx>
            <c:strRef>
              <c:f>Merchant!$C$7</c:f>
              <c:strCache>
                <c:ptCount val="1"/>
                <c:pt idx="0">
                  <c:v>PV(Contract Price)</c:v>
                </c:pt>
              </c:strCache>
            </c:strRef>
          </c:tx>
          <c:spPr>
            <a:pattFill prst="dkHorz">
              <a:fgClr>
                <a:srgbClr xmlns:mc="http://schemas.openxmlformats.org/markup-compatibility/2006" xmlns:a14="http://schemas.microsoft.com/office/drawing/2010/main" val="9999FF" mc:Ignorable="a14" a14:legacySpreadsheetColorIndex="24"/>
              </a:fgClr>
              <a:bgClr>
                <a:srgbClr xmlns:mc="http://schemas.openxmlformats.org/markup-compatibility/2006" xmlns:a14="http://schemas.microsoft.com/office/drawing/2010/main" val="993366" mc:Ignorable="a14" a14:legacySpreadsheetColorIndex="25"/>
              </a:bgClr>
            </a:pattFill>
            <a:ln w="12700">
              <a:solidFill>
                <a:srgbClr val="000000"/>
              </a:solidFill>
              <a:prstDash val="solid"/>
            </a:ln>
          </c:spPr>
          <c:invertIfNegative val="0"/>
          <c:val>
            <c:numRef>
              <c:f>Merchant!$C$8</c:f>
              <c:numCache>
                <c:formatCode>#,##0_);\(#,##0\)</c:formatCode>
                <c:ptCount val="1"/>
                <c:pt idx="0">
                  <c:v>-68955.688803655008</c:v>
                </c:pt>
              </c:numCache>
            </c:numRef>
          </c:val>
        </c:ser>
        <c:ser>
          <c:idx val="2"/>
          <c:order val="2"/>
          <c:tx>
            <c:strRef>
              <c:f>Merchant!$D$7</c:f>
              <c:strCache>
                <c:ptCount val="1"/>
                <c:pt idx="0">
                  <c:v>PV(Green Premium)</c:v>
                </c:pt>
              </c:strCache>
            </c:strRef>
          </c:tx>
          <c:spPr>
            <a:solidFill>
              <a:srgbClr val="CCFFCC"/>
            </a:solidFill>
            <a:ln w="12700">
              <a:solidFill>
                <a:srgbClr val="000000"/>
              </a:solidFill>
              <a:prstDash val="solid"/>
            </a:ln>
          </c:spPr>
          <c:invertIfNegative val="0"/>
          <c:val>
            <c:numRef>
              <c:f>Merchant!$D$8</c:f>
              <c:numCache>
                <c:formatCode>#,##0_);\(#,##0\)</c:formatCode>
                <c:ptCount val="1"/>
                <c:pt idx="0">
                  <c:v>12092.206030671385</c:v>
                </c:pt>
              </c:numCache>
            </c:numRef>
          </c:val>
        </c:ser>
        <c:dLbls>
          <c:showLegendKey val="0"/>
          <c:showVal val="0"/>
          <c:showCatName val="0"/>
          <c:showSerName val="0"/>
          <c:showPercent val="0"/>
          <c:showBubbleSize val="0"/>
        </c:dLbls>
        <c:gapWidth val="150"/>
        <c:axId val="252778496"/>
        <c:axId val="252779056"/>
      </c:barChart>
      <c:catAx>
        <c:axId val="252778496"/>
        <c:scaling>
          <c:orientation val="minMax"/>
        </c:scaling>
        <c:delete val="0"/>
        <c:axPos val="b"/>
        <c:majorTickMark val="out"/>
        <c:minorTickMark val="none"/>
        <c:tickLblPos val="none"/>
        <c:spPr>
          <a:ln w="6350">
            <a:noFill/>
          </a:ln>
        </c:spPr>
        <c:crossAx val="252779056"/>
        <c:crosses val="autoZero"/>
        <c:auto val="1"/>
        <c:lblAlgn val="ctr"/>
        <c:lblOffset val="100"/>
        <c:tickMarkSkip val="1"/>
        <c:noMultiLvlLbl val="0"/>
      </c:catAx>
      <c:valAx>
        <c:axId val="252779056"/>
        <c:scaling>
          <c:orientation val="minMax"/>
        </c:scaling>
        <c:delete val="0"/>
        <c:axPos val="l"/>
        <c:majorGridlines>
          <c:spPr>
            <a:ln w="3175">
              <a:solidFill>
                <a:srgbClr val="000000"/>
              </a:solidFill>
              <a:prstDash val="solid"/>
            </a:ln>
          </c:spPr>
        </c:majorGridlines>
        <c:title>
          <c:tx>
            <c:rich>
              <a:bodyPr rot="0" vert="horz"/>
              <a:lstStyle/>
              <a:p>
                <a:pPr algn="ctr">
                  <a:defRPr sz="875" b="1" i="0" u="none" strike="noStrike" baseline="0">
                    <a:solidFill>
                      <a:srgbClr val="000000"/>
                    </a:solidFill>
                    <a:latin typeface="Arial"/>
                    <a:ea typeface="Arial"/>
                    <a:cs typeface="Arial"/>
                  </a:defRPr>
                </a:pPr>
                <a:r>
                  <a:rPr lang="en-US"/>
                  <a:t>$000</a:t>
                </a:r>
              </a:p>
            </c:rich>
          </c:tx>
          <c:layout>
            <c:manualLayout>
              <c:xMode val="edge"/>
              <c:yMode val="edge"/>
              <c:x val="2.6936882198510922E-2"/>
              <c:y val="0.54987437850049947"/>
            </c:manualLayout>
          </c:layout>
          <c:overlay val="0"/>
          <c:spPr>
            <a:noFill/>
            <a:ln w="25400">
              <a:noFill/>
            </a:ln>
          </c:spPr>
        </c:title>
        <c:numFmt formatCode="#,##0_);\(#,##0\)"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252778496"/>
        <c:crosses val="autoZero"/>
        <c:crossBetween val="between"/>
      </c:valAx>
      <c:spPr>
        <a:noFill/>
        <a:ln w="3175">
          <a:solidFill>
            <a:srgbClr val="000000"/>
          </a:solidFill>
          <a:prstDash val="solid"/>
        </a:ln>
      </c:spPr>
    </c:plotArea>
    <c:legend>
      <c:legendPos val="r"/>
      <c:layout>
        <c:manualLayout>
          <c:xMode val="edge"/>
          <c:yMode val="edge"/>
          <c:x val="0.70372604743609779"/>
          <c:y val="0.47864712739939846"/>
          <c:w val="0.28283726308436469"/>
          <c:h val="0.2079835732152148"/>
        </c:manualLayout>
      </c:layout>
      <c:overlay val="0"/>
      <c:spPr>
        <a:solidFill>
          <a:srgbClr val="FFFFFF"/>
        </a:solidFill>
        <a:ln w="3175">
          <a:solidFill>
            <a:srgbClr val="000000"/>
          </a:solidFill>
          <a:prstDash val="solid"/>
        </a:ln>
      </c:spPr>
      <c:txPr>
        <a:bodyPr/>
        <a:lstStyle/>
        <a:p>
          <a:pPr>
            <a:defRPr sz="108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5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0"/>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8168268942182234"/>
          <c:y val="8.2155597701961638E-2"/>
          <c:w val="0.45032461480622626"/>
          <c:h val="0.83855368688898779"/>
        </c:manualLayout>
      </c:layout>
      <c:barChart>
        <c:barDir val="col"/>
        <c:grouping val="clustered"/>
        <c:varyColors val="0"/>
        <c:ser>
          <c:idx val="0"/>
          <c:order val="0"/>
          <c:tx>
            <c:strRef>
              <c:f>Merchant!$D$13</c:f>
              <c:strCache>
                <c:ptCount val="1"/>
                <c:pt idx="0">
                  <c:v>PV(Green Premium)</c:v>
                </c:pt>
              </c:strCache>
            </c:strRef>
          </c:tx>
          <c:spPr>
            <a:solidFill>
              <a:srgbClr val="CCFFCC"/>
            </a:solidFill>
            <a:ln w="12700">
              <a:solidFill>
                <a:srgbClr val="000000"/>
              </a:solidFill>
              <a:prstDash val="solid"/>
            </a:ln>
          </c:spPr>
          <c:invertIfNegative val="0"/>
          <c:val>
            <c:numRef>
              <c:f>Merchant!$D$14</c:f>
              <c:numCache>
                <c:formatCode>#,##0_);\(#,##0\)</c:formatCode>
                <c:ptCount val="1"/>
                <c:pt idx="0">
                  <c:v>24184.412061342769</c:v>
                </c:pt>
              </c:numCache>
            </c:numRef>
          </c:val>
        </c:ser>
        <c:ser>
          <c:idx val="1"/>
          <c:order val="1"/>
          <c:tx>
            <c:strRef>
              <c:f>Merchant!$E$13</c:f>
              <c:strCache>
                <c:ptCount val="1"/>
                <c:pt idx="0">
                  <c:v>FMV(Project)</c:v>
                </c:pt>
              </c:strCache>
            </c:strRef>
          </c:tx>
          <c:spPr>
            <a:solidFill>
              <a:srgbClr val="FF9900"/>
            </a:solidFill>
            <a:ln w="12700">
              <a:solidFill>
                <a:srgbClr val="000000"/>
              </a:solidFill>
              <a:prstDash val="solid"/>
            </a:ln>
          </c:spPr>
          <c:invertIfNegative val="0"/>
          <c:val>
            <c:numRef>
              <c:f>Merchant!$E$14</c:f>
              <c:numCache>
                <c:formatCode>#,##0_);\(#,##0\)</c:formatCode>
                <c:ptCount val="1"/>
                <c:pt idx="0">
                  <c:v>131611.67485312273</c:v>
                </c:pt>
              </c:numCache>
            </c:numRef>
          </c:val>
        </c:ser>
        <c:ser>
          <c:idx val="2"/>
          <c:order val="2"/>
          <c:tx>
            <c:strRef>
              <c:f>Merchant!$F$13</c:f>
              <c:strCache>
                <c:ptCount val="1"/>
                <c:pt idx="0">
                  <c:v>Cost(Project)</c:v>
                </c:pt>
              </c:strCache>
            </c:strRef>
          </c:tx>
          <c:spPr>
            <a:pattFill prst="dkHorz">
              <a:fgClr>
                <a:srgbClr xmlns:mc="http://schemas.openxmlformats.org/markup-compatibility/2006" xmlns:a14="http://schemas.microsoft.com/office/drawing/2010/main" val="FF9900" mc:Ignorable="a14" a14:legacySpreadsheetColorIndex="52"/>
              </a:fgClr>
              <a:bgClr>
                <a:srgbClr xmlns:mc="http://schemas.openxmlformats.org/markup-compatibility/2006" xmlns:a14="http://schemas.microsoft.com/office/drawing/2010/main" val="800080" mc:Ignorable="a14" a14:legacySpreadsheetColorIndex="36"/>
              </a:bgClr>
            </a:pattFill>
            <a:ln w="12700">
              <a:solidFill>
                <a:srgbClr val="000000"/>
              </a:solidFill>
              <a:prstDash val="solid"/>
            </a:ln>
          </c:spPr>
          <c:invertIfNegative val="0"/>
          <c:val>
            <c:numRef>
              <c:f>Merchant!$F$14</c:f>
              <c:numCache>
                <c:formatCode>#,##0_);\(#,##0\)</c:formatCode>
                <c:ptCount val="1"/>
                <c:pt idx="0">
                  <c:v>-131695.53852738941</c:v>
                </c:pt>
              </c:numCache>
            </c:numRef>
          </c:val>
        </c:ser>
        <c:ser>
          <c:idx val="3"/>
          <c:order val="3"/>
          <c:tx>
            <c:strRef>
              <c:f>Merchant!$G$13</c:f>
              <c:strCache>
                <c:ptCount val="1"/>
                <c:pt idx="0">
                  <c:v>Total</c:v>
                </c:pt>
              </c:strCache>
            </c:strRef>
          </c:tx>
          <c:spPr>
            <a:pattFill prst="wdUpDiag">
              <a:fgClr>
                <a:srgbClr xmlns:mc="http://schemas.openxmlformats.org/markup-compatibility/2006" xmlns:a14="http://schemas.microsoft.com/office/drawing/2010/main" val="800080" mc:Ignorable="a14" a14:legacySpreadsheetColorIndex="36"/>
              </a:fgClr>
              <a:bgClr>
                <a:srgbClr xmlns:mc="http://schemas.openxmlformats.org/markup-compatibility/2006" xmlns:a14="http://schemas.microsoft.com/office/drawing/2010/main" val="FFFFFF" mc:Ignorable="a14" a14:legacySpreadsheetColorIndex="9"/>
              </a:bgClr>
            </a:pattFill>
            <a:ln w="12700">
              <a:solidFill>
                <a:srgbClr val="000000"/>
              </a:solidFill>
              <a:prstDash val="solid"/>
            </a:ln>
          </c:spPr>
          <c:invertIfNegative val="0"/>
          <c:val>
            <c:numRef>
              <c:f>Merchant!$G$14</c:f>
              <c:numCache>
                <c:formatCode>#,##0_);\(#,##0\)</c:formatCode>
                <c:ptCount val="1"/>
                <c:pt idx="0">
                  <c:v>24100.548387076095</c:v>
                </c:pt>
              </c:numCache>
            </c:numRef>
          </c:val>
        </c:ser>
        <c:dLbls>
          <c:showLegendKey val="0"/>
          <c:showVal val="0"/>
          <c:showCatName val="0"/>
          <c:showSerName val="0"/>
          <c:showPercent val="0"/>
          <c:showBubbleSize val="0"/>
        </c:dLbls>
        <c:gapWidth val="150"/>
        <c:axId val="253226768"/>
        <c:axId val="253227328"/>
      </c:barChart>
      <c:catAx>
        <c:axId val="253226768"/>
        <c:scaling>
          <c:orientation val="minMax"/>
        </c:scaling>
        <c:delete val="0"/>
        <c:axPos val="b"/>
        <c:majorTickMark val="out"/>
        <c:minorTickMark val="none"/>
        <c:tickLblPos val="none"/>
        <c:spPr>
          <a:ln w="6350">
            <a:noFill/>
          </a:ln>
        </c:spPr>
        <c:crossAx val="253227328"/>
        <c:crosses val="autoZero"/>
        <c:auto val="1"/>
        <c:lblAlgn val="ctr"/>
        <c:lblOffset val="100"/>
        <c:tickMarkSkip val="1"/>
        <c:noMultiLvlLbl val="0"/>
      </c:catAx>
      <c:valAx>
        <c:axId val="253227328"/>
        <c:scaling>
          <c:orientation val="minMax"/>
        </c:scaling>
        <c:delete val="0"/>
        <c:axPos val="l"/>
        <c:majorGridlines>
          <c:spPr>
            <a:ln w="3175">
              <a:solidFill>
                <a:srgbClr val="000000"/>
              </a:solidFill>
              <a:prstDash val="solid"/>
            </a:ln>
          </c:spPr>
        </c:majorGridlines>
        <c:title>
          <c:tx>
            <c:rich>
              <a:bodyPr rot="0" vert="horz"/>
              <a:lstStyle/>
              <a:p>
                <a:pPr algn="ctr">
                  <a:defRPr sz="900" b="1" i="0" u="none" strike="noStrike" baseline="0">
                    <a:solidFill>
                      <a:srgbClr val="000000"/>
                    </a:solidFill>
                    <a:latin typeface="Arial"/>
                    <a:ea typeface="Arial"/>
                    <a:cs typeface="Arial"/>
                  </a:defRPr>
                </a:pPr>
                <a:r>
                  <a:rPr lang="en-US"/>
                  <a:t>$000</a:t>
                </a:r>
              </a:p>
            </c:rich>
          </c:tx>
          <c:layout>
            <c:manualLayout>
              <c:xMode val="edge"/>
              <c:yMode val="edge"/>
              <c:x val="3.1056869986636294E-2"/>
              <c:y val="0.47026997305260798"/>
            </c:manualLayout>
          </c:layout>
          <c:overlay val="0"/>
          <c:spPr>
            <a:noFill/>
            <a:ln w="25400">
              <a:noFill/>
            </a:ln>
          </c:spPr>
        </c:title>
        <c:numFmt formatCode="#,##0_);\(#,##0\)"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253226768"/>
        <c:crosses val="autoZero"/>
        <c:crossBetween val="between"/>
      </c:valAx>
      <c:spPr>
        <a:noFill/>
        <a:ln w="3175">
          <a:solidFill>
            <a:srgbClr val="000000"/>
          </a:solidFill>
          <a:prstDash val="solid"/>
        </a:ln>
      </c:spPr>
    </c:plotArea>
    <c:legend>
      <c:legendPos val="r"/>
      <c:layout>
        <c:manualLayout>
          <c:xMode val="edge"/>
          <c:yMode val="edge"/>
          <c:x val="0.64287720872337129"/>
          <c:y val="0.32862239080784655"/>
          <c:w val="0.26087770788774489"/>
          <c:h val="0.27479630955483719"/>
        </c:manualLayout>
      </c:layout>
      <c:overlay val="0"/>
      <c:spPr>
        <a:solidFill>
          <a:srgbClr val="FFFFFF"/>
        </a:solidFill>
        <a:ln w="3175">
          <a:solidFill>
            <a:srgbClr val="000000"/>
          </a:solidFill>
          <a:prstDash val="solid"/>
        </a:ln>
      </c:spPr>
      <c:txPr>
        <a:bodyPr/>
        <a:lstStyle/>
        <a:p>
          <a:pPr>
            <a:defRPr sz="108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7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75" b="0" i="0" u="none" strike="noStrike" baseline="0">
                <a:solidFill>
                  <a:srgbClr val="000000"/>
                </a:solidFill>
                <a:latin typeface="Arial"/>
                <a:ea typeface="Arial"/>
                <a:cs typeface="Arial"/>
              </a:defRPr>
            </a:pPr>
            <a:r>
              <a:rPr lang="en-US"/>
              <a:t>EWC Perspective</a:t>
            </a:r>
          </a:p>
        </c:rich>
      </c:tx>
      <c:layout>
        <c:manualLayout>
          <c:xMode val="edge"/>
          <c:yMode val="edge"/>
          <c:x val="0.35127135026962469"/>
          <c:y val="3.3034072435918861E-2"/>
        </c:manualLayout>
      </c:layout>
      <c:overlay val="0"/>
      <c:spPr>
        <a:noFill/>
        <a:ln w="25400">
          <a:noFill/>
        </a:ln>
      </c:spPr>
    </c:title>
    <c:autoTitleDeleted val="0"/>
    <c:plotArea>
      <c:layout>
        <c:manualLayout>
          <c:layoutTarget val="inner"/>
          <c:xMode val="edge"/>
          <c:yMode val="edge"/>
          <c:x val="0.16975314056091911"/>
          <c:y val="0.22823540955725757"/>
          <c:w val="0.53615100830626927"/>
          <c:h val="0.69972171614264489"/>
        </c:manualLayout>
      </c:layout>
      <c:barChart>
        <c:barDir val="col"/>
        <c:grouping val="clustered"/>
        <c:varyColors val="0"/>
        <c:ser>
          <c:idx val="0"/>
          <c:order val="0"/>
          <c:tx>
            <c:strRef>
              <c:f>Merchant!$D$10</c:f>
              <c:strCache>
                <c:ptCount val="1"/>
                <c:pt idx="0">
                  <c:v>PV(Green Premium)</c:v>
                </c:pt>
              </c:strCache>
            </c:strRef>
          </c:tx>
          <c:spPr>
            <a:solidFill>
              <a:srgbClr val="CCFFCC"/>
            </a:solidFill>
            <a:ln w="12700">
              <a:solidFill>
                <a:srgbClr val="000000"/>
              </a:solidFill>
              <a:prstDash val="solid"/>
            </a:ln>
          </c:spPr>
          <c:invertIfNegative val="0"/>
          <c:val>
            <c:numRef>
              <c:f>Merchant!$D$11</c:f>
              <c:numCache>
                <c:formatCode>#,##0_);\(#,##0\)</c:formatCode>
                <c:ptCount val="1"/>
                <c:pt idx="0">
                  <c:v>12092.206030671385</c:v>
                </c:pt>
              </c:numCache>
            </c:numRef>
          </c:val>
        </c:ser>
        <c:ser>
          <c:idx val="1"/>
          <c:order val="1"/>
          <c:tx>
            <c:strRef>
              <c:f>Merchant!$E$10</c:f>
              <c:strCache>
                <c:ptCount val="1"/>
                <c:pt idx="0">
                  <c:v>FMV(Project)</c:v>
                </c:pt>
              </c:strCache>
            </c:strRef>
          </c:tx>
          <c:spPr>
            <a:solidFill>
              <a:srgbClr val="FF9900"/>
            </a:solidFill>
            <a:ln w="12700">
              <a:solidFill>
                <a:srgbClr val="000000"/>
              </a:solidFill>
              <a:prstDash val="solid"/>
            </a:ln>
          </c:spPr>
          <c:invertIfNegative val="0"/>
          <c:val>
            <c:numRef>
              <c:f>Merchant!$E$11</c:f>
              <c:numCache>
                <c:formatCode>#,##0_);\(#,##0\)</c:formatCode>
                <c:ptCount val="1"/>
                <c:pt idx="0">
                  <c:v>131611.67485312273</c:v>
                </c:pt>
              </c:numCache>
            </c:numRef>
          </c:val>
        </c:ser>
        <c:ser>
          <c:idx val="2"/>
          <c:order val="2"/>
          <c:tx>
            <c:strRef>
              <c:f>Merchant!$F$10</c:f>
              <c:strCache>
                <c:ptCount val="1"/>
                <c:pt idx="0">
                  <c:v>Cost(Project)</c:v>
                </c:pt>
              </c:strCache>
            </c:strRef>
          </c:tx>
          <c:spPr>
            <a:pattFill prst="dkHorz">
              <a:fgClr>
                <a:srgbClr xmlns:mc="http://schemas.openxmlformats.org/markup-compatibility/2006" xmlns:a14="http://schemas.microsoft.com/office/drawing/2010/main" val="FF9900" mc:Ignorable="a14" a14:legacySpreadsheetColorIndex="52"/>
              </a:fgClr>
              <a:bgClr>
                <a:srgbClr xmlns:mc="http://schemas.openxmlformats.org/markup-compatibility/2006" xmlns:a14="http://schemas.microsoft.com/office/drawing/2010/main" val="993366" mc:Ignorable="a14" a14:legacySpreadsheetColorIndex="25"/>
              </a:bgClr>
            </a:pattFill>
            <a:ln w="12700">
              <a:solidFill>
                <a:srgbClr val="000000"/>
              </a:solidFill>
              <a:prstDash val="solid"/>
            </a:ln>
          </c:spPr>
          <c:invertIfNegative val="0"/>
          <c:val>
            <c:numRef>
              <c:f>Merchant!$F$11</c:f>
              <c:numCache>
                <c:formatCode>#,##0_);\(#,##0\)</c:formatCode>
                <c:ptCount val="1"/>
                <c:pt idx="0">
                  <c:v>-131695.53852738941</c:v>
                </c:pt>
              </c:numCache>
            </c:numRef>
          </c:val>
        </c:ser>
        <c:dLbls>
          <c:showLegendKey val="0"/>
          <c:showVal val="0"/>
          <c:showCatName val="0"/>
          <c:showSerName val="0"/>
          <c:showPercent val="0"/>
          <c:showBubbleSize val="0"/>
        </c:dLbls>
        <c:gapWidth val="150"/>
        <c:axId val="253231248"/>
        <c:axId val="253231808"/>
      </c:barChart>
      <c:catAx>
        <c:axId val="253231248"/>
        <c:scaling>
          <c:orientation val="minMax"/>
        </c:scaling>
        <c:delete val="0"/>
        <c:axPos val="b"/>
        <c:majorTickMark val="out"/>
        <c:minorTickMark val="none"/>
        <c:tickLblPos val="none"/>
        <c:spPr>
          <a:ln w="6350">
            <a:noFill/>
          </a:ln>
        </c:spPr>
        <c:crossAx val="253231808"/>
        <c:crosses val="autoZero"/>
        <c:auto val="1"/>
        <c:lblAlgn val="ctr"/>
        <c:lblOffset val="100"/>
        <c:tickMarkSkip val="1"/>
        <c:noMultiLvlLbl val="0"/>
      </c:catAx>
      <c:valAx>
        <c:axId val="253231808"/>
        <c:scaling>
          <c:orientation val="minMax"/>
        </c:scaling>
        <c:delete val="0"/>
        <c:axPos val="l"/>
        <c:majorGridlines>
          <c:spPr>
            <a:ln w="3175">
              <a:solidFill>
                <a:srgbClr val="000000"/>
              </a:solidFill>
              <a:prstDash val="solid"/>
            </a:ln>
          </c:spPr>
        </c:majorGridlines>
        <c:title>
          <c:tx>
            <c:rich>
              <a:bodyPr rot="0" vert="horz"/>
              <a:lstStyle/>
              <a:p>
                <a:pPr algn="ctr">
                  <a:defRPr sz="850" b="1" i="0" u="none" strike="noStrike" baseline="0">
                    <a:solidFill>
                      <a:srgbClr val="000000"/>
                    </a:solidFill>
                    <a:latin typeface="Arial"/>
                    <a:ea typeface="Arial"/>
                    <a:cs typeface="Arial"/>
                  </a:defRPr>
                </a:pPr>
                <a:r>
                  <a:rPr lang="en-US"/>
                  <a:t>$000</a:t>
                </a:r>
              </a:p>
            </c:rich>
          </c:tx>
          <c:layout>
            <c:manualLayout>
              <c:xMode val="edge"/>
              <c:yMode val="edge"/>
              <c:x val="2.6891586623511939E-2"/>
              <c:y val="0.54656374393974838"/>
            </c:manualLayout>
          </c:layout>
          <c:overlay val="0"/>
          <c:spPr>
            <a:noFill/>
            <a:ln w="25400">
              <a:noFill/>
            </a:ln>
          </c:spPr>
        </c:title>
        <c:numFmt formatCode="#,##0_);\(#,##0\)"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en-US"/>
          </a:p>
        </c:txPr>
        <c:crossAx val="253231248"/>
        <c:crosses val="autoZero"/>
        <c:crossBetween val="between"/>
      </c:valAx>
      <c:spPr>
        <a:noFill/>
        <a:ln w="3175">
          <a:solidFill>
            <a:srgbClr val="000000"/>
          </a:solidFill>
          <a:prstDash val="solid"/>
        </a:ln>
      </c:spPr>
    </c:plotArea>
    <c:legend>
      <c:legendPos val="r"/>
      <c:layout>
        <c:manualLayout>
          <c:xMode val="edge"/>
          <c:yMode val="edge"/>
          <c:x val="0.72439211467085285"/>
          <c:y val="0.47448940407956181"/>
          <c:w val="0.26219296957924143"/>
          <c:h val="0.21021682459221092"/>
        </c:manualLayout>
      </c:layout>
      <c:overlay val="0"/>
      <c:spPr>
        <a:solidFill>
          <a:srgbClr val="FFFFFF"/>
        </a:solidFill>
        <a:ln w="3175">
          <a:solidFill>
            <a:srgbClr val="000000"/>
          </a:solidFill>
          <a:prstDash val="solid"/>
        </a:ln>
      </c:spPr>
      <c:txPr>
        <a:bodyPr/>
        <a:lstStyle/>
        <a:p>
          <a:pPr>
            <a:defRPr sz="10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5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1" i="0" u="none" strike="noStrike" baseline="0">
                <a:solidFill>
                  <a:srgbClr val="000000"/>
                </a:solidFill>
                <a:latin typeface="Arial"/>
                <a:ea typeface="Arial"/>
                <a:cs typeface="Arial"/>
              </a:defRPr>
            </a:pPr>
            <a:r>
              <a:rPr lang="en-US"/>
              <a:t>Enron Corp. Sweetwater Project Profile</a:t>
            </a:r>
          </a:p>
        </c:rich>
      </c:tx>
      <c:layout>
        <c:manualLayout>
          <c:xMode val="edge"/>
          <c:yMode val="edge"/>
          <c:x val="0.13812576998821974"/>
          <c:y val="3.0589231037315475E-2"/>
        </c:manualLayout>
      </c:layout>
      <c:overlay val="0"/>
      <c:spPr>
        <a:noFill/>
        <a:ln w="25400">
          <a:noFill/>
        </a:ln>
      </c:spPr>
    </c:title>
    <c:autoTitleDeleted val="0"/>
    <c:plotArea>
      <c:layout>
        <c:manualLayout>
          <c:layoutTarget val="inner"/>
          <c:xMode val="edge"/>
          <c:yMode val="edge"/>
          <c:x val="0.23757632437973797"/>
          <c:y val="0.18588840399599404"/>
          <c:w val="0.7329874194041528"/>
          <c:h val="0.72708249157926785"/>
        </c:manualLayout>
      </c:layout>
      <c:barChart>
        <c:barDir val="col"/>
        <c:grouping val="clustered"/>
        <c:varyColors val="0"/>
        <c:ser>
          <c:idx val="0"/>
          <c:order val="0"/>
          <c:spPr>
            <a:solidFill>
              <a:srgbClr val="CCFFCC"/>
            </a:solidFill>
            <a:ln w="12700">
              <a:solidFill>
                <a:srgbClr val="000000"/>
              </a:solidFill>
              <a:prstDash val="solid"/>
            </a:ln>
          </c:spPr>
          <c:invertIfNegative val="0"/>
          <c:val>
            <c:numRef>
              <c:f>EWCIRR!$F$6:$F$25</c:f>
              <c:numCache>
                <c:formatCode>#,##0_);\(#,##0\)</c:formatCode>
                <c:ptCount val="20"/>
                <c:pt idx="0">
                  <c:v>-5264.4585109762884</c:v>
                </c:pt>
                <c:pt idx="1">
                  <c:v>-12514.054821952575</c:v>
                </c:pt>
                <c:pt idx="2">
                  <c:v>-14708.593332928862</c:v>
                </c:pt>
                <c:pt idx="3">
                  <c:v>-41278.065243905148</c:v>
                </c:pt>
                <c:pt idx="4">
                  <c:v>-45667.142265857721</c:v>
                </c:pt>
                <c:pt idx="5">
                  <c:v>-12263.224351895111</c:v>
                </c:pt>
                <c:pt idx="6" formatCode="#,##0">
                  <c:v>131611.67485811526</c:v>
                </c:pt>
                <c:pt idx="7">
                  <c:v>1172.4165</c:v>
                </c:pt>
                <c:pt idx="8">
                  <c:v>1172.4165</c:v>
                </c:pt>
                <c:pt idx="9">
                  <c:v>1172.4165</c:v>
                </c:pt>
                <c:pt idx="10">
                  <c:v>1172.4165</c:v>
                </c:pt>
                <c:pt idx="11">
                  <c:v>1172.4165</c:v>
                </c:pt>
                <c:pt idx="12">
                  <c:v>1172.4165</c:v>
                </c:pt>
                <c:pt idx="13">
                  <c:v>1172.4165</c:v>
                </c:pt>
                <c:pt idx="14">
                  <c:v>1172.4165</c:v>
                </c:pt>
                <c:pt idx="15">
                  <c:v>1172.4165</c:v>
                </c:pt>
                <c:pt idx="16">
                  <c:v>1172.4165</c:v>
                </c:pt>
                <c:pt idx="17">
                  <c:v>1172.4165</c:v>
                </c:pt>
                <c:pt idx="18">
                  <c:v>1172.4165</c:v>
                </c:pt>
                <c:pt idx="19">
                  <c:v>1172.4165</c:v>
                </c:pt>
              </c:numCache>
            </c:numRef>
          </c:val>
        </c:ser>
        <c:dLbls>
          <c:showLegendKey val="0"/>
          <c:showVal val="0"/>
          <c:showCatName val="0"/>
          <c:showSerName val="0"/>
          <c:showPercent val="0"/>
          <c:showBubbleSize val="0"/>
        </c:dLbls>
        <c:gapWidth val="50"/>
        <c:axId val="251870592"/>
        <c:axId val="251875632"/>
      </c:barChart>
      <c:catAx>
        <c:axId val="251870592"/>
        <c:scaling>
          <c:orientation val="minMax"/>
        </c:scaling>
        <c:delete val="0"/>
        <c:axPos val="b"/>
        <c:title>
          <c:tx>
            <c:rich>
              <a:bodyPr/>
              <a:lstStyle/>
              <a:p>
                <a:pPr>
                  <a:defRPr sz="1200" b="1" i="0" u="none" strike="noStrike" baseline="0">
                    <a:solidFill>
                      <a:srgbClr val="000000"/>
                    </a:solidFill>
                    <a:latin typeface="Arial"/>
                    <a:ea typeface="Arial"/>
                    <a:cs typeface="Arial"/>
                  </a:defRPr>
                </a:pPr>
                <a:r>
                  <a:rPr lang="en-US"/>
                  <a:t>Quarterly - Start Date 1 July 2000</a:t>
                </a:r>
              </a:p>
            </c:rich>
          </c:tx>
          <c:layout>
            <c:manualLayout>
              <c:xMode val="edge"/>
              <c:yMode val="edge"/>
              <c:x val="0.37201874050160516"/>
              <c:y val="0.9223829666636667"/>
            </c:manualLayout>
          </c:layout>
          <c:overlay val="0"/>
          <c:spPr>
            <a:noFill/>
            <a:ln w="25400">
              <a:noFill/>
            </a:ln>
          </c:spPr>
        </c:title>
        <c:majorTickMark val="out"/>
        <c:minorTickMark val="none"/>
        <c:tickLblPos val="none"/>
        <c:spPr>
          <a:ln w="3175">
            <a:solidFill>
              <a:srgbClr val="000000"/>
            </a:solidFill>
            <a:prstDash val="solid"/>
          </a:ln>
        </c:spPr>
        <c:crossAx val="251875632"/>
        <c:crosses val="autoZero"/>
        <c:auto val="1"/>
        <c:lblAlgn val="ctr"/>
        <c:lblOffset val="100"/>
        <c:tickMarkSkip val="1"/>
        <c:noMultiLvlLbl val="0"/>
      </c:catAx>
      <c:valAx>
        <c:axId val="251875632"/>
        <c:scaling>
          <c:orientation val="minMax"/>
          <c:min val="-100000"/>
        </c:scaling>
        <c:delete val="0"/>
        <c:axPos val="l"/>
        <c:majorGridlines>
          <c:spPr>
            <a:ln w="3175">
              <a:solidFill>
                <a:srgbClr val="000000"/>
              </a:solidFill>
              <a:prstDash val="solid"/>
            </a:ln>
          </c:spPr>
        </c:majorGridlines>
        <c:title>
          <c:tx>
            <c:rich>
              <a:bodyPr rot="0" vert="horz"/>
              <a:lstStyle/>
              <a:p>
                <a:pPr algn="ctr">
                  <a:defRPr sz="1200" b="1" i="0" u="none" strike="noStrike" baseline="0">
                    <a:solidFill>
                      <a:srgbClr val="000000"/>
                    </a:solidFill>
                    <a:latin typeface="Arial"/>
                    <a:ea typeface="Arial"/>
                    <a:cs typeface="Arial"/>
                  </a:defRPr>
                </a:pPr>
                <a:r>
                  <a:rPr lang="en-US"/>
                  <a:t>$000</a:t>
                </a:r>
              </a:p>
            </c:rich>
          </c:tx>
          <c:layout>
            <c:manualLayout>
              <c:xMode val="edge"/>
              <c:yMode val="edge"/>
              <c:x val="3.8675215596701527E-2"/>
              <c:y val="0.51531089209016068"/>
            </c:manualLayout>
          </c:layout>
          <c:overlay val="0"/>
          <c:spPr>
            <a:noFill/>
            <a:ln w="25400">
              <a:noFill/>
            </a:ln>
          </c:spPr>
        </c:title>
        <c:numFmt formatCode="#,##0_);\(#,##0\)" sourceLinked="1"/>
        <c:majorTickMark val="out"/>
        <c:minorTickMark val="in"/>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251870592"/>
        <c:crosses val="autoZero"/>
        <c:crossBetween val="between"/>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4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0"/>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PRICE CHART</a:t>
            </a:r>
          </a:p>
        </c:rich>
      </c:tx>
      <c:layout>
        <c:manualLayout>
          <c:xMode val="edge"/>
          <c:yMode val="edge"/>
          <c:x val="0.45702285481407356"/>
          <c:y val="4.6876673956884114E-2"/>
        </c:manualLayout>
      </c:layout>
      <c:overlay val="0"/>
      <c:spPr>
        <a:noFill/>
        <a:ln w="25400">
          <a:noFill/>
        </a:ln>
      </c:spPr>
    </c:title>
    <c:autoTitleDeleted val="0"/>
    <c:plotArea>
      <c:layout>
        <c:manualLayout>
          <c:layoutTarget val="inner"/>
          <c:xMode val="edge"/>
          <c:yMode val="edge"/>
          <c:x val="5.4183121962493259E-2"/>
          <c:y val="9.3753347913768229E-2"/>
          <c:w val="0.94113727060939378"/>
          <c:h val="0.67710751271054836"/>
        </c:manualLayout>
      </c:layout>
      <c:barChart>
        <c:barDir val="col"/>
        <c:grouping val="clustered"/>
        <c:varyColors val="0"/>
        <c:ser>
          <c:idx val="0"/>
          <c:order val="0"/>
          <c:spPr>
            <a:solidFill>
              <a:srgbClr val="9999FF"/>
            </a:solidFill>
            <a:ln w="12700">
              <a:solidFill>
                <a:srgbClr val="000000"/>
              </a:solidFill>
              <a:prstDash val="solid"/>
            </a:ln>
          </c:spPr>
          <c:invertIfNegative val="0"/>
          <c:cat>
            <c:numRef>
              <c:f>CashFlow!$E$2:$AI$2</c:f>
              <c:numCache>
                <c:formatCode>General</c:formatCode>
                <c:ptCount val="31"/>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pt idx="21">
                  <c:v>2023</c:v>
                </c:pt>
                <c:pt idx="22">
                  <c:v>2024</c:v>
                </c:pt>
                <c:pt idx="23">
                  <c:v>2025</c:v>
                </c:pt>
                <c:pt idx="24">
                  <c:v>2026</c:v>
                </c:pt>
                <c:pt idx="25">
                  <c:v>2027</c:v>
                </c:pt>
                <c:pt idx="26">
                  <c:v>2028</c:v>
                </c:pt>
                <c:pt idx="27">
                  <c:v>2029</c:v>
                </c:pt>
                <c:pt idx="28">
                  <c:v>2030</c:v>
                </c:pt>
                <c:pt idx="29">
                  <c:v>2031</c:v>
                </c:pt>
                <c:pt idx="30">
                  <c:v>2032</c:v>
                </c:pt>
              </c:numCache>
            </c:numRef>
          </c:cat>
          <c:val>
            <c:numRef>
              <c:f>CashFlow!$E$8:$AI$8</c:f>
              <c:numCache>
                <c:formatCode>#,##0.00000_);[Red]\(#,##0.00000\)</c:formatCode>
                <c:ptCount val="31"/>
                <c:pt idx="0">
                  <c:v>2.35E-2</c:v>
                </c:pt>
                <c:pt idx="1">
                  <c:v>2.35E-2</c:v>
                </c:pt>
                <c:pt idx="2">
                  <c:v>2.35E-2</c:v>
                </c:pt>
                <c:pt idx="3">
                  <c:v>2.35E-2</c:v>
                </c:pt>
                <c:pt idx="4">
                  <c:v>2.35E-2</c:v>
                </c:pt>
                <c:pt idx="5">
                  <c:v>2.35E-2</c:v>
                </c:pt>
                <c:pt idx="6">
                  <c:v>2.35E-2</c:v>
                </c:pt>
                <c:pt idx="7">
                  <c:v>2.35E-2</c:v>
                </c:pt>
                <c:pt idx="8">
                  <c:v>2.35E-2</c:v>
                </c:pt>
                <c:pt idx="9">
                  <c:v>2.35E-2</c:v>
                </c:pt>
                <c:pt idx="10">
                  <c:v>2.35E-2</c:v>
                </c:pt>
                <c:pt idx="11">
                  <c:v>2.35E-2</c:v>
                </c:pt>
                <c:pt idx="12">
                  <c:v>2.35E-2</c:v>
                </c:pt>
                <c:pt idx="13">
                  <c:v>2.35E-2</c:v>
                </c:pt>
                <c:pt idx="14">
                  <c:v>2.35E-2</c:v>
                </c:pt>
                <c:pt idx="15">
                  <c:v>2.35E-2</c:v>
                </c:pt>
                <c:pt idx="16">
                  <c:v>2.35E-2</c:v>
                </c:pt>
                <c:pt idx="17">
                  <c:v>2.35E-2</c:v>
                </c:pt>
                <c:pt idx="18">
                  <c:v>2.35E-2</c:v>
                </c:pt>
                <c:pt idx="19">
                  <c:v>2.35E-2</c:v>
                </c:pt>
                <c:pt idx="20">
                  <c:v>2.35E-2</c:v>
                </c:pt>
                <c:pt idx="21">
                  <c:v>2.35E-2</c:v>
                </c:pt>
                <c:pt idx="22">
                  <c:v>2.35E-2</c:v>
                </c:pt>
                <c:pt idx="23">
                  <c:v>2.35E-2</c:v>
                </c:pt>
                <c:pt idx="24">
                  <c:v>2.35E-2</c:v>
                </c:pt>
                <c:pt idx="25">
                  <c:v>2.35E-2</c:v>
                </c:pt>
                <c:pt idx="26">
                  <c:v>2.35E-2</c:v>
                </c:pt>
                <c:pt idx="27">
                  <c:v>2.35E-2</c:v>
                </c:pt>
                <c:pt idx="28">
                  <c:v>2.35E-2</c:v>
                </c:pt>
                <c:pt idx="29">
                  <c:v>2.35E-2</c:v>
                </c:pt>
                <c:pt idx="30">
                  <c:v>2.35E-2</c:v>
                </c:pt>
              </c:numCache>
            </c:numRef>
          </c:val>
        </c:ser>
        <c:dLbls>
          <c:showLegendKey val="0"/>
          <c:showVal val="0"/>
          <c:showCatName val="0"/>
          <c:showSerName val="0"/>
          <c:showPercent val="0"/>
          <c:showBubbleSize val="0"/>
        </c:dLbls>
        <c:gapWidth val="10"/>
        <c:axId val="251878992"/>
        <c:axId val="251879552"/>
      </c:barChart>
      <c:catAx>
        <c:axId val="251878992"/>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251879552"/>
        <c:crosses val="autoZero"/>
        <c:auto val="0"/>
        <c:lblAlgn val="ctr"/>
        <c:lblOffset val="100"/>
        <c:tickLblSkip val="1"/>
        <c:tickMarkSkip val="1"/>
        <c:noMultiLvlLbl val="0"/>
      </c:catAx>
      <c:valAx>
        <c:axId val="251879552"/>
        <c:scaling>
          <c:orientation val="minMax"/>
        </c:scaling>
        <c:delete val="0"/>
        <c:axPos val="l"/>
        <c:majorGridlines>
          <c:spPr>
            <a:ln w="3175">
              <a:pattFill prst="pct50">
                <a:fgClr>
                  <a:srgbClr val="000000"/>
                </a:fgClr>
                <a:bgClr>
                  <a:srgbClr val="FFFFFF"/>
                </a:bgClr>
              </a:pattFill>
              <a:prstDash val="solid"/>
            </a:ln>
          </c:spPr>
        </c:majorGridlines>
        <c:numFmt formatCode="#,##0.000_);[Red]\(#,##0.0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51878992"/>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050" b="1" i="0" u="none" strike="noStrike" baseline="0">
                <a:solidFill>
                  <a:srgbClr val="000000"/>
                </a:solidFill>
                <a:latin typeface="Arial"/>
                <a:ea typeface="Arial"/>
                <a:cs typeface="Arial"/>
              </a:defRPr>
            </a:pPr>
            <a:r>
              <a:rPr lang="en-US"/>
              <a:t>Debt Amortisation Chart</a:t>
            </a:r>
          </a:p>
        </c:rich>
      </c:tx>
      <c:layout>
        <c:manualLayout>
          <c:xMode val="edge"/>
          <c:yMode val="edge"/>
          <c:x val="0.40849483637999551"/>
          <c:y val="3.1964459160225028E-2"/>
        </c:manualLayout>
      </c:layout>
      <c:overlay val="0"/>
      <c:spPr>
        <a:noFill/>
        <a:ln w="25400">
          <a:noFill/>
        </a:ln>
      </c:spPr>
    </c:title>
    <c:autoTitleDeleted val="0"/>
    <c:plotArea>
      <c:layout>
        <c:manualLayout>
          <c:layoutTarget val="inner"/>
          <c:xMode val="edge"/>
          <c:yMode val="edge"/>
          <c:x val="6.4176101343851752E-2"/>
          <c:y val="0.21461851150436806"/>
          <c:w val="0.80638666471187637"/>
          <c:h val="0.60275837273567201"/>
        </c:manualLayout>
      </c:layout>
      <c:lineChart>
        <c:grouping val="stacked"/>
        <c:varyColors val="0"/>
        <c:ser>
          <c:idx val="0"/>
          <c:order val="0"/>
          <c:tx>
            <c:strRef>
              <c:f>SrDebt!$B$96</c:f>
              <c:strCache>
                <c:ptCount val="1"/>
                <c:pt idx="0">
                  <c:v>PROJECT YEAR TOTAL</c:v>
                </c:pt>
              </c:strCache>
            </c:strRef>
          </c:tx>
          <c:spPr>
            <a:ln w="38100">
              <a:solidFill>
                <a:srgbClr val="808080"/>
              </a:solidFill>
              <a:prstDash val="solid"/>
            </a:ln>
          </c:spPr>
          <c:marker>
            <c:symbol val="none"/>
          </c:marker>
          <c:val>
            <c:numRef>
              <c:f>SrDebt!$E$97:$AD$97</c:f>
              <c:numCache>
                <c:formatCode>#,##0_);\(#,##0\)</c:formatCode>
                <c:ptCount val="26"/>
                <c:pt idx="0">
                  <c:v>40271.353865997233</c:v>
                </c:pt>
                <c:pt idx="1">
                  <c:v>38187.742050771587</c:v>
                </c:pt>
                <c:pt idx="2">
                  <c:v>37243.782330937946</c:v>
                </c:pt>
                <c:pt idx="3">
                  <c:v>36174.744908188542</c:v>
                </c:pt>
                <c:pt idx="4">
                  <c:v>35005.094106009376</c:v>
                </c:pt>
                <c:pt idx="5">
                  <c:v>33728.875518620756</c:v>
                </c:pt>
                <c:pt idx="6">
                  <c:v>32107.624406659925</c:v>
                </c:pt>
                <c:pt idx="7">
                  <c:v>30635.916196230162</c:v>
                </c:pt>
                <c:pt idx="8">
                  <c:v>29001.733403821036</c:v>
                </c:pt>
                <c:pt idx="9">
                  <c:v>27197.75464172319</c:v>
                </c:pt>
                <c:pt idx="10">
                  <c:v>25152.160948798719</c:v>
                </c:pt>
                <c:pt idx="11">
                  <c:v>22838.790497899885</c:v>
                </c:pt>
                <c:pt idx="12">
                  <c:v>20210.730892961015</c:v>
                </c:pt>
                <c:pt idx="13">
                  <c:v>17246.813505531605</c:v>
                </c:pt>
                <c:pt idx="14">
                  <c:v>14071.163516601826</c:v>
                </c:pt>
                <c:pt idx="15">
                  <c:v>10675.331525783458</c:v>
                </c:pt>
                <c:pt idx="16">
                  <c:v>7107.1689343175194</c:v>
                </c:pt>
                <c:pt idx="17">
                  <c:v>3245.2653228399968</c:v>
                </c:pt>
                <c:pt idx="18">
                  <c:v>0</c:v>
                </c:pt>
                <c:pt idx="19">
                  <c:v>0</c:v>
                </c:pt>
                <c:pt idx="20">
                  <c:v>0</c:v>
                </c:pt>
                <c:pt idx="21">
                  <c:v>0</c:v>
                </c:pt>
                <c:pt idx="22">
                  <c:v>0</c:v>
                </c:pt>
                <c:pt idx="23">
                  <c:v>0</c:v>
                </c:pt>
                <c:pt idx="24">
                  <c:v>0</c:v>
                </c:pt>
                <c:pt idx="25">
                  <c:v>0</c:v>
                </c:pt>
              </c:numCache>
            </c:numRef>
          </c:val>
          <c:smooth val="0"/>
        </c:ser>
        <c:ser>
          <c:idx val="1"/>
          <c:order val="1"/>
          <c:tx>
            <c:strRef>
              <c:f>SrDebt!$B$43</c:f>
              <c:strCache>
                <c:ptCount val="1"/>
                <c:pt idx="0">
                  <c:v>PROJECT YEAR TRANCHE A</c:v>
                </c:pt>
              </c:strCache>
            </c:strRef>
          </c:tx>
          <c:spPr>
            <a:ln w="38100">
              <a:solidFill>
                <a:srgbClr val="FFCC00"/>
              </a:solidFill>
              <a:prstDash val="solid"/>
            </a:ln>
          </c:spPr>
          <c:marker>
            <c:symbol val="none"/>
          </c:marker>
          <c:val>
            <c:numRef>
              <c:f>SrDebt!$E$29:$AD$29</c:f>
              <c:numCache>
                <c:formatCode>#,##0</c:formatCode>
                <c:ptCount val="26"/>
                <c:pt idx="0">
                  <c:v>40271.353865997233</c:v>
                </c:pt>
                <c:pt idx="1">
                  <c:v>38187.742050771587</c:v>
                </c:pt>
                <c:pt idx="2">
                  <c:v>37243.782330937946</c:v>
                </c:pt>
                <c:pt idx="3">
                  <c:v>36174.744908188542</c:v>
                </c:pt>
                <c:pt idx="4">
                  <c:v>35005.094106009376</c:v>
                </c:pt>
                <c:pt idx="5">
                  <c:v>33728.875518620756</c:v>
                </c:pt>
                <c:pt idx="6">
                  <c:v>32107.624406659925</c:v>
                </c:pt>
                <c:pt idx="7">
                  <c:v>30635.916196230162</c:v>
                </c:pt>
                <c:pt idx="8">
                  <c:v>29001.733403821036</c:v>
                </c:pt>
                <c:pt idx="9">
                  <c:v>27197.75464172319</c:v>
                </c:pt>
                <c:pt idx="10">
                  <c:v>25152.160948798719</c:v>
                </c:pt>
                <c:pt idx="11">
                  <c:v>22838.790497899885</c:v>
                </c:pt>
                <c:pt idx="12">
                  <c:v>20210.730892961015</c:v>
                </c:pt>
                <c:pt idx="13">
                  <c:v>17246.813505531605</c:v>
                </c:pt>
                <c:pt idx="14">
                  <c:v>14071.163516601826</c:v>
                </c:pt>
                <c:pt idx="15">
                  <c:v>10675.331525783458</c:v>
                </c:pt>
                <c:pt idx="16">
                  <c:v>7107.1689343175194</c:v>
                </c:pt>
                <c:pt idx="17">
                  <c:v>3245.2653228399968</c:v>
                </c:pt>
                <c:pt idx="18">
                  <c:v>0</c:v>
                </c:pt>
                <c:pt idx="19">
                  <c:v>0</c:v>
                </c:pt>
                <c:pt idx="20">
                  <c:v>0</c:v>
                </c:pt>
                <c:pt idx="21">
                  <c:v>0</c:v>
                </c:pt>
                <c:pt idx="22">
                  <c:v>0</c:v>
                </c:pt>
                <c:pt idx="23">
                  <c:v>0</c:v>
                </c:pt>
                <c:pt idx="24">
                  <c:v>0</c:v>
                </c:pt>
                <c:pt idx="25">
                  <c:v>0</c:v>
                </c:pt>
              </c:numCache>
            </c:numRef>
          </c:val>
          <c:smooth val="0"/>
        </c:ser>
        <c:ser>
          <c:idx val="2"/>
          <c:order val="2"/>
          <c:tx>
            <c:strRef>
              <c:f>SrDebt!$B$88</c:f>
              <c:strCache>
                <c:ptCount val="1"/>
                <c:pt idx="0">
                  <c:v>PROJECT YEAR TRANCHE B</c:v>
                </c:pt>
              </c:strCache>
            </c:strRef>
          </c:tx>
          <c:spPr>
            <a:ln w="38100">
              <a:solidFill>
                <a:srgbClr val="008000"/>
              </a:solidFill>
              <a:prstDash val="solid"/>
            </a:ln>
          </c:spPr>
          <c:marker>
            <c:symbol val="none"/>
          </c:marker>
          <c:val>
            <c:numRef>
              <c:f>SrDebt!$E$74:$AD$74</c:f>
              <c:numCache>
                <c:formatCode>#,##0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smooth val="0"/>
        </c:ser>
        <c:dLbls>
          <c:showLegendKey val="0"/>
          <c:showVal val="0"/>
          <c:showCatName val="0"/>
          <c:showSerName val="0"/>
          <c:showPercent val="0"/>
          <c:showBubbleSize val="0"/>
        </c:dLbls>
        <c:smooth val="0"/>
        <c:axId val="253235168"/>
        <c:axId val="253235728"/>
      </c:lineChart>
      <c:catAx>
        <c:axId val="253235168"/>
        <c:scaling>
          <c:orientation val="minMax"/>
        </c:scaling>
        <c:delete val="0"/>
        <c:axPos val="b"/>
        <c:title>
          <c:tx>
            <c:rich>
              <a:bodyPr/>
              <a:lstStyle/>
              <a:p>
                <a:pPr>
                  <a:defRPr sz="1175" b="1" i="0" u="none" strike="noStrike" baseline="0">
                    <a:solidFill>
                      <a:srgbClr val="000000"/>
                    </a:solidFill>
                    <a:latin typeface="Arial"/>
                    <a:ea typeface="Arial"/>
                    <a:cs typeface="Arial"/>
                  </a:defRPr>
                </a:pPr>
                <a:r>
                  <a:rPr lang="en-US"/>
                  <a:t>Project Year</a:t>
                </a:r>
              </a:p>
            </c:rich>
          </c:tx>
          <c:layout>
            <c:manualLayout>
              <c:xMode val="edge"/>
              <c:yMode val="edge"/>
              <c:x val="0.43974580746917546"/>
              <c:y val="0.899571207794904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a:ea typeface="Arial"/>
                <a:cs typeface="Arial"/>
              </a:defRPr>
            </a:pPr>
            <a:endParaRPr lang="en-US"/>
          </a:p>
        </c:txPr>
        <c:crossAx val="253235728"/>
        <c:crosses val="autoZero"/>
        <c:auto val="1"/>
        <c:lblAlgn val="ctr"/>
        <c:lblOffset val="100"/>
        <c:tickLblSkip val="1"/>
        <c:tickMarkSkip val="1"/>
        <c:noMultiLvlLbl val="0"/>
      </c:catAx>
      <c:valAx>
        <c:axId val="253235728"/>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000000"/>
                    </a:solidFill>
                    <a:latin typeface="Arial"/>
                    <a:ea typeface="Arial"/>
                    <a:cs typeface="Arial"/>
                  </a:defRPr>
                </a:pPr>
                <a:r>
                  <a:rPr lang="en-US"/>
                  <a:t>$(000)</a:t>
                </a:r>
              </a:p>
            </c:rich>
          </c:tx>
          <c:layout>
            <c:manualLayout>
              <c:xMode val="edge"/>
              <c:yMode val="edge"/>
              <c:x val="8.9288488826228529E-3"/>
              <c:y val="0.45663513086035756"/>
            </c:manualLayout>
          </c:layout>
          <c:overlay val="0"/>
          <c:spPr>
            <a:noFill/>
            <a:ln w="25400">
              <a:noFill/>
            </a:ln>
          </c:spPr>
        </c:title>
        <c:numFmt formatCode="#,##0_);\(#,##0\)"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a:ea typeface="Arial"/>
                <a:cs typeface="Arial"/>
              </a:defRPr>
            </a:pPr>
            <a:endParaRPr lang="en-US"/>
          </a:p>
        </c:txPr>
        <c:crossAx val="253235168"/>
        <c:crosses val="autoZero"/>
        <c:crossBetween val="between"/>
      </c:valAx>
      <c:spPr>
        <a:solidFill>
          <a:srgbClr val="E3E3E3"/>
        </a:solidFill>
        <a:ln w="12700">
          <a:solidFill>
            <a:srgbClr val="000000"/>
          </a:solidFill>
          <a:prstDash val="solid"/>
        </a:ln>
      </c:spPr>
    </c:plotArea>
    <c:legend>
      <c:legendPos val="r"/>
      <c:layout>
        <c:manualLayout>
          <c:xMode val="edge"/>
          <c:yMode val="edge"/>
          <c:x val="0.87670134966253133"/>
          <c:y val="0.44293607693454684"/>
          <c:w val="0.11886530074991672"/>
          <c:h val="0.14612324187531442"/>
        </c:manualLayout>
      </c:layout>
      <c:overlay val="0"/>
      <c:spPr>
        <a:solidFill>
          <a:srgbClr val="FFFFFF"/>
        </a:solidFill>
        <a:ln w="3175">
          <a:solidFill>
            <a:srgbClr val="000000"/>
          </a:solidFill>
          <a:prstDash val="solid"/>
        </a:ln>
      </c:spPr>
      <c:txPr>
        <a:bodyPr/>
        <a:lstStyle/>
        <a:p>
          <a:pPr>
            <a:defRPr sz="895" b="0" i="0" u="none" strike="noStrike" baseline="0">
              <a:solidFill>
                <a:srgbClr val="000000"/>
              </a:solidFill>
              <a:latin typeface="Arial"/>
              <a:ea typeface="Arial"/>
              <a:cs typeface="Arial"/>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7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PRICE CHART</a:t>
            </a:r>
          </a:p>
        </c:rich>
      </c:tx>
      <c:layout>
        <c:manualLayout>
          <c:xMode val="edge"/>
          <c:yMode val="edge"/>
          <c:x val="0.4564849123899008"/>
          <c:y val="4.2254945853113512E-2"/>
        </c:manualLayout>
      </c:layout>
      <c:overlay val="0"/>
      <c:spPr>
        <a:noFill/>
        <a:ln w="25400">
          <a:noFill/>
        </a:ln>
      </c:spPr>
    </c:title>
    <c:autoTitleDeleted val="0"/>
    <c:plotArea>
      <c:layout>
        <c:manualLayout>
          <c:layoutTarget val="inner"/>
          <c:xMode val="edge"/>
          <c:yMode val="edge"/>
          <c:x val="7.1766957875731827E-2"/>
          <c:y val="0.14554481349405765"/>
          <c:w val="0.9200288698167588"/>
          <c:h val="0.63382418779670269"/>
        </c:manualLayout>
      </c:layout>
      <c:barChart>
        <c:barDir val="col"/>
        <c:grouping val="clustered"/>
        <c:varyColors val="0"/>
        <c:ser>
          <c:idx val="0"/>
          <c:order val="0"/>
          <c:spPr>
            <a:solidFill>
              <a:srgbClr val="9999FF"/>
            </a:solidFill>
            <a:ln w="12700">
              <a:solidFill>
                <a:srgbClr val="000000"/>
              </a:solidFill>
              <a:prstDash val="solid"/>
            </a:ln>
          </c:spPr>
          <c:invertIfNegative val="0"/>
          <c:cat>
            <c:numRef>
              <c:f>CashFlow!$E$2:$AI$2</c:f>
              <c:numCache>
                <c:formatCode>General</c:formatCode>
                <c:ptCount val="31"/>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pt idx="21">
                  <c:v>2023</c:v>
                </c:pt>
                <c:pt idx="22">
                  <c:v>2024</c:v>
                </c:pt>
                <c:pt idx="23">
                  <c:v>2025</c:v>
                </c:pt>
                <c:pt idx="24">
                  <c:v>2026</c:v>
                </c:pt>
                <c:pt idx="25">
                  <c:v>2027</c:v>
                </c:pt>
                <c:pt idx="26">
                  <c:v>2028</c:v>
                </c:pt>
                <c:pt idx="27">
                  <c:v>2029</c:v>
                </c:pt>
                <c:pt idx="28">
                  <c:v>2030</c:v>
                </c:pt>
                <c:pt idx="29">
                  <c:v>2031</c:v>
                </c:pt>
                <c:pt idx="30">
                  <c:v>2032</c:v>
                </c:pt>
              </c:numCache>
            </c:numRef>
          </c:cat>
          <c:val>
            <c:numRef>
              <c:f>CashFlow!$E$8:$AI$8</c:f>
              <c:numCache>
                <c:formatCode>#,##0.00000_);[Red]\(#,##0.00000\)</c:formatCode>
                <c:ptCount val="31"/>
                <c:pt idx="0">
                  <c:v>2.35E-2</c:v>
                </c:pt>
                <c:pt idx="1">
                  <c:v>2.35E-2</c:v>
                </c:pt>
                <c:pt idx="2">
                  <c:v>2.35E-2</c:v>
                </c:pt>
                <c:pt idx="3">
                  <c:v>2.35E-2</c:v>
                </c:pt>
                <c:pt idx="4">
                  <c:v>2.35E-2</c:v>
                </c:pt>
                <c:pt idx="5">
                  <c:v>2.35E-2</c:v>
                </c:pt>
                <c:pt idx="6">
                  <c:v>2.35E-2</c:v>
                </c:pt>
                <c:pt idx="7">
                  <c:v>2.35E-2</c:v>
                </c:pt>
                <c:pt idx="8">
                  <c:v>2.35E-2</c:v>
                </c:pt>
                <c:pt idx="9">
                  <c:v>2.35E-2</c:v>
                </c:pt>
                <c:pt idx="10">
                  <c:v>2.35E-2</c:v>
                </c:pt>
                <c:pt idx="11">
                  <c:v>2.35E-2</c:v>
                </c:pt>
                <c:pt idx="12">
                  <c:v>2.35E-2</c:v>
                </c:pt>
                <c:pt idx="13">
                  <c:v>2.35E-2</c:v>
                </c:pt>
                <c:pt idx="14">
                  <c:v>2.35E-2</c:v>
                </c:pt>
                <c:pt idx="15">
                  <c:v>2.35E-2</c:v>
                </c:pt>
                <c:pt idx="16">
                  <c:v>2.35E-2</c:v>
                </c:pt>
                <c:pt idx="17">
                  <c:v>2.35E-2</c:v>
                </c:pt>
                <c:pt idx="18">
                  <c:v>2.35E-2</c:v>
                </c:pt>
                <c:pt idx="19">
                  <c:v>2.35E-2</c:v>
                </c:pt>
                <c:pt idx="20">
                  <c:v>2.35E-2</c:v>
                </c:pt>
                <c:pt idx="21">
                  <c:v>2.35E-2</c:v>
                </c:pt>
                <c:pt idx="22">
                  <c:v>2.35E-2</c:v>
                </c:pt>
                <c:pt idx="23">
                  <c:v>2.35E-2</c:v>
                </c:pt>
                <c:pt idx="24">
                  <c:v>2.35E-2</c:v>
                </c:pt>
                <c:pt idx="25">
                  <c:v>2.35E-2</c:v>
                </c:pt>
                <c:pt idx="26">
                  <c:v>2.35E-2</c:v>
                </c:pt>
                <c:pt idx="27">
                  <c:v>2.35E-2</c:v>
                </c:pt>
                <c:pt idx="28">
                  <c:v>2.35E-2</c:v>
                </c:pt>
                <c:pt idx="29">
                  <c:v>2.35E-2</c:v>
                </c:pt>
                <c:pt idx="30">
                  <c:v>2.35E-2</c:v>
                </c:pt>
              </c:numCache>
            </c:numRef>
          </c:val>
        </c:ser>
        <c:dLbls>
          <c:showLegendKey val="0"/>
          <c:showVal val="0"/>
          <c:showCatName val="0"/>
          <c:showSerName val="0"/>
          <c:showPercent val="0"/>
          <c:showBubbleSize val="0"/>
        </c:dLbls>
        <c:gapWidth val="10"/>
        <c:axId val="251881792"/>
        <c:axId val="251882352"/>
      </c:barChart>
      <c:catAx>
        <c:axId val="251881792"/>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251882352"/>
        <c:crosses val="autoZero"/>
        <c:auto val="0"/>
        <c:lblAlgn val="ctr"/>
        <c:lblOffset val="100"/>
        <c:tickLblSkip val="1"/>
        <c:tickMarkSkip val="1"/>
        <c:noMultiLvlLbl val="0"/>
      </c:catAx>
      <c:valAx>
        <c:axId val="251882352"/>
        <c:scaling>
          <c:orientation val="minMax"/>
        </c:scaling>
        <c:delete val="0"/>
        <c:axPos val="l"/>
        <c:majorGridlines>
          <c:spPr>
            <a:ln w="3175">
              <a:pattFill prst="pct50">
                <a:fgClr>
                  <a:srgbClr val="000000"/>
                </a:fgClr>
                <a:bgClr>
                  <a:srgbClr val="FFFFFF"/>
                </a:bgClr>
              </a:pattFill>
              <a:prstDash val="solid"/>
            </a:ln>
          </c:spPr>
        </c:majorGridlines>
        <c:numFmt formatCode="#,##0.00000_);[Red]\(#,##0.00000\)"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51881792"/>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1.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xdr:col>
      <xdr:colOff>66675</xdr:colOff>
      <xdr:row>6</xdr:row>
      <xdr:rowOff>152400</xdr:rowOff>
    </xdr:from>
    <xdr:to>
      <xdr:col>8</xdr:col>
      <xdr:colOff>1143000</xdr:colOff>
      <xdr:row>10</xdr:row>
      <xdr:rowOff>57150</xdr:rowOff>
    </xdr:to>
    <xdr:sp macro="" textlink="">
      <xdr:nvSpPr>
        <xdr:cNvPr id="13320" name="Text Box 8"/>
        <xdr:cNvSpPr txBox="1">
          <a:spLocks noChangeArrowheads="1"/>
        </xdr:cNvSpPr>
      </xdr:nvSpPr>
      <xdr:spPr bwMode="auto">
        <a:xfrm>
          <a:off x="3248025" y="1200150"/>
          <a:ext cx="7010400" cy="5524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Internal Assumption Sheet is used for calculations that are internal to EWC only, such as margin and fee calculations.</a:t>
          </a:r>
        </a:p>
        <a:p>
          <a:pPr algn="l" rtl="0">
            <a:defRPr sz="1000"/>
          </a:pPr>
          <a:r>
            <a:rPr lang="en-US" sz="1000" b="0" i="0" u="none" strike="noStrike" baseline="0">
              <a:solidFill>
                <a:srgbClr val="000000"/>
              </a:solidFill>
              <a:latin typeface="Arial"/>
              <a:cs typeface="Arial"/>
            </a:rPr>
            <a:t> When presenting a model outside of Enron, secure this model using the SECURE macro button on the Assum sheet.</a:t>
          </a:r>
        </a:p>
      </xdr:txBody>
    </xdr:sp>
    <xdr:clientData/>
  </xdr:twoCellAnchor>
  <xdr:twoCellAnchor>
    <xdr:from>
      <xdr:col>7</xdr:col>
      <xdr:colOff>762000</xdr:colOff>
      <xdr:row>82</xdr:row>
      <xdr:rowOff>104775</xdr:rowOff>
    </xdr:from>
    <xdr:to>
      <xdr:col>10</xdr:col>
      <xdr:colOff>2085975</xdr:colOff>
      <xdr:row>88</xdr:row>
      <xdr:rowOff>66675</xdr:rowOff>
    </xdr:to>
    <xdr:sp macro="" textlink="">
      <xdr:nvSpPr>
        <xdr:cNvPr id="13356" name="Text Box 44"/>
        <xdr:cNvSpPr txBox="1">
          <a:spLocks noChangeArrowheads="1"/>
        </xdr:cNvSpPr>
      </xdr:nvSpPr>
      <xdr:spPr bwMode="auto">
        <a:xfrm>
          <a:off x="8524875" y="13611225"/>
          <a:ext cx="3476625" cy="9334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For models sent to external parties, first calculate the Developer Fee and then manually insert the number and set the switch = 0.   Thus the Developer Fee will not bounce around when external users make changes. Make sure any additions to Cash Sources or Uses of Funds are included in the Developer Fee calc</a:t>
          </a:r>
        </a:p>
      </xdr:txBody>
    </xdr:sp>
    <xdr:clientData/>
  </xdr:twoCellAnchor>
  <mc:AlternateContent xmlns:mc="http://schemas.openxmlformats.org/markup-compatibility/2006">
    <mc:Choice xmlns:a14="http://schemas.microsoft.com/office/drawing/2010/main" Requires="a14">
      <xdr:twoCellAnchor>
        <xdr:from>
          <xdr:col>1</xdr:col>
          <xdr:colOff>0</xdr:colOff>
          <xdr:row>8</xdr:row>
          <xdr:rowOff>0</xdr:rowOff>
        </xdr:from>
        <xdr:to>
          <xdr:col>1</xdr:col>
          <xdr:colOff>1371600</xdr:colOff>
          <xdr:row>10</xdr:row>
          <xdr:rowOff>133350</xdr:rowOff>
        </xdr:to>
        <xdr:sp macro="" textlink="">
          <xdr:nvSpPr>
            <xdr:cNvPr id="13365" name="Button 53" hidden="1">
              <a:extLst>
                <a:ext uri="{63B3BB69-23CF-44E3-9099-C40C66FF867C}">
                  <a14:compatExt spid="_x0000_s13365"/>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1" i="0" u="none" strike="noStrike" baseline="0">
                  <a:solidFill>
                    <a:srgbClr val="000000"/>
                  </a:solidFill>
                  <a:latin typeface="Arial"/>
                  <a:cs typeface="Arial"/>
                </a:rPr>
                <a:t>Print Internal</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9525</xdr:colOff>
          <xdr:row>12</xdr:row>
          <xdr:rowOff>161925</xdr:rowOff>
        </xdr:from>
        <xdr:to>
          <xdr:col>5</xdr:col>
          <xdr:colOff>1381125</xdr:colOff>
          <xdr:row>15</xdr:row>
          <xdr:rowOff>123825</xdr:rowOff>
        </xdr:to>
        <xdr:sp macro="" textlink="">
          <xdr:nvSpPr>
            <xdr:cNvPr id="1034" name="Button 10" hidden="1">
              <a:extLst>
                <a:ext uri="{63B3BB69-23CF-44E3-9099-C40C66FF867C}">
                  <a14:compatExt spid="_x0000_s1034"/>
                </a:ext>
              </a:extLst>
            </xdr:cNvPr>
            <xdr:cNvSpPr/>
          </xdr:nvSpPr>
          <xdr:spPr bwMode="auto">
            <a:xfrm>
              <a:off x="0" y="0"/>
              <a:ext cx="0" cy="0"/>
            </a:xfrm>
            <a:prstGeom prst="rect">
              <a:avLst/>
            </a:prstGeom>
            <a:noFill/>
            <a:ln w="9525">
              <a:miter lim="800000"/>
              <a:headEnd/>
              <a:tailEnd/>
            </a:ln>
            <a:effectLst/>
            <a:extLs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1" i="0" u="none" strike="noStrike" baseline="0">
                  <a:solidFill>
                    <a:srgbClr val="000000"/>
                  </a:solidFill>
                  <a:latin typeface="Arial"/>
                  <a:cs typeface="Arial"/>
                </a:rPr>
                <a:t>Print Assumptions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57150</xdr:rowOff>
        </xdr:from>
        <xdr:to>
          <xdr:col>1</xdr:col>
          <xdr:colOff>1333500</xdr:colOff>
          <xdr:row>8</xdr:row>
          <xdr:rowOff>9525</xdr:rowOff>
        </xdr:to>
        <xdr:sp macro="" textlink="">
          <xdr:nvSpPr>
            <xdr:cNvPr id="1036" name="Object 12" hidden="1">
              <a:extLst>
                <a:ext uri="{63B3BB69-23CF-44E3-9099-C40C66FF867C}">
                  <a14:compatExt spid="_x0000_s103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twoCellAnchor>
    <xdr:from>
      <xdr:col>9</xdr:col>
      <xdr:colOff>838200</xdr:colOff>
      <xdr:row>230</xdr:row>
      <xdr:rowOff>0</xdr:rowOff>
    </xdr:from>
    <xdr:to>
      <xdr:col>15</xdr:col>
      <xdr:colOff>390525</xdr:colOff>
      <xdr:row>241</xdr:row>
      <xdr:rowOff>104775</xdr:rowOff>
    </xdr:to>
    <xdr:graphicFrame macro="">
      <xdr:nvGraphicFramePr>
        <xdr:cNvPr id="1043"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5</xdr:col>
          <xdr:colOff>0</xdr:colOff>
          <xdr:row>5</xdr:row>
          <xdr:rowOff>0</xdr:rowOff>
        </xdr:from>
        <xdr:to>
          <xdr:col>5</xdr:col>
          <xdr:colOff>1371600</xdr:colOff>
          <xdr:row>7</xdr:row>
          <xdr:rowOff>123825</xdr:rowOff>
        </xdr:to>
        <xdr:sp macro="" textlink="">
          <xdr:nvSpPr>
            <xdr:cNvPr id="17493" name="Button 1109" hidden="1">
              <a:extLst>
                <a:ext uri="{63B3BB69-23CF-44E3-9099-C40C66FF867C}">
                  <a14:compatExt spid="_x0000_s17493"/>
                </a:ext>
              </a:extLst>
            </xdr:cNvPr>
            <xdr:cNvSpPr/>
          </xdr:nvSpPr>
          <xdr:spPr bwMode="auto">
            <a:xfrm>
              <a:off x="0" y="0"/>
              <a:ext cx="0" cy="0"/>
            </a:xfrm>
            <a:prstGeom prst="rect">
              <a:avLst/>
            </a:prstGeom>
            <a:noFill/>
            <a:ln w="9525">
              <a:miter lim="800000"/>
              <a:headEnd/>
              <a:tailEnd/>
            </a:ln>
            <a:effectLst/>
            <a:extLs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1" i="0" u="none" strike="noStrike" baseline="0">
                  <a:solidFill>
                    <a:srgbClr val="000000"/>
                  </a:solidFill>
                  <a:latin typeface="Arial"/>
                  <a:cs typeface="Arial"/>
                </a:rPr>
                <a:t>Print Standard</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9</xdr:row>
          <xdr:rowOff>9525</xdr:rowOff>
        </xdr:from>
        <xdr:to>
          <xdr:col>5</xdr:col>
          <xdr:colOff>1371600</xdr:colOff>
          <xdr:row>11</xdr:row>
          <xdr:rowOff>161925</xdr:rowOff>
        </xdr:to>
        <xdr:sp macro="" textlink="">
          <xdr:nvSpPr>
            <xdr:cNvPr id="17494" name="Button 1110" hidden="1">
              <a:extLst>
                <a:ext uri="{63B3BB69-23CF-44E3-9099-C40C66FF867C}">
                  <a14:compatExt spid="_x0000_s174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1" i="0" u="none" strike="noStrike" baseline="0">
                  <a:solidFill>
                    <a:srgbClr val="000000"/>
                  </a:solidFill>
                  <a:latin typeface="Arial"/>
                  <a:cs typeface="Arial"/>
                </a:rPr>
                <a:t>Print All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5</xdr:row>
          <xdr:rowOff>28575</xdr:rowOff>
        </xdr:from>
        <xdr:to>
          <xdr:col>8</xdr:col>
          <xdr:colOff>114300</xdr:colOff>
          <xdr:row>8</xdr:row>
          <xdr:rowOff>0</xdr:rowOff>
        </xdr:to>
        <xdr:sp macro="" textlink="">
          <xdr:nvSpPr>
            <xdr:cNvPr id="17515" name="Button 1131" hidden="1">
              <a:extLst>
                <a:ext uri="{63B3BB69-23CF-44E3-9099-C40C66FF867C}">
                  <a14:compatExt spid="_x0000_s17515"/>
                </a:ext>
              </a:extLst>
            </xdr:cNvPr>
            <xdr:cNvSpPr/>
          </xdr:nvSpPr>
          <xdr:spPr bwMode="auto">
            <a:xfrm>
              <a:off x="0" y="0"/>
              <a:ext cx="0" cy="0"/>
            </a:xfrm>
            <a:prstGeom prst="rect">
              <a:avLst/>
            </a:prstGeom>
            <a:noFill/>
            <a:ln w="9525">
              <a:miter lim="800000"/>
              <a:headEnd/>
              <a:tailEnd/>
            </a:ln>
            <a:effectLst/>
            <a:extLs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1" i="0" u="none" strike="noStrike" baseline="0">
                  <a:solidFill>
                    <a:srgbClr val="000000"/>
                  </a:solidFill>
                  <a:latin typeface="Arial"/>
                  <a:cs typeface="Arial"/>
                </a:rPr>
                <a:t>Secure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1943100</xdr:colOff>
          <xdr:row>9</xdr:row>
          <xdr:rowOff>28575</xdr:rowOff>
        </xdr:from>
        <xdr:to>
          <xdr:col>8</xdr:col>
          <xdr:colOff>95250</xdr:colOff>
          <xdr:row>11</xdr:row>
          <xdr:rowOff>161925</xdr:rowOff>
        </xdr:to>
        <xdr:sp macro="" textlink="">
          <xdr:nvSpPr>
            <xdr:cNvPr id="17516" name="Button 1132" hidden="1">
              <a:extLst>
                <a:ext uri="{63B3BB69-23CF-44E3-9099-C40C66FF867C}">
                  <a14:compatExt spid="_x0000_s17516"/>
                </a:ext>
              </a:extLst>
            </xdr:cNvPr>
            <xdr:cNvSpPr/>
          </xdr:nvSpPr>
          <xdr:spPr bwMode="auto">
            <a:xfrm>
              <a:off x="0" y="0"/>
              <a:ext cx="0" cy="0"/>
            </a:xfrm>
            <a:prstGeom prst="rect">
              <a:avLst/>
            </a:prstGeom>
            <a:noFill/>
            <a:ln w="9525">
              <a:miter lim="800000"/>
              <a:headEnd/>
              <a:tailEnd/>
            </a:ln>
            <a:effectLst/>
            <a:extLs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1" i="0" u="none" strike="noStrike" baseline="0">
                  <a:solidFill>
                    <a:srgbClr val="000000"/>
                  </a:solidFill>
                  <a:latin typeface="Arial"/>
                  <a:cs typeface="Arial"/>
                </a:rPr>
                <a:t>Unlock</a:t>
              </a:r>
            </a:p>
          </xdr:txBody>
        </xdr:sp>
        <xdr:clientData fPrintsWithSheet="0"/>
      </xdr:twoCellAnchor>
    </mc:Choice>
    <mc:Fallback/>
  </mc:AlternateContent>
  <xdr:twoCellAnchor>
    <xdr:from>
      <xdr:col>15</xdr:col>
      <xdr:colOff>638175</xdr:colOff>
      <xdr:row>230</xdr:row>
      <xdr:rowOff>0</xdr:rowOff>
    </xdr:from>
    <xdr:to>
      <xdr:col>22</xdr:col>
      <xdr:colOff>609600</xdr:colOff>
      <xdr:row>241</xdr:row>
      <xdr:rowOff>66675</xdr:rowOff>
    </xdr:to>
    <xdr:graphicFrame macro="">
      <xdr:nvGraphicFramePr>
        <xdr:cNvPr id="17571" name="Chart 118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962025</xdr:colOff>
      <xdr:row>241</xdr:row>
      <xdr:rowOff>0</xdr:rowOff>
    </xdr:from>
    <xdr:to>
      <xdr:col>9</xdr:col>
      <xdr:colOff>219075</xdr:colOff>
      <xdr:row>246</xdr:row>
      <xdr:rowOff>85725</xdr:rowOff>
    </xdr:to>
    <xdr:sp macro="" textlink="">
      <xdr:nvSpPr>
        <xdr:cNvPr id="17599" name="Text Box 1215"/>
        <xdr:cNvSpPr txBox="1">
          <a:spLocks noChangeArrowheads="1"/>
        </xdr:cNvSpPr>
      </xdr:nvSpPr>
      <xdr:spPr bwMode="auto">
        <a:xfrm>
          <a:off x="9534525" y="39147750"/>
          <a:ext cx="3657600" cy="8953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Debt is solved by Project Year and then re-casted by Calendar Year on the debt sheets. Input the First payment date (even if the principle payment is skipped the first year) and the model defaults to 6 month semi-annual. If payments are per annum, input as if semi-annual and use Payments per Year switch</a:t>
          </a: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6</xdr:col>
      <xdr:colOff>866775</xdr:colOff>
      <xdr:row>324</xdr:row>
      <xdr:rowOff>28575</xdr:rowOff>
    </xdr:from>
    <xdr:to>
      <xdr:col>8</xdr:col>
      <xdr:colOff>981075</xdr:colOff>
      <xdr:row>328</xdr:row>
      <xdr:rowOff>104775</xdr:rowOff>
    </xdr:to>
    <xdr:sp macro="" textlink="">
      <xdr:nvSpPr>
        <xdr:cNvPr id="17673" name="Text Box 1289"/>
        <xdr:cNvSpPr txBox="1">
          <a:spLocks noChangeArrowheads="1"/>
        </xdr:cNvSpPr>
      </xdr:nvSpPr>
      <xdr:spPr bwMode="auto">
        <a:xfrm>
          <a:off x="9439275" y="52654200"/>
          <a:ext cx="3324225" cy="7334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808080"/>
          </a:outerShdw>
        </a:effectLst>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CHECK!   Dates and Values  on Outside and EWC sheets to accurately reflect Project Start and Tax Year effects  - ALL CONTINGENECIES CANNOT BE COVERED WITH AUTOMATION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15</xdr:row>
      <xdr:rowOff>0</xdr:rowOff>
    </xdr:from>
    <xdr:to>
      <xdr:col>5</xdr:col>
      <xdr:colOff>866775</xdr:colOff>
      <xdr:row>40</xdr:row>
      <xdr:rowOff>85725</xdr:rowOff>
    </xdr:to>
    <xdr:graphicFrame macro="">
      <xdr:nvGraphicFramePr>
        <xdr:cNvPr id="21505"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1095375</xdr:colOff>
      <xdr:row>15</xdr:row>
      <xdr:rowOff>47625</xdr:rowOff>
    </xdr:from>
    <xdr:to>
      <xdr:col>15</xdr:col>
      <xdr:colOff>38100</xdr:colOff>
      <xdr:row>40</xdr:row>
      <xdr:rowOff>142875</xdr:rowOff>
    </xdr:to>
    <xdr:graphicFrame macro="">
      <xdr:nvGraphicFramePr>
        <xdr:cNvPr id="21507"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295275</xdr:colOff>
      <xdr:row>41</xdr:row>
      <xdr:rowOff>47625</xdr:rowOff>
    </xdr:from>
    <xdr:to>
      <xdr:col>5</xdr:col>
      <xdr:colOff>981075</xdr:colOff>
      <xdr:row>61</xdr:row>
      <xdr:rowOff>152400</xdr:rowOff>
    </xdr:to>
    <xdr:graphicFrame macro="">
      <xdr:nvGraphicFramePr>
        <xdr:cNvPr id="21508"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1143000</xdr:colOff>
      <xdr:row>41</xdr:row>
      <xdr:rowOff>85725</xdr:rowOff>
    </xdr:from>
    <xdr:to>
      <xdr:col>15</xdr:col>
      <xdr:colOff>371475</xdr:colOff>
      <xdr:row>62</xdr:row>
      <xdr:rowOff>47625</xdr:rowOff>
    </xdr:to>
    <xdr:graphicFrame macro="">
      <xdr:nvGraphicFramePr>
        <xdr:cNvPr id="21509"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257175</xdr:colOff>
      <xdr:row>62</xdr:row>
      <xdr:rowOff>152400</xdr:rowOff>
    </xdr:from>
    <xdr:to>
      <xdr:col>5</xdr:col>
      <xdr:colOff>952500</xdr:colOff>
      <xdr:row>82</xdr:row>
      <xdr:rowOff>85725</xdr:rowOff>
    </xdr:to>
    <xdr:graphicFrame macro="">
      <xdr:nvGraphicFramePr>
        <xdr:cNvPr id="21510"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0.23686</cdr:x>
      <cdr:y>0.33342</cdr:y>
    </cdr:from>
    <cdr:to>
      <cdr:x>0.42179</cdr:x>
      <cdr:y>0.3725</cdr:y>
    </cdr:to>
    <cdr:sp macro="" textlink="">
      <cdr:nvSpPr>
        <cdr:cNvPr id="22529" name="Text Box 1"/>
        <cdr:cNvSpPr txBox="1">
          <a:spLocks xmlns:a="http://schemas.openxmlformats.org/drawingml/2006/main" noChangeArrowheads="1"/>
        </cdr:cNvSpPr>
      </cdr:nvSpPr>
      <cdr:spPr bwMode="auto">
        <a:xfrm xmlns:a="http://schemas.openxmlformats.org/drawingml/2006/main">
          <a:off x="1388396" y="1384657"/>
          <a:ext cx="1081583" cy="161925"/>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PV(MarketPrice)</a:t>
          </a:r>
        </a:p>
      </cdr:txBody>
    </cdr:sp>
  </cdr:relSizeAnchor>
  <cdr:relSizeAnchor xmlns:cdr="http://schemas.openxmlformats.org/drawingml/2006/chartDrawing">
    <cdr:from>
      <cdr:x>0.56001</cdr:x>
      <cdr:y>0.17636</cdr:y>
    </cdr:from>
    <cdr:to>
      <cdr:x>0.72552</cdr:x>
      <cdr:y>0.21545</cdr:y>
    </cdr:to>
    <cdr:sp macro="" textlink="">
      <cdr:nvSpPr>
        <cdr:cNvPr id="22530" name="Text Box 2"/>
        <cdr:cNvSpPr txBox="1">
          <a:spLocks xmlns:a="http://schemas.openxmlformats.org/drawingml/2006/main" noChangeArrowheads="1"/>
        </cdr:cNvSpPr>
      </cdr:nvSpPr>
      <cdr:spPr bwMode="auto">
        <a:xfrm xmlns:a="http://schemas.openxmlformats.org/drawingml/2006/main">
          <a:off x="3278289" y="733921"/>
          <a:ext cx="967959" cy="161925"/>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FMV(Project)</a:t>
          </a:r>
        </a:p>
      </cdr:txBody>
    </cdr:sp>
  </cdr:relSizeAnchor>
  <cdr:relSizeAnchor xmlns:cdr="http://schemas.openxmlformats.org/drawingml/2006/chartDrawing">
    <cdr:from>
      <cdr:x>0.42179</cdr:x>
      <cdr:y>0.44187</cdr:y>
    </cdr:from>
    <cdr:to>
      <cdr:x>0.58755</cdr:x>
      <cdr:y>0.48095</cdr:y>
    </cdr:to>
    <cdr:sp macro="" textlink="">
      <cdr:nvSpPr>
        <cdr:cNvPr id="22531" name="Text Box 3"/>
        <cdr:cNvSpPr txBox="1">
          <a:spLocks xmlns:a="http://schemas.openxmlformats.org/drawingml/2006/main" noChangeArrowheads="1"/>
        </cdr:cNvSpPr>
      </cdr:nvSpPr>
      <cdr:spPr bwMode="auto">
        <a:xfrm xmlns:a="http://schemas.openxmlformats.org/drawingml/2006/main">
          <a:off x="2469979" y="1833999"/>
          <a:ext cx="969397" cy="161925"/>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0" tIns="22860" rIns="27432" bIns="0" anchor="t" upright="1"/>
        <a:lstStyle xmlns:a="http://schemas.openxmlformats.org/drawingml/2006/main"/>
        <a:p xmlns:a="http://schemas.openxmlformats.org/drawingml/2006/main">
          <a:pPr algn="r" rtl="0">
            <a:defRPr sz="1000"/>
          </a:pPr>
          <a:r>
            <a:rPr lang="en-US" sz="800" b="0" i="0" u="none" strike="noStrike" baseline="0">
              <a:solidFill>
                <a:srgbClr val="000000"/>
              </a:solidFill>
              <a:latin typeface="Arial"/>
              <a:cs typeface="Arial"/>
            </a:rPr>
            <a:t>PV(GreenPrem)</a:t>
          </a:r>
        </a:p>
      </cdr:txBody>
    </cdr:sp>
  </cdr:relSizeAnchor>
  <cdr:relSizeAnchor xmlns:cdr="http://schemas.openxmlformats.org/drawingml/2006/chartDrawing">
    <cdr:from>
      <cdr:x>0.34138</cdr:x>
      <cdr:y>0.74914</cdr:y>
    </cdr:from>
    <cdr:to>
      <cdr:x>0.56001</cdr:x>
      <cdr:y>0.7892</cdr:y>
    </cdr:to>
    <cdr:sp macro="" textlink="">
      <cdr:nvSpPr>
        <cdr:cNvPr id="22532" name="Text Box 4"/>
        <cdr:cNvSpPr txBox="1">
          <a:spLocks xmlns:a="http://schemas.openxmlformats.org/drawingml/2006/main" noChangeArrowheads="1"/>
        </cdr:cNvSpPr>
      </cdr:nvSpPr>
      <cdr:spPr bwMode="auto">
        <a:xfrm xmlns:a="http://schemas.openxmlformats.org/drawingml/2006/main">
          <a:off x="1999663" y="3107134"/>
          <a:ext cx="1278626" cy="165974"/>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PV(ContractPrice)</a:t>
          </a:r>
        </a:p>
      </cdr:txBody>
    </cdr:sp>
  </cdr:relSizeAnchor>
  <cdr:relSizeAnchor xmlns:cdr="http://schemas.openxmlformats.org/drawingml/2006/chartDrawing">
    <cdr:from>
      <cdr:x>0.65493</cdr:x>
      <cdr:y>0.84928</cdr:y>
    </cdr:from>
    <cdr:to>
      <cdr:x>0.84061</cdr:x>
      <cdr:y>0.88763</cdr:y>
    </cdr:to>
    <cdr:sp macro="" textlink="">
      <cdr:nvSpPr>
        <cdr:cNvPr id="22533" name="Text Box 5"/>
        <cdr:cNvSpPr txBox="1">
          <a:spLocks xmlns:a="http://schemas.openxmlformats.org/drawingml/2006/main" noChangeArrowheads="1"/>
        </cdr:cNvSpPr>
      </cdr:nvSpPr>
      <cdr:spPr bwMode="auto">
        <a:xfrm xmlns:a="http://schemas.openxmlformats.org/drawingml/2006/main">
          <a:off x="3833463" y="3522067"/>
          <a:ext cx="1085898" cy="158889"/>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Cost(Project)</a:t>
          </a:r>
        </a:p>
      </cdr:txBody>
    </cdr:sp>
  </cdr:relSizeAnchor>
  <cdr:relSizeAnchor xmlns:cdr="http://schemas.openxmlformats.org/drawingml/2006/chartDrawing">
    <cdr:from>
      <cdr:x>0.75921</cdr:x>
      <cdr:y>0.39057</cdr:y>
    </cdr:from>
    <cdr:to>
      <cdr:x>0.92496</cdr:x>
      <cdr:y>0.43039</cdr:y>
    </cdr:to>
    <cdr:sp macro="" textlink="">
      <cdr:nvSpPr>
        <cdr:cNvPr id="22534" name="Text Box 6"/>
        <cdr:cNvSpPr txBox="1">
          <a:spLocks xmlns:a="http://schemas.openxmlformats.org/drawingml/2006/main" noChangeArrowheads="1"/>
        </cdr:cNvSpPr>
      </cdr:nvSpPr>
      <cdr:spPr bwMode="auto">
        <a:xfrm xmlns:a="http://schemas.openxmlformats.org/drawingml/2006/main">
          <a:off x="4443292" y="1621473"/>
          <a:ext cx="969397" cy="164961"/>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Sum Total</a:t>
          </a:r>
        </a:p>
      </cdr:txBody>
    </cdr:sp>
  </cdr:relSizeAnchor>
</c:userShapes>
</file>

<file path=xl/drawings/drawing5.xml><?xml version="1.0" encoding="utf-8"?>
<c:userShapes xmlns:c="http://schemas.openxmlformats.org/drawingml/2006/chart">
  <cdr:relSizeAnchor xmlns:cdr="http://schemas.openxmlformats.org/drawingml/2006/chartDrawing">
    <cdr:from>
      <cdr:x>0.23636</cdr:x>
      <cdr:y>0.33317</cdr:y>
    </cdr:from>
    <cdr:to>
      <cdr:x>0.42155</cdr:x>
      <cdr:y>0.37298</cdr:y>
    </cdr:to>
    <cdr:sp macro="" textlink="">
      <cdr:nvSpPr>
        <cdr:cNvPr id="27649" name="Text Box 1"/>
        <cdr:cNvSpPr txBox="1">
          <a:spLocks xmlns:a="http://schemas.openxmlformats.org/drawingml/2006/main" noChangeArrowheads="1"/>
        </cdr:cNvSpPr>
      </cdr:nvSpPr>
      <cdr:spPr bwMode="auto">
        <a:xfrm xmlns:a="http://schemas.openxmlformats.org/drawingml/2006/main">
          <a:off x="1387729" y="1386781"/>
          <a:ext cx="1084814" cy="165350"/>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85,220</a:t>
          </a:r>
        </a:p>
      </cdr:txBody>
    </cdr:sp>
  </cdr:relSizeAnchor>
  <cdr:relSizeAnchor xmlns:cdr="http://schemas.openxmlformats.org/drawingml/2006/chartDrawing">
    <cdr:from>
      <cdr:x>0.55952</cdr:x>
      <cdr:y>0.1761</cdr:y>
    </cdr:from>
    <cdr:to>
      <cdr:x>0.72552</cdr:x>
      <cdr:y>0.21494</cdr:y>
    </cdr:to>
    <cdr:sp macro="" textlink="">
      <cdr:nvSpPr>
        <cdr:cNvPr id="27650" name="Text Box 2"/>
        <cdr:cNvSpPr txBox="1">
          <a:spLocks xmlns:a="http://schemas.openxmlformats.org/drawingml/2006/main" noChangeArrowheads="1"/>
        </cdr:cNvSpPr>
      </cdr:nvSpPr>
      <cdr:spPr bwMode="auto">
        <a:xfrm xmlns:a="http://schemas.openxmlformats.org/drawingml/2006/main">
          <a:off x="3280751" y="734514"/>
          <a:ext cx="972443" cy="161292"/>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175,836</a:t>
          </a:r>
        </a:p>
      </cdr:txBody>
    </cdr:sp>
  </cdr:relSizeAnchor>
  <cdr:relSizeAnchor xmlns:cdr="http://schemas.openxmlformats.org/drawingml/2006/chartDrawing">
    <cdr:from>
      <cdr:x>0.49065</cdr:x>
      <cdr:y>0.44138</cdr:y>
    </cdr:from>
    <cdr:to>
      <cdr:x>0.58731</cdr:x>
      <cdr:y>0.47973</cdr:y>
    </cdr:to>
    <cdr:sp macro="" textlink="">
      <cdr:nvSpPr>
        <cdr:cNvPr id="27651" name="Text Box 3"/>
        <cdr:cNvSpPr txBox="1">
          <a:spLocks xmlns:a="http://schemas.openxmlformats.org/drawingml/2006/main" noChangeArrowheads="1"/>
        </cdr:cNvSpPr>
      </cdr:nvSpPr>
      <cdr:spPr bwMode="auto">
        <a:xfrm xmlns:a="http://schemas.openxmlformats.org/drawingml/2006/main">
          <a:off x="2877368" y="1836166"/>
          <a:ext cx="566177" cy="159263"/>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0" tIns="22860" rIns="27432" bIns="0" anchor="t" upright="1"/>
        <a:lstStyle xmlns:a="http://schemas.openxmlformats.org/drawingml/2006/main"/>
        <a:p xmlns:a="http://schemas.openxmlformats.org/drawingml/2006/main">
          <a:pPr algn="r" rtl="0">
            <a:defRPr sz="1000"/>
          </a:pPr>
          <a:r>
            <a:rPr lang="en-US" sz="800" b="0" i="0" u="none" strike="noStrike" baseline="0">
              <a:solidFill>
                <a:srgbClr val="000000"/>
              </a:solidFill>
              <a:latin typeface="Arial"/>
              <a:cs typeface="Arial"/>
            </a:rPr>
            <a:t>25,886</a:t>
          </a:r>
        </a:p>
        <a:p xmlns:a="http://schemas.openxmlformats.org/drawingml/2006/main">
          <a:pPr algn="r" rtl="0">
            <a:defRPr sz="1000"/>
          </a:pPr>
          <a:r>
            <a:rPr lang="en-US" sz="800" b="0" i="0" u="none" strike="noStrike" baseline="0">
              <a:solidFill>
                <a:srgbClr val="000000"/>
              </a:solidFill>
              <a:latin typeface="Arial"/>
              <a:cs typeface="Arial"/>
            </a:rPr>
            <a:t>25,886</a:t>
          </a:r>
        </a:p>
      </cdr:txBody>
    </cdr:sp>
  </cdr:relSizeAnchor>
  <cdr:relSizeAnchor xmlns:cdr="http://schemas.openxmlformats.org/drawingml/2006/chartDrawing">
    <cdr:from>
      <cdr:x>0.34088</cdr:x>
      <cdr:y>0.74988</cdr:y>
    </cdr:from>
    <cdr:to>
      <cdr:x>0.55952</cdr:x>
      <cdr:y>0.78897</cdr:y>
    </cdr:to>
    <cdr:sp macro="" textlink="">
      <cdr:nvSpPr>
        <cdr:cNvPr id="27652" name="Text Box 4"/>
        <cdr:cNvSpPr txBox="1">
          <a:spLocks xmlns:a="http://schemas.openxmlformats.org/drawingml/2006/main" noChangeArrowheads="1"/>
        </cdr:cNvSpPr>
      </cdr:nvSpPr>
      <cdr:spPr bwMode="auto">
        <a:xfrm xmlns:a="http://schemas.openxmlformats.org/drawingml/2006/main">
          <a:off x="2000008" y="3117369"/>
          <a:ext cx="1280743" cy="162306"/>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(85,220)</a:t>
          </a:r>
        </a:p>
      </cdr:txBody>
    </cdr:sp>
  </cdr:relSizeAnchor>
  <cdr:relSizeAnchor xmlns:cdr="http://schemas.openxmlformats.org/drawingml/2006/chartDrawing">
    <cdr:from>
      <cdr:x>0.65469</cdr:x>
      <cdr:y>0.8493</cdr:y>
    </cdr:from>
    <cdr:to>
      <cdr:x>0.84062</cdr:x>
      <cdr:y>0.88838</cdr:y>
    </cdr:to>
    <cdr:sp macro="" textlink="">
      <cdr:nvSpPr>
        <cdr:cNvPr id="27653" name="Text Box 5"/>
        <cdr:cNvSpPr txBox="1">
          <a:spLocks xmlns:a="http://schemas.openxmlformats.org/drawingml/2006/main" noChangeArrowheads="1"/>
        </cdr:cNvSpPr>
      </cdr:nvSpPr>
      <cdr:spPr bwMode="auto">
        <a:xfrm xmlns:a="http://schemas.openxmlformats.org/drawingml/2006/main">
          <a:off x="3838285" y="3530235"/>
          <a:ext cx="1089136" cy="162306"/>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(144,428)</a:t>
          </a:r>
        </a:p>
      </cdr:txBody>
    </cdr:sp>
  </cdr:relSizeAnchor>
  <cdr:relSizeAnchor xmlns:cdr="http://schemas.openxmlformats.org/drawingml/2006/chartDrawing">
    <cdr:from>
      <cdr:x>0.75848</cdr:x>
      <cdr:y>0.35124</cdr:y>
    </cdr:from>
    <cdr:to>
      <cdr:x>0.92424</cdr:x>
      <cdr:y>0.44138</cdr:y>
    </cdr:to>
    <cdr:sp macro="" textlink="">
      <cdr:nvSpPr>
        <cdr:cNvPr id="27654" name="Text Box 6"/>
        <cdr:cNvSpPr txBox="1">
          <a:spLocks xmlns:a="http://schemas.openxmlformats.org/drawingml/2006/main" noChangeArrowheads="1"/>
        </cdr:cNvSpPr>
      </cdr:nvSpPr>
      <cdr:spPr bwMode="auto">
        <a:xfrm xmlns:a="http://schemas.openxmlformats.org/drawingml/2006/main">
          <a:off x="4446242" y="1461848"/>
          <a:ext cx="971003" cy="374318"/>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Sum Total</a:t>
          </a:r>
        </a:p>
        <a:p xmlns:a="http://schemas.openxmlformats.org/drawingml/2006/main">
          <a:pPr algn="ctr" rtl="0">
            <a:defRPr sz="1000"/>
          </a:pPr>
          <a:r>
            <a:rPr lang="en-US" sz="800" b="1" i="0" u="none" strike="noStrike" baseline="0">
              <a:solidFill>
                <a:srgbClr val="000000"/>
              </a:solidFill>
              <a:latin typeface="Arial"/>
              <a:cs typeface="Arial"/>
            </a:rPr>
            <a:t>57,294</a:t>
          </a:r>
        </a:p>
      </cdr:txBody>
    </cdr:sp>
  </cdr:relSizeAnchor>
</c:userShapes>
</file>

<file path=xl/drawings/drawing6.xml><?xml version="1.0" encoding="utf-8"?>
<c:userShapes xmlns:c="http://schemas.openxmlformats.org/drawingml/2006/chart">
  <cdr:relSizeAnchor xmlns:cdr="http://schemas.openxmlformats.org/drawingml/2006/chartDrawing">
    <cdr:from>
      <cdr:x>0.25101</cdr:x>
      <cdr:y>0.24326</cdr:y>
    </cdr:from>
    <cdr:to>
      <cdr:x>0.37292</cdr:x>
      <cdr:y>0.28066</cdr:y>
    </cdr:to>
    <cdr:sp macro="" textlink="">
      <cdr:nvSpPr>
        <cdr:cNvPr id="37895" name="Text Box 7"/>
        <cdr:cNvSpPr txBox="1">
          <a:spLocks xmlns:a="http://schemas.openxmlformats.org/drawingml/2006/main" noChangeArrowheads="1"/>
        </cdr:cNvSpPr>
      </cdr:nvSpPr>
      <cdr:spPr bwMode="auto">
        <a:xfrm xmlns:a="http://schemas.openxmlformats.org/drawingml/2006/main">
          <a:off x="1425722" y="818767"/>
          <a:ext cx="690943" cy="125416"/>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85,220</a:t>
          </a:r>
        </a:p>
      </cdr:txBody>
    </cdr:sp>
  </cdr:relSizeAnchor>
  <cdr:relSizeAnchor xmlns:cdr="http://schemas.openxmlformats.org/drawingml/2006/chartDrawing">
    <cdr:from>
      <cdr:x>0.35842</cdr:x>
      <cdr:y>0.90734</cdr:y>
    </cdr:from>
    <cdr:to>
      <cdr:x>0.50147</cdr:x>
      <cdr:y>0.94402</cdr:y>
    </cdr:to>
    <cdr:sp macro="" textlink="">
      <cdr:nvSpPr>
        <cdr:cNvPr id="37898" name="Text Box 10"/>
        <cdr:cNvSpPr txBox="1">
          <a:spLocks xmlns:a="http://schemas.openxmlformats.org/drawingml/2006/main" noChangeArrowheads="1"/>
        </cdr:cNvSpPr>
      </cdr:nvSpPr>
      <cdr:spPr bwMode="auto">
        <a:xfrm xmlns:a="http://schemas.openxmlformats.org/drawingml/2006/main">
          <a:off x="2034477" y="3045303"/>
          <a:ext cx="810744" cy="122972"/>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(85,220)</a:t>
          </a:r>
        </a:p>
      </cdr:txBody>
    </cdr:sp>
  </cdr:relSizeAnchor>
  <cdr:relSizeAnchor xmlns:cdr="http://schemas.openxmlformats.org/drawingml/2006/chartDrawing">
    <cdr:from>
      <cdr:x>0.47616</cdr:x>
      <cdr:y>0.46429</cdr:y>
    </cdr:from>
    <cdr:to>
      <cdr:x>0.59955</cdr:x>
      <cdr:y>0.5</cdr:y>
    </cdr:to>
    <cdr:sp macro="" textlink="">
      <cdr:nvSpPr>
        <cdr:cNvPr id="37901" name="Text Box 13"/>
        <cdr:cNvSpPr txBox="1">
          <a:spLocks xmlns:a="http://schemas.openxmlformats.org/drawingml/2006/main" noChangeArrowheads="1"/>
        </cdr:cNvSpPr>
      </cdr:nvSpPr>
      <cdr:spPr bwMode="auto">
        <a:xfrm xmlns:a="http://schemas.openxmlformats.org/drawingml/2006/main">
          <a:off x="2701738" y="1559860"/>
          <a:ext cx="699302" cy="119715"/>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12,943</a:t>
          </a:r>
        </a:p>
      </cdr:txBody>
    </cdr:sp>
  </cdr:relSizeAnchor>
</c:userShapes>
</file>

<file path=xl/drawings/drawing7.xml><?xml version="1.0" encoding="utf-8"?>
<c:userShapes xmlns:c="http://schemas.openxmlformats.org/drawingml/2006/chart">
  <cdr:relSizeAnchor xmlns:cdr="http://schemas.openxmlformats.org/drawingml/2006/chartDrawing">
    <cdr:from>
      <cdr:x>0.46111</cdr:x>
      <cdr:y>0.22912</cdr:y>
    </cdr:from>
    <cdr:to>
      <cdr:x>0.59845</cdr:x>
      <cdr:y>0.33772</cdr:y>
    </cdr:to>
    <cdr:sp macro="" textlink="">
      <cdr:nvSpPr>
        <cdr:cNvPr id="48135" name="Text Box 7"/>
        <cdr:cNvSpPr txBox="1">
          <a:spLocks xmlns:a="http://schemas.openxmlformats.org/drawingml/2006/main" noChangeArrowheads="1"/>
        </cdr:cNvSpPr>
      </cdr:nvSpPr>
      <cdr:spPr bwMode="auto">
        <a:xfrm xmlns:a="http://schemas.openxmlformats.org/drawingml/2006/main">
          <a:off x="2836077" y="775748"/>
          <a:ext cx="843748" cy="366160"/>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Sum Total</a:t>
          </a:r>
        </a:p>
        <a:p xmlns:a="http://schemas.openxmlformats.org/drawingml/2006/main">
          <a:pPr algn="ctr" rtl="0">
            <a:defRPr sz="1000"/>
          </a:pPr>
          <a:r>
            <a:rPr lang="en-US" sz="800" b="1" i="0" u="none" strike="noStrike" baseline="0">
              <a:solidFill>
                <a:srgbClr val="000000"/>
              </a:solidFill>
              <a:latin typeface="Arial"/>
              <a:cs typeface="Arial"/>
            </a:rPr>
            <a:t>57,294</a:t>
          </a:r>
        </a:p>
      </cdr:txBody>
    </cdr:sp>
  </cdr:relSizeAnchor>
  <cdr:relSizeAnchor xmlns:cdr="http://schemas.openxmlformats.org/drawingml/2006/chartDrawing">
    <cdr:from>
      <cdr:x>0.37128</cdr:x>
      <cdr:y>0.83525</cdr:y>
    </cdr:from>
    <cdr:to>
      <cdr:x>0.52461</cdr:x>
      <cdr:y>0.88141</cdr:y>
    </cdr:to>
    <cdr:sp macro="" textlink="">
      <cdr:nvSpPr>
        <cdr:cNvPr id="48136" name="Text Box 8"/>
        <cdr:cNvSpPr txBox="1">
          <a:spLocks xmlns:a="http://schemas.openxmlformats.org/drawingml/2006/main" noChangeArrowheads="1"/>
        </cdr:cNvSpPr>
      </cdr:nvSpPr>
      <cdr:spPr bwMode="auto">
        <a:xfrm xmlns:a="http://schemas.openxmlformats.org/drawingml/2006/main">
          <a:off x="2284162" y="2819527"/>
          <a:ext cx="942035" cy="155639"/>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(144,428)</a:t>
          </a:r>
        </a:p>
      </cdr:txBody>
    </cdr:sp>
  </cdr:relSizeAnchor>
  <cdr:relSizeAnchor xmlns:cdr="http://schemas.openxmlformats.org/drawingml/2006/chartDrawing">
    <cdr:from>
      <cdr:x>0.30827</cdr:x>
      <cdr:y>0.04692</cdr:y>
    </cdr:from>
    <cdr:to>
      <cdr:x>0.41164</cdr:x>
      <cdr:y>0.10207</cdr:y>
    </cdr:to>
    <cdr:sp macro="" textlink="">
      <cdr:nvSpPr>
        <cdr:cNvPr id="48137" name="Text Box 9"/>
        <cdr:cNvSpPr txBox="1">
          <a:spLocks xmlns:a="http://schemas.openxmlformats.org/drawingml/2006/main" noChangeArrowheads="1"/>
        </cdr:cNvSpPr>
      </cdr:nvSpPr>
      <cdr:spPr bwMode="auto">
        <a:xfrm xmlns:a="http://schemas.openxmlformats.org/drawingml/2006/main">
          <a:off x="1897066" y="161385"/>
          <a:ext cx="635080" cy="185947"/>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65"/>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27432" bIns="0" anchor="t" upright="1"/>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175,836</a:t>
          </a:r>
        </a:p>
      </cdr:txBody>
    </cdr:sp>
  </cdr:relSizeAnchor>
  <cdr:relSizeAnchor xmlns:cdr="http://schemas.openxmlformats.org/drawingml/2006/chartDrawing">
    <cdr:from>
      <cdr:x>0.23862</cdr:x>
      <cdr:y>0.37367</cdr:y>
    </cdr:from>
    <cdr:to>
      <cdr:x>0.31787</cdr:x>
      <cdr:y>0.41983</cdr:y>
    </cdr:to>
    <cdr:sp macro="" textlink="">
      <cdr:nvSpPr>
        <cdr:cNvPr id="48138" name="Text Box 10"/>
        <cdr:cNvSpPr txBox="1">
          <a:spLocks xmlns:a="http://schemas.openxmlformats.org/drawingml/2006/main" noChangeArrowheads="1"/>
        </cdr:cNvSpPr>
      </cdr:nvSpPr>
      <cdr:spPr bwMode="auto">
        <a:xfrm xmlns:a="http://schemas.openxmlformats.org/drawingml/2006/main">
          <a:off x="1469144" y="1263142"/>
          <a:ext cx="486894" cy="155639"/>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0" tIns="22860" rIns="27432" bIns="0" anchor="t" upright="1"/>
        <a:lstStyle xmlns:a="http://schemas.openxmlformats.org/drawingml/2006/main"/>
        <a:p xmlns:a="http://schemas.openxmlformats.org/drawingml/2006/main">
          <a:pPr algn="r" rtl="0">
            <a:defRPr sz="1000"/>
          </a:pPr>
          <a:r>
            <a:rPr lang="en-US" sz="800" b="0" i="0" u="none" strike="noStrike" baseline="0">
              <a:solidFill>
                <a:srgbClr val="000000"/>
              </a:solidFill>
              <a:latin typeface="Arial"/>
              <a:cs typeface="Arial"/>
            </a:rPr>
            <a:t>25,886</a:t>
          </a:r>
        </a:p>
        <a:p xmlns:a="http://schemas.openxmlformats.org/drawingml/2006/main">
          <a:pPr algn="r" rtl="0">
            <a:defRPr sz="1000"/>
          </a:pPr>
          <a:r>
            <a:rPr lang="en-US" sz="800" b="0" i="0" u="none" strike="noStrike" baseline="0">
              <a:solidFill>
                <a:srgbClr val="000000"/>
              </a:solidFill>
              <a:latin typeface="Arial"/>
              <a:cs typeface="Arial"/>
            </a:rPr>
            <a:t>25,886</a:t>
          </a:r>
        </a:p>
      </cdr:txBody>
    </cdr:sp>
  </cdr:relSizeAnchor>
</c:userShapes>
</file>

<file path=xl/drawings/drawing8.xml><?xml version="1.0" encoding="utf-8"?>
<c:userShapes xmlns:c="http://schemas.openxmlformats.org/drawingml/2006/chart">
  <cdr:relSizeAnchor xmlns:cdr="http://schemas.openxmlformats.org/drawingml/2006/chartDrawing">
    <cdr:from>
      <cdr:x>0.51032</cdr:x>
      <cdr:y>0.84631</cdr:y>
    </cdr:from>
    <cdr:to>
      <cdr:x>0.58947</cdr:x>
      <cdr:y>0.90549</cdr:y>
    </cdr:to>
    <cdr:sp macro="" textlink="">
      <cdr:nvSpPr>
        <cdr:cNvPr id="54277" name="Text Box 5"/>
        <cdr:cNvSpPr txBox="1">
          <a:spLocks xmlns:a="http://schemas.openxmlformats.org/drawingml/2006/main" noChangeArrowheads="1"/>
        </cdr:cNvSpPr>
      </cdr:nvSpPr>
      <cdr:spPr bwMode="auto">
        <a:xfrm xmlns:a="http://schemas.openxmlformats.org/drawingml/2006/main">
          <a:off x="2900232" y="2695588"/>
          <a:ext cx="449323" cy="18825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800" b="0" i="0" u="none" strike="noStrike" baseline="0">
              <a:solidFill>
                <a:srgbClr val="000000"/>
              </a:solidFill>
              <a:latin typeface="Arial"/>
              <a:cs typeface="Arial"/>
            </a:rPr>
            <a:t>(144,42)8</a:t>
          </a:r>
        </a:p>
      </cdr:txBody>
    </cdr:sp>
  </cdr:relSizeAnchor>
  <cdr:relSizeAnchor xmlns:cdr="http://schemas.openxmlformats.org/drawingml/2006/chartDrawing">
    <cdr:from>
      <cdr:x>0.38668</cdr:x>
      <cdr:y>0.18885</cdr:y>
    </cdr:from>
    <cdr:to>
      <cdr:x>0.46583</cdr:x>
      <cdr:y>0.24706</cdr:y>
    </cdr:to>
    <cdr:sp macro="" textlink="">
      <cdr:nvSpPr>
        <cdr:cNvPr id="54278" name="Text Box 6"/>
        <cdr:cNvSpPr txBox="1">
          <a:spLocks xmlns:a="http://schemas.openxmlformats.org/drawingml/2006/main" noChangeArrowheads="1"/>
        </cdr:cNvSpPr>
      </cdr:nvSpPr>
      <cdr:spPr bwMode="auto">
        <a:xfrm xmlns:a="http://schemas.openxmlformats.org/drawingml/2006/main">
          <a:off x="2198340" y="603983"/>
          <a:ext cx="449323" cy="185166"/>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65"/>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800" b="0" i="0" u="none" strike="noStrike" baseline="0">
              <a:solidFill>
                <a:srgbClr val="000000"/>
              </a:solidFill>
              <a:latin typeface="Arial"/>
              <a:cs typeface="Arial"/>
            </a:rPr>
            <a:t>175,836</a:t>
          </a:r>
        </a:p>
      </cdr:txBody>
    </cdr:sp>
  </cdr:relSizeAnchor>
  <cdr:relSizeAnchor xmlns:cdr="http://schemas.openxmlformats.org/drawingml/2006/chartDrawing">
    <cdr:from>
      <cdr:x>0.25665</cdr:x>
      <cdr:y>0.44446</cdr:y>
    </cdr:from>
    <cdr:to>
      <cdr:x>0.33531</cdr:x>
      <cdr:y>0.50291</cdr:y>
    </cdr:to>
    <cdr:sp macro="" textlink="">
      <cdr:nvSpPr>
        <cdr:cNvPr id="54279" name="Text Box 7"/>
        <cdr:cNvSpPr txBox="1">
          <a:spLocks xmlns:a="http://schemas.openxmlformats.org/drawingml/2006/main" noChangeArrowheads="1"/>
        </cdr:cNvSpPr>
      </cdr:nvSpPr>
      <cdr:spPr bwMode="auto">
        <a:xfrm xmlns:a="http://schemas.openxmlformats.org/drawingml/2006/main">
          <a:off x="1460167" y="1417171"/>
          <a:ext cx="446532" cy="185937"/>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65"/>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800" b="0" i="0" u="none" strike="noStrike" baseline="0">
              <a:solidFill>
                <a:srgbClr val="000000"/>
              </a:solidFill>
              <a:latin typeface="Arial"/>
              <a:cs typeface="Arial"/>
            </a:rPr>
            <a:t>12,943</a:t>
          </a:r>
        </a:p>
      </cdr:txBody>
    </cdr:sp>
  </cdr:relSizeAnchor>
</c:userShapes>
</file>

<file path=xl/drawings/drawing9.xml><?xml version="1.0" encoding="utf-8"?>
<xdr:wsDr xmlns:xdr="http://schemas.openxmlformats.org/drawingml/2006/spreadsheetDrawing" xmlns:a="http://schemas.openxmlformats.org/drawingml/2006/main">
  <xdr:twoCellAnchor>
    <xdr:from>
      <xdr:col>12</xdr:col>
      <xdr:colOff>76200</xdr:colOff>
      <xdr:row>13</xdr:row>
      <xdr:rowOff>66675</xdr:rowOff>
    </xdr:from>
    <xdr:to>
      <xdr:col>21</xdr:col>
      <xdr:colOff>409575</xdr:colOff>
      <xdr:row>38</xdr:row>
      <xdr:rowOff>66675</xdr:rowOff>
    </xdr:to>
    <xdr:graphicFrame macro="">
      <xdr:nvGraphicFramePr>
        <xdr:cNvPr id="20481"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0.33018</cdr:x>
      <cdr:y>0.79564</cdr:y>
    </cdr:from>
    <cdr:to>
      <cdr:x>0.60233</cdr:x>
      <cdr:y>0.86131</cdr:y>
    </cdr:to>
    <cdr:sp macro="" textlink="">
      <cdr:nvSpPr>
        <cdr:cNvPr id="31745" name="Text Box 1"/>
        <cdr:cNvSpPr txBox="1">
          <a:spLocks xmlns:a="http://schemas.openxmlformats.org/drawingml/2006/main" noChangeArrowheads="1"/>
        </cdr:cNvSpPr>
      </cdr:nvSpPr>
      <cdr:spPr bwMode="auto">
        <a:xfrm xmlns:a="http://schemas.openxmlformats.org/drawingml/2006/main">
          <a:off x="1714036" y="3231617"/>
          <a:ext cx="1410191" cy="266471"/>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36576" tIns="22860" rIns="0" bIns="0" anchor="t" upright="1"/>
        <a:lstStyle xmlns:a="http://schemas.openxmlformats.org/drawingml/2006/main"/>
        <a:p xmlns:a="http://schemas.openxmlformats.org/drawingml/2006/main">
          <a:pPr algn="l" rtl="0">
            <a:defRPr sz="1000"/>
          </a:pPr>
          <a:r>
            <a:rPr lang="en-US" sz="1175" b="0" i="1" u="none" strike="noStrike" baseline="0">
              <a:solidFill>
                <a:srgbClr val="000000"/>
              </a:solidFill>
              <a:latin typeface="Arial"/>
              <a:cs typeface="Arial"/>
            </a:rPr>
            <a:t>Construction</a:t>
          </a:r>
        </a:p>
      </cdr:txBody>
    </cdr:sp>
  </cdr:relSizeAnchor>
  <cdr:relSizeAnchor xmlns:cdr="http://schemas.openxmlformats.org/drawingml/2006/chartDrawing">
    <cdr:from>
      <cdr:x>0.60871</cdr:x>
      <cdr:y>0.59814</cdr:y>
    </cdr:from>
    <cdr:to>
      <cdr:x>0.97829</cdr:x>
      <cdr:y>0.66381</cdr:y>
    </cdr:to>
    <cdr:sp macro="" textlink="">
      <cdr:nvSpPr>
        <cdr:cNvPr id="31746" name="Text Box 2"/>
        <cdr:cNvSpPr txBox="1">
          <a:spLocks xmlns:a="http://schemas.openxmlformats.org/drawingml/2006/main" noChangeArrowheads="1"/>
        </cdr:cNvSpPr>
      </cdr:nvSpPr>
      <cdr:spPr bwMode="auto">
        <a:xfrm xmlns:a="http://schemas.openxmlformats.org/drawingml/2006/main">
          <a:off x="3157288" y="2430221"/>
          <a:ext cx="1915011" cy="26647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36576" tIns="22860" rIns="0" bIns="0" anchor="t" upright="1"/>
        <a:lstStyle xmlns:a="http://schemas.openxmlformats.org/drawingml/2006/main"/>
        <a:p xmlns:a="http://schemas.openxmlformats.org/drawingml/2006/main">
          <a:pPr algn="l" rtl="0">
            <a:defRPr sz="1000"/>
          </a:pPr>
          <a:r>
            <a:rPr lang="en-US" sz="1175" b="0" i="1" u="none" strike="noStrike" baseline="0">
              <a:solidFill>
                <a:srgbClr val="000000"/>
              </a:solidFill>
              <a:latin typeface="Arial"/>
              <a:cs typeface="Arial"/>
            </a:rPr>
            <a:t>GreenPremium</a:t>
          </a:r>
        </a:p>
      </cdr:txBody>
    </cdr:sp>
  </cdr:relSizeAnchor>
  <cdr:relSizeAnchor xmlns:cdr="http://schemas.openxmlformats.org/drawingml/2006/chartDrawing">
    <cdr:from>
      <cdr:x>0.53338</cdr:x>
      <cdr:y>0.23268</cdr:y>
    </cdr:from>
    <cdr:to>
      <cdr:x>0.85878</cdr:x>
      <cdr:y>0.29835</cdr:y>
    </cdr:to>
    <cdr:sp macro="" textlink="">
      <cdr:nvSpPr>
        <cdr:cNvPr id="31747" name="Text Box 3"/>
        <cdr:cNvSpPr txBox="1">
          <a:spLocks xmlns:a="http://schemas.openxmlformats.org/drawingml/2006/main" noChangeArrowheads="1"/>
        </cdr:cNvSpPr>
      </cdr:nvSpPr>
      <cdr:spPr bwMode="auto">
        <a:xfrm xmlns:a="http://schemas.openxmlformats.org/drawingml/2006/main">
          <a:off x="2766911" y="947293"/>
          <a:ext cx="1686125" cy="266471"/>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65"/>
        </a:solidFill>
        <a:ln xmlns:a="http://schemas.openxmlformats.org/drawingml/2006/main">
          <a:noFill/>
        </a:ln>
        <a:extLst xmlns:a="http://schemas.openxmlformats.org/drawingml/2006/main">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36576" tIns="22860" rIns="36576" bIns="0" anchor="t" upright="1"/>
        <a:lstStyle xmlns:a="http://schemas.openxmlformats.org/drawingml/2006/main"/>
        <a:p xmlns:a="http://schemas.openxmlformats.org/drawingml/2006/main">
          <a:pPr algn="ctr" rtl="0">
            <a:defRPr sz="1000"/>
          </a:pPr>
          <a:r>
            <a:rPr lang="en-US" sz="1175" b="0" i="1" u="none" strike="noStrike" baseline="0">
              <a:solidFill>
                <a:srgbClr val="000000"/>
              </a:solidFill>
              <a:latin typeface="Arial"/>
              <a:cs typeface="Arial"/>
            </a:rPr>
            <a:t>Sell Down 100%</a:t>
          </a:r>
        </a:p>
      </cdr:txBody>
    </cdr:sp>
  </cdr:relSizeAnchor>
</c:userShapes>
</file>

<file path=xl/drawings/drawing11.xml><?xml version="1.0" encoding="utf-8"?>
<xdr:wsDr xmlns:xdr="http://schemas.openxmlformats.org/drawingml/2006/spreadsheetDrawing" xmlns:a="http://schemas.openxmlformats.org/drawingml/2006/main">
  <xdr:twoCellAnchor>
    <xdr:from>
      <xdr:col>9</xdr:col>
      <xdr:colOff>9525</xdr:colOff>
      <xdr:row>0</xdr:row>
      <xdr:rowOff>66675</xdr:rowOff>
    </xdr:from>
    <xdr:to>
      <xdr:col>16</xdr:col>
      <xdr:colOff>76200</xdr:colOff>
      <xdr:row>11</xdr:row>
      <xdr:rowOff>9525</xdr:rowOff>
    </xdr:to>
    <xdr:graphicFrame macro="">
      <xdr:nvGraphicFramePr>
        <xdr:cNvPr id="2049"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14</xdr:col>
          <xdr:colOff>304800</xdr:colOff>
          <xdr:row>62</xdr:row>
          <xdr:rowOff>38100</xdr:rowOff>
        </xdr:from>
        <xdr:to>
          <xdr:col>15</xdr:col>
          <xdr:colOff>1409700</xdr:colOff>
          <xdr:row>75</xdr:row>
          <xdr:rowOff>95250</xdr:rowOff>
        </xdr:to>
        <xdr:sp macro="" textlink="">
          <xdr:nvSpPr>
            <xdr:cNvPr id="2050" name="Object 2" hidden="1">
              <a:extLst>
                <a:ext uri="{63B3BB69-23CF-44E3-9099-C40C66FF867C}">
                  <a14:compatExt spid="_x0000_s205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9525</xdr:colOff>
          <xdr:row>0</xdr:row>
          <xdr:rowOff>28575</xdr:rowOff>
        </xdr:from>
        <xdr:to>
          <xdr:col>2</xdr:col>
          <xdr:colOff>1038225</xdr:colOff>
          <xdr:row>1</xdr:row>
          <xdr:rowOff>28575</xdr:rowOff>
        </xdr:to>
        <xdr:sp macro="" textlink="">
          <xdr:nvSpPr>
            <xdr:cNvPr id="2217" name="Button 169" hidden="1">
              <a:extLst>
                <a:ext uri="{63B3BB69-23CF-44E3-9099-C40C66FF867C}">
                  <a14:compatExt spid="_x0000_s2217"/>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1" i="0" u="none" strike="noStrike" baseline="0">
                  <a:solidFill>
                    <a:srgbClr val="000000"/>
                  </a:solidFill>
                  <a:latin typeface="Arial"/>
                  <a:cs typeface="Arial"/>
                </a:rPr>
                <a:t>Print EWCSum</a:t>
              </a:r>
            </a:p>
          </xdr:txBody>
        </xdr:sp>
        <xdr:clientData fPrintsWithSheet="0"/>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47625</xdr:colOff>
          <xdr:row>0</xdr:row>
          <xdr:rowOff>9525</xdr:rowOff>
        </xdr:from>
        <xdr:to>
          <xdr:col>0</xdr:col>
          <xdr:colOff>1219200</xdr:colOff>
          <xdr:row>1</xdr:row>
          <xdr:rowOff>38100</xdr:rowOff>
        </xdr:to>
        <xdr:sp macro="" textlink="">
          <xdr:nvSpPr>
            <xdr:cNvPr id="4258" name="Button 162" hidden="1">
              <a:extLst>
                <a:ext uri="{63B3BB69-23CF-44E3-9099-C40C66FF867C}">
                  <a14:compatExt spid="_x0000_s4258"/>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1" i="0" u="none" strike="noStrike" baseline="0">
                  <a:solidFill>
                    <a:srgbClr val="000000"/>
                  </a:solidFill>
                  <a:latin typeface="Arial"/>
                  <a:cs typeface="Arial"/>
                </a:rPr>
                <a:t>Print Cashflow</a:t>
              </a:r>
            </a:p>
          </xdr:txBody>
        </xdr:sp>
        <xdr:clientData fPrintsWithSheet="0"/>
      </xdr:twoCellAnchor>
    </mc:Choice>
    <mc:Fallback/>
  </mc:AlternateContent>
</xdr:wsDr>
</file>

<file path=xl/drawings/drawing13.xml><?xml version="1.0" encoding="utf-8"?>
<xdr:wsDr xmlns:xdr="http://schemas.openxmlformats.org/drawingml/2006/spreadsheetDrawing" xmlns:a="http://schemas.openxmlformats.org/drawingml/2006/main">
  <xdr:twoCellAnchor>
    <xdr:from>
      <xdr:col>0</xdr:col>
      <xdr:colOff>257175</xdr:colOff>
      <xdr:row>141</xdr:row>
      <xdr:rowOff>38100</xdr:rowOff>
    </xdr:from>
    <xdr:to>
      <xdr:col>16</xdr:col>
      <xdr:colOff>733425</xdr:colOff>
      <xdr:row>167</xdr:row>
      <xdr:rowOff>0</xdr:rowOff>
    </xdr:to>
    <xdr:graphicFrame macro="">
      <xdr:nvGraphicFramePr>
        <xdr:cNvPr id="3738" name="Chart 66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85725</xdr:colOff>
          <xdr:row>0</xdr:row>
          <xdr:rowOff>47625</xdr:rowOff>
        </xdr:from>
        <xdr:to>
          <xdr:col>1</xdr:col>
          <xdr:colOff>1304925</xdr:colOff>
          <xdr:row>6</xdr:row>
          <xdr:rowOff>190500</xdr:rowOff>
        </xdr:to>
        <xdr:sp macro="" textlink="">
          <xdr:nvSpPr>
            <xdr:cNvPr id="9217" name="Object 1" hidden="1">
              <a:extLst>
                <a:ext uri="{63B3BB69-23CF-44E3-9099-C40C66FF867C}">
                  <a14:compatExt spid="_x0000_s921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twoCellAnchor>
    <xdr:from>
      <xdr:col>8</xdr:col>
      <xdr:colOff>857250</xdr:colOff>
      <xdr:row>1</xdr:row>
      <xdr:rowOff>114300</xdr:rowOff>
    </xdr:from>
    <xdr:to>
      <xdr:col>20</xdr:col>
      <xdr:colOff>342900</xdr:colOff>
      <xdr:row>12</xdr:row>
      <xdr:rowOff>152400</xdr:rowOff>
    </xdr:to>
    <xdr:graphicFrame macro="">
      <xdr:nvGraphicFramePr>
        <xdr:cNvPr id="9218"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vmlDrawing" Target="../drawings/vmlDrawing2.vml"/><Relationship Id="rId7" Type="http://schemas.openxmlformats.org/officeDocument/2006/relationships/ctrlProp" Target="../ctrlProps/ctrlProp3.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2.xml"/><Relationship Id="rId11" Type="http://schemas.openxmlformats.org/officeDocument/2006/relationships/comments" Target="../comments2.xml"/><Relationship Id="rId5" Type="http://schemas.openxmlformats.org/officeDocument/2006/relationships/image" Target="../media/image1.emf"/><Relationship Id="rId10" Type="http://schemas.openxmlformats.org/officeDocument/2006/relationships/ctrlProp" Target="../ctrlProps/ctrlProp6.xml"/><Relationship Id="rId4" Type="http://schemas.openxmlformats.org/officeDocument/2006/relationships/oleObject" Target="../embeddings/oleObject1.bin"/><Relationship Id="rId9" Type="http://schemas.openxmlformats.org/officeDocument/2006/relationships/ctrlProp" Target="../ctrlProps/ctrlProp5.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comments" Target="../comments3.xml"/><Relationship Id="rId2" Type="http://schemas.openxmlformats.org/officeDocument/2006/relationships/drawing" Target="../drawings/drawing11.xml"/><Relationship Id="rId1" Type="http://schemas.openxmlformats.org/officeDocument/2006/relationships/printerSettings" Target="../printerSettings/printerSettings3.bin"/><Relationship Id="rId6" Type="http://schemas.openxmlformats.org/officeDocument/2006/relationships/ctrlProp" Target="../ctrlProps/ctrlProp7.xml"/><Relationship Id="rId5" Type="http://schemas.openxmlformats.org/officeDocument/2006/relationships/image" Target="../media/image1.emf"/><Relationship Id="rId4" Type="http://schemas.openxmlformats.org/officeDocument/2006/relationships/oleObject" Target="../embeddings/oleObject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2.xml"/><Relationship Id="rId1" Type="http://schemas.openxmlformats.org/officeDocument/2006/relationships/printerSettings" Target="../printerSettings/printerSettings5.bin"/><Relationship Id="rId5" Type="http://schemas.openxmlformats.org/officeDocument/2006/relationships/comments" Target="../comments4.xml"/><Relationship Id="rId4" Type="http://schemas.openxmlformats.org/officeDocument/2006/relationships/ctrlProp" Target="../ctrlProps/ctrlProp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3.x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3" Type="http://schemas.openxmlformats.org/officeDocument/2006/relationships/oleObject" Target="../embeddings/oleObject3.bin"/><Relationship Id="rId2" Type="http://schemas.openxmlformats.org/officeDocument/2006/relationships/vmlDrawing" Target="../drawings/vmlDrawing12.vml"/><Relationship Id="rId1" Type="http://schemas.openxmlformats.org/officeDocument/2006/relationships/drawing" Target="../drawings/drawing14.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
  <sheetViews>
    <sheetView zoomScaleNormal="67" zoomScaleSheetLayoutView="68" workbookViewId="0"/>
  </sheetViews>
  <sheetFormatPr defaultColWidth="8.85546875" defaultRowHeight="12.75"/>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pageSetUpPr fitToPage="1"/>
  </sheetPr>
  <dimension ref="A1:EM152"/>
  <sheetViews>
    <sheetView topLeftCell="A12" zoomScale="75" zoomScaleNormal="75" zoomScaleSheetLayoutView="75" workbookViewId="0">
      <selection activeCell="G31" sqref="G31"/>
    </sheetView>
  </sheetViews>
  <sheetFormatPr defaultColWidth="8.85546875" defaultRowHeight="12.75"/>
  <cols>
    <col min="1" max="1" width="2.85546875" customWidth="1"/>
    <col min="2" max="2" width="44.85546875" customWidth="1"/>
    <col min="3" max="3" width="7.7109375" customWidth="1"/>
    <col min="4" max="4" width="12.42578125" customWidth="1"/>
    <col min="5" max="5" width="6.7109375" customWidth="1"/>
    <col min="6" max="6" width="18.42578125" customWidth="1"/>
    <col min="7" max="7" width="23.42578125" customWidth="1"/>
    <col min="8" max="8" width="20.28515625" customWidth="1"/>
    <col min="9" max="9" width="18.28515625" customWidth="1"/>
    <col min="10" max="10" width="10.140625" customWidth="1"/>
    <col min="11" max="11" width="14.85546875" customWidth="1"/>
  </cols>
  <sheetData>
    <row r="1" spans="2:37" s="144" customFormat="1" ht="15.75">
      <c r="B1" s="338" t="str">
        <f>Assum!$F$19&amp;" "&amp;FIXED(Assum!$F$31,2,TRUE)&amp;"  MW Project"</f>
        <v>Sweetwater 129.00  MW Project</v>
      </c>
      <c r="C1" s="338"/>
      <c r="D1" s="820"/>
      <c r="E1" s="820"/>
      <c r="G1" s="244">
        <v>1</v>
      </c>
      <c r="H1" s="245">
        <f>G1+1</f>
        <v>2</v>
      </c>
      <c r="I1" s="245">
        <f t="shared" ref="I1:AK2" si="0">H1+1</f>
        <v>3</v>
      </c>
      <c r="J1" s="245">
        <f t="shared" si="0"/>
        <v>4</v>
      </c>
      <c r="K1" s="245">
        <f t="shared" si="0"/>
        <v>5</v>
      </c>
      <c r="L1" s="245">
        <f t="shared" si="0"/>
        <v>6</v>
      </c>
      <c r="M1" s="245">
        <f t="shared" si="0"/>
        <v>7</v>
      </c>
      <c r="N1" s="245">
        <f t="shared" si="0"/>
        <v>8</v>
      </c>
      <c r="O1" s="245">
        <f t="shared" si="0"/>
        <v>9</v>
      </c>
      <c r="P1" s="245">
        <f t="shared" si="0"/>
        <v>10</v>
      </c>
      <c r="Q1" s="245">
        <f t="shared" si="0"/>
        <v>11</v>
      </c>
      <c r="R1" s="245">
        <f t="shared" si="0"/>
        <v>12</v>
      </c>
      <c r="S1" s="245">
        <f t="shared" si="0"/>
        <v>13</v>
      </c>
      <c r="T1" s="245">
        <f t="shared" si="0"/>
        <v>14</v>
      </c>
      <c r="U1" s="245">
        <f t="shared" si="0"/>
        <v>15</v>
      </c>
      <c r="V1" s="245">
        <f t="shared" si="0"/>
        <v>16</v>
      </c>
      <c r="W1" s="245">
        <f t="shared" si="0"/>
        <v>17</v>
      </c>
      <c r="X1" s="245">
        <f t="shared" si="0"/>
        <v>18</v>
      </c>
      <c r="Y1" s="245">
        <f t="shared" si="0"/>
        <v>19</v>
      </c>
      <c r="Z1" s="245">
        <f t="shared" si="0"/>
        <v>20</v>
      </c>
      <c r="AA1" s="245">
        <f t="shared" si="0"/>
        <v>21</v>
      </c>
      <c r="AB1" s="245">
        <f t="shared" si="0"/>
        <v>22</v>
      </c>
      <c r="AC1" s="245">
        <f t="shared" si="0"/>
        <v>23</v>
      </c>
      <c r="AD1" s="245">
        <f t="shared" si="0"/>
        <v>24</v>
      </c>
      <c r="AE1" s="245">
        <f t="shared" si="0"/>
        <v>25</v>
      </c>
      <c r="AF1" s="245">
        <f t="shared" si="0"/>
        <v>26</v>
      </c>
      <c r="AG1" s="245">
        <f t="shared" si="0"/>
        <v>27</v>
      </c>
      <c r="AH1" s="245">
        <f t="shared" si="0"/>
        <v>28</v>
      </c>
      <c r="AI1" s="245">
        <f t="shared" si="0"/>
        <v>29</v>
      </c>
      <c r="AJ1" s="245">
        <f t="shared" si="0"/>
        <v>30</v>
      </c>
      <c r="AK1" s="246">
        <f t="shared" si="0"/>
        <v>31</v>
      </c>
    </row>
    <row r="2" spans="2:37" s="144" customFormat="1" ht="15.75">
      <c r="B2" s="338" t="s">
        <v>521</v>
      </c>
      <c r="C2" s="338"/>
      <c r="D2" s="820"/>
      <c r="E2" s="820"/>
      <c r="G2" s="247">
        <f>Assum!H25</f>
        <v>2002</v>
      </c>
      <c r="H2" s="248">
        <f>G2+1</f>
        <v>2003</v>
      </c>
      <c r="I2" s="248">
        <f t="shared" si="0"/>
        <v>2004</v>
      </c>
      <c r="J2" s="248">
        <f t="shared" si="0"/>
        <v>2005</v>
      </c>
      <c r="K2" s="248">
        <f t="shared" si="0"/>
        <v>2006</v>
      </c>
      <c r="L2" s="248">
        <f t="shared" si="0"/>
        <v>2007</v>
      </c>
      <c r="M2" s="248">
        <f t="shared" si="0"/>
        <v>2008</v>
      </c>
      <c r="N2" s="248">
        <f t="shared" si="0"/>
        <v>2009</v>
      </c>
      <c r="O2" s="248">
        <f t="shared" si="0"/>
        <v>2010</v>
      </c>
      <c r="P2" s="248">
        <f t="shared" si="0"/>
        <v>2011</v>
      </c>
      <c r="Q2" s="248">
        <f t="shared" si="0"/>
        <v>2012</v>
      </c>
      <c r="R2" s="248">
        <f t="shared" si="0"/>
        <v>2013</v>
      </c>
      <c r="S2" s="248">
        <f t="shared" si="0"/>
        <v>2014</v>
      </c>
      <c r="T2" s="248">
        <f t="shared" si="0"/>
        <v>2015</v>
      </c>
      <c r="U2" s="248">
        <f t="shared" si="0"/>
        <v>2016</v>
      </c>
      <c r="V2" s="248">
        <f t="shared" si="0"/>
        <v>2017</v>
      </c>
      <c r="W2" s="248">
        <f t="shared" si="0"/>
        <v>2018</v>
      </c>
      <c r="X2" s="248">
        <f t="shared" si="0"/>
        <v>2019</v>
      </c>
      <c r="Y2" s="248">
        <f t="shared" si="0"/>
        <v>2020</v>
      </c>
      <c r="Z2" s="248">
        <f t="shared" si="0"/>
        <v>2021</v>
      </c>
      <c r="AA2" s="248">
        <f t="shared" si="0"/>
        <v>2022</v>
      </c>
      <c r="AB2" s="248">
        <f t="shared" si="0"/>
        <v>2023</v>
      </c>
      <c r="AC2" s="248">
        <f t="shared" si="0"/>
        <v>2024</v>
      </c>
      <c r="AD2" s="248">
        <f t="shared" si="0"/>
        <v>2025</v>
      </c>
      <c r="AE2" s="248">
        <f t="shared" si="0"/>
        <v>2026</v>
      </c>
      <c r="AF2" s="248">
        <f t="shared" si="0"/>
        <v>2027</v>
      </c>
      <c r="AG2" s="248">
        <f t="shared" si="0"/>
        <v>2028</v>
      </c>
      <c r="AH2" s="248">
        <f t="shared" si="0"/>
        <v>2029</v>
      </c>
      <c r="AI2" s="248">
        <f t="shared" si="0"/>
        <v>2030</v>
      </c>
      <c r="AJ2" s="248">
        <f t="shared" si="0"/>
        <v>2031</v>
      </c>
      <c r="AK2" s="249">
        <f t="shared" si="0"/>
        <v>2032</v>
      </c>
    </row>
    <row r="4" spans="2:37">
      <c r="B4" s="84" t="s">
        <v>86</v>
      </c>
      <c r="C4" s="84"/>
      <c r="G4" s="74" t="str">
        <f ca="1">CELL("FILENAME")</f>
        <v>C:\Users\Felienne\Enron\EnronSpreadsheets\[david_delainey__8062__Sweetwater_129 MW_13June00_Breakeven.xlsx]EWCSum</v>
      </c>
    </row>
    <row r="5" spans="2:37">
      <c r="B5" s="80">
        <f ca="1">NOW()</f>
        <v>40423.700423726848</v>
      </c>
      <c r="C5" s="80"/>
    </row>
    <row r="6" spans="2:37">
      <c r="B6" s="920">
        <f ca="1">NOW()</f>
        <v>40423.700423726848</v>
      </c>
      <c r="C6" s="920"/>
      <c r="F6" s="536"/>
    </row>
    <row r="7" spans="2:37">
      <c r="B7" s="241" t="s">
        <v>835</v>
      </c>
      <c r="C7" s="241"/>
    </row>
    <row r="9" spans="2:37">
      <c r="B9" s="343"/>
      <c r="C9" s="343"/>
    </row>
    <row r="13" spans="2:37" s="214" customFormat="1">
      <c r="G13" s="590"/>
      <c r="H13" s="590"/>
      <c r="I13" s="590"/>
      <c r="J13" s="590"/>
      <c r="K13" s="590"/>
      <c r="L13" s="589"/>
      <c r="M13" s="589"/>
      <c r="N13" s="589"/>
      <c r="O13" s="589"/>
      <c r="P13" s="589"/>
      <c r="Q13" s="592"/>
      <c r="R13" s="592"/>
      <c r="S13" s="592"/>
      <c r="T13" s="592"/>
      <c r="U13" s="592"/>
      <c r="V13" s="592"/>
    </row>
    <row r="14" spans="2:37" s="65" customFormat="1">
      <c r="G14" s="79"/>
      <c r="H14" s="79"/>
      <c r="I14" s="79"/>
      <c r="J14" s="79"/>
      <c r="K14" s="79"/>
      <c r="L14" s="89"/>
      <c r="M14" s="89"/>
      <c r="N14" s="89"/>
      <c r="O14" s="89"/>
      <c r="P14" s="89"/>
      <c r="Q14" s="77"/>
      <c r="R14" s="77"/>
      <c r="S14" s="77"/>
      <c r="T14" s="77"/>
      <c r="U14" s="77"/>
      <c r="V14" s="77"/>
    </row>
    <row r="15" spans="2:37">
      <c r="F15" s="217" t="s">
        <v>663</v>
      </c>
      <c r="G15" s="79"/>
      <c r="H15" s="79"/>
      <c r="I15" s="79"/>
      <c r="J15" s="79"/>
      <c r="K15" s="79"/>
      <c r="L15" s="89"/>
      <c r="M15" s="89"/>
      <c r="N15" s="89"/>
      <c r="O15" s="89"/>
      <c r="P15" s="89"/>
      <c r="Q15" s="77"/>
      <c r="R15" s="77"/>
      <c r="S15" s="77"/>
      <c r="T15" s="77"/>
      <c r="U15" s="77"/>
      <c r="V15" s="77"/>
    </row>
    <row r="16" spans="2:37">
      <c r="F16" s="409" t="s">
        <v>836</v>
      </c>
      <c r="G16" s="409" t="s">
        <v>837</v>
      </c>
      <c r="H16" s="409" t="s">
        <v>836</v>
      </c>
      <c r="I16" s="216"/>
      <c r="J16" s="79"/>
      <c r="K16" s="79"/>
      <c r="L16" s="89"/>
      <c r="M16" s="89"/>
      <c r="N16" s="89"/>
      <c r="O16" s="89"/>
      <c r="P16" s="89"/>
      <c r="Q16" s="77"/>
      <c r="R16" s="77"/>
      <c r="S16" s="77"/>
      <c r="T16" s="77"/>
      <c r="U16" s="77"/>
      <c r="V16" s="77"/>
    </row>
    <row r="17" spans="2:22">
      <c r="B17" s="216" t="s">
        <v>664</v>
      </c>
      <c r="C17" s="216"/>
      <c r="F17" s="410" t="s">
        <v>836</v>
      </c>
      <c r="G17" s="409">
        <v>1500</v>
      </c>
      <c r="H17" s="409" t="s">
        <v>836</v>
      </c>
      <c r="V17" s="77"/>
    </row>
    <row r="18" spans="2:22">
      <c r="B18" s="216" t="s">
        <v>665</v>
      </c>
      <c r="C18" s="216"/>
      <c r="D18" s="412">
        <f>SUM(F18:H18)</f>
        <v>86</v>
      </c>
      <c r="F18" s="409"/>
      <c r="G18" s="409">
        <v>86</v>
      </c>
      <c r="H18" s="409"/>
    </row>
    <row r="19" spans="2:22">
      <c r="B19" s="308" t="s">
        <v>513</v>
      </c>
      <c r="C19" s="308"/>
      <c r="D19" s="926">
        <f>SUMPRODUCT(F17:H17,F18:H18)/1000</f>
        <v>129</v>
      </c>
      <c r="F19" s="409"/>
      <c r="G19" s="1626">
        <v>772</v>
      </c>
      <c r="H19" s="409"/>
      <c r="I19" s="241" t="s">
        <v>877</v>
      </c>
    </row>
    <row r="20" spans="2:22">
      <c r="B20" s="216" t="s">
        <v>514</v>
      </c>
      <c r="C20" s="216"/>
      <c r="F20" s="409"/>
      <c r="G20" s="409"/>
      <c r="H20" s="409"/>
    </row>
    <row r="21" spans="2:22">
      <c r="B21" s="217" t="s">
        <v>515</v>
      </c>
      <c r="C21" s="217"/>
      <c r="F21" s="412">
        <f>SUM(F19:F20)</f>
        <v>0</v>
      </c>
      <c r="G21" s="412">
        <f>SUM(G19:G20)</f>
        <v>772</v>
      </c>
      <c r="H21" s="412">
        <f>SUM(H19:H20)</f>
        <v>0</v>
      </c>
      <c r="J21" s="79"/>
      <c r="K21" s="77"/>
      <c r="L21" s="77"/>
      <c r="M21" s="77"/>
      <c r="N21" s="77"/>
      <c r="O21" s="77"/>
      <c r="P21" s="77"/>
      <c r="Q21" s="77"/>
      <c r="R21" s="77"/>
      <c r="S21" s="77"/>
      <c r="T21" s="77"/>
      <c r="U21" s="77"/>
      <c r="V21" s="77"/>
    </row>
    <row r="22" spans="2:22">
      <c r="B22" s="216" t="s">
        <v>314</v>
      </c>
      <c r="C22" s="216"/>
      <c r="F22" s="411">
        <v>1.3</v>
      </c>
      <c r="G22" s="411">
        <v>1</v>
      </c>
      <c r="H22" s="411">
        <v>1.3</v>
      </c>
      <c r="J22" s="79"/>
    </row>
    <row r="23" spans="2:22" ht="13.5" thickBot="1">
      <c r="F23" s="78"/>
      <c r="G23" s="78"/>
      <c r="H23" s="78"/>
      <c r="I23" s="78"/>
      <c r="J23" s="79"/>
    </row>
    <row r="24" spans="2:22" ht="13.5" thickBot="1">
      <c r="B24" t="s">
        <v>516</v>
      </c>
      <c r="F24" s="445">
        <f>SUMPRODUCT(F18:H18,F21:H21,F22:H22)</f>
        <v>66392</v>
      </c>
      <c r="J24" s="79"/>
    </row>
    <row r="25" spans="2:22" ht="13.5" thickBot="1">
      <c r="J25" s="79"/>
      <c r="K25" s="77"/>
      <c r="L25" s="77"/>
      <c r="M25" s="77"/>
      <c r="N25" s="77"/>
      <c r="O25" s="77"/>
      <c r="P25" s="77"/>
      <c r="Q25" s="77"/>
      <c r="R25" s="77"/>
      <c r="S25" s="77"/>
      <c r="T25" s="77"/>
      <c r="U25" s="77"/>
      <c r="V25" s="77"/>
    </row>
    <row r="26" spans="2:22" ht="13.5" thickBot="1">
      <c r="B26" t="s">
        <v>316</v>
      </c>
      <c r="F26" s="417">
        <f>Internal!G41-SUMPRODUCT(Internal!F18:H18,Internal!F21:H21)</f>
        <v>0</v>
      </c>
      <c r="J26" s="78"/>
      <c r="O26" s="78"/>
      <c r="P26" s="78"/>
      <c r="Q26" s="78"/>
      <c r="R26" s="78"/>
      <c r="S26" s="79"/>
      <c r="T26" s="77"/>
      <c r="U26" s="77"/>
      <c r="V26" s="77"/>
    </row>
    <row r="27" spans="2:22">
      <c r="J27" s="78"/>
      <c r="O27" s="78"/>
      <c r="P27" s="78"/>
      <c r="Q27" s="78"/>
      <c r="R27" s="78"/>
      <c r="S27" s="79"/>
      <c r="T27" s="77"/>
      <c r="U27" s="77"/>
      <c r="V27" s="77"/>
    </row>
    <row r="28" spans="2:22">
      <c r="J28" s="78"/>
      <c r="O28" s="78"/>
      <c r="P28" s="78"/>
      <c r="Q28" s="78"/>
      <c r="R28" s="78"/>
      <c r="S28" s="79"/>
      <c r="T28" s="77"/>
      <c r="U28" s="77"/>
      <c r="V28" s="77"/>
    </row>
    <row r="29" spans="2:22">
      <c r="F29" s="241" t="s">
        <v>248</v>
      </c>
      <c r="J29" s="78"/>
      <c r="O29" s="78"/>
      <c r="P29" s="78"/>
      <c r="Q29" s="78"/>
      <c r="R29" s="78"/>
      <c r="S29" s="79"/>
      <c r="T29" s="77"/>
      <c r="U29" s="77"/>
      <c r="V29" s="77"/>
    </row>
    <row r="30" spans="2:22">
      <c r="B30" t="s">
        <v>517</v>
      </c>
      <c r="F30" s="409"/>
      <c r="G30" s="409" t="s">
        <v>838</v>
      </c>
      <c r="H30" s="409"/>
      <c r="I30" s="216"/>
      <c r="O30" s="77"/>
      <c r="P30" s="78"/>
      <c r="Q30" s="78"/>
      <c r="R30" s="78"/>
      <c r="S30" s="79"/>
      <c r="T30" s="77"/>
      <c r="U30" s="77"/>
      <c r="V30" s="77"/>
    </row>
    <row r="31" spans="2:22">
      <c r="B31" s="241" t="s">
        <v>518</v>
      </c>
      <c r="C31" s="241"/>
      <c r="F31" s="416"/>
      <c r="G31" s="416">
        <v>122</v>
      </c>
      <c r="H31" s="416"/>
      <c r="I31" s="217" t="s">
        <v>878</v>
      </c>
      <c r="O31" s="78"/>
      <c r="P31" s="78"/>
      <c r="Q31" s="78"/>
      <c r="R31" s="78"/>
      <c r="S31" s="79"/>
      <c r="T31" s="77"/>
      <c r="U31" s="77"/>
      <c r="V31" s="77"/>
    </row>
    <row r="32" spans="2:22">
      <c r="B32" t="s">
        <v>519</v>
      </c>
      <c r="F32" s="411">
        <v>1.07</v>
      </c>
      <c r="G32" s="411">
        <v>1</v>
      </c>
      <c r="H32" s="411">
        <v>1.07</v>
      </c>
      <c r="I32" s="216"/>
      <c r="O32" s="78"/>
      <c r="P32" s="77"/>
      <c r="Q32" s="77"/>
      <c r="R32" s="77"/>
      <c r="S32" s="79"/>
      <c r="T32" s="77"/>
      <c r="U32" s="77"/>
      <c r="V32" s="77"/>
    </row>
    <row r="33" spans="1:143" ht="13.5" thickBot="1"/>
    <row r="34" spans="1:143" ht="13.5" thickBot="1">
      <c r="B34" t="s">
        <v>520</v>
      </c>
      <c r="F34" s="445">
        <f>SUMPRODUCT(F18:H18,F31:H31,F32:H32)</f>
        <v>10492</v>
      </c>
      <c r="G34" t="s">
        <v>523</v>
      </c>
      <c r="H34" s="77"/>
    </row>
    <row r="35" spans="1:143" ht="13.5" thickBot="1">
      <c r="H35" s="77"/>
    </row>
    <row r="36" spans="1:143" ht="13.5" thickBot="1">
      <c r="B36" s="78" t="s">
        <v>315</v>
      </c>
      <c r="C36" s="78"/>
      <c r="F36" s="418">
        <f>Internal!G43-SUMPRODUCT(Internal!F18:H18,Internal!F31:H31)</f>
        <v>0</v>
      </c>
      <c r="H36" s="78"/>
    </row>
    <row r="38" spans="1:143" s="214" customFormat="1">
      <c r="B38" s="395" t="s">
        <v>833</v>
      </c>
      <c r="C38" s="395"/>
    </row>
    <row r="40" spans="1:143" s="78" customFormat="1">
      <c r="A40" s="98"/>
      <c r="B40" s="99" t="s">
        <v>142</v>
      </c>
      <c r="C40" s="99"/>
      <c r="D40" s="89"/>
      <c r="E40" s="89"/>
      <c r="F40" s="415" t="s">
        <v>143</v>
      </c>
      <c r="G40" s="415" t="s">
        <v>267</v>
      </c>
      <c r="H40" s="89"/>
      <c r="I40" s="89"/>
      <c r="J40"/>
      <c r="K40"/>
      <c r="L40"/>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c r="AP40" s="77"/>
      <c r="AQ40" s="77"/>
      <c r="AR40" s="77"/>
      <c r="AS40" s="77"/>
      <c r="AT40" s="77"/>
      <c r="AU40" s="77"/>
      <c r="AV40" s="77"/>
      <c r="AW40" s="77"/>
      <c r="AX40" s="77"/>
      <c r="AY40" s="77"/>
      <c r="AZ40" s="77"/>
      <c r="BA40" s="77"/>
      <c r="BB40" s="77"/>
      <c r="BC40" s="77"/>
      <c r="BD40" s="77"/>
      <c r="BE40" s="77"/>
      <c r="BF40" s="77"/>
      <c r="BG40" s="77"/>
      <c r="BH40" s="77"/>
      <c r="BI40" s="77"/>
      <c r="BJ40" s="77"/>
      <c r="BK40" s="77"/>
      <c r="BL40" s="77"/>
      <c r="BM40" s="77"/>
      <c r="BN40" s="77"/>
      <c r="BO40" s="77"/>
      <c r="BP40" s="77"/>
      <c r="BQ40" s="77"/>
      <c r="BR40" s="77"/>
      <c r="BS40" s="77"/>
      <c r="BT40" s="77"/>
      <c r="BU40" s="77"/>
      <c r="BV40" s="77"/>
      <c r="BW40" s="77"/>
      <c r="BX40" s="77"/>
      <c r="BY40" s="77"/>
      <c r="BZ40" s="77"/>
      <c r="CA40" s="77"/>
      <c r="CB40" s="77"/>
      <c r="CC40" s="77"/>
      <c r="CD40" s="77"/>
      <c r="CE40" s="77"/>
      <c r="CF40" s="77"/>
      <c r="CG40" s="77"/>
      <c r="CH40" s="77"/>
      <c r="CI40" s="77"/>
      <c r="CJ40" s="77"/>
      <c r="CK40" s="77"/>
      <c r="CL40" s="77"/>
      <c r="CM40" s="77"/>
      <c r="CN40" s="77"/>
      <c r="CO40" s="77"/>
      <c r="CP40" s="77"/>
      <c r="CQ40" s="77"/>
      <c r="CR40" s="77"/>
      <c r="CS40" s="77"/>
      <c r="CT40" s="77"/>
      <c r="CU40" s="77"/>
      <c r="CV40" s="77"/>
      <c r="CW40" s="77"/>
      <c r="CX40" s="77"/>
      <c r="CY40" s="77"/>
      <c r="CZ40" s="77"/>
      <c r="DA40" s="77"/>
      <c r="DB40" s="77"/>
      <c r="DC40" s="77"/>
      <c r="DD40" s="77"/>
      <c r="DE40" s="77"/>
      <c r="DF40" s="77"/>
      <c r="DG40" s="77"/>
      <c r="DH40" s="77"/>
      <c r="DI40" s="77"/>
      <c r="DJ40" s="77"/>
      <c r="DK40" s="77"/>
      <c r="DL40" s="77"/>
      <c r="DM40" s="77"/>
      <c r="DN40" s="77"/>
      <c r="DO40" s="77"/>
      <c r="DP40" s="77"/>
      <c r="DQ40" s="77"/>
      <c r="DR40" s="77"/>
      <c r="DS40" s="77"/>
      <c r="DT40" s="77"/>
      <c r="DU40" s="77"/>
      <c r="DV40" s="77"/>
      <c r="DW40" s="77"/>
      <c r="DX40" s="77"/>
      <c r="DY40" s="77"/>
      <c r="DZ40" s="77"/>
      <c r="EA40" s="77"/>
      <c r="EB40" s="77"/>
      <c r="EC40" s="77"/>
      <c r="ED40" s="77"/>
      <c r="EE40" s="77"/>
      <c r="EF40" s="77"/>
      <c r="EG40" s="77"/>
      <c r="EH40" s="77"/>
      <c r="EI40" s="77"/>
      <c r="EJ40" s="77"/>
      <c r="EK40" s="77"/>
      <c r="EL40" s="77"/>
      <c r="EM40" s="77"/>
    </row>
    <row r="41" spans="1:143" s="78" customFormat="1">
      <c r="A41" s="89"/>
      <c r="B41" s="89" t="s">
        <v>268</v>
      </c>
      <c r="C41" s="89"/>
      <c r="D41" s="89"/>
      <c r="E41" s="89"/>
      <c r="F41" s="1213">
        <f>G41/Assum!$F$30</f>
        <v>772</v>
      </c>
      <c r="G41" s="1214">
        <f>Internal!F24</f>
        <v>66392</v>
      </c>
      <c r="H41" s="1615"/>
      <c r="I41" s="89"/>
      <c r="J41"/>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c r="AP41" s="77"/>
      <c r="AQ41" s="77"/>
      <c r="AR41" s="77"/>
      <c r="AS41" s="77"/>
      <c r="AT41" s="77"/>
      <c r="AU41" s="77"/>
      <c r="AV41" s="77"/>
      <c r="AW41" s="77"/>
      <c r="AX41" s="77"/>
      <c r="AY41" s="77"/>
      <c r="AZ41" s="77"/>
      <c r="BA41" s="77"/>
      <c r="BB41" s="77"/>
      <c r="BC41" s="77"/>
      <c r="BD41" s="77"/>
      <c r="BE41" s="77"/>
      <c r="BF41" s="77"/>
      <c r="BG41" s="77"/>
      <c r="BH41" s="77"/>
      <c r="BI41" s="77"/>
      <c r="BJ41" s="77"/>
      <c r="BK41" s="77"/>
      <c r="BL41" s="77"/>
      <c r="BM41" s="77"/>
      <c r="BN41" s="77"/>
      <c r="BO41" s="77"/>
      <c r="BP41" s="77"/>
      <c r="BQ41" s="77"/>
      <c r="BR41" s="77"/>
      <c r="BS41" s="77"/>
      <c r="BT41" s="77"/>
      <c r="BU41" s="77"/>
      <c r="BV41" s="77"/>
      <c r="BW41" s="77"/>
      <c r="BX41" s="77"/>
      <c r="BY41" s="77"/>
      <c r="BZ41" s="77"/>
      <c r="CA41" s="77"/>
      <c r="CB41" s="77"/>
      <c r="CC41" s="77"/>
      <c r="CD41" s="77"/>
      <c r="CE41" s="77"/>
      <c r="CF41" s="77"/>
      <c r="CG41" s="77"/>
      <c r="CH41" s="77"/>
      <c r="CI41" s="77"/>
      <c r="CJ41" s="77"/>
      <c r="CK41" s="77"/>
      <c r="CL41" s="77"/>
      <c r="CM41" s="77"/>
      <c r="CN41" s="77"/>
      <c r="CO41" s="77"/>
      <c r="CP41" s="77"/>
      <c r="CQ41" s="77"/>
      <c r="CR41" s="77"/>
      <c r="CS41" s="77"/>
      <c r="CT41" s="77"/>
      <c r="CU41" s="77"/>
      <c r="CV41" s="77"/>
      <c r="CW41" s="77"/>
      <c r="CX41" s="77"/>
      <c r="CY41" s="77"/>
      <c r="CZ41" s="77"/>
      <c r="DA41" s="77"/>
      <c r="DB41" s="77"/>
      <c r="DC41" s="77"/>
      <c r="DD41" s="77"/>
      <c r="DE41" s="77"/>
      <c r="DF41" s="77"/>
      <c r="DG41" s="77"/>
      <c r="DH41" s="77"/>
      <c r="DI41" s="77"/>
      <c r="DJ41" s="77"/>
      <c r="DK41" s="77"/>
      <c r="DL41" s="77"/>
      <c r="DM41" s="77"/>
      <c r="DN41" s="77"/>
      <c r="DO41" s="77"/>
      <c r="DP41" s="77"/>
      <c r="DQ41" s="77"/>
      <c r="DR41" s="77"/>
      <c r="DS41" s="77"/>
      <c r="DT41" s="77"/>
      <c r="DU41" s="77"/>
      <c r="DV41" s="77"/>
      <c r="DW41" s="77"/>
      <c r="DX41" s="77"/>
      <c r="DY41" s="77"/>
      <c r="DZ41" s="77"/>
      <c r="EA41" s="77"/>
      <c r="EB41" s="77"/>
      <c r="EC41" s="77"/>
      <c r="ED41" s="77"/>
      <c r="EE41" s="77"/>
      <c r="EF41" s="77"/>
      <c r="EG41" s="77"/>
      <c r="EH41" s="77"/>
      <c r="EI41" s="77"/>
      <c r="EJ41" s="77"/>
      <c r="EK41" s="77"/>
      <c r="EL41" s="77"/>
      <c r="EM41" s="77"/>
    </row>
    <row r="42" spans="1:143" s="78" customFormat="1">
      <c r="A42" s="89"/>
      <c r="B42" s="89" t="s">
        <v>269</v>
      </c>
      <c r="C42" s="89"/>
      <c r="D42" s="89"/>
      <c r="E42" s="89"/>
      <c r="F42" s="1213">
        <v>0</v>
      </c>
      <c r="G42" s="1595">
        <v>0</v>
      </c>
      <c r="H42" s="328" t="s">
        <v>846</v>
      </c>
      <c r="I42" s="77"/>
      <c r="J42"/>
      <c r="K42"/>
      <c r="P42" s="77"/>
      <c r="Q42" s="77"/>
      <c r="R42" s="77"/>
      <c r="S42" s="77"/>
      <c r="T42" s="77"/>
      <c r="U42" s="77"/>
      <c r="V42" s="77"/>
      <c r="W42" s="77"/>
      <c r="X42" s="77"/>
      <c r="Y42" s="77"/>
      <c r="Z42" s="77"/>
      <c r="AA42" s="77"/>
      <c r="AB42" s="77"/>
      <c r="AC42" s="77"/>
      <c r="AD42" s="77"/>
      <c r="AE42" s="77"/>
      <c r="AF42" s="77"/>
      <c r="AG42" s="77"/>
      <c r="AH42" s="77"/>
      <c r="AI42" s="77"/>
      <c r="AJ42" s="77"/>
      <c r="AK42" s="77"/>
      <c r="AL42" s="77"/>
      <c r="AM42" s="77"/>
      <c r="AN42" s="77"/>
      <c r="AO42" s="77"/>
      <c r="AP42" s="77"/>
      <c r="AQ42" s="77"/>
      <c r="AR42" s="77"/>
      <c r="AS42" s="77"/>
      <c r="AT42" s="77"/>
      <c r="AU42" s="77"/>
      <c r="AV42" s="77"/>
      <c r="AW42" s="77"/>
      <c r="AX42" s="77"/>
      <c r="AY42" s="77"/>
      <c r="AZ42" s="77"/>
      <c r="BA42" s="77"/>
      <c r="BB42" s="77"/>
      <c r="BC42" s="77"/>
      <c r="BD42" s="77"/>
      <c r="BE42" s="77"/>
      <c r="BF42" s="77"/>
      <c r="BG42" s="77"/>
      <c r="BH42" s="77"/>
      <c r="BI42" s="77"/>
      <c r="BJ42" s="77"/>
      <c r="BK42" s="77"/>
      <c r="BL42" s="77"/>
      <c r="BM42" s="77"/>
      <c r="BN42" s="77"/>
      <c r="BO42" s="77"/>
      <c r="BP42" s="77"/>
      <c r="BQ42" s="77"/>
      <c r="BR42" s="77"/>
      <c r="BS42" s="77"/>
      <c r="BT42" s="77"/>
      <c r="BU42" s="77"/>
      <c r="BV42" s="77"/>
      <c r="BW42" s="77"/>
      <c r="BX42" s="77"/>
      <c r="BY42" s="77"/>
      <c r="BZ42" s="77"/>
      <c r="CA42" s="77"/>
      <c r="CB42" s="77"/>
      <c r="CC42" s="77"/>
      <c r="CD42" s="77"/>
      <c r="CE42" s="77"/>
      <c r="CF42" s="77"/>
      <c r="CG42" s="77"/>
      <c r="CH42" s="77"/>
      <c r="CI42" s="77"/>
      <c r="CJ42" s="77"/>
      <c r="CK42" s="77"/>
      <c r="CL42" s="77"/>
      <c r="CM42" s="77"/>
      <c r="CN42" s="77"/>
      <c r="CO42" s="77"/>
      <c r="CP42" s="77"/>
      <c r="CQ42" s="77"/>
      <c r="CR42" s="77"/>
      <c r="CS42" s="77"/>
      <c r="CT42" s="77"/>
      <c r="CU42" s="77"/>
      <c r="CV42" s="77"/>
      <c r="CW42" s="77"/>
      <c r="CX42" s="77"/>
      <c r="CY42" s="77"/>
      <c r="CZ42" s="77"/>
      <c r="DA42" s="77"/>
      <c r="DB42" s="77"/>
      <c r="DC42" s="77"/>
      <c r="DD42" s="77"/>
      <c r="DE42" s="77"/>
      <c r="DF42" s="77"/>
      <c r="DG42" s="77"/>
      <c r="DH42" s="77"/>
      <c r="DI42" s="77"/>
      <c r="DJ42" s="77"/>
      <c r="DK42" s="77"/>
      <c r="DL42" s="77"/>
      <c r="DM42" s="77"/>
      <c r="DN42" s="77"/>
      <c r="DO42" s="77"/>
      <c r="DP42" s="77"/>
      <c r="DQ42" s="77"/>
      <c r="DR42" s="77"/>
      <c r="DS42" s="77"/>
      <c r="DT42" s="77"/>
      <c r="DU42" s="77"/>
      <c r="DV42" s="77"/>
      <c r="DW42" s="77"/>
      <c r="DX42" s="77"/>
      <c r="DY42" s="77"/>
      <c r="DZ42" s="77"/>
      <c r="EA42" s="77"/>
      <c r="EB42" s="77"/>
      <c r="EC42" s="77"/>
      <c r="ED42" s="77"/>
      <c r="EE42" s="77"/>
      <c r="EF42" s="77"/>
      <c r="EG42" s="77"/>
      <c r="EH42" s="77"/>
      <c r="EI42" s="77"/>
      <c r="EJ42" s="77"/>
      <c r="EK42" s="77"/>
      <c r="EL42" s="77"/>
      <c r="EM42" s="77"/>
    </row>
    <row r="43" spans="1:143" s="78" customFormat="1">
      <c r="A43" s="89"/>
      <c r="B43" s="89" t="s">
        <v>270</v>
      </c>
      <c r="C43" s="89"/>
      <c r="D43" s="89"/>
      <c r="E43" s="89"/>
      <c r="F43" s="1213">
        <f>G43/Assum!$F$30</f>
        <v>122</v>
      </c>
      <c r="G43" s="1214">
        <f>Internal!F34</f>
        <v>10492</v>
      </c>
      <c r="H43" s="1615" t="s">
        <v>522</v>
      </c>
      <c r="I43" s="89"/>
      <c r="J43"/>
      <c r="P43" s="92"/>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7"/>
      <c r="AP43" s="77"/>
      <c r="AQ43" s="77"/>
      <c r="AR43" s="77"/>
      <c r="AS43" s="77"/>
      <c r="AT43" s="77"/>
      <c r="AU43" s="77"/>
      <c r="AV43" s="77"/>
      <c r="AW43" s="77"/>
      <c r="AX43" s="77"/>
      <c r="AY43" s="77"/>
      <c r="AZ43" s="77"/>
      <c r="BA43" s="77"/>
      <c r="BB43" s="77"/>
      <c r="BC43" s="77"/>
      <c r="BD43" s="77"/>
      <c r="BE43" s="77"/>
      <c r="BF43" s="77"/>
      <c r="BG43" s="77"/>
      <c r="BH43" s="77"/>
      <c r="BI43" s="77"/>
      <c r="BJ43" s="77"/>
      <c r="BK43" s="77"/>
      <c r="BL43" s="77"/>
      <c r="BM43" s="77"/>
      <c r="BN43" s="77"/>
      <c r="BO43" s="77"/>
      <c r="BP43" s="77"/>
      <c r="BQ43" s="77"/>
      <c r="BR43" s="77"/>
      <c r="BS43" s="77"/>
      <c r="BT43" s="77"/>
      <c r="BU43" s="77"/>
      <c r="BV43" s="77"/>
      <c r="BW43" s="77"/>
      <c r="BX43" s="77"/>
      <c r="BY43" s="77"/>
      <c r="BZ43" s="77"/>
      <c r="CA43" s="77"/>
      <c r="CB43" s="77"/>
      <c r="CC43" s="77"/>
      <c r="CD43" s="77"/>
      <c r="CE43" s="77"/>
      <c r="CF43" s="77"/>
      <c r="CG43" s="77"/>
      <c r="CH43" s="77"/>
      <c r="CI43" s="77"/>
      <c r="CJ43" s="77"/>
      <c r="CK43" s="77"/>
      <c r="CL43" s="77"/>
      <c r="CM43" s="77"/>
      <c r="CN43" s="77"/>
      <c r="CO43" s="77"/>
      <c r="CP43" s="77"/>
      <c r="CQ43" s="77"/>
      <c r="CR43" s="77"/>
      <c r="CS43" s="77"/>
      <c r="CT43" s="77"/>
      <c r="CU43" s="77"/>
      <c r="CV43" s="77"/>
      <c r="CW43" s="77"/>
      <c r="CX43" s="77"/>
      <c r="CY43" s="77"/>
      <c r="CZ43" s="77"/>
      <c r="DA43" s="77"/>
      <c r="DB43" s="77"/>
      <c r="DC43" s="77"/>
      <c r="DD43" s="77"/>
      <c r="DE43" s="77"/>
      <c r="DF43" s="77"/>
      <c r="DG43" s="77"/>
      <c r="DH43" s="77"/>
      <c r="DI43" s="77"/>
      <c r="DJ43" s="77"/>
      <c r="DK43" s="77"/>
      <c r="DL43" s="77"/>
      <c r="DM43" s="77"/>
      <c r="DN43" s="77"/>
      <c r="DO43" s="77"/>
      <c r="DP43" s="77"/>
      <c r="DQ43" s="77"/>
      <c r="DR43" s="77"/>
      <c r="DS43" s="77"/>
      <c r="DT43" s="77"/>
      <c r="DU43" s="77"/>
      <c r="DV43" s="77"/>
      <c r="DW43" s="77"/>
      <c r="DX43" s="77"/>
      <c r="DY43" s="77"/>
      <c r="DZ43" s="77"/>
      <c r="EA43" s="77"/>
      <c r="EB43" s="77"/>
      <c r="EC43" s="77"/>
      <c r="ED43" s="77"/>
      <c r="EE43" s="77"/>
      <c r="EF43" s="77"/>
      <c r="EG43" s="77"/>
      <c r="EH43" s="77"/>
      <c r="EI43" s="77"/>
      <c r="EJ43" s="77"/>
      <c r="EK43" s="77"/>
      <c r="EL43" s="77"/>
      <c r="EM43" s="77"/>
    </row>
    <row r="44" spans="1:143" s="78" customFormat="1">
      <c r="A44" s="89"/>
      <c r="B44" s="89" t="s">
        <v>271</v>
      </c>
      <c r="C44" s="89"/>
      <c r="D44" s="89"/>
      <c r="E44" s="89"/>
      <c r="F44" s="1215">
        <v>9.9</v>
      </c>
      <c r="G44" s="1216">
        <f>F44*Assum!$F$30</f>
        <v>851.4</v>
      </c>
      <c r="H44" s="217" t="s">
        <v>879</v>
      </c>
      <c r="I44" s="77"/>
      <c r="J44"/>
      <c r="K44"/>
      <c r="P44" s="92"/>
      <c r="Q44" s="77"/>
      <c r="R44" s="77"/>
      <c r="S44" s="77"/>
      <c r="T44" s="77"/>
      <c r="U44" s="77"/>
      <c r="V44" s="77"/>
      <c r="W44" s="77"/>
      <c r="X44" s="77"/>
      <c r="Y44" s="77"/>
      <c r="Z44" s="77"/>
      <c r="AA44" s="77"/>
      <c r="AB44" s="77"/>
      <c r="AC44" s="77"/>
      <c r="AD44" s="77"/>
      <c r="AE44" s="77"/>
      <c r="AF44" s="77"/>
      <c r="AG44" s="77"/>
      <c r="AH44" s="77"/>
      <c r="AI44" s="77"/>
      <c r="AJ44" s="77"/>
      <c r="AK44" s="77"/>
      <c r="AL44" s="77"/>
      <c r="AM44" s="77"/>
      <c r="AN44" s="77"/>
      <c r="AO44" s="77"/>
      <c r="AP44" s="77"/>
      <c r="AQ44" s="77"/>
      <c r="AR44" s="77"/>
      <c r="AS44" s="77"/>
      <c r="AT44" s="77"/>
      <c r="AU44" s="77"/>
      <c r="AV44" s="77"/>
      <c r="AW44" s="77"/>
      <c r="AX44" s="77"/>
      <c r="AY44" s="77"/>
      <c r="AZ44" s="77"/>
      <c r="BA44" s="77"/>
      <c r="BB44" s="77"/>
      <c r="BC44" s="77"/>
      <c r="BD44" s="77"/>
      <c r="BE44" s="77"/>
      <c r="BF44" s="77"/>
      <c r="BG44" s="77"/>
      <c r="BH44" s="77"/>
      <c r="BI44" s="77"/>
      <c r="BJ44" s="77"/>
      <c r="BK44" s="77"/>
      <c r="BL44" s="77"/>
      <c r="BM44" s="77"/>
      <c r="BN44" s="77"/>
      <c r="BO44" s="77"/>
      <c r="BP44" s="77"/>
      <c r="BQ44" s="77"/>
      <c r="BR44" s="77"/>
      <c r="BS44" s="77"/>
      <c r="BT44" s="77"/>
      <c r="BU44" s="77"/>
      <c r="BV44" s="77"/>
      <c r="BW44" s="77"/>
      <c r="BX44" s="77"/>
      <c r="BY44" s="77"/>
      <c r="BZ44" s="77"/>
      <c r="CA44" s="77"/>
      <c r="CB44" s="77"/>
      <c r="CC44" s="77"/>
      <c r="CD44" s="77"/>
      <c r="CE44" s="77"/>
      <c r="CF44" s="77"/>
      <c r="CG44" s="77"/>
      <c r="CH44" s="77"/>
      <c r="CI44" s="77"/>
      <c r="CJ44" s="77"/>
      <c r="CK44" s="77"/>
      <c r="CL44" s="77"/>
      <c r="CM44" s="77"/>
      <c r="CN44" s="77"/>
      <c r="CO44" s="77"/>
      <c r="CP44" s="77"/>
      <c r="CQ44" s="77"/>
      <c r="CR44" s="77"/>
      <c r="CS44" s="77"/>
      <c r="CT44" s="77"/>
      <c r="CU44" s="77"/>
      <c r="CV44" s="77"/>
      <c r="CW44" s="77"/>
      <c r="CX44" s="77"/>
      <c r="CY44" s="77"/>
      <c r="CZ44" s="77"/>
      <c r="DA44" s="77"/>
      <c r="DB44" s="77"/>
      <c r="DC44" s="77"/>
      <c r="DD44" s="77"/>
      <c r="DE44" s="77"/>
      <c r="DF44" s="77"/>
      <c r="DG44" s="77"/>
      <c r="DH44" s="77"/>
      <c r="DI44" s="77"/>
      <c r="DJ44" s="77"/>
      <c r="DK44" s="77"/>
      <c r="DL44" s="77"/>
      <c r="DM44" s="77"/>
      <c r="DN44" s="77"/>
      <c r="DO44" s="77"/>
      <c r="DP44" s="77"/>
      <c r="DQ44" s="77"/>
      <c r="DR44" s="77"/>
      <c r="DS44" s="77"/>
      <c r="DT44" s="77"/>
      <c r="DU44" s="77"/>
      <c r="DV44" s="77"/>
      <c r="DW44" s="77"/>
      <c r="DX44" s="77"/>
      <c r="DY44" s="77"/>
      <c r="DZ44" s="77"/>
      <c r="EA44" s="77"/>
      <c r="EB44" s="77"/>
      <c r="EC44" s="77"/>
      <c r="ED44" s="77"/>
      <c r="EE44" s="77"/>
      <c r="EF44" s="77"/>
      <c r="EG44" s="77"/>
      <c r="EH44" s="77"/>
      <c r="EI44" s="77"/>
      <c r="EJ44" s="77"/>
      <c r="EK44" s="77"/>
      <c r="EL44" s="77"/>
      <c r="EM44" s="77"/>
    </row>
    <row r="45" spans="1:143" s="78" customFormat="1">
      <c r="A45" s="89"/>
      <c r="B45" s="89" t="s">
        <v>880</v>
      </c>
      <c r="C45" s="89"/>
      <c r="D45" s="89"/>
      <c r="E45" s="89"/>
      <c r="F45" s="1215">
        <f>6.3+6.623</f>
        <v>12.923</v>
      </c>
      <c r="G45" s="1216">
        <f>F45*Assum!$F$30</f>
        <v>1111.3779999999999</v>
      </c>
      <c r="H45" s="217" t="s">
        <v>881</v>
      </c>
      <c r="I45" s="89"/>
      <c r="J45" s="85"/>
      <c r="O45" s="77"/>
      <c r="P45" s="77"/>
      <c r="Q45" s="77"/>
      <c r="R45" s="77"/>
      <c r="S45" s="77"/>
      <c r="T45" s="77"/>
      <c r="U45" s="77"/>
      <c r="V45" s="77"/>
      <c r="W45" s="77"/>
      <c r="X45" s="77"/>
      <c r="Y45" s="77"/>
      <c r="Z45" s="77"/>
      <c r="AA45" s="77"/>
      <c r="AB45" s="77"/>
      <c r="AC45" s="77"/>
      <c r="AD45" s="77"/>
      <c r="AE45" s="77"/>
      <c r="AF45" s="77"/>
      <c r="AG45" s="77"/>
      <c r="AH45" s="77"/>
      <c r="AI45" s="77"/>
      <c r="AJ45" s="77"/>
      <c r="AK45" s="77"/>
      <c r="AL45" s="77"/>
      <c r="AM45" s="77"/>
      <c r="AN45" s="77"/>
      <c r="AO45" s="77"/>
      <c r="AP45" s="77"/>
      <c r="AQ45" s="77"/>
      <c r="AR45" s="77"/>
      <c r="AS45" s="77"/>
      <c r="AT45" s="77"/>
      <c r="AU45" s="77"/>
      <c r="AV45" s="77"/>
      <c r="AW45" s="77"/>
      <c r="AX45" s="77"/>
      <c r="AY45" s="77"/>
      <c r="AZ45" s="77"/>
      <c r="BA45" s="77"/>
      <c r="BB45" s="77"/>
      <c r="BC45" s="77"/>
      <c r="BD45" s="77"/>
      <c r="BE45" s="77"/>
      <c r="BF45" s="77"/>
      <c r="BG45" s="77"/>
      <c r="BH45" s="77"/>
      <c r="BI45" s="77"/>
      <c r="BJ45" s="77"/>
      <c r="BK45" s="77"/>
      <c r="BL45" s="77"/>
      <c r="BM45" s="77"/>
      <c r="BN45" s="77"/>
      <c r="BO45" s="77"/>
      <c r="BP45" s="77"/>
      <c r="BQ45" s="77"/>
      <c r="BR45" s="77"/>
      <c r="BS45" s="77"/>
      <c r="BT45" s="77"/>
      <c r="BU45" s="77"/>
      <c r="BV45" s="77"/>
      <c r="BW45" s="77"/>
      <c r="BX45" s="77"/>
      <c r="BY45" s="77"/>
      <c r="BZ45" s="77"/>
      <c r="CA45" s="77"/>
      <c r="CB45" s="77"/>
      <c r="CC45" s="77"/>
      <c r="CD45" s="77"/>
      <c r="CE45" s="77"/>
      <c r="CF45" s="77"/>
      <c r="CG45" s="77"/>
      <c r="CH45" s="77"/>
      <c r="CI45" s="77"/>
      <c r="CJ45" s="77"/>
      <c r="CK45" s="77"/>
      <c r="CL45" s="77"/>
      <c r="CM45" s="77"/>
      <c r="CN45" s="77"/>
      <c r="CO45" s="77"/>
      <c r="CP45" s="77"/>
      <c r="CQ45" s="77"/>
      <c r="CR45" s="77"/>
      <c r="CS45" s="77"/>
      <c r="CT45" s="77"/>
      <c r="CU45" s="77"/>
      <c r="CV45" s="77"/>
      <c r="CW45" s="77"/>
      <c r="CX45" s="77"/>
      <c r="CY45" s="77"/>
      <c r="CZ45" s="77"/>
      <c r="DA45" s="77"/>
      <c r="DB45" s="77"/>
      <c r="DC45" s="77"/>
      <c r="DD45" s="77"/>
      <c r="DE45" s="77"/>
      <c r="DF45" s="77"/>
      <c r="DG45" s="77"/>
      <c r="DH45" s="77"/>
      <c r="DI45" s="77"/>
      <c r="DJ45" s="77"/>
      <c r="DK45" s="77"/>
      <c r="DL45" s="77"/>
      <c r="DM45" s="77"/>
      <c r="DN45" s="77"/>
      <c r="DO45" s="77"/>
      <c r="DP45" s="77"/>
      <c r="DQ45" s="77"/>
      <c r="DR45" s="77"/>
      <c r="DS45" s="77"/>
      <c r="DT45" s="77"/>
      <c r="DU45" s="77"/>
      <c r="DV45" s="77"/>
      <c r="DW45" s="77"/>
      <c r="DX45" s="77"/>
      <c r="DY45" s="77"/>
      <c r="DZ45" s="77"/>
      <c r="EA45" s="77"/>
      <c r="EB45" s="77"/>
      <c r="EC45" s="77"/>
      <c r="ED45" s="77"/>
      <c r="EE45" s="77"/>
      <c r="EF45" s="77"/>
      <c r="EG45" s="77"/>
      <c r="EH45" s="77"/>
      <c r="EI45" s="77"/>
      <c r="EJ45" s="77"/>
      <c r="EK45" s="77"/>
      <c r="EL45" s="77"/>
      <c r="EM45" s="77"/>
    </row>
    <row r="46" spans="1:143" s="78" customFormat="1">
      <c r="A46" s="89"/>
      <c r="B46" s="89" t="s">
        <v>272</v>
      </c>
      <c r="C46" s="89"/>
      <c r="D46" s="89"/>
      <c r="E46" s="89"/>
      <c r="F46" s="1215">
        <v>7.5</v>
      </c>
      <c r="G46" s="1216">
        <f>F46*Assum!$F$30</f>
        <v>645</v>
      </c>
      <c r="H46" s="217" t="s">
        <v>882</v>
      </c>
      <c r="I46" s="79"/>
      <c r="J46" s="85"/>
      <c r="K46" s="77"/>
      <c r="L46" s="77"/>
      <c r="M46" s="77"/>
      <c r="N46" s="77"/>
      <c r="O46" s="77"/>
      <c r="P46" s="77"/>
      <c r="Q46" s="77"/>
      <c r="R46" s="77"/>
      <c r="S46" s="77"/>
      <c r="T46" s="77"/>
      <c r="U46" s="77"/>
      <c r="V46" s="77"/>
      <c r="W46" s="77"/>
      <c r="X46" s="77"/>
      <c r="Y46" s="77"/>
      <c r="Z46" s="77"/>
      <c r="AA46" s="77"/>
      <c r="AB46" s="77"/>
      <c r="AC46" s="77"/>
      <c r="AD46" s="77"/>
      <c r="AE46" s="77"/>
      <c r="AF46" s="77"/>
      <c r="AG46" s="77"/>
      <c r="AH46" s="77"/>
      <c r="AI46" s="77"/>
      <c r="AJ46" s="77"/>
      <c r="AK46" s="77"/>
      <c r="AL46" s="77"/>
      <c r="AM46" s="77"/>
      <c r="AN46" s="77"/>
      <c r="AO46" s="77"/>
      <c r="AP46" s="77"/>
      <c r="AQ46" s="77"/>
      <c r="AR46" s="77"/>
      <c r="AS46" s="77"/>
      <c r="AT46" s="77"/>
      <c r="AU46" s="77"/>
      <c r="AV46" s="77"/>
      <c r="AW46" s="77"/>
      <c r="AX46" s="77"/>
      <c r="AY46" s="77"/>
      <c r="AZ46" s="77"/>
      <c r="BA46" s="77"/>
      <c r="BB46" s="77"/>
      <c r="BC46" s="77"/>
      <c r="BD46" s="77"/>
      <c r="BE46" s="77"/>
      <c r="BF46" s="77"/>
      <c r="BG46" s="77"/>
      <c r="BH46" s="77"/>
      <c r="BI46" s="77"/>
      <c r="BJ46" s="77"/>
      <c r="BK46" s="77"/>
      <c r="BL46" s="77"/>
      <c r="BM46" s="77"/>
      <c r="BN46" s="77"/>
      <c r="BO46" s="77"/>
      <c r="BP46" s="77"/>
      <c r="BQ46" s="77"/>
      <c r="BR46" s="77"/>
      <c r="BS46" s="77"/>
      <c r="BT46" s="77"/>
      <c r="BU46" s="77"/>
      <c r="BV46" s="77"/>
      <c r="BW46" s="77"/>
      <c r="BX46" s="77"/>
      <c r="BY46" s="77"/>
      <c r="BZ46" s="77"/>
      <c r="CA46" s="77"/>
      <c r="CB46" s="77"/>
      <c r="CC46" s="77"/>
      <c r="CD46" s="77"/>
      <c r="CE46" s="77"/>
      <c r="CF46" s="77"/>
      <c r="CG46" s="77"/>
      <c r="CH46" s="77"/>
      <c r="CI46" s="77"/>
      <c r="CJ46" s="77"/>
      <c r="CK46" s="77"/>
      <c r="CL46" s="77"/>
      <c r="CM46" s="77"/>
      <c r="CN46" s="77"/>
      <c r="CO46" s="77"/>
      <c r="CP46" s="77"/>
      <c r="CQ46" s="77"/>
      <c r="CR46" s="77"/>
      <c r="CS46" s="77"/>
      <c r="CT46" s="77"/>
      <c r="CU46" s="77"/>
      <c r="CV46" s="77"/>
      <c r="CW46" s="77"/>
      <c r="CX46" s="77"/>
      <c r="CY46" s="77"/>
      <c r="CZ46" s="77"/>
      <c r="DA46" s="77"/>
      <c r="DB46" s="77"/>
      <c r="DC46" s="77"/>
      <c r="DD46" s="77"/>
      <c r="DE46" s="77"/>
      <c r="DF46" s="77"/>
      <c r="DG46" s="77"/>
      <c r="DH46" s="77"/>
      <c r="DI46" s="77"/>
      <c r="DJ46" s="77"/>
      <c r="DK46" s="77"/>
      <c r="DL46" s="77"/>
      <c r="DM46" s="77"/>
      <c r="DN46" s="77"/>
      <c r="DO46" s="77"/>
      <c r="DP46" s="77"/>
      <c r="DQ46" s="77"/>
      <c r="DR46" s="77"/>
      <c r="DS46" s="77"/>
      <c r="DT46" s="77"/>
      <c r="DU46" s="77"/>
      <c r="DV46" s="77"/>
      <c r="DW46" s="77"/>
      <c r="DX46" s="77"/>
      <c r="DY46" s="77"/>
      <c r="DZ46" s="77"/>
      <c r="EA46" s="77"/>
      <c r="EB46" s="77"/>
      <c r="EC46" s="77"/>
      <c r="ED46" s="77"/>
      <c r="EE46" s="77"/>
      <c r="EF46" s="77"/>
      <c r="EG46" s="77"/>
      <c r="EH46" s="77"/>
      <c r="EI46" s="77"/>
      <c r="EJ46" s="77"/>
      <c r="EK46" s="77"/>
      <c r="EL46" s="77"/>
      <c r="EM46" s="77"/>
    </row>
    <row r="47" spans="1:143" s="78" customFormat="1">
      <c r="A47" s="89"/>
      <c r="B47" s="89" t="s">
        <v>894</v>
      </c>
      <c r="C47" s="89"/>
      <c r="D47" s="89"/>
      <c r="E47" s="89"/>
      <c r="F47" s="1217">
        <f>20+38/D18</f>
        <v>20.441860465116278</v>
      </c>
      <c r="G47" s="1218">
        <f>F47*Assum!F30</f>
        <v>1758</v>
      </c>
      <c r="H47" s="217" t="s">
        <v>895</v>
      </c>
      <c r="I47" s="79"/>
      <c r="J47" s="85"/>
      <c r="M47" s="77"/>
      <c r="N47" s="77"/>
      <c r="O47" s="77"/>
      <c r="P47" s="77"/>
      <c r="Q47" s="77"/>
      <c r="R47" s="77"/>
      <c r="S47" s="77"/>
      <c r="T47" s="77"/>
      <c r="U47" s="77"/>
      <c r="V47" s="77"/>
      <c r="W47" s="77"/>
      <c r="X47" s="77"/>
      <c r="Y47" s="77"/>
      <c r="Z47" s="77"/>
      <c r="AA47" s="77"/>
      <c r="AB47" s="77"/>
      <c r="AC47" s="77"/>
      <c r="AD47" s="77"/>
      <c r="AE47" s="77"/>
      <c r="AF47" s="77"/>
      <c r="AG47" s="77"/>
      <c r="AH47" s="77"/>
      <c r="AI47" s="77"/>
      <c r="AJ47" s="77"/>
      <c r="AK47" s="77"/>
      <c r="AL47" s="77"/>
      <c r="AM47" s="77"/>
      <c r="AN47" s="77"/>
      <c r="AO47" s="77"/>
      <c r="AP47" s="77"/>
      <c r="AQ47" s="77"/>
      <c r="AR47" s="77"/>
      <c r="AS47" s="77"/>
      <c r="AT47" s="77"/>
      <c r="AU47" s="77"/>
      <c r="AV47" s="77"/>
      <c r="AW47" s="77"/>
      <c r="AX47" s="77"/>
      <c r="AY47" s="77"/>
      <c r="AZ47" s="77"/>
      <c r="BA47" s="77"/>
      <c r="BB47" s="77"/>
      <c r="BC47" s="77"/>
      <c r="BD47" s="77"/>
      <c r="BE47" s="77"/>
      <c r="BF47" s="77"/>
      <c r="BG47" s="77"/>
      <c r="BH47" s="77"/>
      <c r="BI47" s="77"/>
      <c r="BJ47" s="77"/>
      <c r="BK47" s="77"/>
      <c r="BL47" s="77"/>
      <c r="BM47" s="77"/>
      <c r="BN47" s="77"/>
      <c r="BO47" s="77"/>
      <c r="BP47" s="77"/>
      <c r="BQ47" s="77"/>
      <c r="BR47" s="77"/>
      <c r="BS47" s="77"/>
      <c r="BT47" s="77"/>
      <c r="BU47" s="77"/>
      <c r="BV47" s="77"/>
      <c r="BW47" s="77"/>
      <c r="BX47" s="77"/>
      <c r="BY47" s="77"/>
      <c r="BZ47" s="77"/>
      <c r="CA47" s="77"/>
      <c r="CB47" s="77"/>
      <c r="CC47" s="77"/>
      <c r="CD47" s="77"/>
      <c r="CE47" s="77"/>
      <c r="CF47" s="77"/>
      <c r="CG47" s="77"/>
      <c r="CH47" s="77"/>
      <c r="CI47" s="77"/>
      <c r="CJ47" s="77"/>
      <c r="CK47" s="77"/>
      <c r="CL47" s="77"/>
      <c r="CM47" s="77"/>
      <c r="CN47" s="77"/>
      <c r="CO47" s="77"/>
      <c r="CP47" s="77"/>
      <c r="CQ47" s="77"/>
      <c r="CR47" s="77"/>
      <c r="CS47" s="77"/>
      <c r="CT47" s="77"/>
      <c r="CU47" s="77"/>
      <c r="CV47" s="77"/>
      <c r="CW47" s="77"/>
      <c r="CX47" s="77"/>
      <c r="CY47" s="77"/>
      <c r="CZ47" s="77"/>
      <c r="DA47" s="77"/>
      <c r="DB47" s="77"/>
      <c r="DC47" s="77"/>
      <c r="DD47" s="77"/>
      <c r="DE47" s="77"/>
      <c r="DF47" s="77"/>
      <c r="DG47" s="77"/>
      <c r="DH47" s="77"/>
      <c r="DI47" s="77"/>
      <c r="DJ47" s="77"/>
      <c r="DK47" s="77"/>
      <c r="DL47" s="77"/>
      <c r="DM47" s="77"/>
      <c r="DN47" s="77"/>
      <c r="DO47" s="77"/>
      <c r="DP47" s="77"/>
      <c r="DQ47" s="77"/>
      <c r="DR47" s="77"/>
      <c r="DS47" s="77"/>
      <c r="DT47" s="77"/>
      <c r="DU47" s="77"/>
      <c r="DV47" s="77"/>
      <c r="DW47" s="77"/>
      <c r="DX47" s="77"/>
      <c r="DY47" s="77"/>
      <c r="DZ47" s="77"/>
      <c r="EA47" s="77"/>
      <c r="EB47" s="77"/>
      <c r="EC47" s="77"/>
      <c r="ED47" s="77"/>
      <c r="EE47" s="77"/>
      <c r="EF47" s="77"/>
      <c r="EG47" s="77"/>
      <c r="EH47" s="77"/>
      <c r="EI47" s="77"/>
      <c r="EJ47" s="77"/>
      <c r="EK47" s="77"/>
      <c r="EL47" s="77"/>
      <c r="EM47" s="77"/>
    </row>
    <row r="48" spans="1:143" s="78" customFormat="1">
      <c r="A48" s="89"/>
      <c r="B48" s="89" t="s">
        <v>512</v>
      </c>
      <c r="C48" s="89"/>
      <c r="D48" s="1060" t="s">
        <v>312</v>
      </c>
      <c r="E48" s="130">
        <v>0</v>
      </c>
      <c r="F48" s="1217"/>
      <c r="G48" s="1219">
        <f>E48*SUM(G41:G43)</f>
        <v>0</v>
      </c>
      <c r="H48" s="1616" t="s">
        <v>304</v>
      </c>
      <c r="I48" s="77"/>
      <c r="K48" s="219"/>
      <c r="L48" s="124"/>
      <c r="M48" s="77"/>
      <c r="N48" s="77"/>
      <c r="O48" s="77"/>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c r="AP48" s="77"/>
      <c r="AQ48" s="77"/>
      <c r="AR48" s="77"/>
      <c r="AS48" s="77"/>
      <c r="AT48" s="77"/>
      <c r="AU48" s="77"/>
      <c r="AV48" s="77"/>
      <c r="AW48" s="77"/>
      <c r="AX48" s="77"/>
      <c r="AY48" s="77"/>
      <c r="AZ48" s="77"/>
      <c r="BA48" s="77"/>
      <c r="BB48" s="77"/>
      <c r="BC48" s="77"/>
      <c r="BD48" s="77"/>
      <c r="BE48" s="77"/>
      <c r="BF48" s="77"/>
      <c r="BG48" s="77"/>
      <c r="BH48" s="77"/>
      <c r="BI48" s="77"/>
      <c r="BJ48" s="77"/>
      <c r="BK48" s="77"/>
      <c r="BL48" s="77"/>
      <c r="BM48" s="77"/>
      <c r="BN48" s="77"/>
      <c r="BO48" s="77"/>
      <c r="BP48" s="77"/>
      <c r="BQ48" s="77"/>
      <c r="BR48" s="77"/>
      <c r="BS48" s="77"/>
      <c r="BT48" s="77"/>
      <c r="BU48" s="77"/>
      <c r="BV48" s="77"/>
      <c r="BW48" s="77"/>
      <c r="BX48" s="77"/>
      <c r="BY48" s="77"/>
      <c r="BZ48" s="77"/>
      <c r="CA48" s="77"/>
      <c r="CB48" s="77"/>
      <c r="CC48" s="77"/>
      <c r="CD48" s="77"/>
      <c r="CE48" s="77"/>
      <c r="CF48" s="77"/>
      <c r="CG48" s="77"/>
      <c r="CH48" s="77"/>
      <c r="CI48" s="77"/>
      <c r="CJ48" s="77"/>
      <c r="CK48" s="77"/>
      <c r="CL48" s="77"/>
      <c r="CM48" s="77"/>
      <c r="CN48" s="77"/>
      <c r="CO48" s="77"/>
      <c r="CP48" s="77"/>
      <c r="CQ48" s="77"/>
      <c r="CR48" s="77"/>
      <c r="CS48" s="77"/>
      <c r="CT48" s="77"/>
      <c r="CU48" s="77"/>
      <c r="CV48" s="77"/>
      <c r="CW48" s="77"/>
      <c r="CX48" s="77"/>
      <c r="CY48" s="77"/>
      <c r="CZ48" s="77"/>
      <c r="DA48" s="77"/>
      <c r="DB48" s="77"/>
      <c r="DC48" s="77"/>
      <c r="DD48" s="77"/>
      <c r="DE48" s="77"/>
      <c r="DF48" s="77"/>
      <c r="DG48" s="77"/>
      <c r="DH48" s="77"/>
      <c r="DI48" s="77"/>
      <c r="DJ48" s="77"/>
      <c r="DK48" s="77"/>
      <c r="DL48" s="77"/>
      <c r="DM48" s="77"/>
      <c r="DN48" s="77"/>
      <c r="DO48" s="77"/>
      <c r="DP48" s="77"/>
      <c r="DQ48" s="77"/>
      <c r="DR48" s="77"/>
      <c r="DS48" s="77"/>
      <c r="DT48" s="77"/>
      <c r="DU48" s="77"/>
      <c r="DV48" s="77"/>
      <c r="DW48" s="77"/>
      <c r="DX48" s="77"/>
      <c r="DY48" s="77"/>
      <c r="DZ48" s="77"/>
      <c r="EA48" s="77"/>
      <c r="EB48" s="77"/>
      <c r="EC48" s="77"/>
      <c r="ED48" s="77"/>
      <c r="EE48" s="77"/>
      <c r="EF48" s="77"/>
      <c r="EG48" s="77"/>
      <c r="EH48" s="77"/>
      <c r="EI48" s="77"/>
      <c r="EJ48" s="77"/>
      <c r="EK48" s="77"/>
      <c r="EL48" s="77"/>
      <c r="EM48" s="77"/>
    </row>
    <row r="49" spans="1:143" s="78" customFormat="1" ht="13.5" thickBot="1">
      <c r="A49" s="89"/>
      <c r="B49" s="67" t="s">
        <v>273</v>
      </c>
      <c r="C49" s="67"/>
      <c r="D49" s="67"/>
      <c r="E49" s="67"/>
      <c r="F49" s="1220">
        <f>SUM(F41:F47)</f>
        <v>944.76486046511627</v>
      </c>
      <c r="G49" s="1221">
        <f>SUM(G41:G47)</f>
        <v>81249.777999999991</v>
      </c>
      <c r="H49" s="79"/>
      <c r="I49" s="89"/>
      <c r="J49" s="77"/>
      <c r="K49" s="77"/>
      <c r="L49" s="77"/>
      <c r="M49" s="77"/>
      <c r="N49" s="77"/>
      <c r="O49" s="77"/>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c r="AP49" s="77"/>
      <c r="AQ49" s="77"/>
      <c r="AR49" s="77"/>
      <c r="AS49" s="77"/>
      <c r="AT49" s="77"/>
      <c r="AU49" s="77"/>
      <c r="AV49" s="77"/>
      <c r="AW49" s="77"/>
      <c r="AX49" s="77"/>
      <c r="AY49" s="77"/>
      <c r="AZ49" s="77"/>
      <c r="BA49" s="77"/>
      <c r="BB49" s="77"/>
      <c r="BC49" s="77"/>
      <c r="BD49" s="77"/>
      <c r="BE49" s="77"/>
      <c r="BF49" s="77"/>
      <c r="BG49" s="77"/>
      <c r="BH49" s="77"/>
      <c r="BI49" s="77"/>
      <c r="BJ49" s="77"/>
      <c r="BK49" s="77"/>
      <c r="BL49" s="77"/>
      <c r="BM49" s="77"/>
      <c r="BN49" s="77"/>
      <c r="BO49" s="77"/>
      <c r="BP49" s="77"/>
      <c r="BQ49" s="77"/>
      <c r="BR49" s="77"/>
      <c r="BS49" s="77"/>
      <c r="BT49" s="77"/>
      <c r="BU49" s="77"/>
      <c r="BV49" s="77"/>
      <c r="BW49" s="77"/>
      <c r="BX49" s="77"/>
      <c r="BY49" s="77"/>
      <c r="BZ49" s="77"/>
      <c r="CA49" s="77"/>
      <c r="CB49" s="77"/>
      <c r="CC49" s="77"/>
      <c r="CD49" s="77"/>
      <c r="CE49" s="77"/>
      <c r="CF49" s="77"/>
      <c r="CG49" s="77"/>
      <c r="CH49" s="77"/>
      <c r="CI49" s="77"/>
      <c r="CJ49" s="77"/>
      <c r="CK49" s="77"/>
      <c r="CL49" s="77"/>
      <c r="CM49" s="77"/>
      <c r="CN49" s="77"/>
      <c r="CO49" s="77"/>
      <c r="CP49" s="77"/>
      <c r="CQ49" s="77"/>
      <c r="CR49" s="77"/>
      <c r="CS49" s="77"/>
      <c r="CT49" s="77"/>
      <c r="CU49" s="77"/>
      <c r="CV49" s="77"/>
      <c r="CW49" s="77"/>
      <c r="CX49" s="77"/>
      <c r="CY49" s="77"/>
      <c r="CZ49" s="77"/>
      <c r="DA49" s="77"/>
      <c r="DB49" s="77"/>
      <c r="DC49" s="77"/>
      <c r="DD49" s="77"/>
      <c r="DE49" s="77"/>
      <c r="DF49" s="77"/>
      <c r="DG49" s="77"/>
      <c r="DH49" s="77"/>
      <c r="DI49" s="77"/>
      <c r="DJ49" s="77"/>
      <c r="DK49" s="77"/>
      <c r="DL49" s="77"/>
      <c r="DM49" s="77"/>
      <c r="DN49" s="77"/>
      <c r="DO49" s="77"/>
      <c r="DP49" s="77"/>
      <c r="DQ49" s="77"/>
      <c r="DR49" s="77"/>
      <c r="DS49" s="77"/>
      <c r="DT49" s="77"/>
      <c r="DU49" s="77"/>
      <c r="DV49" s="77"/>
      <c r="DW49" s="77"/>
      <c r="DX49" s="77"/>
      <c r="DY49" s="77"/>
      <c r="DZ49" s="77"/>
      <c r="EA49" s="77"/>
      <c r="EB49" s="77"/>
      <c r="EC49" s="77"/>
      <c r="ED49" s="77"/>
      <c r="EE49" s="77"/>
      <c r="EF49" s="77"/>
      <c r="EG49" s="77"/>
      <c r="EH49" s="77"/>
      <c r="EI49" s="77"/>
      <c r="EJ49" s="77"/>
      <c r="EK49" s="77"/>
      <c r="EL49" s="77"/>
      <c r="EM49" s="77"/>
    </row>
    <row r="50" spans="1:143" s="78" customFormat="1">
      <c r="A50" s="89"/>
      <c r="B50" s="89"/>
      <c r="C50" s="89"/>
      <c r="D50" s="89"/>
      <c r="E50" s="89"/>
      <c r="F50" s="1222"/>
      <c r="G50" s="1222"/>
      <c r="H50" s="79"/>
      <c r="I50" s="89"/>
      <c r="J50" s="89"/>
      <c r="K50" s="79"/>
      <c r="L50" s="79"/>
      <c r="M50" s="77"/>
      <c r="N50" s="77"/>
      <c r="O50" s="77"/>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c r="AP50" s="77"/>
      <c r="AQ50" s="77"/>
      <c r="AR50" s="77"/>
      <c r="AS50" s="77"/>
      <c r="AT50" s="77"/>
      <c r="AU50" s="77"/>
      <c r="AV50" s="77"/>
      <c r="AW50" s="77"/>
      <c r="AX50" s="77"/>
      <c r="AY50" s="77"/>
      <c r="AZ50" s="77"/>
      <c r="BA50" s="77"/>
      <c r="BB50" s="77"/>
      <c r="BC50" s="77"/>
      <c r="BD50" s="77"/>
      <c r="BE50" s="77"/>
      <c r="BF50" s="77"/>
      <c r="BG50" s="77"/>
      <c r="BH50" s="77"/>
      <c r="BI50" s="77"/>
      <c r="BJ50" s="77"/>
      <c r="BK50" s="77"/>
      <c r="BL50" s="77"/>
      <c r="BM50" s="77"/>
      <c r="BN50" s="77"/>
      <c r="BO50" s="77"/>
      <c r="BP50" s="77"/>
      <c r="BQ50" s="77"/>
      <c r="BR50" s="77"/>
      <c r="BS50" s="77"/>
      <c r="BT50" s="77"/>
      <c r="BU50" s="77"/>
      <c r="BV50" s="77"/>
      <c r="BW50" s="77"/>
      <c r="BX50" s="77"/>
      <c r="BY50" s="77"/>
      <c r="BZ50" s="77"/>
      <c r="CA50" s="77"/>
      <c r="CB50" s="77"/>
      <c r="CC50" s="77"/>
      <c r="CD50" s="77"/>
      <c r="CE50" s="77"/>
      <c r="CF50" s="77"/>
      <c r="CG50" s="77"/>
      <c r="CH50" s="77"/>
      <c r="CI50" s="77"/>
      <c r="CJ50" s="77"/>
      <c r="CK50" s="77"/>
      <c r="CL50" s="77"/>
      <c r="CM50" s="77"/>
      <c r="CN50" s="77"/>
      <c r="CO50" s="77"/>
      <c r="CP50" s="77"/>
      <c r="CQ50" s="77"/>
      <c r="CR50" s="77"/>
      <c r="CS50" s="77"/>
      <c r="CT50" s="77"/>
      <c r="CU50" s="77"/>
      <c r="CV50" s="77"/>
      <c r="CW50" s="77"/>
      <c r="CX50" s="77"/>
      <c r="CY50" s="77"/>
      <c r="CZ50" s="77"/>
      <c r="DA50" s="77"/>
      <c r="DB50" s="77"/>
      <c r="DC50" s="77"/>
      <c r="DD50" s="77"/>
      <c r="DE50" s="77"/>
      <c r="DF50" s="77"/>
      <c r="DG50" s="77"/>
      <c r="DH50" s="77"/>
      <c r="DI50" s="77"/>
      <c r="DJ50" s="77"/>
      <c r="DK50" s="77"/>
      <c r="DL50" s="77"/>
      <c r="DM50" s="77"/>
      <c r="DN50" s="77"/>
      <c r="DO50" s="77"/>
      <c r="DP50" s="77"/>
      <c r="DQ50" s="77"/>
      <c r="DR50" s="77"/>
      <c r="DS50" s="77"/>
      <c r="DT50" s="77"/>
      <c r="DU50" s="77"/>
      <c r="DV50" s="77"/>
      <c r="DW50" s="77"/>
      <c r="DX50" s="77"/>
      <c r="DY50" s="77"/>
      <c r="DZ50" s="77"/>
      <c r="EA50" s="77"/>
      <c r="EB50" s="77"/>
      <c r="EC50" s="77"/>
      <c r="ED50" s="77"/>
      <c r="EE50" s="77"/>
      <c r="EF50" s="77"/>
      <c r="EG50" s="77"/>
      <c r="EH50" s="77"/>
      <c r="EI50" s="77"/>
      <c r="EJ50" s="77"/>
      <c r="EK50" s="77"/>
      <c r="EL50" s="77"/>
      <c r="EM50" s="77"/>
    </row>
    <row r="51" spans="1:143" s="72" customFormat="1">
      <c r="A51" s="82"/>
      <c r="B51" s="101" t="s">
        <v>274</v>
      </c>
      <c r="C51" s="101"/>
      <c r="D51" s="82"/>
      <c r="E51" s="82"/>
      <c r="F51" s="1223" t="s">
        <v>143</v>
      </c>
      <c r="G51" s="1224" t="s">
        <v>267</v>
      </c>
      <c r="H51" s="311" t="s">
        <v>275</v>
      </c>
      <c r="I51" s="82"/>
      <c r="J51" s="82"/>
      <c r="K51" s="82"/>
      <c r="L51" s="82"/>
      <c r="M51" s="82"/>
      <c r="N51" s="77"/>
      <c r="O51" s="77"/>
      <c r="P51" s="77"/>
      <c r="Q51" s="77"/>
      <c r="R51" s="77"/>
      <c r="S51" s="77"/>
      <c r="T51" s="77"/>
      <c r="U51" s="77"/>
      <c r="V51" s="77"/>
      <c r="W51" s="77"/>
      <c r="X51" s="77"/>
      <c r="Y51" s="77"/>
      <c r="Z51" s="77"/>
      <c r="AA51" s="77"/>
      <c r="AB51" s="77"/>
      <c r="AC51" s="77"/>
      <c r="AD51" s="77"/>
      <c r="AE51" s="77"/>
      <c r="AF51" s="77"/>
      <c r="AG51" s="77"/>
      <c r="AH51" s="77"/>
      <c r="AI51" s="77"/>
      <c r="AJ51" s="77"/>
      <c r="AK51" s="77"/>
      <c r="AL51" s="77"/>
      <c r="AM51" s="77"/>
      <c r="AN51" s="77"/>
      <c r="AO51" s="77"/>
      <c r="AP51" s="77"/>
      <c r="AQ51" s="77"/>
      <c r="AR51" s="77"/>
      <c r="AS51" s="77"/>
      <c r="AT51" s="77"/>
      <c r="AU51" s="77"/>
      <c r="AV51" s="77"/>
      <c r="AW51" s="77"/>
      <c r="AX51" s="77"/>
      <c r="AY51" s="77"/>
      <c r="AZ51" s="77"/>
      <c r="BA51" s="77"/>
      <c r="BB51" s="77"/>
      <c r="BC51" s="77"/>
      <c r="BD51" s="77"/>
      <c r="BE51" s="77"/>
      <c r="BF51" s="77"/>
      <c r="BG51" s="77"/>
      <c r="BH51" s="77"/>
      <c r="BI51" s="77"/>
      <c r="BJ51" s="77"/>
      <c r="BK51" s="77"/>
      <c r="BL51" s="77"/>
      <c r="BM51" s="77"/>
      <c r="BN51" s="77"/>
      <c r="BO51" s="77"/>
      <c r="BP51" s="77"/>
      <c r="BQ51" s="77"/>
      <c r="BR51" s="77"/>
      <c r="BS51" s="77"/>
      <c r="BT51" s="77"/>
      <c r="BU51" s="77"/>
      <c r="BV51" s="77"/>
      <c r="BW51" s="77"/>
      <c r="BX51" s="77"/>
      <c r="BY51" s="77"/>
      <c r="BZ51" s="77"/>
      <c r="CA51" s="77"/>
      <c r="CB51" s="77"/>
      <c r="CC51" s="77"/>
      <c r="CD51" s="77"/>
      <c r="CE51" s="77"/>
      <c r="CF51" s="77"/>
      <c r="CG51" s="77"/>
      <c r="CH51" s="77"/>
      <c r="CI51" s="77"/>
      <c r="CJ51" s="77"/>
      <c r="CK51" s="77"/>
      <c r="CL51" s="77"/>
      <c r="CM51" s="77"/>
      <c r="CN51" s="77"/>
      <c r="CO51" s="77"/>
      <c r="CP51" s="77"/>
      <c r="CQ51" s="77"/>
      <c r="CR51" s="77"/>
      <c r="CS51" s="77"/>
      <c r="CT51" s="77"/>
      <c r="CU51" s="77"/>
      <c r="CV51" s="77"/>
      <c r="CW51" s="77"/>
      <c r="CX51" s="77"/>
      <c r="CY51" s="77"/>
      <c r="CZ51" s="77"/>
      <c r="DA51" s="77"/>
      <c r="DB51" s="77"/>
      <c r="DC51" s="77"/>
      <c r="DD51" s="77"/>
      <c r="DE51" s="77"/>
      <c r="DF51" s="77"/>
      <c r="DG51" s="77"/>
      <c r="DH51" s="77"/>
      <c r="DI51" s="77"/>
      <c r="DJ51" s="77"/>
      <c r="DK51" s="77"/>
      <c r="DL51" s="77"/>
      <c r="DM51" s="77"/>
      <c r="DN51" s="77"/>
      <c r="DO51" s="77"/>
      <c r="DP51" s="77"/>
      <c r="DQ51" s="77"/>
      <c r="DR51" s="77"/>
      <c r="DS51" s="77"/>
      <c r="DT51" s="77"/>
      <c r="DU51" s="77"/>
      <c r="DV51" s="77"/>
      <c r="DW51" s="77"/>
      <c r="DX51" s="77"/>
      <c r="DY51" s="77"/>
      <c r="DZ51" s="77"/>
      <c r="EA51" s="77"/>
      <c r="EB51" s="77"/>
      <c r="EC51" s="77"/>
      <c r="ED51" s="77"/>
      <c r="EE51" s="77"/>
      <c r="EF51" s="77"/>
      <c r="EG51" s="77"/>
      <c r="EH51" s="77"/>
      <c r="EI51" s="77"/>
      <c r="EJ51" s="77"/>
      <c r="EK51" s="77"/>
      <c r="EL51" s="77"/>
      <c r="EM51" s="77"/>
    </row>
    <row r="52" spans="1:143" s="72" customFormat="1">
      <c r="A52" s="82"/>
      <c r="B52" s="82" t="s">
        <v>276</v>
      </c>
      <c r="C52" s="82"/>
      <c r="D52" s="82"/>
      <c r="E52" s="82"/>
      <c r="F52" s="1215">
        <f>+G52/Assum!$F$30</f>
        <v>0</v>
      </c>
      <c r="G52" s="1216">
        <v>0</v>
      </c>
      <c r="H52" s="1592" t="s">
        <v>876</v>
      </c>
      <c r="I52" s="82"/>
      <c r="J52" s="82"/>
      <c r="K52" s="82"/>
      <c r="L52" s="82"/>
      <c r="M52" s="82"/>
      <c r="N52" s="77"/>
      <c r="O52" s="77"/>
      <c r="P52" s="77"/>
      <c r="Q52" s="77"/>
      <c r="R52" s="77"/>
      <c r="S52" s="77"/>
      <c r="T52" s="77"/>
      <c r="U52" s="77"/>
      <c r="V52" s="77"/>
      <c r="W52" s="77"/>
      <c r="X52" s="77"/>
      <c r="Y52" s="77"/>
      <c r="Z52" s="77"/>
      <c r="AA52" s="77"/>
      <c r="AB52" s="77"/>
      <c r="AC52" s="77"/>
      <c r="AD52" s="77"/>
      <c r="AE52" s="77"/>
      <c r="AF52" s="77"/>
      <c r="AG52" s="77"/>
      <c r="AH52" s="77"/>
      <c r="AI52" s="77"/>
      <c r="AJ52" s="77"/>
      <c r="AK52" s="77"/>
      <c r="AL52" s="77"/>
      <c r="AM52" s="77"/>
      <c r="AN52" s="77"/>
      <c r="AO52" s="77"/>
      <c r="AP52" s="77"/>
      <c r="AQ52" s="77"/>
      <c r="AR52" s="77"/>
      <c r="AS52" s="77"/>
      <c r="AT52" s="77"/>
      <c r="AU52" s="77"/>
      <c r="AV52" s="77"/>
      <c r="AW52" s="77"/>
      <c r="AX52" s="77"/>
      <c r="AY52" s="77"/>
      <c r="AZ52" s="77"/>
      <c r="BA52" s="77"/>
      <c r="BB52" s="77"/>
      <c r="BC52" s="77"/>
      <c r="BD52" s="77"/>
      <c r="BE52" s="77"/>
      <c r="BF52" s="77"/>
      <c r="BG52" s="77"/>
      <c r="BH52" s="77"/>
      <c r="BI52" s="77"/>
      <c r="BJ52" s="77"/>
      <c r="BK52" s="77"/>
      <c r="BL52" s="77"/>
      <c r="BM52" s="77"/>
      <c r="BN52" s="77"/>
      <c r="BO52" s="77"/>
      <c r="BP52" s="77"/>
      <c r="BQ52" s="77"/>
      <c r="BR52" s="77"/>
      <c r="BS52" s="77"/>
      <c r="BT52" s="77"/>
      <c r="BU52" s="77"/>
      <c r="BV52" s="77"/>
      <c r="BW52" s="77"/>
      <c r="BX52" s="77"/>
      <c r="BY52" s="77"/>
      <c r="BZ52" s="77"/>
      <c r="CA52" s="77"/>
      <c r="CB52" s="77"/>
      <c r="CC52" s="77"/>
      <c r="CD52" s="77"/>
      <c r="CE52" s="77"/>
      <c r="CF52" s="77"/>
      <c r="CG52" s="77"/>
      <c r="CH52" s="77"/>
      <c r="CI52" s="77"/>
      <c r="CJ52" s="77"/>
      <c r="CK52" s="77"/>
      <c r="CL52" s="77"/>
      <c r="CM52" s="77"/>
      <c r="CN52" s="77"/>
      <c r="CO52" s="77"/>
      <c r="CP52" s="77"/>
      <c r="CQ52" s="77"/>
      <c r="CR52" s="77"/>
      <c r="CS52" s="77"/>
      <c r="CT52" s="77"/>
      <c r="CU52" s="77"/>
      <c r="CV52" s="77"/>
      <c r="CW52" s="77"/>
      <c r="CX52" s="77"/>
      <c r="CY52" s="77"/>
      <c r="CZ52" s="77"/>
      <c r="DA52" s="77"/>
      <c r="DB52" s="77"/>
      <c r="DC52" s="77"/>
      <c r="DD52" s="77"/>
      <c r="DE52" s="77"/>
      <c r="DF52" s="77"/>
      <c r="DG52" s="77"/>
      <c r="DH52" s="77"/>
      <c r="DI52" s="77"/>
      <c r="DJ52" s="77"/>
      <c r="DK52" s="77"/>
      <c r="DL52" s="77"/>
      <c r="DM52" s="77"/>
      <c r="DN52" s="77"/>
      <c r="DO52" s="77"/>
      <c r="DP52" s="77"/>
      <c r="DQ52" s="77"/>
      <c r="DR52" s="77"/>
      <c r="DS52" s="77"/>
      <c r="DT52" s="77"/>
      <c r="DU52" s="77"/>
      <c r="DV52" s="77"/>
      <c r="DW52" s="77"/>
      <c r="DX52" s="77"/>
      <c r="DY52" s="77"/>
      <c r="DZ52" s="77"/>
      <c r="EA52" s="77"/>
      <c r="EB52" s="77"/>
      <c r="EC52" s="77"/>
      <c r="ED52" s="77"/>
      <c r="EE52" s="77"/>
      <c r="EF52" s="77"/>
      <c r="EG52" s="77"/>
      <c r="EH52" s="77"/>
      <c r="EI52" s="77"/>
      <c r="EJ52" s="77"/>
      <c r="EK52" s="77"/>
      <c r="EL52" s="77"/>
      <c r="EM52" s="77"/>
    </row>
    <row r="53" spans="1:143" s="72" customFormat="1">
      <c r="A53" s="82"/>
      <c r="B53" s="82" t="s">
        <v>277</v>
      </c>
      <c r="C53" s="82"/>
      <c r="D53" s="82"/>
      <c r="E53" s="82"/>
      <c r="F53" s="1215">
        <f>G53/Assum!$F$30</f>
        <v>73.14</v>
      </c>
      <c r="G53" s="1216">
        <v>6290.04</v>
      </c>
      <c r="H53" s="1592"/>
      <c r="I53" s="82"/>
      <c r="J53" s="82"/>
      <c r="K53" s="82"/>
      <c r="L53" s="82"/>
      <c r="M53" s="82"/>
      <c r="N53" s="77"/>
      <c r="O53" s="77"/>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c r="AP53" s="77"/>
      <c r="AQ53" s="77"/>
      <c r="AR53" s="77"/>
      <c r="AS53" s="77"/>
      <c r="AT53" s="77"/>
      <c r="AU53" s="77"/>
      <c r="AV53" s="77"/>
      <c r="AW53" s="77"/>
      <c r="AX53" s="77"/>
      <c r="AY53" s="77"/>
      <c r="AZ53" s="77"/>
      <c r="BA53" s="77"/>
      <c r="BB53" s="77"/>
      <c r="BC53" s="77"/>
      <c r="BD53" s="77"/>
      <c r="BE53" s="77"/>
      <c r="BF53" s="77"/>
      <c r="BG53" s="77"/>
      <c r="BH53" s="77"/>
      <c r="BI53" s="77"/>
      <c r="BJ53" s="77"/>
      <c r="BK53" s="77"/>
      <c r="BL53" s="77"/>
      <c r="BM53" s="77"/>
      <c r="BN53" s="77"/>
      <c r="BO53" s="77"/>
      <c r="BP53" s="77"/>
      <c r="BQ53" s="77"/>
      <c r="BR53" s="77"/>
      <c r="BS53" s="77"/>
      <c r="BT53" s="77"/>
      <c r="BU53" s="77"/>
      <c r="BV53" s="77"/>
      <c r="BW53" s="77"/>
      <c r="BX53" s="77"/>
      <c r="BY53" s="77"/>
      <c r="BZ53" s="77"/>
      <c r="CA53" s="77"/>
      <c r="CB53" s="77"/>
      <c r="CC53" s="77"/>
      <c r="CD53" s="77"/>
      <c r="CE53" s="77"/>
      <c r="CF53" s="77"/>
      <c r="CG53" s="77"/>
      <c r="CH53" s="77"/>
      <c r="CI53" s="77"/>
      <c r="CJ53" s="77"/>
      <c r="CK53" s="77"/>
      <c r="CL53" s="77"/>
      <c r="CM53" s="77"/>
      <c r="CN53" s="77"/>
      <c r="CO53" s="77"/>
      <c r="CP53" s="77"/>
      <c r="CQ53" s="77"/>
      <c r="CR53" s="77"/>
      <c r="CS53" s="77"/>
      <c r="CT53" s="77"/>
      <c r="CU53" s="77"/>
      <c r="CV53" s="77"/>
      <c r="CW53" s="77"/>
      <c r="CX53" s="77"/>
      <c r="CY53" s="77"/>
      <c r="CZ53" s="77"/>
      <c r="DA53" s="77"/>
      <c r="DB53" s="77"/>
      <c r="DC53" s="77"/>
      <c r="DD53" s="77"/>
      <c r="DE53" s="77"/>
      <c r="DF53" s="77"/>
      <c r="DG53" s="77"/>
      <c r="DH53" s="77"/>
      <c r="DI53" s="77"/>
      <c r="DJ53" s="77"/>
      <c r="DK53" s="77"/>
      <c r="DL53" s="77"/>
      <c r="DM53" s="77"/>
      <c r="DN53" s="77"/>
      <c r="DO53" s="77"/>
      <c r="DP53" s="77"/>
      <c r="DQ53" s="77"/>
      <c r="DR53" s="77"/>
      <c r="DS53" s="77"/>
      <c r="DT53" s="77"/>
      <c r="DU53" s="77"/>
      <c r="DV53" s="77"/>
      <c r="DW53" s="77"/>
      <c r="DX53" s="77"/>
      <c r="DY53" s="77"/>
      <c r="DZ53" s="77"/>
      <c r="EA53" s="77"/>
      <c r="EB53" s="77"/>
      <c r="EC53" s="77"/>
      <c r="ED53" s="77"/>
      <c r="EE53" s="77"/>
      <c r="EF53" s="77"/>
      <c r="EG53" s="77"/>
      <c r="EH53" s="77"/>
      <c r="EI53" s="77"/>
      <c r="EJ53" s="77"/>
      <c r="EK53" s="77"/>
      <c r="EL53" s="77"/>
      <c r="EM53" s="77"/>
    </row>
    <row r="54" spans="1:143" s="72" customFormat="1">
      <c r="A54" s="82"/>
      <c r="B54" s="82" t="s">
        <v>278</v>
      </c>
      <c r="C54" s="82"/>
      <c r="D54" s="82"/>
      <c r="E54" s="82"/>
      <c r="F54" s="1215">
        <f>G54/Assum!$F$30</f>
        <v>69.147999999999996</v>
      </c>
      <c r="G54" s="1216">
        <v>5946.7280000000001</v>
      </c>
      <c r="H54" s="1592"/>
      <c r="I54" s="82"/>
      <c r="J54" s="82"/>
      <c r="K54" s="82"/>
      <c r="L54" s="82"/>
      <c r="M54" s="82"/>
      <c r="N54" s="77"/>
      <c r="O54" s="77"/>
      <c r="P54" s="77"/>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c r="AP54" s="77"/>
      <c r="AQ54" s="77"/>
      <c r="AR54" s="77"/>
      <c r="AS54" s="77"/>
      <c r="AT54" s="77"/>
      <c r="AU54" s="77"/>
      <c r="AV54" s="77"/>
      <c r="AW54" s="77"/>
      <c r="AX54" s="77"/>
      <c r="AY54" s="77"/>
      <c r="AZ54" s="77"/>
      <c r="BA54" s="77"/>
      <c r="BB54" s="77"/>
      <c r="BC54" s="77"/>
      <c r="BD54" s="77"/>
      <c r="BE54" s="77"/>
      <c r="BF54" s="77"/>
      <c r="BG54" s="77"/>
      <c r="BH54" s="77"/>
      <c r="BI54" s="77"/>
      <c r="BJ54" s="77"/>
      <c r="BK54" s="77"/>
      <c r="BL54" s="77"/>
      <c r="BM54" s="77"/>
      <c r="BN54" s="77"/>
      <c r="BO54" s="77"/>
      <c r="BP54" s="77"/>
      <c r="BQ54" s="77"/>
      <c r="BR54" s="77"/>
      <c r="BS54" s="77"/>
      <c r="BT54" s="77"/>
      <c r="BU54" s="77"/>
      <c r="BV54" s="77"/>
      <c r="BW54" s="77"/>
      <c r="BX54" s="77"/>
      <c r="BY54" s="77"/>
      <c r="BZ54" s="77"/>
      <c r="CA54" s="77"/>
      <c r="CB54" s="77"/>
      <c r="CC54" s="77"/>
      <c r="CD54" s="77"/>
      <c r="CE54" s="77"/>
      <c r="CF54" s="77"/>
      <c r="CG54" s="77"/>
      <c r="CH54" s="77"/>
      <c r="CI54" s="77"/>
      <c r="CJ54" s="77"/>
      <c r="CK54" s="77"/>
      <c r="CL54" s="77"/>
      <c r="CM54" s="77"/>
      <c r="CN54" s="77"/>
      <c r="CO54" s="77"/>
      <c r="CP54" s="77"/>
      <c r="CQ54" s="77"/>
      <c r="CR54" s="77"/>
      <c r="CS54" s="77"/>
      <c r="CT54" s="77"/>
      <c r="CU54" s="77"/>
      <c r="CV54" s="77"/>
      <c r="CW54" s="77"/>
      <c r="CX54" s="77"/>
      <c r="CY54" s="77"/>
      <c r="CZ54" s="77"/>
      <c r="DA54" s="77"/>
      <c r="DB54" s="77"/>
      <c r="DC54" s="77"/>
      <c r="DD54" s="77"/>
      <c r="DE54" s="77"/>
      <c r="DF54" s="77"/>
      <c r="DG54" s="77"/>
      <c r="DH54" s="77"/>
      <c r="DI54" s="77"/>
      <c r="DJ54" s="77"/>
      <c r="DK54" s="77"/>
      <c r="DL54" s="77"/>
      <c r="DM54" s="77"/>
      <c r="DN54" s="77"/>
      <c r="DO54" s="77"/>
      <c r="DP54" s="77"/>
      <c r="DQ54" s="77"/>
      <c r="DR54" s="77"/>
      <c r="DS54" s="77"/>
      <c r="DT54" s="77"/>
      <c r="DU54" s="77"/>
      <c r="DV54" s="77"/>
      <c r="DW54" s="77"/>
      <c r="DX54" s="77"/>
      <c r="DY54" s="77"/>
      <c r="DZ54" s="77"/>
      <c r="EA54" s="77"/>
      <c r="EB54" s="77"/>
      <c r="EC54" s="77"/>
      <c r="ED54" s="77"/>
      <c r="EE54" s="77"/>
      <c r="EF54" s="77"/>
      <c r="EG54" s="77"/>
      <c r="EH54" s="77"/>
      <c r="EI54" s="77"/>
      <c r="EJ54" s="77"/>
      <c r="EK54" s="77"/>
      <c r="EL54" s="77"/>
      <c r="EM54" s="77"/>
    </row>
    <row r="55" spans="1:143" s="72" customFormat="1">
      <c r="A55" s="82"/>
      <c r="B55" s="82" t="s">
        <v>279</v>
      </c>
      <c r="C55" s="82"/>
      <c r="D55" s="82"/>
      <c r="E55" s="82"/>
      <c r="F55" s="1215">
        <f>G55/Assum!$F$30</f>
        <v>0</v>
      </c>
      <c r="G55" s="1216">
        <v>0</v>
      </c>
      <c r="H55" s="1592"/>
      <c r="I55" s="82"/>
      <c r="J55" s="82"/>
      <c r="K55" s="82"/>
      <c r="L55" s="82"/>
      <c r="M55" s="82"/>
      <c r="N55" s="77"/>
      <c r="O55" s="77"/>
      <c r="P55" s="77"/>
      <c r="Q55" s="77"/>
      <c r="R55" s="77"/>
      <c r="S55" s="77"/>
      <c r="T55" s="77"/>
      <c r="U55" s="77"/>
      <c r="V55" s="77"/>
      <c r="W55" s="77"/>
      <c r="X55" s="77"/>
      <c r="Y55" s="77"/>
      <c r="Z55" s="77"/>
      <c r="AA55" s="77"/>
      <c r="AB55" s="77"/>
      <c r="AC55" s="77"/>
      <c r="AD55" s="77"/>
      <c r="AE55" s="77"/>
      <c r="AF55" s="77"/>
      <c r="AG55" s="77"/>
      <c r="AH55" s="77"/>
      <c r="AI55" s="77"/>
      <c r="AJ55" s="77"/>
      <c r="AK55" s="77"/>
      <c r="AL55" s="77"/>
      <c r="AM55" s="77"/>
      <c r="AN55" s="77"/>
      <c r="AO55" s="77"/>
      <c r="AP55" s="77"/>
      <c r="AQ55" s="77"/>
      <c r="AR55" s="77"/>
      <c r="AS55" s="77"/>
      <c r="AT55" s="77"/>
      <c r="AU55" s="77"/>
      <c r="AV55" s="77"/>
      <c r="AW55" s="77"/>
      <c r="AX55" s="77"/>
      <c r="AY55" s="77"/>
      <c r="AZ55" s="77"/>
      <c r="BA55" s="77"/>
      <c r="BB55" s="77"/>
      <c r="BC55" s="77"/>
      <c r="BD55" s="77"/>
      <c r="BE55" s="77"/>
      <c r="BF55" s="77"/>
      <c r="BG55" s="77"/>
      <c r="BH55" s="77"/>
      <c r="BI55" s="77"/>
      <c r="BJ55" s="77"/>
      <c r="BK55" s="77"/>
      <c r="BL55" s="77"/>
      <c r="BM55" s="77"/>
      <c r="BN55" s="77"/>
      <c r="BO55" s="77"/>
      <c r="BP55" s="77"/>
      <c r="BQ55" s="77"/>
      <c r="BR55" s="77"/>
      <c r="BS55" s="77"/>
      <c r="BT55" s="77"/>
      <c r="BU55" s="77"/>
      <c r="BV55" s="77"/>
      <c r="BW55" s="77"/>
      <c r="BX55" s="77"/>
      <c r="BY55" s="77"/>
      <c r="BZ55" s="77"/>
      <c r="CA55" s="77"/>
      <c r="CB55" s="77"/>
      <c r="CC55" s="77"/>
      <c r="CD55" s="77"/>
      <c r="CE55" s="77"/>
      <c r="CF55" s="77"/>
      <c r="CG55" s="77"/>
      <c r="CH55" s="77"/>
      <c r="CI55" s="77"/>
      <c r="CJ55" s="77"/>
      <c r="CK55" s="77"/>
      <c r="CL55" s="77"/>
      <c r="CM55" s="77"/>
      <c r="CN55" s="77"/>
      <c r="CO55" s="77"/>
      <c r="CP55" s="77"/>
      <c r="CQ55" s="77"/>
      <c r="CR55" s="77"/>
      <c r="CS55" s="77"/>
      <c r="CT55" s="77"/>
      <c r="CU55" s="77"/>
      <c r="CV55" s="77"/>
      <c r="CW55" s="77"/>
      <c r="CX55" s="77"/>
      <c r="CY55" s="77"/>
      <c r="CZ55" s="77"/>
      <c r="DA55" s="77"/>
      <c r="DB55" s="77"/>
      <c r="DC55" s="77"/>
      <c r="DD55" s="77"/>
      <c r="DE55" s="77"/>
      <c r="DF55" s="77"/>
      <c r="DG55" s="77"/>
      <c r="DH55" s="77"/>
      <c r="DI55" s="77"/>
      <c r="DJ55" s="77"/>
      <c r="DK55" s="77"/>
      <c r="DL55" s="77"/>
      <c r="DM55" s="77"/>
      <c r="DN55" s="77"/>
      <c r="DO55" s="77"/>
      <c r="DP55" s="77"/>
      <c r="DQ55" s="77"/>
      <c r="DR55" s="77"/>
      <c r="DS55" s="77"/>
      <c r="DT55" s="77"/>
      <c r="DU55" s="77"/>
      <c r="DV55" s="77"/>
      <c r="DW55" s="77"/>
      <c r="DX55" s="77"/>
      <c r="DY55" s="77"/>
      <c r="DZ55" s="77"/>
      <c r="EA55" s="77"/>
      <c r="EB55" s="77"/>
      <c r="EC55" s="77"/>
      <c r="ED55" s="77"/>
      <c r="EE55" s="77"/>
      <c r="EF55" s="77"/>
      <c r="EG55" s="77"/>
      <c r="EH55" s="77"/>
      <c r="EI55" s="77"/>
      <c r="EJ55" s="77"/>
      <c r="EK55" s="77"/>
      <c r="EL55" s="77"/>
      <c r="EM55" s="77"/>
    </row>
    <row r="56" spans="1:143" s="72" customFormat="1">
      <c r="A56" s="82"/>
      <c r="B56" s="82" t="s">
        <v>280</v>
      </c>
      <c r="C56" s="82"/>
      <c r="D56" s="82"/>
      <c r="E56" s="82"/>
      <c r="F56" s="1215">
        <f>G56/Assum!$F$30</f>
        <v>19.939999999999998</v>
      </c>
      <c r="G56" s="1216">
        <v>1714.84</v>
      </c>
      <c r="H56" s="1592"/>
      <c r="I56" s="82"/>
      <c r="J56" s="82"/>
      <c r="K56" s="82"/>
      <c r="L56" s="82"/>
      <c r="M56" s="82"/>
      <c r="N56" s="77"/>
      <c r="O56" s="77"/>
      <c r="P56" s="77"/>
      <c r="Q56" s="77"/>
      <c r="R56" s="77"/>
      <c r="S56" s="77"/>
      <c r="T56" s="77"/>
      <c r="U56" s="77"/>
      <c r="V56" s="77"/>
      <c r="W56" s="77"/>
      <c r="X56" s="77"/>
      <c r="Y56" s="77"/>
      <c r="Z56" s="77"/>
      <c r="AA56" s="77"/>
      <c r="AB56" s="77"/>
      <c r="AC56" s="77"/>
      <c r="AD56" s="77"/>
      <c r="AE56" s="77"/>
      <c r="AF56" s="77"/>
      <c r="AG56" s="77"/>
      <c r="AH56" s="77"/>
      <c r="AI56" s="77"/>
      <c r="AJ56" s="77"/>
      <c r="AK56" s="77"/>
      <c r="AL56" s="77"/>
      <c r="AM56" s="77"/>
      <c r="AN56" s="77"/>
      <c r="AO56" s="77"/>
      <c r="AP56" s="77"/>
      <c r="AQ56" s="77"/>
      <c r="AR56" s="77"/>
      <c r="AS56" s="77"/>
      <c r="AT56" s="77"/>
      <c r="AU56" s="77"/>
      <c r="AV56" s="77"/>
      <c r="AW56" s="77"/>
      <c r="AX56" s="77"/>
      <c r="AY56" s="77"/>
      <c r="AZ56" s="77"/>
      <c r="BA56" s="77"/>
      <c r="BB56" s="77"/>
      <c r="BC56" s="77"/>
      <c r="BD56" s="77"/>
      <c r="BE56" s="77"/>
      <c r="BF56" s="77"/>
      <c r="BG56" s="77"/>
      <c r="BH56" s="77"/>
      <c r="BI56" s="77"/>
      <c r="BJ56" s="77"/>
      <c r="BK56" s="77"/>
      <c r="BL56" s="77"/>
      <c r="BM56" s="77"/>
      <c r="BN56" s="77"/>
      <c r="BO56" s="77"/>
      <c r="BP56" s="77"/>
      <c r="BQ56" s="77"/>
      <c r="BR56" s="77"/>
      <c r="BS56" s="77"/>
      <c r="BT56" s="77"/>
      <c r="BU56" s="77"/>
      <c r="BV56" s="77"/>
      <c r="BW56" s="77"/>
      <c r="BX56" s="77"/>
      <c r="BY56" s="77"/>
      <c r="BZ56" s="77"/>
      <c r="CA56" s="77"/>
      <c r="CB56" s="77"/>
      <c r="CC56" s="77"/>
      <c r="CD56" s="77"/>
      <c r="CE56" s="77"/>
      <c r="CF56" s="77"/>
      <c r="CG56" s="77"/>
      <c r="CH56" s="77"/>
      <c r="CI56" s="77"/>
      <c r="CJ56" s="77"/>
      <c r="CK56" s="77"/>
      <c r="CL56" s="77"/>
      <c r="CM56" s="77"/>
      <c r="CN56" s="77"/>
      <c r="CO56" s="77"/>
      <c r="CP56" s="77"/>
      <c r="CQ56" s="77"/>
      <c r="CR56" s="77"/>
      <c r="CS56" s="77"/>
      <c r="CT56" s="77"/>
      <c r="CU56" s="77"/>
      <c r="CV56" s="77"/>
      <c r="CW56" s="77"/>
      <c r="CX56" s="77"/>
      <c r="CY56" s="77"/>
      <c r="CZ56" s="77"/>
      <c r="DA56" s="77"/>
      <c r="DB56" s="77"/>
      <c r="DC56" s="77"/>
      <c r="DD56" s="77"/>
      <c r="DE56" s="77"/>
      <c r="DF56" s="77"/>
      <c r="DG56" s="77"/>
      <c r="DH56" s="77"/>
      <c r="DI56" s="77"/>
      <c r="DJ56" s="77"/>
      <c r="DK56" s="77"/>
      <c r="DL56" s="77"/>
      <c r="DM56" s="77"/>
      <c r="DN56" s="77"/>
      <c r="DO56" s="77"/>
      <c r="DP56" s="77"/>
      <c r="DQ56" s="77"/>
      <c r="DR56" s="77"/>
      <c r="DS56" s="77"/>
      <c r="DT56" s="77"/>
      <c r="DU56" s="77"/>
      <c r="DV56" s="77"/>
      <c r="DW56" s="77"/>
      <c r="DX56" s="77"/>
      <c r="DY56" s="77"/>
      <c r="DZ56" s="77"/>
      <c r="EA56" s="77"/>
      <c r="EB56" s="77"/>
      <c r="EC56" s="77"/>
      <c r="ED56" s="77"/>
      <c r="EE56" s="77"/>
      <c r="EF56" s="77"/>
      <c r="EG56" s="77"/>
      <c r="EH56" s="77"/>
      <c r="EI56" s="77"/>
      <c r="EJ56" s="77"/>
      <c r="EK56" s="77"/>
      <c r="EL56" s="77"/>
      <c r="EM56" s="77"/>
    </row>
    <row r="57" spans="1:143" s="72" customFormat="1">
      <c r="A57" s="82"/>
      <c r="B57" s="82" t="s">
        <v>528</v>
      </c>
      <c r="C57" s="82"/>
      <c r="D57" s="82"/>
      <c r="E57" s="82"/>
      <c r="F57" s="1215">
        <f>G57/Assum!$F$30</f>
        <v>2.96</v>
      </c>
      <c r="G57" s="1216">
        <v>254.56</v>
      </c>
      <c r="H57" s="1592"/>
      <c r="I57" s="82"/>
      <c r="J57" s="82"/>
      <c r="K57" s="82"/>
      <c r="L57" s="82"/>
      <c r="M57" s="82"/>
      <c r="N57" s="77"/>
      <c r="O57" s="77"/>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c r="AP57" s="77"/>
      <c r="AQ57" s="77"/>
      <c r="AR57" s="77"/>
      <c r="AS57" s="77"/>
      <c r="AT57" s="77"/>
      <c r="AU57" s="77"/>
      <c r="AV57" s="77"/>
      <c r="AW57" s="77"/>
      <c r="AX57" s="77"/>
      <c r="AY57" s="77"/>
      <c r="AZ57" s="77"/>
      <c r="BA57" s="77"/>
      <c r="BB57" s="77"/>
      <c r="BC57" s="77"/>
      <c r="BD57" s="77"/>
      <c r="BE57" s="77"/>
      <c r="BF57" s="77"/>
      <c r="BG57" s="77"/>
      <c r="BH57" s="77"/>
      <c r="BI57" s="77"/>
      <c r="BJ57" s="77"/>
      <c r="BK57" s="77"/>
      <c r="BL57" s="77"/>
      <c r="BM57" s="77"/>
      <c r="BN57" s="77"/>
      <c r="BO57" s="77"/>
      <c r="BP57" s="77"/>
      <c r="BQ57" s="77"/>
      <c r="BR57" s="77"/>
      <c r="BS57" s="77"/>
      <c r="BT57" s="77"/>
      <c r="BU57" s="77"/>
      <c r="BV57" s="77"/>
      <c r="BW57" s="77"/>
      <c r="BX57" s="77"/>
      <c r="BY57" s="77"/>
      <c r="BZ57" s="77"/>
      <c r="CA57" s="77"/>
      <c r="CB57" s="77"/>
      <c r="CC57" s="77"/>
      <c r="CD57" s="77"/>
      <c r="CE57" s="77"/>
      <c r="CF57" s="77"/>
      <c r="CG57" s="77"/>
      <c r="CH57" s="77"/>
      <c r="CI57" s="77"/>
      <c r="CJ57" s="77"/>
      <c r="CK57" s="77"/>
      <c r="CL57" s="77"/>
      <c r="CM57" s="77"/>
      <c r="CN57" s="77"/>
      <c r="CO57" s="77"/>
      <c r="CP57" s="77"/>
      <c r="CQ57" s="77"/>
      <c r="CR57" s="77"/>
      <c r="CS57" s="77"/>
      <c r="CT57" s="77"/>
      <c r="CU57" s="77"/>
      <c r="CV57" s="77"/>
      <c r="CW57" s="77"/>
      <c r="CX57" s="77"/>
      <c r="CY57" s="77"/>
      <c r="CZ57" s="77"/>
      <c r="DA57" s="77"/>
      <c r="DB57" s="77"/>
      <c r="DC57" s="77"/>
      <c r="DD57" s="77"/>
      <c r="DE57" s="77"/>
      <c r="DF57" s="77"/>
      <c r="DG57" s="77"/>
      <c r="DH57" s="77"/>
      <c r="DI57" s="77"/>
      <c r="DJ57" s="77"/>
      <c r="DK57" s="77"/>
      <c r="DL57" s="77"/>
      <c r="DM57" s="77"/>
      <c r="DN57" s="77"/>
      <c r="DO57" s="77"/>
      <c r="DP57" s="77"/>
      <c r="DQ57" s="77"/>
      <c r="DR57" s="77"/>
      <c r="DS57" s="77"/>
      <c r="DT57" s="77"/>
      <c r="DU57" s="77"/>
      <c r="DV57" s="77"/>
      <c r="DW57" s="77"/>
      <c r="DX57" s="77"/>
      <c r="DY57" s="77"/>
      <c r="DZ57" s="77"/>
      <c r="EA57" s="77"/>
      <c r="EB57" s="77"/>
      <c r="EC57" s="77"/>
      <c r="ED57" s="77"/>
      <c r="EE57" s="77"/>
      <c r="EF57" s="77"/>
      <c r="EG57" s="77"/>
      <c r="EH57" s="77"/>
      <c r="EI57" s="77"/>
      <c r="EJ57" s="77"/>
      <c r="EK57" s="77"/>
      <c r="EL57" s="77"/>
      <c r="EM57" s="77"/>
    </row>
    <row r="58" spans="1:143" s="72" customFormat="1">
      <c r="A58" s="82"/>
      <c r="B58" s="82" t="s">
        <v>281</v>
      </c>
      <c r="C58" s="82"/>
      <c r="D58" s="82"/>
      <c r="E58" s="82"/>
      <c r="F58" s="1215">
        <f>G58/Assum!$F$30</f>
        <v>7.008</v>
      </c>
      <c r="G58" s="1216">
        <v>602.68799999999999</v>
      </c>
      <c r="H58" s="1592"/>
      <c r="I58" s="82"/>
      <c r="J58" s="82"/>
      <c r="K58" s="82"/>
      <c r="L58" s="82"/>
      <c r="M58" s="82"/>
      <c r="N58" s="77"/>
      <c r="O58" s="77"/>
      <c r="P58" s="77"/>
      <c r="Q58" s="77"/>
      <c r="R58" s="77"/>
      <c r="S58" s="77"/>
      <c r="T58" s="77"/>
      <c r="U58" s="77"/>
      <c r="V58" s="77"/>
      <c r="W58" s="77"/>
      <c r="X58" s="77"/>
      <c r="Y58" s="77"/>
      <c r="Z58" s="77"/>
      <c r="AA58" s="77"/>
      <c r="AB58" s="77"/>
      <c r="AC58" s="77"/>
      <c r="AD58" s="77"/>
      <c r="AE58" s="77"/>
      <c r="AF58" s="77"/>
      <c r="AG58" s="77"/>
      <c r="AH58" s="77"/>
      <c r="AI58" s="77"/>
      <c r="AJ58" s="77"/>
      <c r="AK58" s="77"/>
      <c r="AL58" s="77"/>
      <c r="AM58" s="77"/>
      <c r="AN58" s="77"/>
      <c r="AO58" s="77"/>
      <c r="AP58" s="77"/>
      <c r="AQ58" s="77"/>
      <c r="AR58" s="77"/>
      <c r="AS58" s="77"/>
      <c r="AT58" s="77"/>
      <c r="AU58" s="77"/>
      <c r="AV58" s="77"/>
      <c r="AW58" s="77"/>
      <c r="AX58" s="77"/>
      <c r="AY58" s="77"/>
      <c r="AZ58" s="77"/>
      <c r="BA58" s="77"/>
      <c r="BB58" s="77"/>
      <c r="BC58" s="77"/>
      <c r="BD58" s="77"/>
      <c r="BE58" s="77"/>
      <c r="BF58" s="77"/>
      <c r="BG58" s="77"/>
      <c r="BH58" s="77"/>
      <c r="BI58" s="77"/>
      <c r="BJ58" s="77"/>
      <c r="BK58" s="77"/>
      <c r="BL58" s="77"/>
      <c r="BM58" s="77"/>
      <c r="BN58" s="77"/>
      <c r="BO58" s="77"/>
      <c r="BP58" s="77"/>
      <c r="BQ58" s="77"/>
      <c r="BR58" s="77"/>
      <c r="BS58" s="77"/>
      <c r="BT58" s="77"/>
      <c r="BU58" s="77"/>
      <c r="BV58" s="77"/>
      <c r="BW58" s="77"/>
      <c r="BX58" s="77"/>
      <c r="BY58" s="77"/>
      <c r="BZ58" s="77"/>
      <c r="CA58" s="77"/>
      <c r="CB58" s="77"/>
      <c r="CC58" s="77"/>
      <c r="CD58" s="77"/>
      <c r="CE58" s="77"/>
      <c r="CF58" s="77"/>
      <c r="CG58" s="77"/>
      <c r="CH58" s="77"/>
      <c r="CI58" s="77"/>
      <c r="CJ58" s="77"/>
      <c r="CK58" s="77"/>
      <c r="CL58" s="77"/>
      <c r="CM58" s="77"/>
      <c r="CN58" s="77"/>
      <c r="CO58" s="77"/>
      <c r="CP58" s="77"/>
      <c r="CQ58" s="77"/>
      <c r="CR58" s="77"/>
      <c r="CS58" s="77"/>
      <c r="CT58" s="77"/>
      <c r="CU58" s="77"/>
      <c r="CV58" s="77"/>
      <c r="CW58" s="77"/>
      <c r="CX58" s="77"/>
      <c r="CY58" s="77"/>
      <c r="CZ58" s="77"/>
      <c r="DA58" s="77"/>
      <c r="DB58" s="77"/>
      <c r="DC58" s="77"/>
      <c r="DD58" s="77"/>
      <c r="DE58" s="77"/>
      <c r="DF58" s="77"/>
      <c r="DG58" s="77"/>
      <c r="DH58" s="77"/>
      <c r="DI58" s="77"/>
      <c r="DJ58" s="77"/>
      <c r="DK58" s="77"/>
      <c r="DL58" s="77"/>
      <c r="DM58" s="77"/>
      <c r="DN58" s="77"/>
      <c r="DO58" s="77"/>
      <c r="DP58" s="77"/>
      <c r="DQ58" s="77"/>
      <c r="DR58" s="77"/>
      <c r="DS58" s="77"/>
      <c r="DT58" s="77"/>
      <c r="DU58" s="77"/>
      <c r="DV58" s="77"/>
      <c r="DW58" s="77"/>
      <c r="DX58" s="77"/>
      <c r="DY58" s="77"/>
      <c r="DZ58" s="77"/>
      <c r="EA58" s="77"/>
      <c r="EB58" s="77"/>
      <c r="EC58" s="77"/>
      <c r="ED58" s="77"/>
      <c r="EE58" s="77"/>
      <c r="EF58" s="77"/>
      <c r="EG58" s="77"/>
      <c r="EH58" s="77"/>
      <c r="EI58" s="77"/>
      <c r="EJ58" s="77"/>
      <c r="EK58" s="77"/>
      <c r="EL58" s="77"/>
      <c r="EM58" s="77"/>
    </row>
    <row r="59" spans="1:143" s="1593" customFormat="1" ht="13.5" thickBot="1">
      <c r="A59" s="1592"/>
      <c r="B59" s="1588" t="s">
        <v>71</v>
      </c>
      <c r="C59" s="1588"/>
      <c r="D59" s="1588"/>
      <c r="E59" s="1588"/>
      <c r="F59" s="1591">
        <f>SUM(F52:F58)</f>
        <v>172.19600000000003</v>
      </c>
      <c r="G59" s="1591">
        <f>SUM(G52:G58)</f>
        <v>14808.856</v>
      </c>
      <c r="H59" s="1588"/>
      <c r="I59" s="1592"/>
      <c r="J59" s="1592"/>
      <c r="K59" s="1592"/>
      <c r="L59" s="1592"/>
      <c r="M59" s="1592"/>
      <c r="N59" s="1588"/>
      <c r="O59" s="1588"/>
      <c r="P59" s="1588"/>
      <c r="Q59" s="1588"/>
      <c r="R59" s="1588"/>
      <c r="S59" s="1588"/>
      <c r="T59" s="1588"/>
      <c r="U59" s="1588"/>
      <c r="V59" s="1588"/>
      <c r="W59" s="1588"/>
      <c r="X59" s="1588"/>
      <c r="Y59" s="1588"/>
      <c r="Z59" s="1588"/>
      <c r="AA59" s="1588"/>
      <c r="AB59" s="1588"/>
      <c r="AC59" s="1588"/>
      <c r="AD59" s="1588"/>
      <c r="AE59" s="1588"/>
      <c r="AF59" s="1588"/>
      <c r="AG59" s="1588"/>
      <c r="AH59" s="1588"/>
      <c r="AI59" s="1588"/>
      <c r="AJ59" s="1588"/>
      <c r="AK59" s="1588"/>
      <c r="AL59" s="1588"/>
      <c r="AM59" s="1588"/>
      <c r="AN59" s="1588"/>
      <c r="AO59" s="1588"/>
      <c r="AP59" s="1588"/>
      <c r="AQ59" s="1588"/>
      <c r="AR59" s="1588"/>
      <c r="AS59" s="1588"/>
      <c r="AT59" s="1588"/>
      <c r="AU59" s="1588"/>
      <c r="AV59" s="1588"/>
      <c r="AW59" s="1588"/>
      <c r="AX59" s="1588"/>
      <c r="AY59" s="1588"/>
      <c r="AZ59" s="1588"/>
      <c r="BA59" s="1588"/>
      <c r="BB59" s="1588"/>
      <c r="BC59" s="1588"/>
      <c r="BD59" s="1588"/>
      <c r="BE59" s="1588"/>
      <c r="BF59" s="1588"/>
      <c r="BG59" s="1588"/>
      <c r="BH59" s="1588"/>
      <c r="BI59" s="1588"/>
      <c r="BJ59" s="1588"/>
      <c r="BK59" s="1588"/>
      <c r="BL59" s="1588"/>
      <c r="BM59" s="1588"/>
      <c r="BN59" s="1588"/>
      <c r="BO59" s="1588"/>
      <c r="BP59" s="1588"/>
      <c r="BQ59" s="1588"/>
      <c r="BR59" s="1588"/>
      <c r="BS59" s="1588"/>
      <c r="BT59" s="1588"/>
      <c r="BU59" s="1588"/>
      <c r="BV59" s="1588"/>
      <c r="BW59" s="1588"/>
      <c r="BX59" s="1588"/>
      <c r="BY59" s="1588"/>
      <c r="BZ59" s="1588"/>
      <c r="CA59" s="1588"/>
      <c r="CB59" s="1588"/>
      <c r="CC59" s="1588"/>
      <c r="CD59" s="1588"/>
      <c r="CE59" s="1588"/>
      <c r="CF59" s="1588"/>
      <c r="CG59" s="1588"/>
      <c r="CH59" s="1588"/>
      <c r="CI59" s="1588"/>
      <c r="CJ59" s="1588"/>
      <c r="CK59" s="1588"/>
      <c r="CL59" s="1588"/>
      <c r="CM59" s="1588"/>
      <c r="CN59" s="1588"/>
      <c r="CO59" s="1588"/>
      <c r="CP59" s="1588"/>
      <c r="CQ59" s="1588"/>
      <c r="CR59" s="1588"/>
      <c r="CS59" s="1588"/>
      <c r="CT59" s="1588"/>
      <c r="CU59" s="1588"/>
      <c r="CV59" s="1588"/>
      <c r="CW59" s="1588"/>
      <c r="CX59" s="1588"/>
      <c r="CY59" s="1588"/>
      <c r="CZ59" s="1588"/>
      <c r="DA59" s="1588"/>
      <c r="DB59" s="1588"/>
      <c r="DC59" s="1588"/>
      <c r="DD59" s="1588"/>
      <c r="DE59" s="1588"/>
      <c r="DF59" s="1588"/>
      <c r="DG59" s="1588"/>
      <c r="DH59" s="1588"/>
      <c r="DI59" s="1588"/>
      <c r="DJ59" s="1588"/>
      <c r="DK59" s="1588"/>
      <c r="DL59" s="1588"/>
      <c r="DM59" s="1588"/>
      <c r="DN59" s="1588"/>
      <c r="DO59" s="1588"/>
      <c r="DP59" s="1588"/>
      <c r="DQ59" s="1588"/>
      <c r="DR59" s="1588"/>
      <c r="DS59" s="1588"/>
      <c r="DT59" s="1588"/>
      <c r="DU59" s="1588"/>
      <c r="DV59" s="1588"/>
      <c r="DW59" s="1588"/>
      <c r="DX59" s="1588"/>
      <c r="DY59" s="1588"/>
      <c r="DZ59" s="1588"/>
      <c r="EA59" s="1588"/>
      <c r="EB59" s="1588"/>
      <c r="EC59" s="1588"/>
      <c r="ED59" s="1588"/>
      <c r="EE59" s="1588"/>
      <c r="EF59" s="1588"/>
      <c r="EG59" s="1588"/>
      <c r="EH59" s="1588"/>
      <c r="EI59" s="1588"/>
      <c r="EJ59" s="1588"/>
      <c r="EK59" s="1588"/>
      <c r="EL59" s="1588"/>
      <c r="EM59" s="1588"/>
    </row>
    <row r="60" spans="1:143" s="78" customFormat="1" ht="13.5" thickTop="1">
      <c r="A60" s="89"/>
      <c r="B60" s="68"/>
      <c r="C60" s="68"/>
      <c r="D60" s="68"/>
      <c r="E60" s="68"/>
      <c r="F60" s="1225"/>
      <c r="G60" s="1226"/>
      <c r="H60" s="1617"/>
      <c r="I60" s="89"/>
      <c r="J60" s="89"/>
      <c r="K60" s="89"/>
      <c r="L60" s="89"/>
      <c r="M60" s="89"/>
      <c r="N60" s="77"/>
      <c r="O60" s="77"/>
      <c r="P60" s="77"/>
      <c r="Q60" s="77"/>
      <c r="R60" s="77"/>
      <c r="S60" s="77"/>
      <c r="T60" s="77"/>
      <c r="U60" s="77"/>
      <c r="V60" s="77"/>
      <c r="W60" s="77"/>
      <c r="X60" s="77"/>
      <c r="Y60" s="77"/>
      <c r="Z60" s="77"/>
      <c r="AA60" s="77"/>
      <c r="AB60" s="77"/>
      <c r="AC60" s="77"/>
      <c r="AD60" s="77"/>
      <c r="AE60" s="77"/>
      <c r="AF60" s="77"/>
      <c r="AG60" s="77"/>
      <c r="AH60" s="77"/>
      <c r="AI60" s="77"/>
      <c r="AJ60" s="77"/>
      <c r="AK60" s="77"/>
      <c r="AL60" s="77"/>
      <c r="AM60" s="77"/>
      <c r="AN60" s="77"/>
      <c r="AO60" s="77"/>
      <c r="AP60" s="77"/>
      <c r="AQ60" s="77"/>
      <c r="AR60" s="77"/>
      <c r="AS60" s="77"/>
      <c r="AT60" s="77"/>
      <c r="AU60" s="77"/>
      <c r="AV60" s="77"/>
      <c r="AW60" s="77"/>
      <c r="AX60" s="77"/>
      <c r="AY60" s="77"/>
      <c r="AZ60" s="77"/>
      <c r="BA60" s="77"/>
      <c r="BB60" s="77"/>
      <c r="BC60" s="77"/>
      <c r="BD60" s="77"/>
      <c r="BE60" s="77"/>
      <c r="BF60" s="77"/>
      <c r="BG60" s="77"/>
      <c r="BH60" s="77"/>
      <c r="BI60" s="77"/>
      <c r="BJ60" s="77"/>
      <c r="BK60" s="77"/>
      <c r="BL60" s="77"/>
      <c r="BM60" s="77"/>
      <c r="BN60" s="77"/>
      <c r="BO60" s="77"/>
      <c r="BP60" s="77"/>
      <c r="BQ60" s="77"/>
      <c r="BR60" s="77"/>
      <c r="BS60" s="77"/>
      <c r="BT60" s="77"/>
      <c r="BU60" s="77"/>
      <c r="BV60" s="77"/>
      <c r="BW60" s="77"/>
      <c r="BX60" s="77"/>
      <c r="BY60" s="77"/>
      <c r="BZ60" s="77"/>
      <c r="CA60" s="77"/>
      <c r="CB60" s="77"/>
      <c r="CC60" s="77"/>
      <c r="CD60" s="77"/>
      <c r="CE60" s="77"/>
      <c r="CF60" s="77"/>
      <c r="CG60" s="77"/>
      <c r="CH60" s="77"/>
      <c r="CI60" s="77"/>
      <c r="CJ60" s="77"/>
      <c r="CK60" s="77"/>
      <c r="CL60" s="77"/>
      <c r="CM60" s="77"/>
      <c r="CN60" s="77"/>
      <c r="CO60" s="77"/>
      <c r="CP60" s="77"/>
      <c r="CQ60" s="77"/>
      <c r="CR60" s="77"/>
      <c r="CS60" s="77"/>
      <c r="CT60" s="77"/>
      <c r="CU60" s="77"/>
      <c r="CV60" s="77"/>
      <c r="CW60" s="77"/>
      <c r="CX60" s="77"/>
      <c r="CY60" s="77"/>
      <c r="CZ60" s="77"/>
      <c r="DA60" s="77"/>
      <c r="DB60" s="77"/>
      <c r="DC60" s="77"/>
      <c r="DD60" s="77"/>
      <c r="DE60" s="77"/>
      <c r="DF60" s="77"/>
      <c r="DG60" s="77"/>
      <c r="DH60" s="77"/>
      <c r="DI60" s="77"/>
      <c r="DJ60" s="77"/>
      <c r="DK60" s="77"/>
      <c r="DL60" s="77"/>
      <c r="DM60" s="77"/>
      <c r="DN60" s="77"/>
      <c r="DO60" s="77"/>
      <c r="DP60" s="77"/>
      <c r="DQ60" s="77"/>
      <c r="DR60" s="77"/>
      <c r="DS60" s="77"/>
      <c r="DT60" s="77"/>
      <c r="DU60" s="77"/>
      <c r="DV60" s="77"/>
      <c r="DW60" s="77"/>
      <c r="DX60" s="77"/>
      <c r="DY60" s="77"/>
      <c r="DZ60" s="77"/>
      <c r="EA60" s="77"/>
      <c r="EB60" s="77"/>
      <c r="EC60" s="77"/>
      <c r="ED60" s="77"/>
      <c r="EE60" s="77"/>
      <c r="EF60" s="77"/>
      <c r="EG60" s="77"/>
      <c r="EH60" s="77"/>
      <c r="EI60" s="77"/>
      <c r="EJ60" s="77"/>
      <c r="EK60" s="77"/>
      <c r="EL60" s="77"/>
      <c r="EM60" s="77"/>
    </row>
    <row r="61" spans="1:143" s="78" customFormat="1">
      <c r="A61" s="89"/>
      <c r="B61" s="216" t="s">
        <v>862</v>
      </c>
      <c r="C61" s="216"/>
      <c r="D61" s="68"/>
      <c r="E61" s="68"/>
      <c r="F61" s="1227">
        <f>G61/Assum!$F$30</f>
        <v>161.01400000000001</v>
      </c>
      <c r="G61" s="1216">
        <v>13847.204</v>
      </c>
      <c r="H61" s="1592" t="s">
        <v>864</v>
      </c>
      <c r="I61" s="89"/>
      <c r="J61" s="89"/>
      <c r="K61" s="89"/>
      <c r="L61" s="89"/>
      <c r="M61" s="89"/>
      <c r="N61" s="77"/>
      <c r="O61" s="77"/>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c r="AP61" s="77"/>
      <c r="AQ61" s="77"/>
      <c r="AR61" s="77"/>
      <c r="AS61" s="77"/>
      <c r="AT61" s="77"/>
      <c r="AU61" s="77"/>
      <c r="AV61" s="77"/>
      <c r="AW61" s="77"/>
      <c r="AX61" s="77"/>
      <c r="AY61" s="77"/>
      <c r="AZ61" s="77"/>
      <c r="BA61" s="77"/>
      <c r="BB61" s="77"/>
      <c r="BC61" s="77"/>
      <c r="BD61" s="77"/>
      <c r="BE61" s="77"/>
      <c r="BF61" s="77"/>
      <c r="BG61" s="77"/>
      <c r="BH61" s="77"/>
      <c r="BI61" s="77"/>
      <c r="BJ61" s="77"/>
      <c r="BK61" s="77"/>
      <c r="BL61" s="77"/>
      <c r="BM61" s="77"/>
      <c r="BN61" s="77"/>
      <c r="BO61" s="77"/>
      <c r="BP61" s="77"/>
      <c r="BQ61" s="77"/>
      <c r="BR61" s="77"/>
      <c r="BS61" s="77"/>
      <c r="BT61" s="77"/>
      <c r="BU61" s="77"/>
      <c r="BV61" s="77"/>
      <c r="BW61" s="77"/>
      <c r="BX61" s="77"/>
      <c r="BY61" s="77"/>
      <c r="BZ61" s="77"/>
      <c r="CA61" s="77"/>
      <c r="CB61" s="77"/>
      <c r="CC61" s="77"/>
      <c r="CD61" s="77"/>
      <c r="CE61" s="77"/>
      <c r="CF61" s="77"/>
      <c r="CG61" s="77"/>
      <c r="CH61" s="77"/>
      <c r="CI61" s="77"/>
      <c r="CJ61" s="77"/>
      <c r="CK61" s="77"/>
      <c r="CL61" s="77"/>
      <c r="CM61" s="77"/>
      <c r="CN61" s="77"/>
      <c r="CO61" s="77"/>
      <c r="CP61" s="77"/>
      <c r="CQ61" s="77"/>
      <c r="CR61" s="77"/>
      <c r="CS61" s="77"/>
      <c r="CT61" s="77"/>
      <c r="CU61" s="77"/>
      <c r="CV61" s="77"/>
      <c r="CW61" s="77"/>
      <c r="CX61" s="77"/>
      <c r="CY61" s="77"/>
      <c r="CZ61" s="77"/>
      <c r="DA61" s="77"/>
      <c r="DB61" s="77"/>
      <c r="DC61" s="77"/>
      <c r="DD61" s="77"/>
      <c r="DE61" s="77"/>
      <c r="DF61" s="77"/>
      <c r="DG61" s="77"/>
      <c r="DH61" s="77"/>
      <c r="DI61" s="77"/>
      <c r="DJ61" s="77"/>
      <c r="DK61" s="77"/>
      <c r="DL61" s="77"/>
      <c r="DM61" s="77"/>
      <c r="DN61" s="77"/>
      <c r="DO61" s="77"/>
      <c r="DP61" s="77"/>
      <c r="DQ61" s="77"/>
      <c r="DR61" s="77"/>
      <c r="DS61" s="77"/>
      <c r="DT61" s="77"/>
      <c r="DU61" s="77"/>
      <c r="DV61" s="77"/>
      <c r="DW61" s="77"/>
      <c r="DX61" s="77"/>
      <c r="DY61" s="77"/>
      <c r="DZ61" s="77"/>
      <c r="EA61" s="77"/>
      <c r="EB61" s="77"/>
      <c r="EC61" s="77"/>
      <c r="ED61" s="77"/>
      <c r="EE61" s="77"/>
      <c r="EF61" s="77"/>
      <c r="EG61" s="77"/>
      <c r="EH61" s="77"/>
      <c r="EI61" s="77"/>
      <c r="EJ61" s="77"/>
      <c r="EK61" s="77"/>
      <c r="EL61" s="77"/>
      <c r="EM61" s="77"/>
    </row>
    <row r="62" spans="1:143" s="78" customFormat="1">
      <c r="A62" s="89"/>
      <c r="B62" s="216" t="s">
        <v>861</v>
      </c>
      <c r="C62" s="216"/>
      <c r="D62" s="68"/>
      <c r="E62" s="68"/>
      <c r="F62" s="1228">
        <f>G62/Assum!$F$30</f>
        <v>0</v>
      </c>
      <c r="G62" s="1594">
        <v>0</v>
      </c>
      <c r="H62" s="1592" t="s">
        <v>863</v>
      </c>
      <c r="I62" s="89"/>
      <c r="J62" s="89"/>
      <c r="K62" s="89"/>
      <c r="L62" s="89"/>
      <c r="M62" s="89"/>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c r="AP62" s="77"/>
      <c r="AQ62" s="77"/>
      <c r="AR62" s="77"/>
      <c r="AS62" s="77"/>
      <c r="AT62" s="77"/>
      <c r="AU62" s="77"/>
      <c r="AV62" s="77"/>
      <c r="AW62" s="77"/>
      <c r="AX62" s="77"/>
      <c r="AY62" s="77"/>
      <c r="AZ62" s="77"/>
      <c r="BA62" s="77"/>
      <c r="BB62" s="77"/>
      <c r="BC62" s="77"/>
      <c r="BD62" s="77"/>
      <c r="BE62" s="77"/>
      <c r="BF62" s="77"/>
      <c r="BG62" s="77"/>
      <c r="BH62" s="77"/>
      <c r="BI62" s="77"/>
      <c r="BJ62" s="77"/>
      <c r="BK62" s="77"/>
      <c r="BL62" s="77"/>
      <c r="BM62" s="77"/>
      <c r="BN62" s="77"/>
      <c r="BO62" s="77"/>
      <c r="BP62" s="77"/>
      <c r="BQ62" s="77"/>
      <c r="BR62" s="77"/>
      <c r="BS62" s="77"/>
      <c r="BT62" s="77"/>
      <c r="BU62" s="77"/>
      <c r="BV62" s="77"/>
      <c r="BW62" s="77"/>
      <c r="BX62" s="77"/>
      <c r="BY62" s="77"/>
      <c r="BZ62" s="77"/>
      <c r="CA62" s="77"/>
      <c r="CB62" s="77"/>
      <c r="CC62" s="77"/>
      <c r="CD62" s="77"/>
      <c r="CE62" s="77"/>
      <c r="CF62" s="77"/>
      <c r="CG62" s="77"/>
      <c r="CH62" s="77"/>
      <c r="CI62" s="77"/>
      <c r="CJ62" s="77"/>
      <c r="CK62" s="77"/>
      <c r="CL62" s="77"/>
      <c r="CM62" s="77"/>
      <c r="CN62" s="77"/>
      <c r="CO62" s="77"/>
      <c r="CP62" s="77"/>
      <c r="CQ62" s="77"/>
      <c r="CR62" s="77"/>
      <c r="CS62" s="77"/>
      <c r="CT62" s="77"/>
      <c r="CU62" s="77"/>
      <c r="CV62" s="77"/>
      <c r="CW62" s="77"/>
      <c r="CX62" s="77"/>
      <c r="CY62" s="77"/>
      <c r="CZ62" s="77"/>
      <c r="DA62" s="77"/>
      <c r="DB62" s="77"/>
      <c r="DC62" s="77"/>
      <c r="DD62" s="77"/>
      <c r="DE62" s="77"/>
      <c r="DF62" s="77"/>
      <c r="DG62" s="77"/>
      <c r="DH62" s="77"/>
      <c r="DI62" s="77"/>
      <c r="DJ62" s="77"/>
      <c r="DK62" s="77"/>
      <c r="DL62" s="77"/>
      <c r="DM62" s="77"/>
      <c r="DN62" s="77"/>
      <c r="DO62" s="77"/>
      <c r="DP62" s="77"/>
      <c r="DQ62" s="77"/>
      <c r="DR62" s="77"/>
      <c r="DS62" s="77"/>
      <c r="DT62" s="77"/>
      <c r="DU62" s="77"/>
      <c r="DV62" s="77"/>
      <c r="DW62" s="77"/>
      <c r="DX62" s="77"/>
      <c r="DY62" s="77"/>
      <c r="DZ62" s="77"/>
      <c r="EA62" s="77"/>
      <c r="EB62" s="77"/>
      <c r="EC62" s="77"/>
      <c r="ED62" s="77"/>
      <c r="EE62" s="77"/>
      <c r="EF62" s="77"/>
      <c r="EG62" s="77"/>
      <c r="EH62" s="77"/>
      <c r="EI62" s="77"/>
      <c r="EJ62" s="77"/>
      <c r="EK62" s="77"/>
      <c r="EL62" s="77"/>
      <c r="EM62" s="77"/>
    </row>
    <row r="63" spans="1:143" s="524" customFormat="1" ht="13.5" thickBot="1">
      <c r="A63" s="328"/>
      <c r="B63" s="328" t="s">
        <v>72</v>
      </c>
      <c r="C63" s="328"/>
      <c r="D63" s="328"/>
      <c r="E63" s="328"/>
      <c r="F63" s="1586">
        <f>G63/Assum!$F$30</f>
        <v>161.01400000000001</v>
      </c>
      <c r="G63" s="1587">
        <f>SUM(G61:G62)</f>
        <v>13847.204</v>
      </c>
      <c r="H63" s="1588"/>
      <c r="I63" s="1589"/>
      <c r="J63" s="1588"/>
      <c r="K63" s="1588"/>
      <c r="L63" s="1590"/>
      <c r="M63" s="1588"/>
      <c r="N63" s="1588"/>
      <c r="O63" s="1588"/>
      <c r="P63" s="1588"/>
      <c r="Q63" s="1588"/>
      <c r="R63" s="1588"/>
      <c r="S63" s="1588"/>
      <c r="T63" s="1588"/>
      <c r="U63" s="1588"/>
      <c r="V63" s="1588"/>
      <c r="W63" s="1588"/>
      <c r="X63" s="1588"/>
      <c r="Y63" s="1588"/>
      <c r="Z63" s="1588"/>
      <c r="AA63" s="1588"/>
      <c r="AB63" s="1588"/>
      <c r="AC63" s="1588"/>
      <c r="AD63" s="1588"/>
      <c r="AE63" s="1588"/>
      <c r="AF63" s="1588"/>
      <c r="AG63" s="1588"/>
      <c r="AH63" s="1588"/>
      <c r="AI63" s="1588"/>
      <c r="AJ63" s="1588"/>
      <c r="AK63" s="1588"/>
      <c r="AL63" s="1588"/>
      <c r="AM63" s="1588"/>
      <c r="AN63" s="1588"/>
      <c r="AO63" s="1588"/>
      <c r="AP63" s="1588"/>
      <c r="AQ63" s="1588"/>
      <c r="AR63" s="1588"/>
      <c r="AS63" s="1588"/>
      <c r="AT63" s="1588"/>
      <c r="AU63" s="1588"/>
      <c r="AV63" s="1588"/>
      <c r="AW63" s="1588"/>
      <c r="AX63" s="1588"/>
      <c r="AY63" s="1588"/>
      <c r="AZ63" s="1588"/>
      <c r="BA63" s="1588"/>
      <c r="BB63" s="1588"/>
      <c r="BC63" s="1588"/>
      <c r="BD63" s="1588"/>
      <c r="BE63" s="1588"/>
      <c r="BF63" s="1588"/>
      <c r="BG63" s="1588"/>
      <c r="BH63" s="1588"/>
      <c r="BI63" s="1588"/>
      <c r="BJ63" s="1588"/>
      <c r="BK63" s="1588"/>
      <c r="BL63" s="1588"/>
      <c r="BM63" s="1588"/>
      <c r="BN63" s="1588"/>
      <c r="BO63" s="1588"/>
      <c r="BP63" s="1588"/>
      <c r="BQ63" s="1588"/>
      <c r="BR63" s="1588"/>
      <c r="BS63" s="1588"/>
      <c r="BT63" s="1588"/>
      <c r="BU63" s="1588"/>
      <c r="BV63" s="1588"/>
      <c r="BW63" s="1588"/>
      <c r="BX63" s="1588"/>
      <c r="BY63" s="1588"/>
      <c r="BZ63" s="1588"/>
      <c r="CA63" s="1588"/>
      <c r="CB63" s="1588"/>
      <c r="CC63" s="1588"/>
      <c r="CD63" s="1588"/>
      <c r="CE63" s="1588"/>
      <c r="CF63" s="1588"/>
      <c r="CG63" s="1588"/>
      <c r="CH63" s="1588"/>
      <c r="CI63" s="1588"/>
      <c r="CJ63" s="1588"/>
      <c r="CK63" s="1588"/>
      <c r="CL63" s="1588"/>
      <c r="CM63" s="1588"/>
      <c r="CN63" s="1588"/>
      <c r="CO63" s="1588"/>
      <c r="CP63" s="1588"/>
      <c r="CQ63" s="1588"/>
      <c r="CR63" s="1588"/>
      <c r="CS63" s="1588"/>
      <c r="CT63" s="1588"/>
      <c r="CU63" s="1588"/>
      <c r="CV63" s="1588"/>
      <c r="CW63" s="1588"/>
      <c r="CX63" s="1588"/>
      <c r="CY63" s="1588"/>
      <c r="CZ63" s="1588"/>
      <c r="DA63" s="1588"/>
      <c r="DB63" s="1588"/>
      <c r="DC63" s="1588"/>
      <c r="DD63" s="1588"/>
      <c r="DE63" s="1588"/>
      <c r="DF63" s="1588"/>
      <c r="DG63" s="1588"/>
      <c r="DH63" s="1588"/>
      <c r="DI63" s="1588"/>
      <c r="DJ63" s="1588"/>
      <c r="DK63" s="1588"/>
      <c r="DL63" s="1588"/>
      <c r="DM63" s="1588"/>
      <c r="DN63" s="1588"/>
      <c r="DO63" s="1588"/>
      <c r="DP63" s="1588"/>
      <c r="DQ63" s="1588"/>
      <c r="DR63" s="1588"/>
      <c r="DS63" s="1588"/>
      <c r="DT63" s="1588"/>
      <c r="DU63" s="1588"/>
      <c r="DV63" s="1588"/>
      <c r="DW63" s="1588"/>
      <c r="DX63" s="1588"/>
      <c r="DY63" s="1588"/>
      <c r="DZ63" s="1588"/>
      <c r="EA63" s="1588"/>
      <c r="EB63" s="1588"/>
      <c r="EC63" s="1588"/>
      <c r="ED63" s="1588"/>
      <c r="EE63" s="1588"/>
      <c r="EF63" s="1588"/>
      <c r="EG63" s="1588"/>
      <c r="EH63" s="1588"/>
      <c r="EI63" s="1588"/>
      <c r="EJ63" s="1588"/>
      <c r="EK63" s="1588"/>
      <c r="EL63" s="1588"/>
      <c r="EM63" s="1588"/>
    </row>
    <row r="64" spans="1:143" s="78" customFormat="1" ht="13.5" thickTop="1">
      <c r="A64" s="89"/>
      <c r="B64" s="89"/>
      <c r="C64" s="89"/>
      <c r="D64" s="89"/>
      <c r="E64" s="89"/>
      <c r="F64" s="1064"/>
      <c r="G64" s="1065"/>
      <c r="H64" s="1588"/>
      <c r="I64" s="73"/>
      <c r="J64" s="77"/>
      <c r="K64" s="77"/>
      <c r="L64" s="103"/>
      <c r="M64" s="77"/>
      <c r="N64" s="77"/>
      <c r="O64" s="77"/>
      <c r="P64" s="77"/>
      <c r="Q64" s="77"/>
      <c r="R64" s="77"/>
      <c r="S64" s="77"/>
      <c r="T64" s="77"/>
      <c r="U64" s="77"/>
      <c r="V64" s="77"/>
      <c r="W64" s="77"/>
      <c r="X64" s="77"/>
      <c r="Y64" s="77"/>
      <c r="Z64" s="77"/>
      <c r="AA64" s="77"/>
      <c r="AB64" s="77"/>
      <c r="AC64" s="77"/>
      <c r="AD64" s="77"/>
      <c r="AE64" s="77"/>
      <c r="AF64" s="77"/>
      <c r="AG64" s="77"/>
      <c r="AH64" s="77"/>
      <c r="AI64" s="77"/>
      <c r="AJ64" s="77"/>
      <c r="AK64" s="77"/>
      <c r="AL64" s="77"/>
      <c r="AM64" s="77"/>
      <c r="AN64" s="77"/>
      <c r="AO64" s="77"/>
      <c r="AP64" s="77"/>
      <c r="AQ64" s="77"/>
      <c r="AR64" s="77"/>
      <c r="AS64" s="77"/>
      <c r="AT64" s="77"/>
      <c r="AU64" s="77"/>
      <c r="AV64" s="77"/>
      <c r="AW64" s="77"/>
      <c r="AX64" s="77"/>
      <c r="AY64" s="77"/>
      <c r="AZ64" s="77"/>
      <c r="BA64" s="77"/>
      <c r="BB64" s="77"/>
      <c r="BC64" s="77"/>
      <c r="BD64" s="77"/>
      <c r="BE64" s="77"/>
      <c r="BF64" s="77"/>
      <c r="BG64" s="77"/>
      <c r="BH64" s="77"/>
      <c r="BI64" s="77"/>
      <c r="BJ64" s="77"/>
      <c r="BK64" s="77"/>
      <c r="BL64" s="77"/>
      <c r="BM64" s="77"/>
      <c r="BN64" s="77"/>
      <c r="BO64" s="77"/>
      <c r="BP64" s="77"/>
      <c r="BQ64" s="77"/>
      <c r="BR64" s="77"/>
      <c r="BS64" s="77"/>
      <c r="BT64" s="77"/>
      <c r="BU64" s="77"/>
      <c r="BV64" s="77"/>
      <c r="BW64" s="77"/>
      <c r="BX64" s="77"/>
      <c r="BY64" s="77"/>
      <c r="BZ64" s="77"/>
      <c r="CA64" s="77"/>
      <c r="CB64" s="77"/>
      <c r="CC64" s="77"/>
      <c r="CD64" s="77"/>
      <c r="CE64" s="77"/>
      <c r="CF64" s="77"/>
      <c r="CG64" s="77"/>
      <c r="CH64" s="77"/>
      <c r="CI64" s="77"/>
      <c r="CJ64" s="77"/>
      <c r="CK64" s="77"/>
      <c r="CL64" s="77"/>
      <c r="CM64" s="77"/>
      <c r="CN64" s="77"/>
      <c r="CO64" s="77"/>
      <c r="CP64" s="77"/>
      <c r="CQ64" s="77"/>
      <c r="CR64" s="77"/>
      <c r="CS64" s="77"/>
      <c r="CT64" s="77"/>
      <c r="CU64" s="77"/>
      <c r="CV64" s="77"/>
      <c r="CW64" s="77"/>
      <c r="CX64" s="77"/>
      <c r="CY64" s="77"/>
      <c r="CZ64" s="77"/>
      <c r="DA64" s="77"/>
      <c r="DB64" s="77"/>
      <c r="DC64" s="77"/>
      <c r="DD64" s="77"/>
      <c r="DE64" s="77"/>
      <c r="DF64" s="77"/>
      <c r="DG64" s="77"/>
      <c r="DH64" s="77"/>
      <c r="DI64" s="77"/>
      <c r="DJ64" s="77"/>
      <c r="DK64" s="77"/>
      <c r="DL64" s="77"/>
      <c r="DM64" s="77"/>
      <c r="DN64" s="77"/>
      <c r="DO64" s="77"/>
      <c r="DP64" s="77"/>
      <c r="DQ64" s="77"/>
      <c r="DR64" s="77"/>
      <c r="DS64" s="77"/>
      <c r="DT64" s="77"/>
      <c r="DU64" s="77"/>
      <c r="DV64" s="77"/>
      <c r="DW64" s="77"/>
      <c r="DX64" s="77"/>
      <c r="DY64" s="77"/>
      <c r="DZ64" s="77"/>
      <c r="EA64" s="77"/>
      <c r="EB64" s="77"/>
      <c r="EC64" s="77"/>
      <c r="ED64" s="77"/>
      <c r="EE64" s="77"/>
      <c r="EF64" s="77"/>
      <c r="EG64" s="77"/>
      <c r="EH64" s="77"/>
      <c r="EI64" s="77"/>
      <c r="EJ64" s="77"/>
      <c r="EK64" s="77"/>
      <c r="EL64" s="77"/>
      <c r="EM64" s="77"/>
    </row>
    <row r="65" spans="1:143" s="78" customFormat="1">
      <c r="A65" s="89"/>
      <c r="B65" s="99" t="s">
        <v>73</v>
      </c>
      <c r="C65" s="99"/>
      <c r="D65" s="89"/>
      <c r="E65" s="89"/>
      <c r="F65" s="1064"/>
      <c r="G65" s="1064"/>
      <c r="H65" s="217"/>
      <c r="I65" s="77"/>
      <c r="J65" s="77"/>
      <c r="K65" s="77"/>
      <c r="N65" s="77"/>
      <c r="O65" s="77"/>
      <c r="P65" s="77"/>
      <c r="Q65" s="77"/>
      <c r="R65" s="77"/>
      <c r="S65" s="77"/>
      <c r="T65" s="77"/>
      <c r="U65" s="77"/>
      <c r="V65" s="77"/>
      <c r="W65" s="77"/>
      <c r="X65" s="77"/>
      <c r="Y65" s="77"/>
      <c r="Z65" s="77"/>
      <c r="AA65" s="77"/>
      <c r="AB65" s="77"/>
      <c r="AC65" s="77"/>
      <c r="AD65" s="77"/>
      <c r="AE65" s="77"/>
      <c r="AF65" s="77"/>
      <c r="AG65" s="77"/>
      <c r="AH65" s="77"/>
      <c r="AI65" s="77"/>
      <c r="AJ65" s="77"/>
      <c r="AK65" s="77"/>
      <c r="AL65" s="77"/>
      <c r="AM65" s="77"/>
      <c r="AN65" s="77"/>
      <c r="AO65" s="77"/>
      <c r="AP65" s="77"/>
      <c r="AQ65" s="77"/>
      <c r="AR65" s="77"/>
      <c r="AS65" s="77"/>
      <c r="AT65" s="77"/>
      <c r="AU65" s="77"/>
      <c r="AV65" s="77"/>
      <c r="AW65" s="77"/>
      <c r="AX65" s="77"/>
      <c r="AY65" s="77"/>
      <c r="AZ65" s="77"/>
      <c r="BA65" s="77"/>
      <c r="BB65" s="77"/>
      <c r="BC65" s="77"/>
      <c r="BD65" s="77"/>
      <c r="BE65" s="77"/>
      <c r="BF65" s="77"/>
      <c r="BG65" s="77"/>
      <c r="BH65" s="77"/>
      <c r="BI65" s="77"/>
      <c r="BJ65" s="77"/>
      <c r="BK65" s="77"/>
      <c r="BL65" s="77"/>
      <c r="BM65" s="77"/>
      <c r="BN65" s="77"/>
      <c r="BO65" s="77"/>
      <c r="BP65" s="77"/>
      <c r="BQ65" s="77"/>
      <c r="BR65" s="77"/>
      <c r="BS65" s="77"/>
      <c r="BT65" s="77"/>
      <c r="BU65" s="77"/>
      <c r="BV65" s="77"/>
      <c r="BW65" s="77"/>
      <c r="BX65" s="77"/>
      <c r="BY65" s="77"/>
      <c r="BZ65" s="77"/>
      <c r="CA65" s="77"/>
      <c r="CB65" s="77"/>
      <c r="CC65" s="77"/>
      <c r="CD65" s="77"/>
      <c r="CE65" s="77"/>
      <c r="CF65" s="77"/>
      <c r="CG65" s="77"/>
      <c r="CH65" s="77"/>
      <c r="CI65" s="77"/>
      <c r="CJ65" s="77"/>
      <c r="CK65" s="77"/>
      <c r="CL65" s="77"/>
      <c r="CM65" s="77"/>
      <c r="CN65" s="77"/>
      <c r="CO65" s="77"/>
      <c r="CP65" s="77"/>
      <c r="CQ65" s="77"/>
      <c r="CR65" s="77"/>
      <c r="CS65" s="77"/>
      <c r="CT65" s="77"/>
      <c r="CU65" s="77"/>
      <c r="CV65" s="77"/>
      <c r="CW65" s="77"/>
      <c r="CX65" s="77"/>
      <c r="CY65" s="77"/>
      <c r="CZ65" s="77"/>
      <c r="DA65" s="77"/>
      <c r="DB65" s="77"/>
      <c r="DC65" s="77"/>
      <c r="DD65" s="77"/>
      <c r="DE65" s="77"/>
      <c r="DF65" s="77"/>
      <c r="DG65" s="77"/>
      <c r="DH65" s="77"/>
      <c r="DI65" s="77"/>
      <c r="DJ65" s="77"/>
      <c r="DK65" s="77"/>
      <c r="DL65" s="77"/>
      <c r="DM65" s="77"/>
      <c r="DN65" s="77"/>
      <c r="DO65" s="77"/>
      <c r="DP65" s="77"/>
      <c r="DQ65" s="77"/>
      <c r="DR65" s="77"/>
      <c r="DS65" s="77"/>
      <c r="DT65" s="77"/>
      <c r="DU65" s="77"/>
      <c r="DV65" s="77"/>
      <c r="DW65" s="77"/>
      <c r="DX65" s="77"/>
      <c r="DY65" s="77"/>
      <c r="DZ65" s="77"/>
      <c r="EA65" s="77"/>
      <c r="EB65" s="77"/>
      <c r="EC65" s="77"/>
      <c r="ED65" s="77"/>
      <c r="EE65" s="77"/>
      <c r="EF65" s="77"/>
      <c r="EG65" s="77"/>
      <c r="EH65" s="77"/>
      <c r="EI65" s="77"/>
      <c r="EJ65" s="77"/>
      <c r="EK65" s="77"/>
      <c r="EL65" s="77"/>
      <c r="EM65" s="77"/>
    </row>
    <row r="66" spans="1:143" s="78" customFormat="1">
      <c r="A66" s="89"/>
      <c r="B66" s="89" t="s">
        <v>75</v>
      </c>
      <c r="C66" s="89"/>
      <c r="D66" s="89"/>
      <c r="E66" s="89"/>
      <c r="F66" s="1227">
        <f>+G66/Assum!$F$30</f>
        <v>30.536000000000001</v>
      </c>
      <c r="G66" s="1215">
        <v>2626.096</v>
      </c>
      <c r="H66" s="1592"/>
      <c r="I66" s="77"/>
      <c r="N66" s="77"/>
      <c r="O66" s="77"/>
      <c r="P66" s="77"/>
      <c r="Q66" s="77"/>
      <c r="R66" s="77"/>
      <c r="S66" s="77"/>
      <c r="T66" s="77"/>
      <c r="U66" s="77"/>
      <c r="V66" s="77"/>
      <c r="W66" s="77"/>
      <c r="X66" s="77"/>
      <c r="Y66" s="77"/>
      <c r="Z66" s="77"/>
      <c r="AA66" s="77"/>
      <c r="AB66" s="77"/>
      <c r="AC66" s="77"/>
      <c r="AD66" s="77"/>
      <c r="AE66" s="77"/>
      <c r="AF66" s="77"/>
      <c r="AG66" s="77"/>
      <c r="AH66" s="77"/>
      <c r="AI66" s="77"/>
      <c r="AJ66" s="77"/>
      <c r="AK66" s="77"/>
      <c r="AL66" s="77"/>
      <c r="AM66" s="77"/>
      <c r="AN66" s="77"/>
      <c r="AO66" s="77"/>
      <c r="AP66" s="77"/>
      <c r="AQ66" s="77"/>
      <c r="AR66" s="77"/>
      <c r="AS66" s="77"/>
      <c r="AT66" s="77"/>
      <c r="AU66" s="77"/>
      <c r="AV66" s="77"/>
      <c r="AW66" s="77"/>
      <c r="AX66" s="77"/>
      <c r="AY66" s="77"/>
      <c r="AZ66" s="77"/>
      <c r="BA66" s="77"/>
      <c r="BB66" s="77"/>
      <c r="BC66" s="77"/>
      <c r="BD66" s="77"/>
      <c r="BE66" s="77"/>
      <c r="BF66" s="77"/>
      <c r="BG66" s="77"/>
      <c r="BH66" s="77"/>
      <c r="BI66" s="77"/>
      <c r="BJ66" s="77"/>
      <c r="BK66" s="77"/>
      <c r="BL66" s="77"/>
      <c r="BM66" s="77"/>
      <c r="BN66" s="77"/>
      <c r="BO66" s="77"/>
      <c r="BP66" s="77"/>
      <c r="BQ66" s="77"/>
      <c r="BR66" s="77"/>
      <c r="BS66" s="77"/>
      <c r="BT66" s="77"/>
      <c r="BU66" s="77"/>
      <c r="BV66" s="77"/>
      <c r="BW66" s="77"/>
      <c r="BX66" s="77"/>
      <c r="BY66" s="77"/>
      <c r="BZ66" s="77"/>
      <c r="CA66" s="77"/>
      <c r="CB66" s="77"/>
      <c r="CC66" s="77"/>
      <c r="CD66" s="77"/>
      <c r="CE66" s="77"/>
      <c r="CF66" s="77"/>
      <c r="CG66" s="77"/>
      <c r="CH66" s="77"/>
      <c r="CI66" s="77"/>
      <c r="CJ66" s="77"/>
      <c r="CK66" s="77"/>
      <c r="CL66" s="77"/>
      <c r="CM66" s="77"/>
      <c r="CN66" s="77"/>
      <c r="CO66" s="77"/>
      <c r="CP66" s="77"/>
      <c r="CQ66" s="77"/>
      <c r="CR66" s="77"/>
      <c r="CS66" s="77"/>
      <c r="CT66" s="77"/>
      <c r="CU66" s="77"/>
      <c r="CV66" s="77"/>
      <c r="CW66" s="77"/>
      <c r="CX66" s="77"/>
      <c r="CY66" s="77"/>
      <c r="CZ66" s="77"/>
      <c r="DA66" s="77"/>
      <c r="DB66" s="77"/>
      <c r="DC66" s="77"/>
      <c r="DD66" s="77"/>
      <c r="DE66" s="77"/>
      <c r="DF66" s="77"/>
      <c r="DG66" s="77"/>
      <c r="DH66" s="77"/>
      <c r="DI66" s="77"/>
      <c r="DJ66" s="77"/>
      <c r="DK66" s="77"/>
      <c r="DL66" s="77"/>
      <c r="DM66" s="77"/>
      <c r="DN66" s="77"/>
      <c r="DO66" s="77"/>
      <c r="DP66" s="77"/>
      <c r="DQ66" s="77"/>
      <c r="DR66" s="77"/>
      <c r="DS66" s="77"/>
      <c r="DT66" s="77"/>
      <c r="DU66" s="77"/>
      <c r="DV66" s="77"/>
      <c r="DW66" s="77"/>
      <c r="DX66" s="77"/>
      <c r="DY66" s="77"/>
      <c r="DZ66" s="77"/>
      <c r="EA66" s="77"/>
      <c r="EB66" s="77"/>
      <c r="EC66" s="77"/>
      <c r="ED66" s="77"/>
      <c r="EE66" s="77"/>
      <c r="EF66" s="77"/>
      <c r="EG66" s="77"/>
      <c r="EH66" s="77"/>
      <c r="EI66" s="77"/>
      <c r="EJ66" s="77"/>
      <c r="EK66" s="77"/>
      <c r="EL66" s="77"/>
      <c r="EM66" s="77"/>
    </row>
    <row r="67" spans="1:143" s="78" customFormat="1">
      <c r="A67" s="89"/>
      <c r="B67" s="89" t="s">
        <v>865</v>
      </c>
      <c r="C67" s="89"/>
      <c r="D67" s="89"/>
      <c r="E67" s="89"/>
      <c r="F67" s="1227">
        <f>+G67/Assum!$F$30</f>
        <v>10.912000000000001</v>
      </c>
      <c r="G67" s="1215">
        <v>938.43200000000002</v>
      </c>
      <c r="H67" s="1592"/>
      <c r="I67" s="77"/>
      <c r="N67" s="77"/>
      <c r="O67" s="77"/>
      <c r="P67" s="77"/>
      <c r="Q67" s="77"/>
      <c r="R67" s="77"/>
      <c r="S67" s="77"/>
      <c r="T67" s="77"/>
      <c r="U67" s="77"/>
      <c r="V67" s="77"/>
      <c r="W67" s="77"/>
      <c r="X67" s="77"/>
      <c r="Y67" s="77"/>
      <c r="Z67" s="77"/>
      <c r="AA67" s="77"/>
      <c r="AB67" s="77"/>
      <c r="AC67" s="77"/>
      <c r="AD67" s="77"/>
      <c r="AE67" s="77"/>
      <c r="AF67" s="77"/>
      <c r="AG67" s="77"/>
      <c r="AH67" s="77"/>
      <c r="AI67" s="77"/>
      <c r="AJ67" s="77"/>
      <c r="AK67" s="77"/>
      <c r="AL67" s="77"/>
      <c r="AM67" s="77"/>
      <c r="AN67" s="77"/>
      <c r="AO67" s="77"/>
      <c r="AP67" s="77"/>
      <c r="AQ67" s="77"/>
      <c r="AR67" s="77"/>
      <c r="AS67" s="77"/>
      <c r="AT67" s="77"/>
      <c r="AU67" s="77"/>
      <c r="AV67" s="77"/>
      <c r="AW67" s="77"/>
      <c r="AX67" s="77"/>
      <c r="AY67" s="77"/>
      <c r="AZ67" s="77"/>
      <c r="BA67" s="77"/>
      <c r="BB67" s="77"/>
      <c r="BC67" s="77"/>
      <c r="BD67" s="77"/>
      <c r="BE67" s="77"/>
      <c r="BF67" s="77"/>
      <c r="BG67" s="77"/>
      <c r="BH67" s="77"/>
      <c r="BI67" s="77"/>
      <c r="BJ67" s="77"/>
      <c r="BK67" s="77"/>
      <c r="BL67" s="77"/>
      <c r="BM67" s="77"/>
      <c r="BN67" s="77"/>
      <c r="BO67" s="77"/>
      <c r="BP67" s="77"/>
      <c r="BQ67" s="77"/>
      <c r="BR67" s="77"/>
      <c r="BS67" s="77"/>
      <c r="BT67" s="77"/>
      <c r="BU67" s="77"/>
      <c r="BV67" s="77"/>
      <c r="BW67" s="77"/>
      <c r="BX67" s="77"/>
      <c r="BY67" s="77"/>
      <c r="BZ67" s="77"/>
      <c r="CA67" s="77"/>
      <c r="CB67" s="77"/>
      <c r="CC67" s="77"/>
      <c r="CD67" s="77"/>
      <c r="CE67" s="77"/>
      <c r="CF67" s="77"/>
      <c r="CG67" s="77"/>
      <c r="CH67" s="77"/>
      <c r="CI67" s="77"/>
      <c r="CJ67" s="77"/>
      <c r="CK67" s="77"/>
      <c r="CL67" s="77"/>
      <c r="CM67" s="77"/>
      <c r="CN67" s="77"/>
      <c r="CO67" s="77"/>
      <c r="CP67" s="77"/>
      <c r="CQ67" s="77"/>
      <c r="CR67" s="77"/>
      <c r="CS67" s="77"/>
      <c r="CT67" s="77"/>
      <c r="CU67" s="77"/>
      <c r="CV67" s="77"/>
      <c r="CW67" s="77"/>
      <c r="CX67" s="77"/>
      <c r="CY67" s="77"/>
      <c r="CZ67" s="77"/>
      <c r="DA67" s="77"/>
      <c r="DB67" s="77"/>
      <c r="DC67" s="77"/>
      <c r="DD67" s="77"/>
      <c r="DE67" s="77"/>
      <c r="DF67" s="77"/>
      <c r="DG67" s="77"/>
      <c r="DH67" s="77"/>
      <c r="DI67" s="77"/>
      <c r="DJ67" s="77"/>
      <c r="DK67" s="77"/>
      <c r="DL67" s="77"/>
      <c r="DM67" s="77"/>
      <c r="DN67" s="77"/>
      <c r="DO67" s="77"/>
      <c r="DP67" s="77"/>
      <c r="DQ67" s="77"/>
      <c r="DR67" s="77"/>
      <c r="DS67" s="77"/>
      <c r="DT67" s="77"/>
      <c r="DU67" s="77"/>
      <c r="DV67" s="77"/>
      <c r="DW67" s="77"/>
      <c r="DX67" s="77"/>
      <c r="DY67" s="77"/>
      <c r="DZ67" s="77"/>
      <c r="EA67" s="77"/>
      <c r="EB67" s="77"/>
      <c r="EC67" s="77"/>
      <c r="ED67" s="77"/>
      <c r="EE67" s="77"/>
      <c r="EF67" s="77"/>
      <c r="EG67" s="77"/>
      <c r="EH67" s="77"/>
      <c r="EI67" s="77"/>
      <c r="EJ67" s="77"/>
      <c r="EK67" s="77"/>
      <c r="EL67" s="77"/>
      <c r="EM67" s="77"/>
    </row>
    <row r="68" spans="1:143" s="78" customFormat="1">
      <c r="A68" s="89"/>
      <c r="B68" s="89" t="s">
        <v>529</v>
      </c>
      <c r="C68" s="89"/>
      <c r="D68" s="89"/>
      <c r="E68" s="89"/>
      <c r="F68" s="1227">
        <f>+G68/Assum!$F$30</f>
        <v>0</v>
      </c>
      <c r="G68" s="1215">
        <f>+E68*(G54+G52)</f>
        <v>0</v>
      </c>
      <c r="H68" s="1592"/>
      <c r="I68" s="77"/>
      <c r="N68" s="77"/>
      <c r="O68" s="77"/>
      <c r="P68" s="77"/>
      <c r="Q68" s="77"/>
      <c r="R68" s="77"/>
      <c r="S68" s="77"/>
      <c r="T68" s="77"/>
      <c r="U68" s="77"/>
      <c r="V68" s="77"/>
      <c r="W68" s="77"/>
      <c r="X68" s="77"/>
      <c r="Y68" s="77"/>
      <c r="Z68" s="77"/>
      <c r="AA68" s="77"/>
      <c r="AB68" s="77"/>
      <c r="AC68" s="77"/>
      <c r="AD68" s="77"/>
      <c r="AE68" s="77"/>
      <c r="AF68" s="77"/>
      <c r="AG68" s="77"/>
      <c r="AH68" s="77"/>
      <c r="AI68" s="77"/>
      <c r="AJ68" s="77"/>
      <c r="AK68" s="77"/>
      <c r="AL68" s="77"/>
      <c r="AM68" s="77"/>
      <c r="AN68" s="77"/>
      <c r="AO68" s="77"/>
      <c r="AP68" s="77"/>
      <c r="AQ68" s="77"/>
      <c r="AR68" s="77"/>
      <c r="AS68" s="77"/>
      <c r="AT68" s="77"/>
      <c r="AU68" s="77"/>
      <c r="AV68" s="77"/>
      <c r="AW68" s="77"/>
      <c r="AX68" s="77"/>
      <c r="AY68" s="77"/>
      <c r="AZ68" s="77"/>
      <c r="BA68" s="77"/>
      <c r="BB68" s="77"/>
      <c r="BC68" s="77"/>
      <c r="BD68" s="77"/>
      <c r="BE68" s="77"/>
      <c r="BF68" s="77"/>
      <c r="BG68" s="77"/>
      <c r="BH68" s="77"/>
      <c r="BI68" s="77"/>
      <c r="BJ68" s="77"/>
      <c r="BK68" s="77"/>
      <c r="BL68" s="77"/>
      <c r="BM68" s="77"/>
      <c r="BN68" s="77"/>
      <c r="BO68" s="77"/>
      <c r="BP68" s="77"/>
      <c r="BQ68" s="77"/>
      <c r="BR68" s="77"/>
      <c r="BS68" s="77"/>
      <c r="BT68" s="77"/>
      <c r="BU68" s="77"/>
      <c r="BV68" s="77"/>
      <c r="BW68" s="77"/>
      <c r="BX68" s="77"/>
      <c r="BY68" s="77"/>
      <c r="BZ68" s="77"/>
      <c r="CA68" s="77"/>
      <c r="CB68" s="77"/>
      <c r="CC68" s="77"/>
      <c r="CD68" s="77"/>
      <c r="CE68" s="77"/>
      <c r="CF68" s="77"/>
      <c r="CG68" s="77"/>
      <c r="CH68" s="77"/>
      <c r="CI68" s="77"/>
      <c r="CJ68" s="77"/>
      <c r="CK68" s="77"/>
      <c r="CL68" s="77"/>
      <c r="CM68" s="77"/>
      <c r="CN68" s="77"/>
      <c r="CO68" s="77"/>
      <c r="CP68" s="77"/>
      <c r="CQ68" s="77"/>
      <c r="CR68" s="77"/>
      <c r="CS68" s="77"/>
      <c r="CT68" s="77"/>
      <c r="CU68" s="77"/>
      <c r="CV68" s="77"/>
      <c r="CW68" s="77"/>
      <c r="CX68" s="77"/>
      <c r="CY68" s="77"/>
      <c r="CZ68" s="77"/>
      <c r="DA68" s="77"/>
      <c r="DB68" s="77"/>
      <c r="DC68" s="77"/>
      <c r="DD68" s="77"/>
      <c r="DE68" s="77"/>
      <c r="DF68" s="77"/>
      <c r="DG68" s="77"/>
      <c r="DH68" s="77"/>
      <c r="DI68" s="77"/>
      <c r="DJ68" s="77"/>
      <c r="DK68" s="77"/>
      <c r="DL68" s="77"/>
      <c r="DM68" s="77"/>
      <c r="DN68" s="77"/>
      <c r="DO68" s="77"/>
      <c r="DP68" s="77"/>
      <c r="DQ68" s="77"/>
      <c r="DR68" s="77"/>
      <c r="DS68" s="77"/>
      <c r="DT68" s="77"/>
      <c r="DU68" s="77"/>
      <c r="DV68" s="77"/>
      <c r="DW68" s="77"/>
      <c r="DX68" s="77"/>
      <c r="DY68" s="77"/>
      <c r="DZ68" s="77"/>
      <c r="EA68" s="77"/>
      <c r="EB68" s="77"/>
      <c r="EC68" s="77"/>
      <c r="ED68" s="77"/>
      <c r="EE68" s="77"/>
      <c r="EF68" s="77"/>
      <c r="EG68" s="77"/>
      <c r="EH68" s="77"/>
      <c r="EI68" s="77"/>
      <c r="EJ68" s="77"/>
      <c r="EK68" s="77"/>
      <c r="EL68" s="77"/>
      <c r="EM68" s="77"/>
    </row>
    <row r="69" spans="1:143" s="78" customFormat="1">
      <c r="A69" s="89"/>
      <c r="B69" s="89" t="s">
        <v>461</v>
      </c>
      <c r="C69" s="89"/>
      <c r="D69" s="89"/>
      <c r="E69" s="89"/>
      <c r="F69" s="1227">
        <f>+G69/Assum!$F$30</f>
        <v>0</v>
      </c>
      <c r="G69" s="1215">
        <v>0</v>
      </c>
      <c r="H69" s="1592"/>
      <c r="I69" s="77"/>
      <c r="M69" s="77"/>
      <c r="N69" s="77"/>
      <c r="O69" s="77"/>
      <c r="P69" s="77"/>
      <c r="Q69" s="77"/>
      <c r="R69" s="77"/>
      <c r="S69" s="77"/>
      <c r="T69" s="77"/>
      <c r="U69" s="77"/>
      <c r="V69" s="77"/>
      <c r="W69" s="77"/>
      <c r="X69" s="77"/>
      <c r="Y69" s="77"/>
      <c r="Z69" s="77"/>
      <c r="AA69" s="77"/>
      <c r="AB69" s="77"/>
      <c r="AC69" s="77"/>
      <c r="AD69" s="77"/>
      <c r="AE69" s="77"/>
      <c r="AF69" s="77"/>
      <c r="AG69" s="77"/>
      <c r="AH69" s="77"/>
      <c r="AI69" s="77"/>
      <c r="AJ69" s="77"/>
      <c r="AK69" s="77"/>
      <c r="AL69" s="77"/>
      <c r="AM69" s="77"/>
      <c r="AN69" s="77"/>
      <c r="AO69" s="77"/>
      <c r="AP69" s="77"/>
      <c r="AQ69" s="77"/>
      <c r="AR69" s="77"/>
      <c r="AS69" s="77"/>
      <c r="AT69" s="77"/>
      <c r="AU69" s="77"/>
      <c r="AV69" s="77"/>
      <c r="AW69" s="77"/>
      <c r="AX69" s="77"/>
      <c r="AY69" s="77"/>
      <c r="AZ69" s="77"/>
      <c r="BA69" s="77"/>
      <c r="BB69" s="77"/>
      <c r="BC69" s="77"/>
      <c r="BD69" s="77"/>
      <c r="BE69" s="77"/>
      <c r="BF69" s="77"/>
      <c r="BG69" s="77"/>
      <c r="BH69" s="77"/>
      <c r="BI69" s="77"/>
      <c r="BJ69" s="77"/>
      <c r="BK69" s="77"/>
      <c r="BL69" s="77"/>
      <c r="BM69" s="77"/>
      <c r="BN69" s="77"/>
      <c r="BO69" s="77"/>
      <c r="BP69" s="77"/>
      <c r="BQ69" s="77"/>
      <c r="BR69" s="77"/>
      <c r="BS69" s="77"/>
      <c r="BT69" s="77"/>
      <c r="BU69" s="77"/>
      <c r="BV69" s="77"/>
      <c r="BW69" s="77"/>
      <c r="BX69" s="77"/>
      <c r="BY69" s="77"/>
      <c r="BZ69" s="77"/>
      <c r="CA69" s="77"/>
      <c r="CB69" s="77"/>
      <c r="CC69" s="77"/>
      <c r="CD69" s="77"/>
      <c r="CE69" s="77"/>
      <c r="CF69" s="77"/>
      <c r="CG69" s="77"/>
      <c r="CH69" s="77"/>
      <c r="CI69" s="77"/>
      <c r="CJ69" s="77"/>
      <c r="CK69" s="77"/>
      <c r="CL69" s="77"/>
      <c r="CM69" s="77"/>
      <c r="CN69" s="77"/>
      <c r="CO69" s="77"/>
      <c r="CP69" s="77"/>
      <c r="CQ69" s="77"/>
      <c r="CR69" s="77"/>
      <c r="CS69" s="77"/>
      <c r="CT69" s="77"/>
      <c r="CU69" s="77"/>
      <c r="CV69" s="77"/>
      <c r="CW69" s="77"/>
      <c r="CX69" s="77"/>
      <c r="CY69" s="77"/>
      <c r="CZ69" s="77"/>
      <c r="DA69" s="77"/>
      <c r="DB69" s="77"/>
      <c r="DC69" s="77"/>
      <c r="DD69" s="77"/>
      <c r="DE69" s="77"/>
      <c r="DF69" s="77"/>
      <c r="DG69" s="77"/>
      <c r="DH69" s="77"/>
      <c r="DI69" s="77"/>
      <c r="DJ69" s="77"/>
      <c r="DK69" s="77"/>
      <c r="DL69" s="77"/>
      <c r="DM69" s="77"/>
      <c r="DN69" s="77"/>
      <c r="DO69" s="77"/>
      <c r="DP69" s="77"/>
      <c r="DQ69" s="77"/>
      <c r="DR69" s="77"/>
      <c r="DS69" s="77"/>
      <c r="DT69" s="77"/>
      <c r="DU69" s="77"/>
      <c r="DV69" s="77"/>
      <c r="DW69" s="77"/>
      <c r="DX69" s="77"/>
      <c r="DY69" s="77"/>
      <c r="DZ69" s="77"/>
      <c r="EA69" s="77"/>
      <c r="EB69" s="77"/>
      <c r="EC69" s="77"/>
      <c r="ED69" s="77"/>
      <c r="EE69" s="77"/>
      <c r="EF69" s="77"/>
      <c r="EG69" s="77"/>
      <c r="EH69" s="77"/>
      <c r="EI69" s="77"/>
      <c r="EJ69" s="77"/>
      <c r="EK69" s="77"/>
      <c r="EL69" s="77"/>
      <c r="EM69" s="77"/>
    </row>
    <row r="70" spans="1:143" s="78" customFormat="1">
      <c r="A70" s="89"/>
      <c r="B70" s="89" t="s">
        <v>75</v>
      </c>
      <c r="C70" s="89"/>
      <c r="D70" s="89"/>
      <c r="E70" s="89"/>
      <c r="F70" s="1227">
        <f>+G70/Assum!$F$30</f>
        <v>0</v>
      </c>
      <c r="G70" s="1215">
        <v>0</v>
      </c>
      <c r="H70" s="1592"/>
      <c r="I70" s="79"/>
      <c r="J70" s="77"/>
      <c r="K70" s="77"/>
      <c r="L70" s="77"/>
      <c r="M70" s="77"/>
      <c r="N70" s="77"/>
      <c r="O70" s="77"/>
      <c r="P70" s="77"/>
      <c r="Q70" s="77"/>
      <c r="R70" s="77"/>
      <c r="S70" s="77"/>
      <c r="T70" s="77"/>
      <c r="U70" s="77"/>
      <c r="V70" s="77"/>
      <c r="W70" s="77"/>
      <c r="X70" s="77"/>
      <c r="Y70" s="77"/>
      <c r="Z70" s="77"/>
      <c r="AA70" s="77"/>
      <c r="AB70" s="77"/>
      <c r="AC70" s="77"/>
      <c r="AD70" s="77"/>
      <c r="AE70" s="77"/>
      <c r="AF70" s="77"/>
      <c r="AG70" s="77"/>
      <c r="AH70" s="77"/>
      <c r="AI70" s="77"/>
      <c r="AJ70" s="77"/>
      <c r="AK70" s="77"/>
      <c r="AL70" s="77"/>
      <c r="AM70" s="77"/>
      <c r="AN70" s="77"/>
      <c r="AO70" s="77"/>
      <c r="AP70" s="77"/>
      <c r="AQ70" s="77"/>
      <c r="AR70" s="77"/>
      <c r="AS70" s="77"/>
      <c r="AT70" s="77"/>
      <c r="AU70" s="77"/>
      <c r="AV70" s="77"/>
      <c r="AW70" s="77"/>
      <c r="AX70" s="77"/>
      <c r="AY70" s="77"/>
      <c r="AZ70" s="77"/>
      <c r="BA70" s="77"/>
      <c r="BB70" s="77"/>
      <c r="BC70" s="77"/>
      <c r="BD70" s="77"/>
      <c r="BE70" s="77"/>
      <c r="BF70" s="77"/>
      <c r="BG70" s="77"/>
      <c r="BH70" s="77"/>
      <c r="BI70" s="77"/>
      <c r="BJ70" s="77"/>
      <c r="BK70" s="77"/>
      <c r="BL70" s="77"/>
      <c r="BM70" s="77"/>
      <c r="BN70" s="77"/>
      <c r="BO70" s="77"/>
      <c r="BP70" s="77"/>
      <c r="BQ70" s="77"/>
      <c r="BR70" s="77"/>
      <c r="BS70" s="77"/>
      <c r="BT70" s="77"/>
      <c r="BU70" s="77"/>
      <c r="BV70" s="77"/>
      <c r="BW70" s="77"/>
      <c r="BX70" s="77"/>
      <c r="BY70" s="77"/>
      <c r="BZ70" s="77"/>
      <c r="CA70" s="77"/>
      <c r="CB70" s="77"/>
      <c r="CC70" s="77"/>
      <c r="CD70" s="77"/>
      <c r="CE70" s="77"/>
      <c r="CF70" s="77"/>
      <c r="CG70" s="77"/>
      <c r="CH70" s="77"/>
      <c r="CI70" s="77"/>
      <c r="CJ70" s="77"/>
      <c r="CK70" s="77"/>
      <c r="CL70" s="77"/>
      <c r="CM70" s="77"/>
      <c r="CN70" s="77"/>
      <c r="CO70" s="77"/>
      <c r="CP70" s="77"/>
      <c r="CQ70" s="77"/>
      <c r="CR70" s="77"/>
      <c r="CS70" s="77"/>
      <c r="CT70" s="77"/>
      <c r="CU70" s="77"/>
      <c r="CV70" s="77"/>
      <c r="CW70" s="77"/>
      <c r="CX70" s="77"/>
      <c r="CY70" s="77"/>
      <c r="CZ70" s="77"/>
      <c r="DA70" s="77"/>
      <c r="DB70" s="77"/>
      <c r="DC70" s="77"/>
      <c r="DD70" s="77"/>
      <c r="DE70" s="77"/>
      <c r="DF70" s="77"/>
      <c r="DG70" s="77"/>
      <c r="DH70" s="77"/>
      <c r="DI70" s="77"/>
      <c r="DJ70" s="77"/>
      <c r="DK70" s="77"/>
      <c r="DL70" s="77"/>
      <c r="DM70" s="77"/>
      <c r="DN70" s="77"/>
      <c r="DO70" s="77"/>
      <c r="DP70" s="77"/>
      <c r="DQ70" s="77"/>
      <c r="DR70" s="77"/>
      <c r="DS70" s="77"/>
      <c r="DT70" s="77"/>
      <c r="DU70" s="77"/>
      <c r="DV70" s="77"/>
      <c r="DW70" s="77"/>
      <c r="DX70" s="77"/>
      <c r="DY70" s="77"/>
      <c r="DZ70" s="77"/>
      <c r="EA70" s="77"/>
      <c r="EB70" s="77"/>
      <c r="EC70" s="77"/>
      <c r="ED70" s="77"/>
      <c r="EE70" s="77"/>
      <c r="EF70" s="77"/>
      <c r="EG70" s="77"/>
      <c r="EH70" s="77"/>
      <c r="EI70" s="77"/>
      <c r="EJ70" s="77"/>
      <c r="EK70" s="77"/>
      <c r="EL70" s="77"/>
      <c r="EM70" s="77"/>
    </row>
    <row r="71" spans="1:143" s="524" customFormat="1" ht="13.5" thickBot="1">
      <c r="A71" s="328"/>
      <c r="B71" s="217" t="s">
        <v>119</v>
      </c>
      <c r="C71" s="217"/>
      <c r="D71" s="217"/>
      <c r="E71" s="217"/>
      <c r="F71" s="1591">
        <f>+G71/Assum!$F$30</f>
        <v>41.448</v>
      </c>
      <c r="G71" s="1587">
        <f>SUM(G66:G70)</f>
        <v>3564.5280000000002</v>
      </c>
      <c r="H71" s="1592"/>
      <c r="I71" s="217"/>
      <c r="J71" s="1588"/>
      <c r="K71" s="1588"/>
      <c r="L71" s="1588"/>
      <c r="M71" s="1588"/>
      <c r="N71" s="1588"/>
      <c r="O71" s="1588"/>
      <c r="P71" s="1588"/>
      <c r="Q71" s="1588"/>
      <c r="R71" s="1588"/>
      <c r="S71" s="1588"/>
      <c r="T71" s="1588"/>
      <c r="U71" s="1588"/>
      <c r="V71" s="1588"/>
      <c r="W71" s="1588"/>
      <c r="X71" s="1588"/>
      <c r="Y71" s="1588"/>
      <c r="Z71" s="1588"/>
      <c r="AA71" s="1588"/>
      <c r="AB71" s="1588"/>
      <c r="AC71" s="1588"/>
      <c r="AD71" s="1588"/>
      <c r="AE71" s="1588"/>
      <c r="AF71" s="1588"/>
      <c r="AG71" s="1588"/>
      <c r="AH71" s="1588"/>
      <c r="AI71" s="1588"/>
      <c r="AJ71" s="1588"/>
      <c r="AK71" s="1588"/>
      <c r="AL71" s="1588"/>
      <c r="AM71" s="1588"/>
      <c r="AN71" s="1588"/>
      <c r="AO71" s="1588"/>
      <c r="AP71" s="1588"/>
      <c r="AQ71" s="1588"/>
      <c r="AR71" s="1588"/>
      <c r="AS71" s="1588"/>
      <c r="AT71" s="1588"/>
      <c r="AU71" s="1588"/>
      <c r="AV71" s="1588"/>
      <c r="AW71" s="1588"/>
      <c r="AX71" s="1588"/>
      <c r="AY71" s="1588"/>
      <c r="AZ71" s="1588"/>
      <c r="BA71" s="1588"/>
      <c r="BB71" s="1588"/>
      <c r="BC71" s="1588"/>
      <c r="BD71" s="1588"/>
      <c r="BE71" s="1588"/>
      <c r="BF71" s="1588"/>
      <c r="BG71" s="1588"/>
      <c r="BH71" s="1588"/>
      <c r="BI71" s="1588"/>
      <c r="BJ71" s="1588"/>
      <c r="BK71" s="1588"/>
      <c r="BL71" s="1588"/>
      <c r="BM71" s="1588"/>
      <c r="BN71" s="1588"/>
      <c r="BO71" s="1588"/>
      <c r="BP71" s="1588"/>
      <c r="BQ71" s="1588"/>
      <c r="BR71" s="1588"/>
      <c r="BS71" s="1588"/>
      <c r="BT71" s="1588"/>
      <c r="BU71" s="1588"/>
      <c r="BV71" s="1588"/>
      <c r="BW71" s="1588"/>
      <c r="BX71" s="1588"/>
      <c r="BY71" s="1588"/>
      <c r="BZ71" s="1588"/>
      <c r="CA71" s="1588"/>
      <c r="CB71" s="1588"/>
      <c r="CC71" s="1588"/>
      <c r="CD71" s="1588"/>
      <c r="CE71" s="1588"/>
      <c r="CF71" s="1588"/>
      <c r="CG71" s="1588"/>
      <c r="CH71" s="1588"/>
      <c r="CI71" s="1588"/>
      <c r="CJ71" s="1588"/>
      <c r="CK71" s="1588"/>
      <c r="CL71" s="1588"/>
      <c r="CM71" s="1588"/>
      <c r="CN71" s="1588"/>
      <c r="CO71" s="1588"/>
      <c r="CP71" s="1588"/>
      <c r="CQ71" s="1588"/>
      <c r="CR71" s="1588"/>
      <c r="CS71" s="1588"/>
      <c r="CT71" s="1588"/>
      <c r="CU71" s="1588"/>
      <c r="CV71" s="1588"/>
      <c r="CW71" s="1588"/>
      <c r="CX71" s="1588"/>
      <c r="CY71" s="1588"/>
      <c r="CZ71" s="1588"/>
      <c r="DA71" s="1588"/>
      <c r="DB71" s="1588"/>
      <c r="DC71" s="1588"/>
      <c r="DD71" s="1588"/>
      <c r="DE71" s="1588"/>
      <c r="DF71" s="1588"/>
      <c r="DG71" s="1588"/>
      <c r="DH71" s="1588"/>
      <c r="DI71" s="1588"/>
      <c r="DJ71" s="1588"/>
      <c r="DK71" s="1588"/>
      <c r="DL71" s="1588"/>
      <c r="DM71" s="1588"/>
      <c r="DN71" s="1588"/>
      <c r="DO71" s="1588"/>
      <c r="DP71" s="1588"/>
      <c r="DQ71" s="1588"/>
      <c r="DR71" s="1588"/>
      <c r="DS71" s="1588"/>
      <c r="DT71" s="1588"/>
      <c r="DU71" s="1588"/>
      <c r="DV71" s="1588"/>
      <c r="DW71" s="1588"/>
      <c r="DX71" s="1588"/>
      <c r="DY71" s="1588"/>
      <c r="DZ71" s="1588"/>
      <c r="EA71" s="1588"/>
      <c r="EB71" s="1588"/>
      <c r="EC71" s="1588"/>
      <c r="ED71" s="1588"/>
      <c r="EE71" s="1588"/>
      <c r="EF71" s="1588"/>
      <c r="EG71" s="1588"/>
      <c r="EH71" s="1588"/>
      <c r="EI71" s="1588"/>
      <c r="EJ71" s="1588"/>
      <c r="EK71" s="1588"/>
      <c r="EL71" s="1588"/>
      <c r="EM71" s="1588"/>
    </row>
    <row r="72" spans="1:143" s="78" customFormat="1" ht="13.5" thickTop="1">
      <c r="A72" s="89"/>
      <c r="B72" s="216"/>
      <c r="C72" s="216"/>
      <c r="D72" s="216"/>
      <c r="E72" s="216"/>
      <c r="F72" s="1471"/>
      <c r="G72" s="1471"/>
      <c r="H72" s="82"/>
      <c r="I72" s="79"/>
      <c r="J72" s="77"/>
      <c r="K72" s="77"/>
      <c r="L72" s="77"/>
      <c r="M72" s="77"/>
      <c r="N72" s="77"/>
      <c r="O72" s="77"/>
      <c r="P72" s="77"/>
      <c r="Q72" s="77"/>
      <c r="R72" s="77"/>
      <c r="S72" s="77"/>
      <c r="T72" s="77"/>
      <c r="U72" s="77"/>
      <c r="V72" s="77"/>
      <c r="W72" s="77"/>
      <c r="X72" s="77"/>
      <c r="Y72" s="77"/>
      <c r="Z72" s="77"/>
      <c r="AA72" s="77"/>
      <c r="AB72" s="77"/>
      <c r="AC72" s="77"/>
      <c r="AD72" s="77"/>
      <c r="AE72" s="77"/>
      <c r="AF72" s="77"/>
      <c r="AG72" s="77"/>
      <c r="AH72" s="77"/>
      <c r="AI72" s="77"/>
      <c r="AJ72" s="77"/>
      <c r="AK72" s="77"/>
      <c r="AL72" s="77"/>
      <c r="AM72" s="77"/>
      <c r="AN72" s="77"/>
      <c r="AO72" s="77"/>
      <c r="AP72" s="77"/>
      <c r="AQ72" s="77"/>
      <c r="AR72" s="77"/>
      <c r="AS72" s="77"/>
      <c r="AT72" s="77"/>
      <c r="AU72" s="77"/>
      <c r="AV72" s="77"/>
      <c r="AW72" s="77"/>
      <c r="AX72" s="77"/>
      <c r="AY72" s="77"/>
      <c r="AZ72" s="77"/>
      <c r="BA72" s="77"/>
      <c r="BB72" s="77"/>
      <c r="BC72" s="77"/>
      <c r="BD72" s="77"/>
      <c r="BE72" s="77"/>
      <c r="BF72" s="77"/>
      <c r="BG72" s="77"/>
      <c r="BH72" s="77"/>
      <c r="BI72" s="77"/>
      <c r="BJ72" s="77"/>
      <c r="BK72" s="77"/>
      <c r="BL72" s="77"/>
      <c r="BM72" s="77"/>
      <c r="BN72" s="77"/>
      <c r="BO72" s="77"/>
      <c r="BP72" s="77"/>
      <c r="BQ72" s="77"/>
      <c r="BR72" s="77"/>
      <c r="BS72" s="77"/>
      <c r="BT72" s="77"/>
      <c r="BU72" s="77"/>
      <c r="BV72" s="77"/>
      <c r="BW72" s="77"/>
      <c r="BX72" s="77"/>
      <c r="BY72" s="77"/>
      <c r="BZ72" s="77"/>
      <c r="CA72" s="77"/>
      <c r="CB72" s="77"/>
      <c r="CC72" s="77"/>
      <c r="CD72" s="77"/>
      <c r="CE72" s="77"/>
      <c r="CF72" s="77"/>
      <c r="CG72" s="77"/>
      <c r="CH72" s="77"/>
      <c r="CI72" s="77"/>
      <c r="CJ72" s="77"/>
      <c r="CK72" s="77"/>
      <c r="CL72" s="77"/>
      <c r="CM72" s="77"/>
      <c r="CN72" s="77"/>
      <c r="CO72" s="77"/>
      <c r="CP72" s="77"/>
      <c r="CQ72" s="77"/>
      <c r="CR72" s="77"/>
      <c r="CS72" s="77"/>
      <c r="CT72" s="77"/>
      <c r="CU72" s="77"/>
      <c r="CV72" s="77"/>
      <c r="CW72" s="77"/>
      <c r="CX72" s="77"/>
      <c r="CY72" s="77"/>
      <c r="CZ72" s="77"/>
      <c r="DA72" s="77"/>
      <c r="DB72" s="77"/>
      <c r="DC72" s="77"/>
      <c r="DD72" s="77"/>
      <c r="DE72" s="77"/>
      <c r="DF72" s="77"/>
      <c r="DG72" s="77"/>
      <c r="DH72" s="77"/>
      <c r="DI72" s="77"/>
      <c r="DJ72" s="77"/>
      <c r="DK72" s="77"/>
      <c r="DL72" s="77"/>
      <c r="DM72" s="77"/>
      <c r="DN72" s="77"/>
      <c r="DO72" s="77"/>
      <c r="DP72" s="77"/>
      <c r="DQ72" s="77"/>
      <c r="DR72" s="77"/>
      <c r="DS72" s="77"/>
      <c r="DT72" s="77"/>
      <c r="DU72" s="77"/>
      <c r="DV72" s="77"/>
      <c r="DW72" s="77"/>
      <c r="DX72" s="77"/>
      <c r="DY72" s="77"/>
      <c r="DZ72" s="77"/>
      <c r="EA72" s="77"/>
      <c r="EB72" s="77"/>
      <c r="EC72" s="77"/>
      <c r="ED72" s="77"/>
      <c r="EE72" s="77"/>
      <c r="EF72" s="77"/>
      <c r="EG72" s="77"/>
      <c r="EH72" s="77"/>
      <c r="EI72" s="77"/>
      <c r="EJ72" s="77"/>
      <c r="EK72" s="77"/>
      <c r="EL72" s="77"/>
      <c r="EM72" s="77"/>
    </row>
    <row r="73" spans="1:143" s="78" customFormat="1" ht="13.5" thickBot="1">
      <c r="A73" s="89"/>
      <c r="B73" s="217" t="s">
        <v>829</v>
      </c>
      <c r="C73" s="217"/>
      <c r="D73" s="217"/>
      <c r="E73" s="217"/>
      <c r="F73" s="1591">
        <f>G73/Assum!$F$30</f>
        <v>374.65799999999996</v>
      </c>
      <c r="G73" s="1614">
        <f>G59+G63+G71</f>
        <v>32220.587999999996</v>
      </c>
      <c r="H73" s="82"/>
      <c r="I73" s="79"/>
      <c r="J73" s="77"/>
      <c r="K73" s="77"/>
      <c r="L73" s="77"/>
      <c r="M73" s="77"/>
      <c r="N73" s="77"/>
      <c r="O73" s="77"/>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c r="AP73" s="77"/>
      <c r="AQ73" s="77"/>
      <c r="AR73" s="77"/>
      <c r="AS73" s="77"/>
      <c r="AT73" s="77"/>
      <c r="AU73" s="77"/>
      <c r="AV73" s="77"/>
      <c r="AW73" s="77"/>
      <c r="AX73" s="77"/>
      <c r="AY73" s="77"/>
      <c r="AZ73" s="77"/>
      <c r="BA73" s="77"/>
      <c r="BB73" s="77"/>
      <c r="BC73" s="77"/>
      <c r="BD73" s="77"/>
      <c r="BE73" s="77"/>
      <c r="BF73" s="77"/>
      <c r="BG73" s="77"/>
      <c r="BH73" s="77"/>
      <c r="BI73" s="77"/>
      <c r="BJ73" s="77"/>
      <c r="BK73" s="77"/>
      <c r="BL73" s="77"/>
      <c r="BM73" s="77"/>
      <c r="BN73" s="77"/>
      <c r="BO73" s="77"/>
      <c r="BP73" s="77"/>
      <c r="BQ73" s="77"/>
      <c r="BR73" s="77"/>
      <c r="BS73" s="77"/>
      <c r="BT73" s="77"/>
      <c r="BU73" s="77"/>
      <c r="BV73" s="77"/>
      <c r="BW73" s="77"/>
      <c r="BX73" s="77"/>
      <c r="BY73" s="77"/>
      <c r="BZ73" s="77"/>
      <c r="CA73" s="77"/>
      <c r="CB73" s="77"/>
      <c r="CC73" s="77"/>
      <c r="CD73" s="77"/>
      <c r="CE73" s="77"/>
      <c r="CF73" s="77"/>
      <c r="CG73" s="77"/>
      <c r="CH73" s="77"/>
      <c r="CI73" s="77"/>
      <c r="CJ73" s="77"/>
      <c r="CK73" s="77"/>
      <c r="CL73" s="77"/>
      <c r="CM73" s="77"/>
      <c r="CN73" s="77"/>
      <c r="CO73" s="77"/>
      <c r="CP73" s="77"/>
      <c r="CQ73" s="77"/>
      <c r="CR73" s="77"/>
      <c r="CS73" s="77"/>
      <c r="CT73" s="77"/>
      <c r="CU73" s="77"/>
      <c r="CV73" s="77"/>
      <c r="CW73" s="77"/>
      <c r="CX73" s="77"/>
      <c r="CY73" s="77"/>
      <c r="CZ73" s="77"/>
      <c r="DA73" s="77"/>
      <c r="DB73" s="77"/>
      <c r="DC73" s="77"/>
      <c r="DD73" s="77"/>
      <c r="DE73" s="77"/>
      <c r="DF73" s="77"/>
      <c r="DG73" s="77"/>
      <c r="DH73" s="77"/>
      <c r="DI73" s="77"/>
      <c r="DJ73" s="77"/>
      <c r="DK73" s="77"/>
      <c r="DL73" s="77"/>
      <c r="DM73" s="77"/>
      <c r="DN73" s="77"/>
      <c r="DO73" s="77"/>
      <c r="DP73" s="77"/>
      <c r="DQ73" s="77"/>
      <c r="DR73" s="77"/>
      <c r="DS73" s="77"/>
      <c r="DT73" s="77"/>
      <c r="DU73" s="77"/>
      <c r="DV73" s="77"/>
      <c r="DW73" s="77"/>
      <c r="DX73" s="77"/>
      <c r="DY73" s="77"/>
      <c r="DZ73" s="77"/>
      <c r="EA73" s="77"/>
      <c r="EB73" s="77"/>
      <c r="EC73" s="77"/>
      <c r="ED73" s="77"/>
      <c r="EE73" s="77"/>
      <c r="EF73" s="77"/>
      <c r="EG73" s="77"/>
      <c r="EH73" s="77"/>
      <c r="EI73" s="77"/>
      <c r="EJ73" s="77"/>
      <c r="EK73" s="77"/>
      <c r="EL73" s="77"/>
      <c r="EM73" s="77"/>
    </row>
    <row r="74" spans="1:143" s="78" customFormat="1" ht="13.5" thickTop="1">
      <c r="A74" s="89"/>
      <c r="B74" s="89" t="s">
        <v>74</v>
      </c>
      <c r="C74" s="216"/>
      <c r="D74" s="216"/>
      <c r="E74" s="216"/>
      <c r="F74" s="1470"/>
      <c r="G74" s="1613">
        <v>3222.076</v>
      </c>
      <c r="H74" s="1592"/>
      <c r="I74" s="79"/>
      <c r="J74" s="77"/>
      <c r="K74" s="77"/>
      <c r="L74" s="77"/>
      <c r="M74" s="77"/>
      <c r="N74" s="77"/>
      <c r="O74" s="77"/>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c r="AP74" s="77"/>
      <c r="AQ74" s="77"/>
      <c r="AR74" s="77"/>
      <c r="AS74" s="77"/>
      <c r="AT74" s="77"/>
      <c r="AU74" s="77"/>
      <c r="AV74" s="77"/>
      <c r="AW74" s="77"/>
      <c r="AX74" s="77"/>
      <c r="AY74" s="77"/>
      <c r="AZ74" s="77"/>
      <c r="BA74" s="77"/>
      <c r="BB74" s="77"/>
      <c r="BC74" s="77"/>
      <c r="BD74" s="77"/>
      <c r="BE74" s="77"/>
      <c r="BF74" s="77"/>
      <c r="BG74" s="77"/>
      <c r="BH74" s="77"/>
      <c r="BI74" s="77"/>
      <c r="BJ74" s="77"/>
      <c r="BK74" s="77"/>
      <c r="BL74" s="77"/>
      <c r="BM74" s="77"/>
      <c r="BN74" s="77"/>
      <c r="BO74" s="77"/>
      <c r="BP74" s="77"/>
      <c r="BQ74" s="77"/>
      <c r="BR74" s="77"/>
      <c r="BS74" s="77"/>
      <c r="BT74" s="77"/>
      <c r="BU74" s="77"/>
      <c r="BV74" s="77"/>
      <c r="BW74" s="77"/>
      <c r="BX74" s="77"/>
      <c r="BY74" s="77"/>
      <c r="BZ74" s="77"/>
      <c r="CA74" s="77"/>
      <c r="CB74" s="77"/>
      <c r="CC74" s="77"/>
      <c r="CD74" s="77"/>
      <c r="CE74" s="77"/>
      <c r="CF74" s="77"/>
      <c r="CG74" s="77"/>
      <c r="CH74" s="77"/>
      <c r="CI74" s="77"/>
      <c r="CJ74" s="77"/>
      <c r="CK74" s="77"/>
      <c r="CL74" s="77"/>
      <c r="CM74" s="77"/>
      <c r="CN74" s="77"/>
      <c r="CO74" s="77"/>
      <c r="CP74" s="77"/>
      <c r="CQ74" s="77"/>
      <c r="CR74" s="77"/>
      <c r="CS74" s="77"/>
      <c r="CT74" s="77"/>
      <c r="CU74" s="77"/>
      <c r="CV74" s="77"/>
      <c r="CW74" s="77"/>
      <c r="CX74" s="77"/>
      <c r="CY74" s="77"/>
      <c r="CZ74" s="77"/>
      <c r="DA74" s="77"/>
      <c r="DB74" s="77"/>
      <c r="DC74" s="77"/>
      <c r="DD74" s="77"/>
      <c r="DE74" s="77"/>
      <c r="DF74" s="77"/>
      <c r="DG74" s="77"/>
      <c r="DH74" s="77"/>
      <c r="DI74" s="77"/>
      <c r="DJ74" s="77"/>
      <c r="DK74" s="77"/>
      <c r="DL74" s="77"/>
      <c r="DM74" s="77"/>
      <c r="DN74" s="77"/>
      <c r="DO74" s="77"/>
      <c r="DP74" s="77"/>
      <c r="DQ74" s="77"/>
      <c r="DR74" s="77"/>
      <c r="DS74" s="77"/>
      <c r="DT74" s="77"/>
      <c r="DU74" s="77"/>
      <c r="DV74" s="77"/>
      <c r="DW74" s="77"/>
      <c r="DX74" s="77"/>
      <c r="DY74" s="77"/>
      <c r="DZ74" s="77"/>
      <c r="EA74" s="77"/>
      <c r="EB74" s="77"/>
      <c r="EC74" s="77"/>
      <c r="ED74" s="77"/>
      <c r="EE74" s="77"/>
      <c r="EF74" s="77"/>
      <c r="EG74" s="77"/>
      <c r="EH74" s="77"/>
      <c r="EI74" s="77"/>
      <c r="EJ74" s="77"/>
      <c r="EK74" s="77"/>
      <c r="EL74" s="77"/>
      <c r="EM74" s="77"/>
    </row>
    <row r="75" spans="1:143" s="78" customFormat="1">
      <c r="A75" s="89"/>
      <c r="B75" s="89" t="s">
        <v>118</v>
      </c>
      <c r="C75" s="136">
        <v>0</v>
      </c>
      <c r="D75" s="216"/>
      <c r="E75" s="216"/>
      <c r="F75" s="1470"/>
      <c r="G75" s="1585">
        <f>G73*C75</f>
        <v>0</v>
      </c>
      <c r="H75" s="82"/>
      <c r="I75" s="79"/>
      <c r="J75" s="77"/>
      <c r="K75" s="77"/>
      <c r="L75" s="77"/>
      <c r="M75" s="77"/>
      <c r="N75" s="77"/>
      <c r="O75" s="77"/>
      <c r="P75" s="77"/>
      <c r="Q75" s="77"/>
      <c r="R75" s="77"/>
      <c r="S75" s="77"/>
      <c r="T75" s="77"/>
      <c r="U75" s="77"/>
      <c r="V75" s="77"/>
      <c r="W75" s="77"/>
      <c r="X75" s="77"/>
      <c r="Y75" s="77"/>
      <c r="Z75" s="77"/>
      <c r="AA75" s="77"/>
      <c r="AB75" s="77"/>
      <c r="AC75" s="77"/>
      <c r="AD75" s="77"/>
      <c r="AE75" s="77"/>
      <c r="AF75" s="77"/>
      <c r="AG75" s="77"/>
      <c r="AH75" s="77"/>
      <c r="AI75" s="77"/>
      <c r="AJ75" s="77"/>
      <c r="AK75" s="77"/>
      <c r="AL75" s="77"/>
      <c r="AM75" s="77"/>
      <c r="AN75" s="77"/>
      <c r="AO75" s="77"/>
      <c r="AP75" s="77"/>
      <c r="AQ75" s="77"/>
      <c r="AR75" s="77"/>
      <c r="AS75" s="77"/>
      <c r="AT75" s="77"/>
      <c r="AU75" s="77"/>
      <c r="AV75" s="77"/>
      <c r="AW75" s="77"/>
      <c r="AX75" s="77"/>
      <c r="AY75" s="77"/>
      <c r="AZ75" s="77"/>
      <c r="BA75" s="77"/>
      <c r="BB75" s="77"/>
      <c r="BC75" s="77"/>
      <c r="BD75" s="77"/>
      <c r="BE75" s="77"/>
      <c r="BF75" s="77"/>
      <c r="BG75" s="77"/>
      <c r="BH75" s="77"/>
      <c r="BI75" s="77"/>
      <c r="BJ75" s="77"/>
      <c r="BK75" s="77"/>
      <c r="BL75" s="77"/>
      <c r="BM75" s="77"/>
      <c r="BN75" s="77"/>
      <c r="BO75" s="77"/>
      <c r="BP75" s="77"/>
      <c r="BQ75" s="77"/>
      <c r="BR75" s="77"/>
      <c r="BS75" s="77"/>
      <c r="BT75" s="77"/>
      <c r="BU75" s="77"/>
      <c r="BV75" s="77"/>
      <c r="BW75" s="77"/>
      <c r="BX75" s="77"/>
      <c r="BY75" s="77"/>
      <c r="BZ75" s="77"/>
      <c r="CA75" s="77"/>
      <c r="CB75" s="77"/>
      <c r="CC75" s="77"/>
      <c r="CD75" s="77"/>
      <c r="CE75" s="77"/>
      <c r="CF75" s="77"/>
      <c r="CG75" s="77"/>
      <c r="CH75" s="77"/>
      <c r="CI75" s="77"/>
      <c r="CJ75" s="77"/>
      <c r="CK75" s="77"/>
      <c r="CL75" s="77"/>
      <c r="CM75" s="77"/>
      <c r="CN75" s="77"/>
      <c r="CO75" s="77"/>
      <c r="CP75" s="77"/>
      <c r="CQ75" s="77"/>
      <c r="CR75" s="77"/>
      <c r="CS75" s="77"/>
      <c r="CT75" s="77"/>
      <c r="CU75" s="77"/>
      <c r="CV75" s="77"/>
      <c r="CW75" s="77"/>
      <c r="CX75" s="77"/>
      <c r="CY75" s="77"/>
      <c r="CZ75" s="77"/>
      <c r="DA75" s="77"/>
      <c r="DB75" s="77"/>
      <c r="DC75" s="77"/>
      <c r="DD75" s="77"/>
      <c r="DE75" s="77"/>
      <c r="DF75" s="77"/>
      <c r="DG75" s="77"/>
      <c r="DH75" s="77"/>
      <c r="DI75" s="77"/>
      <c r="DJ75" s="77"/>
      <c r="DK75" s="77"/>
      <c r="DL75" s="77"/>
      <c r="DM75" s="77"/>
      <c r="DN75" s="77"/>
      <c r="DO75" s="77"/>
      <c r="DP75" s="77"/>
      <c r="DQ75" s="77"/>
      <c r="DR75" s="77"/>
      <c r="DS75" s="77"/>
      <c r="DT75" s="77"/>
      <c r="DU75" s="77"/>
      <c r="DV75" s="77"/>
      <c r="DW75" s="77"/>
      <c r="DX75" s="77"/>
      <c r="DY75" s="77"/>
      <c r="DZ75" s="77"/>
      <c r="EA75" s="77"/>
      <c r="EB75" s="77"/>
      <c r="EC75" s="77"/>
      <c r="ED75" s="77"/>
      <c r="EE75" s="77"/>
      <c r="EF75" s="77"/>
      <c r="EG75" s="77"/>
      <c r="EH75" s="77"/>
      <c r="EI75" s="77"/>
      <c r="EJ75" s="77"/>
      <c r="EK75" s="77"/>
      <c r="EL75" s="77"/>
      <c r="EM75" s="77"/>
    </row>
    <row r="76" spans="1:143" s="78" customFormat="1">
      <c r="A76" s="89"/>
      <c r="B76" s="82" t="s">
        <v>70</v>
      </c>
      <c r="C76" s="136">
        <v>0</v>
      </c>
      <c r="D76" s="82"/>
      <c r="E76" s="82"/>
      <c r="F76" s="1470">
        <f>G76/Assum!$F$30</f>
        <v>0</v>
      </c>
      <c r="G76" s="1585">
        <f>G74*C76</f>
        <v>0</v>
      </c>
      <c r="H76" s="82"/>
      <c r="I76" s="79"/>
      <c r="J76" s="77"/>
      <c r="K76" s="77"/>
      <c r="L76" s="77"/>
      <c r="M76" s="77"/>
      <c r="N76" s="77"/>
      <c r="O76" s="77"/>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c r="AP76" s="77"/>
      <c r="AQ76" s="77"/>
      <c r="AR76" s="77"/>
      <c r="AS76" s="77"/>
      <c r="AT76" s="77"/>
      <c r="AU76" s="77"/>
      <c r="AV76" s="77"/>
      <c r="AW76" s="77"/>
      <c r="AX76" s="77"/>
      <c r="AY76" s="77"/>
      <c r="AZ76" s="77"/>
      <c r="BA76" s="77"/>
      <c r="BB76" s="77"/>
      <c r="BC76" s="77"/>
      <c r="BD76" s="77"/>
      <c r="BE76" s="77"/>
      <c r="BF76" s="77"/>
      <c r="BG76" s="77"/>
      <c r="BH76" s="77"/>
      <c r="BI76" s="77"/>
      <c r="BJ76" s="77"/>
      <c r="BK76" s="77"/>
      <c r="BL76" s="77"/>
      <c r="BM76" s="77"/>
      <c r="BN76" s="77"/>
      <c r="BO76" s="77"/>
      <c r="BP76" s="77"/>
      <c r="BQ76" s="77"/>
      <c r="BR76" s="77"/>
      <c r="BS76" s="77"/>
      <c r="BT76" s="77"/>
      <c r="BU76" s="77"/>
      <c r="BV76" s="77"/>
      <c r="BW76" s="77"/>
      <c r="BX76" s="77"/>
      <c r="BY76" s="77"/>
      <c r="BZ76" s="77"/>
      <c r="CA76" s="77"/>
      <c r="CB76" s="77"/>
      <c r="CC76" s="77"/>
      <c r="CD76" s="77"/>
      <c r="CE76" s="77"/>
      <c r="CF76" s="77"/>
      <c r="CG76" s="77"/>
      <c r="CH76" s="77"/>
      <c r="CI76" s="77"/>
      <c r="CJ76" s="77"/>
      <c r="CK76" s="77"/>
      <c r="CL76" s="77"/>
      <c r="CM76" s="77"/>
      <c r="CN76" s="77"/>
      <c r="CO76" s="77"/>
      <c r="CP76" s="77"/>
      <c r="CQ76" s="77"/>
      <c r="CR76" s="77"/>
      <c r="CS76" s="77"/>
      <c r="CT76" s="77"/>
      <c r="CU76" s="77"/>
      <c r="CV76" s="77"/>
      <c r="CW76" s="77"/>
      <c r="CX76" s="77"/>
      <c r="CY76" s="77"/>
      <c r="CZ76" s="77"/>
      <c r="DA76" s="77"/>
      <c r="DB76" s="77"/>
      <c r="DC76" s="77"/>
      <c r="DD76" s="77"/>
      <c r="DE76" s="77"/>
      <c r="DF76" s="77"/>
      <c r="DG76" s="77"/>
      <c r="DH76" s="77"/>
      <c r="DI76" s="77"/>
      <c r="DJ76" s="77"/>
      <c r="DK76" s="77"/>
      <c r="DL76" s="77"/>
      <c r="DM76" s="77"/>
      <c r="DN76" s="77"/>
      <c r="DO76" s="77"/>
      <c r="DP76" s="77"/>
      <c r="DQ76" s="77"/>
      <c r="DR76" s="77"/>
      <c r="DS76" s="77"/>
      <c r="DT76" s="77"/>
      <c r="DU76" s="77"/>
      <c r="DV76" s="77"/>
      <c r="DW76" s="77"/>
      <c r="DX76" s="77"/>
      <c r="DY76" s="77"/>
      <c r="DZ76" s="77"/>
      <c r="EA76" s="77"/>
      <c r="EB76" s="77"/>
      <c r="EC76" s="77"/>
      <c r="ED76" s="77"/>
      <c r="EE76" s="77"/>
      <c r="EF76" s="77"/>
      <c r="EG76" s="77"/>
      <c r="EH76" s="77"/>
      <c r="EI76" s="77"/>
      <c r="EJ76" s="77"/>
      <c r="EK76" s="77"/>
      <c r="EL76" s="77"/>
      <c r="EM76" s="77"/>
    </row>
    <row r="77" spans="1:143" s="78" customFormat="1" ht="12.6" customHeight="1" thickBot="1">
      <c r="A77" s="89"/>
      <c r="B77" s="67" t="s">
        <v>91</v>
      </c>
      <c r="C77" s="67"/>
      <c r="D77" s="67"/>
      <c r="E77" s="67"/>
      <c r="F77" s="1473">
        <f>+G77/Assum!$F$30</f>
        <v>412.12399999999997</v>
      </c>
      <c r="G77" s="1472">
        <f>SUM(G73:G76)</f>
        <v>35442.663999999997</v>
      </c>
      <c r="H77" s="1639"/>
      <c r="I77" s="1636">
        <f>G77+G49+Assum!F77+Assum!F52</f>
        <v>123247.43230798993</v>
      </c>
      <c r="J77" s="1637">
        <v>0</v>
      </c>
      <c r="K77" s="77"/>
      <c r="L77" s="77"/>
      <c r="M77" s="77"/>
      <c r="N77" s="77"/>
      <c r="O77" s="77"/>
      <c r="P77" s="77"/>
      <c r="Q77" s="77"/>
      <c r="R77" s="77"/>
      <c r="S77" s="77"/>
      <c r="T77" s="77"/>
      <c r="U77" s="77"/>
      <c r="V77" s="77"/>
      <c r="W77" s="77"/>
      <c r="X77" s="77"/>
      <c r="Y77" s="77"/>
      <c r="Z77" s="77"/>
      <c r="AA77" s="77"/>
      <c r="AB77" s="77"/>
      <c r="AC77" s="77"/>
      <c r="AD77" s="77"/>
      <c r="AE77" s="77"/>
      <c r="AF77" s="77"/>
      <c r="AG77" s="77"/>
      <c r="AH77" s="77"/>
      <c r="AI77" s="77"/>
      <c r="AJ77" s="77"/>
      <c r="AK77" s="77"/>
      <c r="AL77" s="77"/>
      <c r="AM77" s="77"/>
      <c r="AN77" s="77"/>
      <c r="AO77" s="77"/>
      <c r="AP77" s="77"/>
      <c r="AQ77" s="77"/>
      <c r="AR77" s="77"/>
      <c r="AS77" s="77"/>
      <c r="AT77" s="77"/>
      <c r="AU77" s="77"/>
      <c r="AV77" s="77"/>
      <c r="AW77" s="77"/>
      <c r="AX77" s="77"/>
      <c r="AY77" s="77"/>
      <c r="AZ77" s="77"/>
      <c r="BA77" s="77"/>
      <c r="BB77" s="77"/>
      <c r="BC77" s="77"/>
      <c r="BD77" s="77"/>
      <c r="BE77" s="77"/>
      <c r="BF77" s="77"/>
      <c r="BG77" s="77"/>
      <c r="BH77" s="77"/>
      <c r="BI77" s="77"/>
      <c r="BJ77" s="77"/>
      <c r="BK77" s="77"/>
      <c r="BL77" s="77"/>
      <c r="BM77" s="77"/>
      <c r="BN77" s="77"/>
      <c r="BO77" s="77"/>
      <c r="BP77" s="77"/>
      <c r="BQ77" s="77"/>
      <c r="BR77" s="77"/>
      <c r="BS77" s="77"/>
      <c r="BT77" s="77"/>
      <c r="BU77" s="77"/>
      <c r="BV77" s="77"/>
      <c r="BW77" s="77"/>
      <c r="BX77" s="77"/>
      <c r="BY77" s="77"/>
      <c r="BZ77" s="77"/>
      <c r="CA77" s="77"/>
      <c r="CB77" s="77"/>
      <c r="CC77" s="77"/>
      <c r="CD77" s="77"/>
      <c r="CE77" s="77"/>
      <c r="CF77" s="77"/>
      <c r="CG77" s="77"/>
      <c r="CH77" s="77"/>
      <c r="CI77" s="77"/>
      <c r="CJ77" s="77"/>
      <c r="CK77" s="77"/>
      <c r="CL77" s="77"/>
      <c r="CM77" s="77"/>
      <c r="CN77" s="77"/>
      <c r="CO77" s="77"/>
      <c r="CP77" s="77"/>
      <c r="CQ77" s="77"/>
      <c r="CR77" s="77"/>
      <c r="CS77" s="77"/>
      <c r="CT77" s="77"/>
      <c r="CU77" s="77"/>
      <c r="CV77" s="77"/>
      <c r="CW77" s="77"/>
      <c r="CX77" s="77"/>
      <c r="CY77" s="77"/>
      <c r="CZ77" s="77"/>
      <c r="DA77" s="77"/>
      <c r="DB77" s="77"/>
      <c r="DC77" s="77"/>
      <c r="DD77" s="77"/>
      <c r="DE77" s="77"/>
      <c r="DF77" s="77"/>
      <c r="DG77" s="77"/>
      <c r="DH77" s="77"/>
      <c r="DI77" s="77"/>
      <c r="DJ77" s="77"/>
      <c r="DK77" s="77"/>
      <c r="DL77" s="77"/>
      <c r="DM77" s="77"/>
      <c r="DN77" s="77"/>
      <c r="DO77" s="77"/>
      <c r="DP77" s="77"/>
      <c r="DQ77" s="77"/>
      <c r="DR77" s="77"/>
      <c r="DS77" s="77"/>
      <c r="DT77" s="77"/>
      <c r="DU77" s="77"/>
      <c r="DV77" s="77"/>
      <c r="DW77" s="77"/>
      <c r="DX77" s="77"/>
      <c r="DY77" s="77"/>
      <c r="DZ77" s="77"/>
      <c r="EA77" s="77"/>
      <c r="EB77" s="77"/>
      <c r="EC77" s="77"/>
      <c r="ED77" s="77"/>
      <c r="EE77" s="77"/>
      <c r="EF77" s="77"/>
      <c r="EG77" s="77"/>
      <c r="EH77" s="77"/>
      <c r="EI77" s="77"/>
      <c r="EJ77" s="77"/>
      <c r="EK77" s="77"/>
      <c r="EL77" s="77"/>
      <c r="EM77" s="77"/>
    </row>
    <row r="78" spans="1:143" s="78" customFormat="1">
      <c r="A78" s="89"/>
      <c r="B78" s="79"/>
      <c r="C78" s="79"/>
      <c r="D78" s="79"/>
      <c r="E78" s="79"/>
      <c r="F78" s="226"/>
      <c r="G78" s="226"/>
      <c r="H78" s="79"/>
      <c r="I78" s="77"/>
      <c r="J78" s="77"/>
      <c r="K78" s="77"/>
      <c r="L78" s="77"/>
      <c r="M78" s="77"/>
      <c r="N78" s="77"/>
      <c r="O78" s="77"/>
      <c r="P78" s="77"/>
      <c r="Q78" s="77"/>
      <c r="R78" s="77"/>
      <c r="S78" s="77"/>
      <c r="T78" s="77"/>
      <c r="U78" s="77"/>
      <c r="V78" s="77"/>
      <c r="W78" s="77"/>
      <c r="X78" s="77"/>
      <c r="Y78" s="77"/>
      <c r="Z78" s="77"/>
      <c r="AA78" s="77"/>
      <c r="AB78" s="77"/>
      <c r="AC78" s="77"/>
      <c r="AD78" s="77"/>
      <c r="AE78" s="77"/>
      <c r="AF78" s="77"/>
      <c r="AG78" s="77"/>
      <c r="AH78" s="77"/>
      <c r="AI78" s="77"/>
      <c r="AJ78" s="77"/>
      <c r="AK78" s="77"/>
      <c r="AL78" s="77"/>
      <c r="AM78" s="77"/>
      <c r="AN78" s="77"/>
      <c r="AO78" s="77"/>
      <c r="AP78" s="77"/>
      <c r="AQ78" s="77"/>
      <c r="AR78" s="77"/>
      <c r="AS78" s="77"/>
      <c r="AT78" s="77"/>
      <c r="AU78" s="77"/>
      <c r="AV78" s="77"/>
      <c r="AW78" s="77"/>
      <c r="AX78" s="77"/>
      <c r="AY78" s="77"/>
      <c r="AZ78" s="77"/>
      <c r="BA78" s="77"/>
      <c r="BB78" s="77"/>
      <c r="BC78" s="77"/>
      <c r="BD78" s="77"/>
      <c r="BE78" s="77"/>
      <c r="BF78" s="77"/>
      <c r="BG78" s="77"/>
      <c r="BH78" s="77"/>
      <c r="BI78" s="77"/>
      <c r="BJ78" s="77"/>
      <c r="BK78" s="77"/>
      <c r="BL78" s="77"/>
      <c r="BM78" s="77"/>
      <c r="BN78" s="77"/>
      <c r="BO78" s="77"/>
      <c r="BP78" s="77"/>
      <c r="BQ78" s="77"/>
      <c r="BR78" s="77"/>
      <c r="BS78" s="77"/>
      <c r="BT78" s="77"/>
      <c r="BU78" s="77"/>
      <c r="BV78" s="77"/>
      <c r="BW78" s="77"/>
      <c r="BX78" s="77"/>
      <c r="BY78" s="77"/>
      <c r="BZ78" s="77"/>
      <c r="CA78" s="77"/>
      <c r="CB78" s="77"/>
      <c r="CC78" s="77"/>
      <c r="CD78" s="77"/>
      <c r="CE78" s="77"/>
      <c r="CF78" s="77"/>
      <c r="CG78" s="77"/>
      <c r="CH78" s="77"/>
      <c r="CI78" s="77"/>
      <c r="CJ78" s="77"/>
      <c r="CK78" s="77"/>
      <c r="CL78" s="77"/>
      <c r="CM78" s="77"/>
      <c r="CN78" s="77"/>
      <c r="CO78" s="77"/>
      <c r="CP78" s="77"/>
      <c r="CQ78" s="77"/>
      <c r="CR78" s="77"/>
      <c r="CS78" s="77"/>
      <c r="CT78" s="77"/>
      <c r="CU78" s="77"/>
      <c r="CV78" s="77"/>
      <c r="CW78" s="77"/>
      <c r="CX78" s="77"/>
      <c r="CY78" s="77"/>
      <c r="CZ78" s="77"/>
      <c r="DA78" s="77"/>
      <c r="DB78" s="77"/>
      <c r="DC78" s="77"/>
      <c r="DD78" s="77"/>
      <c r="DE78" s="77"/>
      <c r="DF78" s="77"/>
      <c r="DG78" s="77"/>
      <c r="DH78" s="77"/>
      <c r="DI78" s="77"/>
      <c r="DJ78" s="77"/>
      <c r="DK78" s="77"/>
      <c r="DL78" s="77"/>
      <c r="DM78" s="77"/>
      <c r="DN78" s="77"/>
      <c r="DO78" s="77"/>
      <c r="DP78" s="77"/>
      <c r="DQ78" s="77"/>
      <c r="DR78" s="77"/>
      <c r="DS78" s="77"/>
      <c r="DT78" s="77"/>
      <c r="DU78" s="77"/>
      <c r="DV78" s="77"/>
      <c r="DW78" s="77"/>
      <c r="DX78" s="77"/>
      <c r="DY78" s="77"/>
      <c r="DZ78" s="77"/>
      <c r="EA78" s="77"/>
      <c r="EB78" s="77"/>
      <c r="EC78" s="77"/>
      <c r="ED78" s="77"/>
      <c r="EE78" s="77"/>
      <c r="EF78" s="77"/>
      <c r="EG78" s="77"/>
      <c r="EH78" s="77"/>
      <c r="EI78" s="77"/>
      <c r="EJ78" s="77"/>
      <c r="EK78" s="77"/>
      <c r="EL78" s="77"/>
      <c r="EM78" s="77"/>
    </row>
    <row r="79" spans="1:143" s="593" customFormat="1">
      <c r="A79" s="589"/>
      <c r="B79" s="594" t="s">
        <v>832</v>
      </c>
      <c r="C79" s="594"/>
      <c r="D79" s="590"/>
      <c r="E79" s="590"/>
      <c r="F79" s="591"/>
      <c r="G79" s="591"/>
      <c r="H79" s="590"/>
      <c r="I79" s="592"/>
      <c r="J79" s="592"/>
      <c r="K79" s="592"/>
      <c r="L79" s="592"/>
      <c r="M79" s="592"/>
      <c r="N79" s="592"/>
      <c r="O79" s="592"/>
      <c r="P79" s="592"/>
      <c r="Q79" s="592"/>
      <c r="R79" s="592"/>
      <c r="S79" s="592"/>
      <c r="T79" s="592"/>
      <c r="U79" s="592"/>
      <c r="V79" s="592"/>
      <c r="W79" s="592"/>
      <c r="X79" s="592"/>
      <c r="Y79" s="592"/>
      <c r="Z79" s="592"/>
      <c r="AA79" s="592"/>
      <c r="AB79" s="592"/>
      <c r="AC79" s="592"/>
      <c r="AD79" s="592"/>
      <c r="AE79" s="592"/>
      <c r="AF79" s="592"/>
      <c r="AG79" s="592"/>
      <c r="AH79" s="592"/>
      <c r="AI79" s="592"/>
      <c r="AJ79" s="592"/>
      <c r="AK79" s="592"/>
      <c r="AL79" s="592"/>
      <c r="AM79" s="592"/>
      <c r="AN79" s="592"/>
      <c r="AO79" s="592"/>
      <c r="AP79" s="592"/>
      <c r="AQ79" s="592"/>
      <c r="AR79" s="592"/>
      <c r="AS79" s="592"/>
      <c r="AT79" s="592"/>
      <c r="AU79" s="592"/>
      <c r="AV79" s="592"/>
      <c r="AW79" s="592"/>
      <c r="AX79" s="592"/>
      <c r="AY79" s="592"/>
      <c r="AZ79" s="592"/>
      <c r="BA79" s="592"/>
      <c r="BB79" s="592"/>
      <c r="BC79" s="592"/>
      <c r="BD79" s="592"/>
      <c r="BE79" s="592"/>
      <c r="BF79" s="592"/>
      <c r="BG79" s="592"/>
      <c r="BH79" s="592"/>
      <c r="BI79" s="592"/>
      <c r="BJ79" s="592"/>
      <c r="BK79" s="592"/>
      <c r="BL79" s="592"/>
      <c r="BM79" s="592"/>
      <c r="BN79" s="592"/>
      <c r="BO79" s="592"/>
      <c r="BP79" s="592"/>
      <c r="BQ79" s="592"/>
      <c r="BR79" s="592"/>
      <c r="BS79" s="592"/>
      <c r="BT79" s="592"/>
      <c r="BU79" s="592"/>
      <c r="BV79" s="592"/>
      <c r="BW79" s="592"/>
      <c r="BX79" s="592"/>
      <c r="BY79" s="592"/>
      <c r="BZ79" s="592"/>
      <c r="CA79" s="592"/>
      <c r="CB79" s="592"/>
      <c r="CC79" s="592"/>
      <c r="CD79" s="592"/>
      <c r="CE79" s="592"/>
      <c r="CF79" s="592"/>
      <c r="CG79" s="592"/>
      <c r="CH79" s="592"/>
      <c r="CI79" s="592"/>
      <c r="CJ79" s="592"/>
      <c r="CK79" s="592"/>
      <c r="CL79" s="592"/>
      <c r="CM79" s="592"/>
      <c r="CN79" s="592"/>
      <c r="CO79" s="592"/>
      <c r="CP79" s="592"/>
      <c r="CQ79" s="592"/>
      <c r="CR79" s="592"/>
      <c r="CS79" s="592"/>
      <c r="CT79" s="592"/>
      <c r="CU79" s="592"/>
      <c r="CV79" s="592"/>
      <c r="CW79" s="592"/>
      <c r="CX79" s="592"/>
      <c r="CY79" s="592"/>
      <c r="CZ79" s="592"/>
      <c r="DA79" s="592"/>
      <c r="DB79" s="592"/>
      <c r="DC79" s="592"/>
      <c r="DD79" s="592"/>
      <c r="DE79" s="592"/>
      <c r="DF79" s="592"/>
      <c r="DG79" s="592"/>
      <c r="DH79" s="592"/>
      <c r="DI79" s="592"/>
      <c r="DJ79" s="592"/>
      <c r="DK79" s="592"/>
      <c r="DL79" s="592"/>
      <c r="DM79" s="592"/>
      <c r="DN79" s="592"/>
      <c r="DO79" s="592"/>
      <c r="DP79" s="592"/>
      <c r="DQ79" s="592"/>
      <c r="DR79" s="592"/>
      <c r="DS79" s="592"/>
      <c r="DT79" s="592"/>
      <c r="DU79" s="592"/>
      <c r="DV79" s="592"/>
      <c r="DW79" s="592"/>
      <c r="DX79" s="592"/>
      <c r="DY79" s="592"/>
      <c r="DZ79" s="592"/>
      <c r="EA79" s="592"/>
      <c r="EB79" s="592"/>
      <c r="EC79" s="592"/>
      <c r="ED79" s="592"/>
      <c r="EE79" s="592"/>
      <c r="EF79" s="592"/>
      <c r="EG79" s="592"/>
      <c r="EH79" s="592"/>
      <c r="EI79" s="592"/>
      <c r="EJ79" s="592"/>
      <c r="EK79" s="592"/>
      <c r="EL79" s="592"/>
      <c r="EM79" s="592"/>
    </row>
    <row r="80" spans="1:143" s="78" customFormat="1">
      <c r="A80" s="89"/>
      <c r="B80" s="79"/>
      <c r="C80" s="79"/>
      <c r="D80" s="79"/>
      <c r="E80" s="79"/>
      <c r="F80" s="226"/>
      <c r="G80" s="226"/>
      <c r="H80" s="79"/>
      <c r="I80" s="77"/>
      <c r="J80" s="77"/>
      <c r="K80" s="77"/>
      <c r="L80" s="77"/>
      <c r="M80" s="77"/>
      <c r="N80" s="77"/>
      <c r="O80" s="77"/>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c r="AP80" s="77"/>
      <c r="AQ80" s="77"/>
      <c r="AR80" s="77"/>
      <c r="AS80" s="77"/>
      <c r="AT80" s="77"/>
      <c r="AU80" s="77"/>
      <c r="AV80" s="77"/>
      <c r="AW80" s="77"/>
      <c r="AX80" s="77"/>
      <c r="AY80" s="77"/>
      <c r="AZ80" s="77"/>
      <c r="BA80" s="77"/>
      <c r="BB80" s="77"/>
      <c r="BC80" s="77"/>
      <c r="BD80" s="77"/>
      <c r="BE80" s="77"/>
      <c r="BF80" s="77"/>
      <c r="BG80" s="77"/>
      <c r="BH80" s="77"/>
      <c r="BI80" s="77"/>
      <c r="BJ80" s="77"/>
      <c r="BK80" s="77"/>
      <c r="BL80" s="77"/>
      <c r="BM80" s="77"/>
      <c r="BN80" s="77"/>
      <c r="BO80" s="77"/>
      <c r="BP80" s="77"/>
      <c r="BQ80" s="77"/>
      <c r="BR80" s="77"/>
      <c r="BS80" s="77"/>
      <c r="BT80" s="77"/>
      <c r="BU80" s="77"/>
      <c r="BV80" s="77"/>
      <c r="BW80" s="77"/>
      <c r="BX80" s="77"/>
      <c r="BY80" s="77"/>
      <c r="BZ80" s="77"/>
      <c r="CA80" s="77"/>
      <c r="CB80" s="77"/>
      <c r="CC80" s="77"/>
      <c r="CD80" s="77"/>
      <c r="CE80" s="77"/>
      <c r="CF80" s="77"/>
      <c r="CG80" s="77"/>
      <c r="CH80" s="77"/>
      <c r="CI80" s="77"/>
      <c r="CJ80" s="77"/>
      <c r="CK80" s="77"/>
      <c r="CL80" s="77"/>
      <c r="CM80" s="77"/>
      <c r="CN80" s="77"/>
      <c r="CO80" s="77"/>
      <c r="CP80" s="77"/>
      <c r="CQ80" s="77"/>
      <c r="CR80" s="77"/>
      <c r="CS80" s="77"/>
      <c r="CT80" s="77"/>
      <c r="CU80" s="77"/>
      <c r="CV80" s="77"/>
      <c r="CW80" s="77"/>
      <c r="CX80" s="77"/>
      <c r="CY80" s="77"/>
      <c r="CZ80" s="77"/>
      <c r="DA80" s="77"/>
      <c r="DB80" s="77"/>
      <c r="DC80" s="77"/>
      <c r="DD80" s="77"/>
      <c r="DE80" s="77"/>
      <c r="DF80" s="77"/>
      <c r="DG80" s="77"/>
      <c r="DH80" s="77"/>
      <c r="DI80" s="77"/>
      <c r="DJ80" s="77"/>
      <c r="DK80" s="77"/>
      <c r="DL80" s="77"/>
      <c r="DM80" s="77"/>
      <c r="DN80" s="77"/>
      <c r="DO80" s="77"/>
      <c r="DP80" s="77"/>
      <c r="DQ80" s="77"/>
      <c r="DR80" s="77"/>
      <c r="DS80" s="77"/>
      <c r="DT80" s="77"/>
      <c r="DU80" s="77"/>
      <c r="DV80" s="77"/>
      <c r="DW80" s="77"/>
      <c r="DX80" s="77"/>
      <c r="DY80" s="77"/>
      <c r="DZ80" s="77"/>
      <c r="EA80" s="77"/>
      <c r="EB80" s="77"/>
      <c r="EC80" s="77"/>
      <c r="ED80" s="77"/>
      <c r="EE80" s="77"/>
      <c r="EF80" s="77"/>
      <c r="EG80" s="77"/>
      <c r="EH80" s="77"/>
      <c r="EI80" s="77"/>
      <c r="EJ80" s="77"/>
      <c r="EK80" s="77"/>
      <c r="EL80" s="77"/>
      <c r="EM80" s="77"/>
    </row>
    <row r="81" spans="1:143" s="78" customFormat="1">
      <c r="A81" s="89"/>
      <c r="B81" s="328" t="s">
        <v>93</v>
      </c>
      <c r="C81" s="328"/>
      <c r="D81" s="89"/>
      <c r="E81" s="89"/>
      <c r="G81" s="224">
        <v>0</v>
      </c>
      <c r="H81" s="344" t="s">
        <v>468</v>
      </c>
      <c r="I81" s="1638">
        <f ca="1">EWCSum!K25</f>
        <v>0.12499999403953552</v>
      </c>
      <c r="J81" s="77"/>
      <c r="K81" s="77"/>
      <c r="L81" s="77"/>
      <c r="M81" s="77"/>
      <c r="N81" s="77"/>
      <c r="O81" s="77"/>
      <c r="P81" s="77"/>
      <c r="Q81" s="77"/>
      <c r="R81" s="77"/>
      <c r="S81" s="77"/>
      <c r="T81" s="77"/>
      <c r="U81" s="77"/>
      <c r="V81" s="77"/>
      <c r="W81" s="77"/>
      <c r="X81" s="77"/>
      <c r="Y81" s="77"/>
      <c r="Z81" s="77"/>
      <c r="AA81" s="77"/>
      <c r="AB81" s="77"/>
      <c r="AC81" s="77"/>
      <c r="AD81" s="77"/>
      <c r="AE81" s="77"/>
      <c r="AF81" s="77"/>
      <c r="AG81" s="77"/>
      <c r="AH81" s="77"/>
      <c r="AI81" s="77"/>
      <c r="AJ81" s="77"/>
      <c r="AK81" s="77"/>
      <c r="AL81" s="77"/>
      <c r="AM81" s="77"/>
      <c r="AN81" s="77"/>
      <c r="AO81" s="77"/>
      <c r="AP81" s="77"/>
      <c r="AQ81" s="77"/>
      <c r="AR81" s="77"/>
      <c r="AS81" s="77"/>
      <c r="AT81" s="77"/>
      <c r="AU81" s="77"/>
      <c r="AV81" s="77"/>
      <c r="AW81" s="77"/>
      <c r="AX81" s="77"/>
      <c r="AY81" s="77"/>
      <c r="AZ81" s="77"/>
      <c r="BA81" s="77"/>
      <c r="BB81" s="77"/>
      <c r="BC81" s="77"/>
      <c r="BD81" s="77"/>
      <c r="BE81" s="77"/>
      <c r="BF81" s="77"/>
      <c r="BG81" s="77"/>
      <c r="BH81" s="77"/>
      <c r="BI81" s="77"/>
      <c r="BJ81" s="77"/>
      <c r="BK81" s="77"/>
      <c r="BL81" s="77"/>
      <c r="BM81" s="77"/>
      <c r="BN81" s="77"/>
      <c r="BO81" s="77"/>
      <c r="BP81" s="77"/>
      <c r="BQ81" s="77"/>
      <c r="BR81" s="77"/>
      <c r="BS81" s="77"/>
      <c r="BT81" s="77"/>
      <c r="BU81" s="77"/>
      <c r="BV81" s="77"/>
      <c r="BW81" s="77"/>
      <c r="BX81" s="77"/>
      <c r="BY81" s="77"/>
      <c r="BZ81" s="77"/>
      <c r="CA81" s="77"/>
      <c r="CB81" s="77"/>
      <c r="CC81" s="77"/>
      <c r="CD81" s="77"/>
      <c r="CE81" s="77"/>
      <c r="CF81" s="77"/>
      <c r="CG81" s="77"/>
      <c r="CH81" s="77"/>
      <c r="CI81" s="77"/>
      <c r="CJ81" s="77"/>
      <c r="CK81" s="77"/>
      <c r="CL81" s="77"/>
      <c r="CM81" s="77"/>
      <c r="CN81" s="77"/>
      <c r="CO81" s="77"/>
      <c r="CP81" s="77"/>
      <c r="CQ81" s="77"/>
      <c r="CR81" s="77"/>
      <c r="CS81" s="77"/>
      <c r="CT81" s="77"/>
      <c r="CU81" s="77"/>
      <c r="CV81" s="77"/>
      <c r="CW81" s="77"/>
      <c r="CX81" s="77"/>
      <c r="CY81" s="77"/>
      <c r="CZ81" s="77"/>
      <c r="DA81" s="77"/>
      <c r="DB81" s="77"/>
      <c r="DC81" s="77"/>
      <c r="DD81" s="77"/>
      <c r="DE81" s="77"/>
      <c r="DF81" s="77"/>
      <c r="DG81" s="77"/>
      <c r="DH81" s="77"/>
      <c r="DI81" s="77"/>
      <c r="DJ81" s="77"/>
      <c r="DK81" s="77"/>
      <c r="DL81" s="77"/>
      <c r="DM81" s="77"/>
      <c r="DN81" s="77"/>
      <c r="DO81" s="77"/>
      <c r="DP81" s="77"/>
      <c r="DQ81" s="77"/>
      <c r="DR81" s="77"/>
      <c r="DS81" s="77"/>
      <c r="DT81" s="77"/>
      <c r="DU81" s="77"/>
      <c r="DV81" s="77"/>
      <c r="DW81" s="77"/>
      <c r="DX81" s="77"/>
      <c r="DY81" s="77"/>
      <c r="DZ81" s="77"/>
      <c r="EA81" s="77"/>
      <c r="EB81" s="77"/>
      <c r="EC81" s="77"/>
      <c r="ED81" s="77"/>
      <c r="EE81" s="77"/>
      <c r="EF81" s="77"/>
      <c r="EG81" s="77"/>
      <c r="EH81" s="77"/>
      <c r="EI81" s="77"/>
      <c r="EJ81" s="77"/>
      <c r="EK81" s="77"/>
      <c r="EL81" s="77"/>
      <c r="EM81" s="77"/>
    </row>
    <row r="83" spans="1:143">
      <c r="B83" s="316" t="s">
        <v>524</v>
      </c>
      <c r="C83" s="316"/>
      <c r="D83" s="316"/>
      <c r="E83" s="316"/>
      <c r="G83" s="223">
        <f>J77*I77</f>
        <v>0</v>
      </c>
      <c r="H83" s="344" t="s">
        <v>468</v>
      </c>
    </row>
    <row r="84" spans="1:143">
      <c r="B84" s="316" t="s">
        <v>525</v>
      </c>
      <c r="C84" s="316"/>
      <c r="D84" s="316"/>
      <c r="E84" s="316"/>
      <c r="G84" s="219">
        <f ca="1">Srcs_Uses!E10-SUM(F93:F112)-SUM(Srcs_Uses!E16:E32)</f>
        <v>-83.863667177316529</v>
      </c>
      <c r="H84" s="316"/>
    </row>
    <row r="86" spans="1:143">
      <c r="B86" t="s">
        <v>103</v>
      </c>
      <c r="G86" s="305">
        <v>1</v>
      </c>
      <c r="H86" t="s">
        <v>105</v>
      </c>
    </row>
    <row r="87" spans="1:143">
      <c r="G87" s="316"/>
    </row>
    <row r="88" spans="1:143" s="76" customFormat="1">
      <c r="A88" s="108"/>
      <c r="B88" s="60" t="s">
        <v>92</v>
      </c>
      <c r="C88" s="60"/>
      <c r="D88" s="108"/>
      <c r="E88" s="108"/>
      <c r="G88" s="601">
        <f ca="1">IF(G86=1,G84,G83)</f>
        <v>-83.863667177316529</v>
      </c>
      <c r="H88" s="81"/>
      <c r="I88" s="108"/>
      <c r="J88" s="12"/>
      <c r="K88" s="12"/>
      <c r="L88" s="108"/>
      <c r="M88" s="108"/>
      <c r="N88" s="108"/>
      <c r="O88" s="108"/>
      <c r="P88" s="108"/>
      <c r="Q88" s="108"/>
      <c r="R88" s="108"/>
      <c r="S88" s="108"/>
      <c r="T88" s="108"/>
      <c r="U88" s="108"/>
      <c r="V88" s="108"/>
      <c r="W88" s="108"/>
      <c r="X88" s="108"/>
      <c r="Y88" s="108"/>
      <c r="Z88" s="108"/>
      <c r="AA88" s="108"/>
      <c r="AB88" s="108"/>
      <c r="AC88" s="108"/>
      <c r="AD88" s="108"/>
      <c r="AE88" s="108"/>
      <c r="AF88" s="108"/>
      <c r="AG88" s="108"/>
      <c r="AH88" s="108"/>
      <c r="AI88" s="108"/>
      <c r="AJ88" s="108"/>
      <c r="AK88" s="108"/>
      <c r="AL88" s="108"/>
      <c r="AM88" s="108"/>
      <c r="AN88" s="108"/>
      <c r="AO88" s="108"/>
      <c r="AP88" s="108"/>
      <c r="AQ88" s="108"/>
      <c r="AR88" s="108"/>
      <c r="AS88" s="108"/>
      <c r="AT88" s="108"/>
      <c r="AU88" s="108"/>
      <c r="AV88" s="108"/>
      <c r="AW88" s="108"/>
      <c r="AX88" s="108"/>
      <c r="AY88" s="108"/>
      <c r="AZ88" s="108"/>
      <c r="BA88" s="108"/>
      <c r="BB88" s="108"/>
      <c r="BC88" s="108"/>
      <c r="BD88" s="108"/>
      <c r="BE88" s="108"/>
      <c r="BF88" s="108"/>
      <c r="BG88" s="108"/>
      <c r="BH88" s="108"/>
      <c r="BI88" s="108"/>
      <c r="BJ88" s="108"/>
      <c r="BK88" s="108"/>
      <c r="BL88" s="108"/>
      <c r="BM88" s="108"/>
      <c r="BN88" s="108"/>
      <c r="BO88" s="108"/>
      <c r="BP88" s="108"/>
      <c r="BQ88" s="108"/>
      <c r="BR88" s="108"/>
      <c r="BS88" s="108"/>
      <c r="BT88" s="108"/>
      <c r="BU88" s="108"/>
      <c r="BV88" s="108"/>
      <c r="BW88" s="108"/>
      <c r="BX88" s="108"/>
      <c r="BY88" s="108"/>
      <c r="BZ88" s="108"/>
      <c r="CA88" s="108"/>
      <c r="CB88" s="108"/>
      <c r="CC88" s="108"/>
      <c r="CD88" s="108"/>
      <c r="CE88" s="108"/>
      <c r="CF88" s="108"/>
      <c r="CG88" s="108"/>
      <c r="CH88" s="108"/>
      <c r="CI88" s="108"/>
      <c r="CJ88" s="108"/>
      <c r="CK88" s="108"/>
      <c r="CL88" s="108"/>
      <c r="CM88" s="108"/>
      <c r="CN88" s="108"/>
      <c r="CO88" s="108"/>
      <c r="CP88" s="108"/>
      <c r="CQ88" s="108"/>
      <c r="CR88" s="108"/>
      <c r="CS88" s="108"/>
      <c r="CT88" s="108"/>
      <c r="CU88" s="108"/>
      <c r="CV88" s="108"/>
      <c r="CW88" s="108"/>
      <c r="CX88" s="108"/>
      <c r="CY88" s="108"/>
      <c r="CZ88" s="108"/>
      <c r="DA88" s="108"/>
      <c r="DB88" s="108"/>
      <c r="DC88" s="108"/>
      <c r="DD88" s="108"/>
      <c r="DE88" s="108"/>
      <c r="DF88" s="108"/>
      <c r="DG88" s="108"/>
      <c r="DH88" s="108"/>
      <c r="DI88" s="108"/>
      <c r="DJ88" s="108"/>
      <c r="DK88" s="108"/>
      <c r="DL88" s="108"/>
      <c r="DM88" s="108"/>
      <c r="DN88" s="108"/>
      <c r="DO88" s="108"/>
      <c r="DP88" s="108"/>
      <c r="DQ88" s="108"/>
      <c r="DR88" s="108"/>
      <c r="DS88" s="108"/>
      <c r="DT88" s="108"/>
      <c r="DU88" s="108"/>
      <c r="DV88" s="108"/>
      <c r="DW88" s="108"/>
      <c r="DX88" s="108"/>
      <c r="DY88" s="108"/>
      <c r="DZ88" s="108"/>
      <c r="EA88" s="108"/>
      <c r="EB88" s="108"/>
      <c r="EC88" s="108"/>
      <c r="ED88" s="108"/>
      <c r="EE88" s="108"/>
      <c r="EF88" s="108"/>
      <c r="EG88" s="108"/>
      <c r="EH88" s="108"/>
      <c r="EI88" s="108"/>
      <c r="EJ88" s="108"/>
      <c r="EK88" s="108"/>
      <c r="EL88" s="108"/>
      <c r="EM88" s="108"/>
    </row>
    <row r="89" spans="1:143" s="76" customFormat="1">
      <c r="A89" s="108"/>
      <c r="B89"/>
      <c r="C89"/>
      <c r="D89"/>
      <c r="E89"/>
      <c r="F89"/>
      <c r="G89"/>
      <c r="H89" s="81"/>
      <c r="I89" s="108"/>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c r="DU89" s="12"/>
      <c r="DV89" s="12"/>
      <c r="DW89" s="12"/>
      <c r="DX89" s="12"/>
      <c r="DY89" s="12"/>
      <c r="DZ89" s="12"/>
      <c r="EA89" s="12"/>
      <c r="EB89" s="12"/>
      <c r="EC89" s="12"/>
      <c r="ED89" s="12"/>
      <c r="EE89" s="12"/>
      <c r="EF89" s="12"/>
      <c r="EG89" s="12"/>
      <c r="EH89" s="12"/>
      <c r="EI89" s="12"/>
      <c r="EJ89" s="12"/>
      <c r="EK89" s="12"/>
      <c r="EL89" s="12"/>
      <c r="EM89" s="12"/>
    </row>
    <row r="90" spans="1:143" s="214" customFormat="1">
      <c r="B90" s="395" t="s">
        <v>739</v>
      </c>
      <c r="C90" s="395"/>
    </row>
    <row r="92" spans="1:143">
      <c r="F92" s="1160" t="s">
        <v>457</v>
      </c>
      <c r="G92" s="1161" t="s">
        <v>830</v>
      </c>
      <c r="H92" s="1161" t="s">
        <v>161</v>
      </c>
      <c r="I92" s="1161" t="s">
        <v>143</v>
      </c>
      <c r="M92" s="41" t="s">
        <v>9</v>
      </c>
    </row>
    <row r="93" spans="1:143">
      <c r="B93" s="171" t="str">
        <f>Internal!B41</f>
        <v>TURBINE PRICE</v>
      </c>
      <c r="C93" s="171"/>
      <c r="F93" s="176">
        <f>Srcs_Uses!$E$3*(Internal!G41)</f>
        <v>66392</v>
      </c>
      <c r="G93" s="175">
        <f ca="1">F93/Srcs_Uses!E$33</f>
        <v>0.50445372776825681</v>
      </c>
      <c r="H93" s="173">
        <f>F93/Assum!$F$31</f>
        <v>514.66666666666663</v>
      </c>
      <c r="I93" s="173">
        <f>F93/$D$18</f>
        <v>772</v>
      </c>
      <c r="K93" s="292" t="str">
        <f t="shared" ref="K93:K113" si="1">B93</f>
        <v>TURBINE PRICE</v>
      </c>
      <c r="L93" s="45"/>
      <c r="M93" s="198" t="s">
        <v>579</v>
      </c>
      <c r="N93" s="38"/>
      <c r="O93" s="38"/>
      <c r="P93" s="38"/>
      <c r="Q93" s="38"/>
      <c r="R93" s="38"/>
      <c r="S93" s="38"/>
      <c r="T93" s="38"/>
      <c r="U93" s="38"/>
    </row>
    <row r="94" spans="1:143">
      <c r="B94" s="171" t="str">
        <f>Internal!B42</f>
        <v>SCADA SYSTEM</v>
      </c>
      <c r="C94" s="171"/>
      <c r="F94" s="176">
        <f>Srcs_Uses!$E$3*(Internal!G42)</f>
        <v>0</v>
      </c>
      <c r="G94" s="175">
        <f ca="1">F94/Srcs_Uses!E$33</f>
        <v>0</v>
      </c>
      <c r="H94" s="173">
        <f>F94/Assum!$F$31</f>
        <v>0</v>
      </c>
      <c r="I94" s="173">
        <f t="shared" ref="I94:I114" si="2">F94/$D$18</f>
        <v>0</v>
      </c>
      <c r="K94" s="292" t="str">
        <f t="shared" si="1"/>
        <v>SCADA SYSTEM</v>
      </c>
      <c r="L94" s="45"/>
      <c r="M94" s="42" t="s">
        <v>89</v>
      </c>
      <c r="N94" s="38"/>
      <c r="O94" s="38"/>
      <c r="P94" s="38"/>
      <c r="Q94" s="38"/>
      <c r="R94" s="38"/>
      <c r="S94" s="38"/>
      <c r="T94" s="38"/>
      <c r="U94" s="38"/>
    </row>
    <row r="95" spans="1:143">
      <c r="B95" s="171" t="s">
        <v>11</v>
      </c>
      <c r="C95" s="171"/>
      <c r="F95" s="176">
        <f>Srcs_Uses!$E$3*(Internal!G45+Internal!G44)</f>
        <v>1962.7779999999998</v>
      </c>
      <c r="G95" s="175">
        <f ca="1">F95/Srcs_Uses!E$33</f>
        <v>1.491340340525249E-2</v>
      </c>
      <c r="H95" s="173">
        <f>F95/Assum!$F$31</f>
        <v>15.215333333333332</v>
      </c>
      <c r="I95" s="173">
        <f t="shared" si="2"/>
        <v>22.822999999999997</v>
      </c>
      <c r="K95" s="292" t="str">
        <f t="shared" si="1"/>
        <v>SHIPPING - WTG &amp; BLADES</v>
      </c>
      <c r="L95" s="45"/>
      <c r="M95" s="43" t="s">
        <v>90</v>
      </c>
      <c r="N95" s="38"/>
      <c r="O95" s="38"/>
      <c r="P95" s="38"/>
      <c r="Q95" s="38"/>
      <c r="R95" s="38"/>
      <c r="S95" s="38"/>
      <c r="T95" s="38"/>
      <c r="U95" s="38"/>
    </row>
    <row r="96" spans="1:143">
      <c r="B96" s="171" t="str">
        <f>Internal!B43</f>
        <v>TOWER</v>
      </c>
      <c r="C96" s="171"/>
      <c r="F96" s="176">
        <f>Srcs_Uses!$E$3*Internal!G43</f>
        <v>10492</v>
      </c>
      <c r="G96" s="175">
        <f ca="1">F96/Srcs_Uses!E$33</f>
        <v>7.9719371486693419E-2</v>
      </c>
      <c r="H96" s="173">
        <f>F96/Assum!$F$31</f>
        <v>81.333333333333329</v>
      </c>
      <c r="I96" s="173">
        <f t="shared" si="2"/>
        <v>122</v>
      </c>
      <c r="K96" s="292" t="str">
        <f t="shared" si="1"/>
        <v>TOWER</v>
      </c>
      <c r="L96" s="45"/>
      <c r="M96" s="199" t="s">
        <v>581</v>
      </c>
      <c r="N96" s="38"/>
      <c r="O96" s="38"/>
      <c r="P96" s="38"/>
      <c r="Q96" s="38"/>
      <c r="R96" s="38"/>
      <c r="S96" s="38"/>
      <c r="T96" s="38"/>
      <c r="U96" s="38"/>
    </row>
    <row r="97" spans="2:21">
      <c r="B97" s="171" t="str">
        <f>Internal!B46</f>
        <v>TOWER FREIGHT</v>
      </c>
      <c r="C97" s="171"/>
      <c r="F97" s="176">
        <f>Srcs_Uses!$E$3*Internal!G46</f>
        <v>645</v>
      </c>
      <c r="G97" s="175">
        <f ca="1">F97/Srcs_Uses!E$33</f>
        <v>4.9007810340180383E-3</v>
      </c>
      <c r="H97" s="173">
        <f>F97/Assum!$F$31</f>
        <v>5</v>
      </c>
      <c r="I97" s="173">
        <f t="shared" si="2"/>
        <v>7.5</v>
      </c>
      <c r="K97" s="292" t="str">
        <f t="shared" si="1"/>
        <v>TOWER FREIGHT</v>
      </c>
      <c r="L97" s="45"/>
      <c r="M97" s="200" t="s">
        <v>582</v>
      </c>
      <c r="N97" s="38"/>
      <c r="O97" s="38"/>
      <c r="P97" s="38"/>
      <c r="Q97" s="38"/>
      <c r="R97" s="38"/>
      <c r="S97" s="38"/>
      <c r="T97" s="38"/>
      <c r="U97" s="38"/>
    </row>
    <row r="98" spans="2:21">
      <c r="B98" s="171" t="str">
        <f>Internal!B47</f>
        <v>SERVICES</v>
      </c>
      <c r="C98" s="171"/>
      <c r="F98" s="176">
        <f>Srcs_Uses!$E$3*Internal!G47</f>
        <v>1758</v>
      </c>
      <c r="G98" s="175">
        <f ca="1">F98/Srcs_Uses!E$33</f>
        <v>1.3357477608998003E-2</v>
      </c>
      <c r="H98" s="173">
        <f>F98/Assum!$F$31</f>
        <v>13.627906976744185</v>
      </c>
      <c r="I98" s="173">
        <f t="shared" si="2"/>
        <v>20.441860465116278</v>
      </c>
      <c r="K98" s="295" t="str">
        <f t="shared" si="1"/>
        <v>SERVICES</v>
      </c>
      <c r="L98" s="45"/>
      <c r="M98" s="45"/>
      <c r="N98" s="38"/>
      <c r="O98" s="38"/>
      <c r="P98" s="38"/>
      <c r="Q98" s="38"/>
      <c r="R98" s="38"/>
      <c r="S98" s="38"/>
      <c r="T98" s="38"/>
      <c r="U98" s="38"/>
    </row>
    <row r="99" spans="2:21">
      <c r="B99" s="171" t="str">
        <f>Internal!B48</f>
        <v>SALES TAX</v>
      </c>
      <c r="C99" s="171"/>
      <c r="F99" s="176">
        <f>Srcs_Uses!$E$3*Internal!G48</f>
        <v>0</v>
      </c>
      <c r="G99" s="175">
        <f ca="1">F99/Srcs_Uses!E$33</f>
        <v>0</v>
      </c>
      <c r="H99" s="173">
        <f>F99/Assum!$F$31</f>
        <v>0</v>
      </c>
      <c r="I99" s="173">
        <f>F99/$D$18</f>
        <v>0</v>
      </c>
      <c r="K99" s="292" t="str">
        <f t="shared" si="1"/>
        <v>SALES TAX</v>
      </c>
      <c r="L99" s="45"/>
      <c r="M99" s="45"/>
      <c r="N99" s="38"/>
      <c r="O99" s="38"/>
      <c r="P99" s="38"/>
      <c r="Q99" s="38"/>
      <c r="R99" s="38"/>
      <c r="S99" s="38"/>
      <c r="T99" s="38"/>
      <c r="U99" s="38"/>
    </row>
    <row r="100" spans="2:21">
      <c r="B100" s="171" t="str">
        <f>Internal!B52</f>
        <v>MANUFACTURING COSTS</v>
      </c>
      <c r="C100" s="171"/>
      <c r="F100" s="176">
        <f>Srcs_Uses!$E$3*Internal!G52</f>
        <v>0</v>
      </c>
      <c r="G100" s="175">
        <f ca="1">F100/Srcs_Uses!E$33</f>
        <v>0</v>
      </c>
      <c r="H100" s="173">
        <f>F100/Assum!$F$31</f>
        <v>0</v>
      </c>
      <c r="I100" s="173">
        <f t="shared" si="2"/>
        <v>0</v>
      </c>
      <c r="K100" s="292" t="str">
        <f t="shared" si="1"/>
        <v>MANUFACTURING COSTS</v>
      </c>
      <c r="L100" s="45"/>
      <c r="M100" s="45"/>
      <c r="N100" s="38"/>
      <c r="O100" s="38"/>
      <c r="P100" s="38"/>
      <c r="Q100" s="38"/>
      <c r="R100" s="38"/>
      <c r="S100" s="38"/>
      <c r="T100" s="38"/>
      <c r="U100" s="38"/>
    </row>
    <row r="101" spans="2:21">
      <c r="B101" s="171" t="str">
        <f>Internal!B53</f>
        <v>CIVIL COSTS</v>
      </c>
      <c r="C101" s="171"/>
      <c r="F101" s="176">
        <f>Srcs_Uses!$E$3*Internal!G53</f>
        <v>6290.04</v>
      </c>
      <c r="G101" s="175">
        <f ca="1">F101/Srcs_Uses!E$33</f>
        <v>4.779241664374391E-2</v>
      </c>
      <c r="H101" s="173">
        <f>F101/Assum!$F$31</f>
        <v>48.76</v>
      </c>
      <c r="I101" s="173">
        <f t="shared" si="2"/>
        <v>73.14</v>
      </c>
      <c r="K101" s="292" t="str">
        <f t="shared" si="1"/>
        <v>CIVIL COSTS</v>
      </c>
      <c r="L101" s="45"/>
      <c r="M101" s="45"/>
      <c r="N101" s="38"/>
      <c r="O101" s="38"/>
      <c r="P101" s="38"/>
      <c r="Q101" s="38"/>
      <c r="R101" s="38"/>
      <c r="S101" s="38"/>
      <c r="T101" s="38"/>
      <c r="U101" s="38"/>
    </row>
    <row r="102" spans="2:21">
      <c r="B102" s="171" t="str">
        <f>Internal!B54</f>
        <v>MECHANICAL/ERECTION</v>
      </c>
      <c r="C102" s="171"/>
      <c r="F102" s="176">
        <f>Srcs_Uses!$E$3*Internal!G54</f>
        <v>5946.7280000000001</v>
      </c>
      <c r="G102" s="175">
        <f ca="1">F102/Srcs_Uses!E$33</f>
        <v>4.5183894258703908E-2</v>
      </c>
      <c r="H102" s="173">
        <f>F102/Assum!$F$31</f>
        <v>46.098666666666666</v>
      </c>
      <c r="I102" s="173">
        <f t="shared" si="2"/>
        <v>69.147999999999996</v>
      </c>
      <c r="K102" s="292" t="str">
        <f t="shared" si="1"/>
        <v>MECHANICAL/ERECTION</v>
      </c>
      <c r="L102" s="45"/>
      <c r="M102" s="45"/>
      <c r="N102" s="38"/>
      <c r="O102" s="38"/>
      <c r="P102" s="38"/>
      <c r="Q102" s="38"/>
      <c r="R102" s="38"/>
      <c r="S102" s="38"/>
      <c r="T102" s="38"/>
      <c r="U102" s="38"/>
    </row>
    <row r="103" spans="2:21">
      <c r="B103" s="171" t="str">
        <f>Internal!B55</f>
        <v>ELECTRICAL DISTRIBUTION</v>
      </c>
      <c r="C103" s="171"/>
      <c r="F103" s="176">
        <f>Srcs_Uses!$E$3*Internal!G55</f>
        <v>0</v>
      </c>
      <c r="G103" s="175">
        <f ca="1">F103/Srcs_Uses!E$33</f>
        <v>0</v>
      </c>
      <c r="H103" s="173">
        <f>F103/Assum!$F$31</f>
        <v>0</v>
      </c>
      <c r="I103" s="173">
        <f t="shared" si="2"/>
        <v>0</v>
      </c>
      <c r="K103" s="292" t="str">
        <f t="shared" si="1"/>
        <v>ELECTRICAL DISTRIBUTION</v>
      </c>
      <c r="L103" s="45"/>
      <c r="M103" s="45"/>
      <c r="N103" s="38"/>
      <c r="O103" s="38"/>
      <c r="P103" s="38"/>
      <c r="Q103" s="38"/>
      <c r="R103" s="38"/>
      <c r="S103" s="38"/>
      <c r="T103" s="38"/>
      <c r="U103" s="38"/>
    </row>
    <row r="104" spans="2:21">
      <c r="B104" s="171" t="str">
        <f>Internal!B56</f>
        <v>ENGINEERING</v>
      </c>
      <c r="C104" s="171"/>
      <c r="F104" s="176">
        <f>Srcs_Uses!$E$3*Internal!G56</f>
        <v>1714.84</v>
      </c>
      <c r="G104" s="175">
        <f ca="1">F104/Srcs_Uses!E$33</f>
        <v>1.3029543175775957E-2</v>
      </c>
      <c r="H104" s="173">
        <f>F104/Assum!$F$31</f>
        <v>13.293333333333333</v>
      </c>
      <c r="I104" s="173">
        <f t="shared" si="2"/>
        <v>19.939999999999998</v>
      </c>
      <c r="K104" s="292" t="str">
        <f t="shared" si="1"/>
        <v>ENGINEERING</v>
      </c>
      <c r="L104" s="45"/>
      <c r="M104" s="45"/>
      <c r="N104" s="38"/>
      <c r="O104" s="38"/>
      <c r="P104" s="38"/>
      <c r="Q104" s="38"/>
      <c r="R104" s="38"/>
      <c r="S104" s="38"/>
      <c r="T104" s="38"/>
      <c r="U104" s="38"/>
    </row>
    <row r="105" spans="2:21">
      <c r="B105" s="171" t="str">
        <f>Internal!B57</f>
        <v>O&amp;M BLDG</v>
      </c>
      <c r="C105" s="171"/>
      <c r="F105" s="176">
        <f>Srcs_Uses!$E$3*Internal!G57</f>
        <v>254.56</v>
      </c>
      <c r="G105" s="175">
        <f ca="1">F105/Srcs_Uses!E$33</f>
        <v>1.9341749147591192E-3</v>
      </c>
      <c r="H105" s="173">
        <f>F105/Assum!$F$31</f>
        <v>1.9733333333333334</v>
      </c>
      <c r="I105" s="173">
        <f t="shared" si="2"/>
        <v>2.96</v>
      </c>
      <c r="K105" s="295" t="str">
        <f t="shared" si="1"/>
        <v>O&amp;M BLDG</v>
      </c>
      <c r="L105" s="45"/>
      <c r="M105" s="45"/>
      <c r="N105" s="38"/>
      <c r="O105" s="38"/>
      <c r="P105" s="38"/>
      <c r="Q105" s="38"/>
      <c r="R105" s="38"/>
      <c r="S105" s="38"/>
      <c r="T105" s="38"/>
      <c r="U105" s="38"/>
    </row>
    <row r="106" spans="2:21">
      <c r="B106" s="171" t="str">
        <f>Internal!B58</f>
        <v>FACILITY STARTUP</v>
      </c>
      <c r="C106" s="171"/>
      <c r="F106" s="176">
        <f>Srcs_Uses!$E$3*Internal!G58</f>
        <v>602.68799999999999</v>
      </c>
      <c r="G106" s="175">
        <f ca="1">F106/Srcs_Uses!E$33</f>
        <v>4.5792897981864547E-3</v>
      </c>
      <c r="H106" s="173">
        <f>F106/Assum!$F$31</f>
        <v>4.6719999999999997</v>
      </c>
      <c r="I106" s="173">
        <f t="shared" si="2"/>
        <v>7.008</v>
      </c>
      <c r="K106" s="292" t="str">
        <f t="shared" si="1"/>
        <v>FACILITY STARTUP</v>
      </c>
      <c r="L106" s="45"/>
      <c r="M106" s="45"/>
      <c r="N106" s="38"/>
      <c r="O106" s="38"/>
      <c r="P106" s="38"/>
      <c r="Q106" s="38"/>
      <c r="R106" s="38"/>
      <c r="S106" s="38"/>
      <c r="T106" s="38"/>
      <c r="U106" s="38"/>
    </row>
    <row r="107" spans="2:21">
      <c r="B107" s="171" t="s">
        <v>12</v>
      </c>
      <c r="C107" s="171"/>
      <c r="F107" s="176">
        <f>Srcs_Uses!$E$3*Internal!G63</f>
        <v>13847.204</v>
      </c>
      <c r="G107" s="175">
        <f ca="1">F107/Srcs_Uses!E$33</f>
        <v>0.10521258098818406</v>
      </c>
      <c r="H107" s="173">
        <f>F107/Assum!$F$31</f>
        <v>107.34266666666666</v>
      </c>
      <c r="I107" s="173">
        <f t="shared" si="2"/>
        <v>161.01400000000001</v>
      </c>
      <c r="K107" s="292" t="str">
        <f t="shared" si="1"/>
        <v>INTERCONNECTION COSTS</v>
      </c>
      <c r="L107" s="45"/>
      <c r="M107" s="45"/>
      <c r="N107" s="38"/>
      <c r="O107" s="38"/>
      <c r="P107" s="38"/>
      <c r="Q107" s="38"/>
      <c r="R107" s="38"/>
      <c r="S107" s="38"/>
      <c r="T107" s="38"/>
      <c r="U107" s="38"/>
    </row>
    <row r="108" spans="2:21">
      <c r="B108" s="171" t="s">
        <v>226</v>
      </c>
      <c r="C108" s="171"/>
      <c r="F108" s="176">
        <f>Srcs_Uses!$E$3*Internal!G71</f>
        <v>3564.5280000000002</v>
      </c>
      <c r="G108" s="175">
        <f ca="1">F108/Srcs_Uses!E$33</f>
        <v>2.708367630639729E-2</v>
      </c>
      <c r="H108" s="173">
        <f>F108/Assum!$F$31</f>
        <v>27.632000000000001</v>
      </c>
      <c r="I108" s="173">
        <f t="shared" si="2"/>
        <v>41.448</v>
      </c>
      <c r="K108" s="292" t="str">
        <f t="shared" si="1"/>
        <v>OTHER CONSTRUCTION COSTS</v>
      </c>
      <c r="L108" s="312"/>
      <c r="M108" s="312"/>
      <c r="N108" s="38"/>
      <c r="O108" s="38"/>
      <c r="P108" s="38"/>
      <c r="Q108" s="38"/>
      <c r="R108" s="38"/>
      <c r="S108" s="38"/>
      <c r="T108" s="38"/>
      <c r="U108" s="38"/>
    </row>
    <row r="109" spans="2:21">
      <c r="B109" s="171" t="str">
        <f>B74</f>
        <v>CONTINGENCY</v>
      </c>
      <c r="C109" s="171"/>
      <c r="F109" s="176">
        <f>G74</f>
        <v>3222.076</v>
      </c>
      <c r="G109" s="175">
        <f ca="1">F109/Srcs_Uses!E$33</f>
        <v>2.4481688296069309E-2</v>
      </c>
      <c r="H109" s="173">
        <f>F109/Assum!$F$31</f>
        <v>24.977333333333334</v>
      </c>
      <c r="I109" s="173">
        <f t="shared" si="2"/>
        <v>37.466000000000001</v>
      </c>
      <c r="K109" s="292"/>
      <c r="L109" s="312"/>
      <c r="M109" s="312"/>
      <c r="N109" s="38"/>
      <c r="O109" s="38"/>
      <c r="P109" s="38"/>
      <c r="Q109" s="38"/>
      <c r="R109" s="38"/>
      <c r="S109" s="38"/>
      <c r="T109" s="38"/>
      <c r="U109" s="38"/>
    </row>
    <row r="110" spans="2:21">
      <c r="B110" s="171" t="str">
        <f>B75</f>
        <v>INFLATION CONTINGENCY</v>
      </c>
      <c r="C110" s="171"/>
      <c r="F110" s="176">
        <f>G75</f>
        <v>0</v>
      </c>
      <c r="G110" s="175">
        <f ca="1">F110/Srcs_Uses!E$33</f>
        <v>0</v>
      </c>
      <c r="H110" s="173">
        <f>F110/Assum!$F$31</f>
        <v>0</v>
      </c>
      <c r="I110" s="173">
        <f t="shared" si="2"/>
        <v>0</v>
      </c>
      <c r="K110" s="292"/>
      <c r="L110" s="312"/>
      <c r="M110" s="312"/>
      <c r="N110" s="38"/>
      <c r="O110" s="38"/>
      <c r="P110" s="38"/>
      <c r="Q110" s="38"/>
      <c r="R110" s="38"/>
      <c r="S110" s="38"/>
      <c r="T110" s="38"/>
      <c r="U110" s="38"/>
    </row>
    <row r="111" spans="2:21">
      <c r="B111" s="171" t="str">
        <f>B76</f>
        <v>PROFIT MARGIN</v>
      </c>
      <c r="C111" s="171"/>
      <c r="F111" s="176">
        <f>G76</f>
        <v>0</v>
      </c>
      <c r="G111" s="175">
        <f ca="1">F111/Srcs_Uses!E$33</f>
        <v>0</v>
      </c>
      <c r="H111" s="173">
        <f>F111/Assum!$F$31</f>
        <v>0</v>
      </c>
      <c r="I111" s="173">
        <f>F111/$D$18</f>
        <v>0</v>
      </c>
      <c r="K111" s="292" t="str">
        <f t="shared" si="1"/>
        <v>PROFIT MARGIN</v>
      </c>
      <c r="L111" s="312"/>
      <c r="M111" s="312"/>
      <c r="N111" s="38"/>
      <c r="O111" s="38"/>
      <c r="P111" s="38"/>
      <c r="Q111" s="38"/>
      <c r="R111" s="38"/>
      <c r="S111" s="38"/>
      <c r="T111" s="38"/>
      <c r="U111" s="38"/>
    </row>
    <row r="112" spans="2:21">
      <c r="B112" s="171" t="s">
        <v>120</v>
      </c>
      <c r="C112" s="171"/>
      <c r="F112" s="352">
        <f>IF(G86=1,Internal!G81,Srcs_Uses!$E$3*Internal!G81)</f>
        <v>0</v>
      </c>
      <c r="G112" s="175">
        <f ca="1">F112/Srcs_Uses!E$33</f>
        <v>0</v>
      </c>
      <c r="H112" s="173">
        <f>F112/Assum!$F$31</f>
        <v>0</v>
      </c>
      <c r="I112" s="173">
        <f t="shared" si="2"/>
        <v>0</v>
      </c>
      <c r="K112" s="292" t="str">
        <f t="shared" si="1"/>
        <v>EPC WRAP FEE</v>
      </c>
      <c r="L112" s="45"/>
      <c r="M112" s="45"/>
      <c r="N112" s="38"/>
      <c r="O112" s="38"/>
      <c r="P112" s="38"/>
      <c r="Q112" s="38"/>
      <c r="R112" s="38"/>
      <c r="S112" s="38"/>
      <c r="T112" s="38"/>
      <c r="U112" s="38"/>
    </row>
    <row r="113" spans="2:21">
      <c r="B113" s="171" t="s">
        <v>1</v>
      </c>
      <c r="C113" s="171"/>
      <c r="F113" s="352">
        <f ca="1">(IF(G86=1,Internal!G88,Srcs_Uses!$E$3*Internal!G88))</f>
        <v>-83.863667177316529</v>
      </c>
      <c r="G113" s="175">
        <f ca="1">F113/Srcs_Uses!E$33</f>
        <v>-6.3720537914076583E-4</v>
      </c>
      <c r="H113" s="173">
        <f ca="1">F113/Assum!$F$31</f>
        <v>-0.6501059471109808</v>
      </c>
      <c r="I113" s="173">
        <f t="shared" ca="1" si="2"/>
        <v>-0.97515892066647125</v>
      </c>
      <c r="K113" s="292" t="str">
        <f t="shared" si="1"/>
        <v>EWC DEVELOPER FEE</v>
      </c>
      <c r="L113" s="45"/>
      <c r="M113" s="45"/>
      <c r="N113" s="38"/>
      <c r="O113" s="38"/>
      <c r="P113" s="38"/>
      <c r="Q113" s="38"/>
      <c r="R113" s="38"/>
      <c r="S113" s="38"/>
      <c r="T113" s="38"/>
      <c r="U113" s="38"/>
    </row>
    <row r="114" spans="2:21" ht="13.5" thickBot="1">
      <c r="B114" s="596" t="s">
        <v>831</v>
      </c>
      <c r="C114" s="465"/>
      <c r="F114" s="683">
        <f ca="1">SUM(F93:F113)</f>
        <v>116608.57833282268</v>
      </c>
      <c r="G114" s="595">
        <f ca="1">F114/Srcs_Uses!E$33</f>
        <v>0.886004820305898</v>
      </c>
      <c r="H114" s="597">
        <f ca="1">F114/Assum!$F$31</f>
        <v>903.9424676962999</v>
      </c>
      <c r="I114" s="597">
        <f t="shared" ca="1" si="2"/>
        <v>1355.9137015444499</v>
      </c>
    </row>
    <row r="115" spans="2:21">
      <c r="B115" s="241"/>
      <c r="C115" s="241"/>
      <c r="F115" s="241"/>
    </row>
    <row r="116" spans="2:21">
      <c r="B116" s="241"/>
      <c r="C116" s="241"/>
      <c r="F116" s="241"/>
    </row>
    <row r="118" spans="2:21" s="214" customFormat="1"/>
    <row r="119" spans="2:21" s="65" customFormat="1"/>
    <row r="120" spans="2:21" ht="13.5" thickBot="1">
      <c r="B120" s="241" t="s">
        <v>410</v>
      </c>
      <c r="C120" s="241"/>
    </row>
    <row r="121" spans="2:21">
      <c r="B121" s="676"/>
      <c r="C121" s="626"/>
    </row>
    <row r="122" spans="2:21">
      <c r="B122" s="677" t="str">
        <f>Internal!F16</f>
        <v>-</v>
      </c>
      <c r="C122" s="626"/>
      <c r="D122" t="s">
        <v>411</v>
      </c>
    </row>
    <row r="123" spans="2:21">
      <c r="B123" s="677" t="str">
        <f>Internal!G16</f>
        <v>TZ 1.5</v>
      </c>
      <c r="C123" s="626"/>
      <c r="D123" t="s">
        <v>412</v>
      </c>
    </row>
    <row r="124" spans="2:21">
      <c r="B124" s="677" t="str">
        <f>Internal!H16</f>
        <v>-</v>
      </c>
      <c r="C124" s="626"/>
      <c r="D124" t="s">
        <v>413</v>
      </c>
    </row>
    <row r="125" spans="2:21">
      <c r="B125" s="678" t="str">
        <f>Internal!F17</f>
        <v>-</v>
      </c>
      <c r="C125" s="1076"/>
      <c r="D125" t="s">
        <v>414</v>
      </c>
    </row>
    <row r="126" spans="2:21">
      <c r="B126" s="677">
        <f>Internal!G17</f>
        <v>1500</v>
      </c>
      <c r="C126" s="626"/>
      <c r="D126" t="s">
        <v>415</v>
      </c>
    </row>
    <row r="127" spans="2:21">
      <c r="B127" s="677" t="str">
        <f>Internal!H17</f>
        <v>-</v>
      </c>
      <c r="C127" s="626"/>
      <c r="D127" t="s">
        <v>416</v>
      </c>
    </row>
    <row r="128" spans="2:21">
      <c r="B128" s="677">
        <f>Internal!F18</f>
        <v>0</v>
      </c>
      <c r="C128" s="626"/>
      <c r="D128" t="s">
        <v>417</v>
      </c>
    </row>
    <row r="129" spans="2:4">
      <c r="B129" s="677">
        <f>Internal!G18</f>
        <v>86</v>
      </c>
      <c r="C129" s="626"/>
      <c r="D129" t="s">
        <v>418</v>
      </c>
    </row>
    <row r="130" spans="2:4">
      <c r="B130" s="677">
        <f>Internal!H18</f>
        <v>0</v>
      </c>
      <c r="C130" s="626"/>
      <c r="D130" t="s">
        <v>419</v>
      </c>
    </row>
    <row r="131" spans="2:4">
      <c r="B131" s="679">
        <f ca="1">Internal!F114</f>
        <v>116608.57833282268</v>
      </c>
      <c r="C131" s="1077"/>
      <c r="D131" t="s">
        <v>420</v>
      </c>
    </row>
    <row r="132" spans="2:4">
      <c r="B132" s="680">
        <f>-Internal!F98</f>
        <v>-1758</v>
      </c>
      <c r="C132" s="1078"/>
      <c r="D132" t="s">
        <v>421</v>
      </c>
    </row>
    <row r="133" spans="2:4">
      <c r="B133" s="681" t="str">
        <f>Internal!B98</f>
        <v>SERVICES</v>
      </c>
      <c r="C133" s="1079"/>
      <c r="D133" t="s">
        <v>422</v>
      </c>
    </row>
    <row r="134" spans="2:4">
      <c r="B134" s="680">
        <f>-Internal!F105</f>
        <v>-254.56</v>
      </c>
      <c r="C134" s="1078"/>
      <c r="D134" t="s">
        <v>423</v>
      </c>
    </row>
    <row r="135" spans="2:4">
      <c r="B135" s="681" t="str">
        <f>Internal!B105</f>
        <v>O&amp;M BLDG</v>
      </c>
      <c r="C135" s="1079"/>
      <c r="D135" t="s">
        <v>424</v>
      </c>
    </row>
    <row r="136" spans="2:4">
      <c r="B136" s="680"/>
      <c r="C136" s="1078"/>
    </row>
    <row r="137" spans="2:4">
      <c r="B137" s="680"/>
      <c r="C137" s="1078"/>
    </row>
    <row r="138" spans="2:4" ht="13.5" thickBot="1">
      <c r="B138" s="682"/>
      <c r="C138" s="626"/>
    </row>
    <row r="139" spans="2:4" s="65" customFormat="1">
      <c r="B139" s="612"/>
      <c r="C139" s="612"/>
    </row>
    <row r="140" spans="2:4" s="65" customFormat="1">
      <c r="B140" s="612"/>
      <c r="C140" s="612"/>
    </row>
    <row r="141" spans="2:4" s="65" customFormat="1" ht="13.5" thickBot="1">
      <c r="B141" s="241" t="s">
        <v>645</v>
      </c>
      <c r="C141" s="612"/>
    </row>
    <row r="142" spans="2:4" s="65" customFormat="1">
      <c r="B142" s="696">
        <v>0</v>
      </c>
    </row>
    <row r="143" spans="2:4" s="65" customFormat="1">
      <c r="B143" s="697">
        <v>1</v>
      </c>
    </row>
    <row r="144" spans="2:4">
      <c r="B144" s="697">
        <v>2</v>
      </c>
    </row>
    <row r="145" spans="2:2">
      <c r="B145" s="697">
        <v>3</v>
      </c>
    </row>
    <row r="146" spans="2:2">
      <c r="B146" s="697">
        <v>4</v>
      </c>
    </row>
    <row r="147" spans="2:2">
      <c r="B147" s="697">
        <v>5</v>
      </c>
    </row>
    <row r="148" spans="2:2">
      <c r="B148" s="697">
        <v>6</v>
      </c>
    </row>
    <row r="149" spans="2:2">
      <c r="B149" s="697">
        <v>7</v>
      </c>
    </row>
    <row r="150" spans="2:2">
      <c r="B150" s="697">
        <v>8</v>
      </c>
    </row>
    <row r="151" spans="2:2">
      <c r="B151" s="697">
        <v>9</v>
      </c>
    </row>
    <row r="152" spans="2:2" ht="13.5" thickBot="1">
      <c r="B152" s="698">
        <v>10</v>
      </c>
    </row>
  </sheetData>
  <dataValidations count="1">
    <dataValidation type="list" allowBlank="1" showInputMessage="1" showErrorMessage="1" sqref="G86">
      <formula1>$B$142:$B$143</formula1>
    </dataValidation>
  </dataValidations>
  <printOptions headings="1"/>
  <pageMargins left="0.25" right="0.23" top="0.27" bottom="0.27" header="0.27" footer="0.26"/>
  <pageSetup scale="97" orientation="landscape" r:id="rId1"/>
  <headerFooter alignWithMargins="0"/>
  <colBreaks count="1" manualBreakCount="1">
    <brk id="14"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3365" r:id="rId4" name="Button 53">
              <controlPr defaultSize="0" print="0" autoFill="0" autoPict="0" macro="[0]!Print_Internal">
                <anchor moveWithCells="1" sizeWithCells="1">
                  <from>
                    <xdr:col>1</xdr:col>
                    <xdr:colOff>0</xdr:colOff>
                    <xdr:row>8</xdr:row>
                    <xdr:rowOff>0</xdr:rowOff>
                  </from>
                  <to>
                    <xdr:col>1</xdr:col>
                    <xdr:colOff>1371600</xdr:colOff>
                    <xdr:row>10</xdr:row>
                    <xdr:rowOff>133350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EL363"/>
  <sheetViews>
    <sheetView topLeftCell="A327" zoomScale="75" zoomScaleNormal="75" zoomScaleSheetLayoutView="75" workbookViewId="0">
      <selection activeCell="D335" sqref="D335"/>
    </sheetView>
  </sheetViews>
  <sheetFormatPr defaultColWidth="8.7109375" defaultRowHeight="12.75"/>
  <cols>
    <col min="1" max="1" width="3" style="144" customWidth="1"/>
    <col min="2" max="2" width="48" style="144" customWidth="1"/>
    <col min="3" max="3" width="16.28515625" style="820" customWidth="1"/>
    <col min="4" max="4" width="15.140625" style="144" customWidth="1"/>
    <col min="5" max="5" width="21.42578125" style="144" customWidth="1"/>
    <col min="6" max="6" width="24.7109375" style="144" customWidth="1"/>
    <col min="7" max="7" width="29.28515625" style="144" customWidth="1"/>
    <col min="8" max="8" width="18.85546875" style="144" customWidth="1"/>
    <col min="9" max="10" width="17.85546875" style="144" customWidth="1"/>
    <col min="11" max="11" width="20" style="144" customWidth="1"/>
    <col min="12" max="12" width="17.7109375" style="144" customWidth="1"/>
    <col min="13" max="13" width="12.7109375" style="144" customWidth="1"/>
    <col min="14" max="14" width="15.42578125" style="144" customWidth="1"/>
    <col min="15" max="25" width="10.7109375" style="144" customWidth="1"/>
    <col min="26" max="26" width="13.28515625" style="144" customWidth="1"/>
    <col min="27" max="38" width="10.7109375" style="144" customWidth="1"/>
    <col min="39" max="16384" width="8.7109375" style="144"/>
  </cols>
  <sheetData>
    <row r="1" spans="1:142">
      <c r="E1" s="244">
        <v>1</v>
      </c>
      <c r="F1" s="245">
        <f>E1+1</f>
        <v>2</v>
      </c>
      <c r="G1" s="245">
        <f t="shared" ref="G1:T1" si="0">F1+1</f>
        <v>3</v>
      </c>
      <c r="H1" s="245">
        <f t="shared" si="0"/>
        <v>4</v>
      </c>
      <c r="I1" s="245">
        <f t="shared" si="0"/>
        <v>5</v>
      </c>
      <c r="J1" s="245">
        <f t="shared" si="0"/>
        <v>6</v>
      </c>
      <c r="K1" s="245">
        <f t="shared" si="0"/>
        <v>7</v>
      </c>
      <c r="L1" s="245">
        <f t="shared" si="0"/>
        <v>8</v>
      </c>
      <c r="M1" s="245">
        <f t="shared" si="0"/>
        <v>9</v>
      </c>
      <c r="N1" s="245">
        <f t="shared" si="0"/>
        <v>10</v>
      </c>
      <c r="O1" s="245">
        <f t="shared" si="0"/>
        <v>11</v>
      </c>
      <c r="P1" s="245">
        <f t="shared" si="0"/>
        <v>12</v>
      </c>
      <c r="Q1" s="245">
        <f t="shared" si="0"/>
        <v>13</v>
      </c>
      <c r="R1" s="245">
        <f t="shared" si="0"/>
        <v>14</v>
      </c>
      <c r="S1" s="245">
        <f t="shared" si="0"/>
        <v>15</v>
      </c>
      <c r="T1" s="245">
        <f t="shared" si="0"/>
        <v>16</v>
      </c>
      <c r="U1" s="245">
        <f t="shared" ref="U1:AI1" si="1">T1+1</f>
        <v>17</v>
      </c>
      <c r="V1" s="245">
        <f t="shared" si="1"/>
        <v>18</v>
      </c>
      <c r="W1" s="245">
        <f t="shared" si="1"/>
        <v>19</v>
      </c>
      <c r="X1" s="245">
        <f t="shared" si="1"/>
        <v>20</v>
      </c>
      <c r="Y1" s="245">
        <f t="shared" si="1"/>
        <v>21</v>
      </c>
      <c r="Z1" s="245">
        <f t="shared" si="1"/>
        <v>22</v>
      </c>
      <c r="AA1" s="245">
        <f t="shared" si="1"/>
        <v>23</v>
      </c>
      <c r="AB1" s="245">
        <f t="shared" si="1"/>
        <v>24</v>
      </c>
      <c r="AC1" s="245">
        <f t="shared" si="1"/>
        <v>25</v>
      </c>
      <c r="AD1" s="245">
        <f t="shared" si="1"/>
        <v>26</v>
      </c>
      <c r="AE1" s="245">
        <f t="shared" si="1"/>
        <v>27</v>
      </c>
      <c r="AF1" s="245">
        <f t="shared" si="1"/>
        <v>28</v>
      </c>
      <c r="AG1" s="245">
        <f t="shared" si="1"/>
        <v>29</v>
      </c>
      <c r="AH1" s="245">
        <f t="shared" si="1"/>
        <v>30</v>
      </c>
      <c r="AI1" s="246">
        <f t="shared" si="1"/>
        <v>31</v>
      </c>
    </row>
    <row r="2" spans="1:142">
      <c r="E2" s="247">
        <f>$H$25</f>
        <v>2002</v>
      </c>
      <c r="F2" s="248">
        <f>E2+1</f>
        <v>2003</v>
      </c>
      <c r="G2" s="248">
        <f t="shared" ref="G2:T2" si="2">F2+1</f>
        <v>2004</v>
      </c>
      <c r="H2" s="248">
        <f t="shared" si="2"/>
        <v>2005</v>
      </c>
      <c r="I2" s="248">
        <f t="shared" si="2"/>
        <v>2006</v>
      </c>
      <c r="J2" s="248">
        <f t="shared" si="2"/>
        <v>2007</v>
      </c>
      <c r="K2" s="248">
        <f t="shared" si="2"/>
        <v>2008</v>
      </c>
      <c r="L2" s="248">
        <f t="shared" si="2"/>
        <v>2009</v>
      </c>
      <c r="M2" s="248">
        <f t="shared" si="2"/>
        <v>2010</v>
      </c>
      <c r="N2" s="248">
        <f t="shared" si="2"/>
        <v>2011</v>
      </c>
      <c r="O2" s="248">
        <f t="shared" si="2"/>
        <v>2012</v>
      </c>
      <c r="P2" s="248">
        <f t="shared" si="2"/>
        <v>2013</v>
      </c>
      <c r="Q2" s="248">
        <f t="shared" si="2"/>
        <v>2014</v>
      </c>
      <c r="R2" s="248">
        <f t="shared" si="2"/>
        <v>2015</v>
      </c>
      <c r="S2" s="248">
        <f t="shared" si="2"/>
        <v>2016</v>
      </c>
      <c r="T2" s="248">
        <f t="shared" si="2"/>
        <v>2017</v>
      </c>
      <c r="U2" s="248">
        <f t="shared" ref="U2:AI2" si="3">T2+1</f>
        <v>2018</v>
      </c>
      <c r="V2" s="248">
        <f t="shared" si="3"/>
        <v>2019</v>
      </c>
      <c r="W2" s="248">
        <f t="shared" si="3"/>
        <v>2020</v>
      </c>
      <c r="X2" s="248">
        <f t="shared" si="3"/>
        <v>2021</v>
      </c>
      <c r="Y2" s="248">
        <f t="shared" si="3"/>
        <v>2022</v>
      </c>
      <c r="Z2" s="248">
        <f t="shared" si="3"/>
        <v>2023</v>
      </c>
      <c r="AA2" s="248">
        <f t="shared" si="3"/>
        <v>2024</v>
      </c>
      <c r="AB2" s="248">
        <f t="shared" si="3"/>
        <v>2025</v>
      </c>
      <c r="AC2" s="248">
        <f t="shared" si="3"/>
        <v>2026</v>
      </c>
      <c r="AD2" s="248">
        <f t="shared" si="3"/>
        <v>2027</v>
      </c>
      <c r="AE2" s="248">
        <f t="shared" si="3"/>
        <v>2028</v>
      </c>
      <c r="AF2" s="248">
        <f t="shared" si="3"/>
        <v>2029</v>
      </c>
      <c r="AG2" s="248">
        <f t="shared" si="3"/>
        <v>2030</v>
      </c>
      <c r="AH2" s="248">
        <f t="shared" si="3"/>
        <v>2031</v>
      </c>
      <c r="AI2" s="249">
        <f t="shared" si="3"/>
        <v>2032</v>
      </c>
    </row>
    <row r="4" spans="1:142">
      <c r="B4" s="69" t="s">
        <v>86</v>
      </c>
      <c r="E4" s="74" t="str">
        <f ca="1">CELL("FILENAME")</f>
        <v>C:\Users\Felienne\Enron\EnronSpreadsheets\[david_delainey__8062__Sweetwater_129 MW_13June00_Breakeven.xlsx]EWCSum</v>
      </c>
    </row>
    <row r="5" spans="1:142" s="78" customFormat="1">
      <c r="A5" s="74"/>
      <c r="B5" s="342">
        <f ca="1">NOW()</f>
        <v>40423.700423726848</v>
      </c>
      <c r="C5" s="69"/>
      <c r="D5" s="77"/>
      <c r="E5" s="77"/>
      <c r="F5" s="77"/>
      <c r="H5" s="77"/>
      <c r="I5" s="77"/>
      <c r="J5" s="77"/>
      <c r="K5" s="77"/>
      <c r="L5" s="77"/>
      <c r="M5" s="77"/>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c r="AP5" s="77"/>
      <c r="AQ5" s="77"/>
      <c r="AR5" s="77"/>
      <c r="AS5" s="77"/>
      <c r="AT5" s="77"/>
      <c r="AU5" s="77"/>
      <c r="AV5" s="77"/>
      <c r="AW5" s="77"/>
      <c r="AX5" s="77"/>
      <c r="AY5" s="77"/>
      <c r="AZ5" s="77"/>
      <c r="BA5" s="77"/>
      <c r="BB5" s="77"/>
      <c r="BC5" s="77"/>
      <c r="BD5" s="77"/>
      <c r="BE5" s="77"/>
      <c r="BF5" s="77"/>
      <c r="BG5" s="77"/>
      <c r="BH5" s="77"/>
      <c r="BI5" s="77"/>
      <c r="BJ5" s="77"/>
      <c r="BK5" s="77"/>
      <c r="BL5" s="77"/>
      <c r="BM5" s="77"/>
      <c r="BN5" s="77"/>
      <c r="BO5" s="77"/>
      <c r="BP5" s="77"/>
      <c r="BQ5" s="77"/>
      <c r="BR5" s="77"/>
      <c r="BS5" s="77"/>
      <c r="BT5" s="77"/>
      <c r="BU5" s="77"/>
      <c r="BV5" s="77"/>
      <c r="BW5" s="77"/>
      <c r="BX5" s="77"/>
      <c r="BY5" s="77"/>
      <c r="BZ5" s="77"/>
      <c r="CA5" s="77"/>
      <c r="CB5" s="77"/>
      <c r="CC5" s="77"/>
      <c r="CD5" s="77"/>
      <c r="CE5" s="77"/>
      <c r="CF5" s="77"/>
      <c r="CG5" s="77"/>
      <c r="CH5" s="77"/>
      <c r="CI5" s="77"/>
      <c r="CJ5" s="77"/>
      <c r="CK5" s="77"/>
      <c r="CL5" s="77"/>
      <c r="CM5" s="77"/>
      <c r="CN5" s="77"/>
      <c r="CO5" s="77"/>
      <c r="CP5" s="77"/>
      <c r="CQ5" s="77"/>
      <c r="CR5" s="77"/>
      <c r="CS5" s="77"/>
      <c r="CT5" s="77"/>
      <c r="CU5" s="77"/>
      <c r="CV5" s="77"/>
      <c r="CW5" s="77"/>
      <c r="CX5" s="77"/>
      <c r="CY5" s="77"/>
      <c r="CZ5" s="77"/>
      <c r="DA5" s="77"/>
      <c r="DB5" s="77"/>
      <c r="DC5" s="77"/>
      <c r="DD5" s="77"/>
      <c r="DE5" s="77"/>
      <c r="DF5" s="77"/>
      <c r="DG5" s="77"/>
      <c r="DH5" s="77"/>
      <c r="DI5" s="77"/>
      <c r="DJ5" s="77"/>
      <c r="DK5" s="77"/>
      <c r="DL5" s="77"/>
      <c r="DM5" s="77"/>
      <c r="DN5" s="77"/>
      <c r="DO5" s="77"/>
      <c r="DP5" s="77"/>
      <c r="DQ5" s="77"/>
      <c r="DR5" s="77"/>
      <c r="DS5" s="77"/>
      <c r="DT5" s="77"/>
      <c r="DU5" s="77"/>
      <c r="DV5" s="77"/>
      <c r="DW5" s="77"/>
      <c r="DX5" s="77"/>
      <c r="DY5" s="77"/>
      <c r="DZ5" s="77"/>
      <c r="EA5" s="77"/>
      <c r="EB5" s="77"/>
      <c r="EC5" s="77"/>
      <c r="ED5" s="77"/>
      <c r="EE5" s="77"/>
      <c r="EF5" s="77"/>
      <c r="EG5" s="77"/>
      <c r="EH5" s="77"/>
      <c r="EI5" s="77"/>
      <c r="EJ5" s="77"/>
      <c r="EK5" s="77"/>
      <c r="EL5" s="77"/>
    </row>
    <row r="6" spans="1:142" s="78" customFormat="1">
      <c r="A6" s="74"/>
      <c r="B6" s="343">
        <f ca="1">NOW()</f>
        <v>40423.700423726848</v>
      </c>
      <c r="C6" s="342"/>
      <c r="D6" s="77"/>
      <c r="E6" s="77"/>
      <c r="F6" s="77"/>
      <c r="G6" s="77"/>
      <c r="H6" s="77"/>
      <c r="I6" s="77"/>
      <c r="J6" s="77"/>
      <c r="K6" s="77"/>
      <c r="L6" s="77"/>
      <c r="M6" s="77"/>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W6" s="77"/>
      <c r="BX6" s="77"/>
      <c r="BY6" s="77"/>
      <c r="BZ6" s="77"/>
      <c r="CA6" s="77"/>
      <c r="CB6" s="77"/>
      <c r="CC6" s="77"/>
      <c r="CD6" s="77"/>
      <c r="CE6" s="77"/>
      <c r="CF6" s="77"/>
      <c r="CG6" s="77"/>
      <c r="CH6" s="77"/>
      <c r="CI6" s="77"/>
      <c r="CJ6" s="77"/>
      <c r="CK6" s="77"/>
      <c r="CL6" s="77"/>
      <c r="CM6" s="77"/>
      <c r="CN6" s="77"/>
      <c r="CO6" s="77"/>
      <c r="CP6" s="77"/>
      <c r="CQ6" s="77"/>
      <c r="CR6" s="77"/>
      <c r="CS6" s="77"/>
      <c r="CT6" s="77"/>
      <c r="CU6" s="77"/>
      <c r="CV6" s="77"/>
      <c r="CW6" s="77"/>
      <c r="CX6" s="77"/>
      <c r="CY6" s="77"/>
      <c r="CZ6" s="77"/>
      <c r="DA6" s="77"/>
      <c r="DB6" s="77"/>
      <c r="DC6" s="77"/>
      <c r="DD6" s="77"/>
      <c r="DE6" s="77"/>
      <c r="DF6" s="77"/>
      <c r="DG6" s="77"/>
      <c r="DH6" s="77"/>
      <c r="DI6" s="77"/>
      <c r="DJ6" s="77"/>
      <c r="DK6" s="77"/>
      <c r="DL6" s="77"/>
      <c r="DM6" s="77"/>
      <c r="DN6" s="77"/>
      <c r="DO6" s="77"/>
      <c r="DP6" s="77"/>
      <c r="DQ6" s="77"/>
      <c r="DR6" s="77"/>
      <c r="DS6" s="77"/>
      <c r="DT6" s="77"/>
      <c r="DU6" s="77"/>
      <c r="DV6" s="77"/>
      <c r="DW6" s="77"/>
      <c r="DX6" s="77"/>
      <c r="DY6" s="77"/>
      <c r="DZ6" s="77"/>
      <c r="EA6" s="77"/>
      <c r="EB6" s="77"/>
      <c r="EC6" s="77"/>
      <c r="ED6" s="77"/>
      <c r="EE6" s="77"/>
      <c r="EF6" s="77"/>
      <c r="EG6" s="77"/>
      <c r="EH6" s="77"/>
      <c r="EI6" s="77"/>
      <c r="EJ6" s="77"/>
      <c r="EK6" s="77"/>
      <c r="EL6" s="77"/>
    </row>
    <row r="7" spans="1:142" s="78" customFormat="1">
      <c r="A7" s="74"/>
      <c r="C7" s="343"/>
      <c r="D7" s="77"/>
      <c r="E7" s="77"/>
      <c r="F7" s="77"/>
      <c r="G7" s="77"/>
      <c r="H7" s="77"/>
      <c r="I7" s="77"/>
      <c r="J7" s="77"/>
      <c r="K7" s="77"/>
      <c r="L7" s="77"/>
      <c r="M7" s="77"/>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c r="AP7" s="77"/>
      <c r="AQ7" s="77"/>
      <c r="AR7" s="77"/>
      <c r="AS7" s="77"/>
      <c r="AT7" s="77"/>
      <c r="AU7" s="77"/>
      <c r="AV7" s="77"/>
      <c r="AW7" s="77"/>
      <c r="AX7" s="77"/>
      <c r="AY7" s="77"/>
      <c r="AZ7" s="77"/>
      <c r="BA7" s="77"/>
      <c r="BB7" s="77"/>
      <c r="BC7" s="77"/>
      <c r="BD7" s="77"/>
      <c r="BE7" s="77"/>
      <c r="BF7" s="77"/>
      <c r="BG7" s="77"/>
      <c r="BH7" s="77"/>
      <c r="BI7" s="77"/>
      <c r="BJ7" s="77"/>
      <c r="BK7" s="77"/>
      <c r="BL7" s="77"/>
      <c r="BM7" s="77"/>
      <c r="BN7" s="77"/>
      <c r="BO7" s="77"/>
      <c r="BP7" s="77"/>
      <c r="BQ7" s="77"/>
      <c r="BR7" s="77"/>
      <c r="BS7" s="77"/>
      <c r="BT7" s="77"/>
      <c r="BU7" s="77"/>
      <c r="BV7" s="77"/>
      <c r="BW7" s="77"/>
      <c r="BX7" s="77"/>
      <c r="BY7" s="77"/>
      <c r="BZ7" s="77"/>
      <c r="CA7" s="77"/>
      <c r="CB7" s="77"/>
      <c r="CC7" s="77"/>
      <c r="CD7" s="77"/>
      <c r="CE7" s="77"/>
      <c r="CF7" s="77"/>
      <c r="CG7" s="77"/>
      <c r="CH7" s="77"/>
      <c r="CI7" s="77"/>
      <c r="CJ7" s="77"/>
      <c r="CK7" s="77"/>
      <c r="CL7" s="77"/>
      <c r="CM7" s="77"/>
      <c r="CN7" s="77"/>
      <c r="CO7" s="77"/>
      <c r="CP7" s="77"/>
      <c r="CQ7" s="77"/>
      <c r="CR7" s="77"/>
      <c r="CS7" s="77"/>
      <c r="CT7" s="77"/>
      <c r="CU7" s="77"/>
      <c r="CV7" s="77"/>
      <c r="CW7" s="77"/>
      <c r="CX7" s="77"/>
      <c r="CY7" s="77"/>
      <c r="CZ7" s="77"/>
      <c r="DA7" s="77"/>
      <c r="DB7" s="77"/>
      <c r="DC7" s="77"/>
      <c r="DD7" s="77"/>
      <c r="DE7" s="77"/>
      <c r="DF7" s="77"/>
      <c r="DG7" s="77"/>
      <c r="DH7" s="77"/>
      <c r="DI7" s="77"/>
      <c r="DJ7" s="77"/>
      <c r="DK7" s="77"/>
      <c r="DL7" s="77"/>
      <c r="DM7" s="77"/>
      <c r="DN7" s="77"/>
      <c r="DO7" s="77"/>
      <c r="DP7" s="77"/>
      <c r="DQ7" s="77"/>
      <c r="DR7" s="77"/>
      <c r="DS7" s="77"/>
      <c r="DT7" s="77"/>
      <c r="DU7" s="77"/>
      <c r="DV7" s="77"/>
      <c r="DW7" s="77"/>
      <c r="DX7" s="77"/>
      <c r="DY7" s="77"/>
      <c r="DZ7" s="77"/>
      <c r="EA7" s="77"/>
      <c r="EB7" s="77"/>
      <c r="EC7" s="77"/>
      <c r="ED7" s="77"/>
      <c r="EE7" s="77"/>
      <c r="EF7" s="77"/>
      <c r="EG7" s="77"/>
      <c r="EH7" s="77"/>
      <c r="EI7" s="77"/>
      <c r="EJ7" s="77"/>
      <c r="EK7" s="77"/>
      <c r="EL7" s="77"/>
    </row>
    <row r="8" spans="1:142" s="78" customFormat="1">
      <c r="A8" s="74"/>
      <c r="B8" s="343"/>
      <c r="C8" s="343"/>
      <c r="D8" s="77"/>
      <c r="E8" s="77"/>
      <c r="F8" s="77"/>
      <c r="G8" s="77"/>
      <c r="H8" s="77"/>
      <c r="I8" s="77"/>
      <c r="J8" s="77"/>
      <c r="K8" s="77"/>
      <c r="L8" s="77"/>
      <c r="M8" s="77"/>
      <c r="N8" s="77"/>
      <c r="O8" s="77"/>
      <c r="P8" s="77"/>
      <c r="Q8" s="77"/>
      <c r="R8" s="77"/>
      <c r="S8" s="77"/>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7"/>
      <c r="BV8" s="77"/>
      <c r="BW8" s="77"/>
      <c r="BX8" s="77"/>
      <c r="BY8" s="77"/>
      <c r="BZ8" s="77"/>
      <c r="CA8" s="77"/>
      <c r="CB8" s="77"/>
      <c r="CC8" s="77"/>
      <c r="CD8" s="77"/>
      <c r="CE8" s="77"/>
      <c r="CF8" s="77"/>
      <c r="CG8" s="77"/>
      <c r="CH8" s="77"/>
      <c r="CI8" s="77"/>
      <c r="CJ8" s="77"/>
      <c r="CK8" s="77"/>
      <c r="CL8" s="77"/>
      <c r="CM8" s="77"/>
      <c r="CN8" s="77"/>
      <c r="CO8" s="77"/>
      <c r="CP8" s="77"/>
      <c r="CQ8" s="77"/>
      <c r="CR8" s="77"/>
      <c r="CS8" s="77"/>
      <c r="CT8" s="77"/>
      <c r="CU8" s="77"/>
      <c r="CV8" s="77"/>
      <c r="CW8" s="77"/>
      <c r="CX8" s="77"/>
      <c r="CY8" s="77"/>
      <c r="CZ8" s="77"/>
      <c r="DA8" s="77"/>
      <c r="DB8" s="77"/>
      <c r="DC8" s="77"/>
      <c r="DD8" s="77"/>
      <c r="DE8" s="77"/>
      <c r="DF8" s="77"/>
      <c r="DG8" s="77"/>
      <c r="DH8" s="77"/>
      <c r="DI8" s="77"/>
      <c r="DJ8" s="77"/>
      <c r="DK8" s="77"/>
      <c r="DL8" s="77"/>
      <c r="DM8" s="77"/>
      <c r="DN8" s="77"/>
      <c r="DO8" s="77"/>
      <c r="DP8" s="77"/>
      <c r="DQ8" s="77"/>
      <c r="DR8" s="77"/>
      <c r="DS8" s="77"/>
      <c r="DT8" s="77"/>
      <c r="DU8" s="77"/>
      <c r="DV8" s="77"/>
      <c r="DW8" s="77"/>
      <c r="DX8" s="77"/>
      <c r="DY8" s="77"/>
      <c r="DZ8" s="77"/>
      <c r="EA8" s="77"/>
      <c r="EB8" s="77"/>
      <c r="EC8" s="77"/>
      <c r="ED8" s="77"/>
      <c r="EE8" s="77"/>
      <c r="EF8" s="77"/>
      <c r="EG8" s="77"/>
      <c r="EH8" s="77"/>
      <c r="EI8" s="77"/>
      <c r="EJ8" s="77"/>
      <c r="EK8" s="77"/>
      <c r="EL8" s="77"/>
    </row>
    <row r="9" spans="1:142" s="78" customFormat="1">
      <c r="A9" s="74"/>
      <c r="B9" s="343"/>
      <c r="C9" s="343"/>
      <c r="D9" s="77"/>
      <c r="E9" s="77"/>
      <c r="F9" s="77"/>
      <c r="G9" s="77"/>
      <c r="H9" s="77"/>
      <c r="I9" s="77"/>
      <c r="J9" s="77"/>
      <c r="K9" s="77"/>
      <c r="L9" s="77"/>
      <c r="M9" s="77"/>
      <c r="N9" s="77"/>
      <c r="O9" s="77"/>
      <c r="P9" s="77"/>
      <c r="Q9" s="77"/>
      <c r="R9" s="77"/>
      <c r="S9" s="77"/>
      <c r="T9" s="77"/>
      <c r="U9" s="77"/>
      <c r="V9" s="77"/>
      <c r="W9" s="77"/>
      <c r="X9" s="77"/>
      <c r="Y9" s="77"/>
      <c r="Z9" s="77"/>
      <c r="AA9" s="77"/>
      <c r="AB9" s="77"/>
      <c r="AC9" s="77"/>
      <c r="AD9" s="77"/>
      <c r="AE9" s="77"/>
      <c r="AF9" s="77"/>
      <c r="AG9" s="77"/>
      <c r="AH9" s="77"/>
      <c r="AI9" s="77"/>
      <c r="AJ9" s="77"/>
      <c r="AK9" s="77"/>
      <c r="AL9" s="77"/>
      <c r="AM9" s="77"/>
      <c r="AN9" s="77"/>
      <c r="AO9" s="77"/>
      <c r="AP9" s="77"/>
      <c r="AQ9" s="77"/>
      <c r="AR9" s="77"/>
      <c r="AS9" s="77"/>
      <c r="AT9" s="77"/>
      <c r="AU9" s="77"/>
      <c r="AV9" s="77"/>
      <c r="AW9" s="77"/>
      <c r="AX9" s="77"/>
      <c r="AY9" s="77"/>
      <c r="AZ9" s="77"/>
      <c r="BA9" s="77"/>
      <c r="BB9" s="77"/>
      <c r="BC9" s="77"/>
      <c r="BD9" s="77"/>
      <c r="BE9" s="77"/>
      <c r="BF9" s="77"/>
      <c r="BG9" s="77"/>
      <c r="BH9" s="77"/>
      <c r="BI9" s="77"/>
      <c r="BJ9" s="77"/>
      <c r="BK9" s="77"/>
      <c r="BL9" s="77"/>
      <c r="BM9" s="77"/>
      <c r="BN9" s="77"/>
      <c r="BO9" s="77"/>
      <c r="BP9" s="77"/>
      <c r="BQ9" s="77"/>
      <c r="BR9" s="77"/>
      <c r="BS9" s="77"/>
      <c r="BT9" s="77"/>
      <c r="BU9" s="77"/>
      <c r="BV9" s="77"/>
      <c r="BW9" s="77"/>
      <c r="BX9" s="77"/>
      <c r="BY9" s="77"/>
      <c r="BZ9" s="77"/>
      <c r="CA9" s="77"/>
      <c r="CB9" s="77"/>
      <c r="CC9" s="77"/>
      <c r="CD9" s="77"/>
      <c r="CE9" s="77"/>
      <c r="CF9" s="77"/>
      <c r="CG9" s="77"/>
      <c r="CH9" s="77"/>
      <c r="CI9" s="77"/>
      <c r="CJ9" s="77"/>
      <c r="CK9" s="77"/>
      <c r="CL9" s="77"/>
      <c r="CM9" s="77"/>
      <c r="CN9" s="77"/>
      <c r="CO9" s="77"/>
      <c r="CP9" s="77"/>
      <c r="CQ9" s="77"/>
      <c r="CR9" s="77"/>
      <c r="CS9" s="77"/>
      <c r="CT9" s="77"/>
      <c r="CU9" s="77"/>
      <c r="CV9" s="77"/>
      <c r="CW9" s="77"/>
      <c r="CX9" s="77"/>
      <c r="CY9" s="77"/>
      <c r="CZ9" s="77"/>
      <c r="DA9" s="77"/>
      <c r="DB9" s="77"/>
      <c r="DC9" s="77"/>
      <c r="DD9" s="77"/>
      <c r="DE9" s="77"/>
      <c r="DF9" s="77"/>
      <c r="DG9" s="77"/>
      <c r="DH9" s="77"/>
      <c r="DI9" s="77"/>
      <c r="DJ9" s="77"/>
      <c r="DK9" s="77"/>
      <c r="DL9" s="77"/>
      <c r="DM9" s="77"/>
      <c r="DN9" s="77"/>
      <c r="DO9" s="77"/>
      <c r="DP9" s="77"/>
      <c r="DQ9" s="77"/>
      <c r="DR9" s="77"/>
      <c r="DS9" s="77"/>
      <c r="DT9" s="77"/>
      <c r="DU9" s="77"/>
      <c r="DV9" s="77"/>
      <c r="DW9" s="77"/>
      <c r="DX9" s="77"/>
      <c r="DY9" s="77"/>
      <c r="DZ9" s="77"/>
      <c r="EA9" s="77"/>
      <c r="EB9" s="77"/>
      <c r="EC9" s="77"/>
      <c r="ED9" s="77"/>
      <c r="EE9" s="77"/>
      <c r="EF9" s="77"/>
      <c r="EG9" s="77"/>
      <c r="EH9" s="77"/>
      <c r="EI9" s="77"/>
      <c r="EJ9" s="77"/>
      <c r="EK9" s="77"/>
      <c r="EL9" s="77"/>
    </row>
    <row r="10" spans="1:142" s="78" customFormat="1">
      <c r="A10" s="74"/>
      <c r="C10" s="343"/>
      <c r="D10" s="77"/>
      <c r="E10" s="77"/>
      <c r="F10" s="77"/>
      <c r="G10" s="77"/>
      <c r="H10" s="77"/>
      <c r="I10" s="77"/>
      <c r="J10" s="77"/>
      <c r="K10" s="77"/>
      <c r="L10" s="77"/>
      <c r="M10" s="77"/>
      <c r="N10" s="77"/>
      <c r="O10" s="77"/>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c r="AP10" s="77"/>
      <c r="AQ10" s="77"/>
      <c r="AR10" s="77"/>
      <c r="AS10" s="77"/>
      <c r="AT10" s="77"/>
      <c r="AU10" s="77"/>
      <c r="AV10" s="77"/>
      <c r="AW10" s="77"/>
      <c r="AX10" s="77"/>
      <c r="AY10" s="77"/>
      <c r="AZ10" s="77"/>
      <c r="BA10" s="77"/>
      <c r="BB10" s="77"/>
      <c r="BC10" s="77"/>
      <c r="BD10" s="77"/>
      <c r="BE10" s="77"/>
      <c r="BF10" s="77"/>
      <c r="BG10" s="77"/>
      <c r="BH10" s="77"/>
      <c r="BI10" s="77"/>
      <c r="BJ10" s="77"/>
      <c r="BK10" s="77"/>
      <c r="BL10" s="77"/>
      <c r="BM10" s="77"/>
      <c r="BN10" s="77"/>
      <c r="BO10" s="77"/>
      <c r="BP10" s="77"/>
      <c r="BQ10" s="77"/>
      <c r="BR10" s="77"/>
      <c r="BS10" s="77"/>
      <c r="BT10" s="77"/>
      <c r="BU10" s="77"/>
      <c r="BV10" s="77"/>
      <c r="BW10" s="77"/>
      <c r="BX10" s="77"/>
      <c r="BY10" s="77"/>
      <c r="BZ10" s="77"/>
      <c r="CA10" s="77"/>
      <c r="CB10" s="77"/>
      <c r="CC10" s="77"/>
      <c r="CD10" s="77"/>
      <c r="CE10" s="77"/>
      <c r="CF10" s="77"/>
      <c r="CG10" s="77"/>
      <c r="CH10" s="77"/>
      <c r="CI10" s="77"/>
      <c r="CJ10" s="77"/>
      <c r="CK10" s="77"/>
      <c r="CL10" s="77"/>
      <c r="CM10" s="77"/>
      <c r="CN10" s="77"/>
      <c r="CO10" s="77"/>
      <c r="CP10" s="77"/>
      <c r="CQ10" s="77"/>
      <c r="CR10" s="77"/>
      <c r="CS10" s="77"/>
      <c r="CT10" s="77"/>
      <c r="CU10" s="77"/>
      <c r="CV10" s="77"/>
      <c r="CW10" s="77"/>
      <c r="CX10" s="77"/>
      <c r="CY10" s="77"/>
      <c r="CZ10" s="77"/>
      <c r="DA10" s="77"/>
      <c r="DB10" s="77"/>
      <c r="DC10" s="77"/>
      <c r="DD10" s="77"/>
      <c r="DE10" s="77"/>
      <c r="DF10" s="77"/>
      <c r="DG10" s="77"/>
      <c r="DH10" s="77"/>
      <c r="DI10" s="77"/>
      <c r="DJ10" s="77"/>
      <c r="DK10" s="77"/>
      <c r="DL10" s="77"/>
      <c r="DM10" s="77"/>
      <c r="DN10" s="77"/>
      <c r="DO10" s="77"/>
      <c r="DP10" s="77"/>
      <c r="DQ10" s="77"/>
      <c r="DR10" s="77"/>
      <c r="DS10" s="77"/>
      <c r="DT10" s="77"/>
      <c r="DU10" s="77"/>
      <c r="DV10" s="77"/>
      <c r="DW10" s="77"/>
      <c r="DX10" s="77"/>
      <c r="DY10" s="77"/>
      <c r="DZ10" s="77"/>
      <c r="EA10" s="77"/>
      <c r="EB10" s="77"/>
      <c r="EC10" s="77"/>
      <c r="ED10" s="77"/>
      <c r="EE10" s="77"/>
      <c r="EF10" s="77"/>
      <c r="EG10" s="77"/>
      <c r="EH10" s="77"/>
      <c r="EI10" s="77"/>
      <c r="EJ10" s="77"/>
      <c r="EK10" s="77"/>
      <c r="EL10" s="77"/>
    </row>
    <row r="11" spans="1:142" s="78" customFormat="1">
      <c r="A11" s="74"/>
      <c r="B11" s="80"/>
      <c r="C11" s="80"/>
      <c r="D11" s="77"/>
      <c r="E11" s="77"/>
      <c r="F11" s="77"/>
      <c r="G11" s="77"/>
      <c r="H11" s="77"/>
      <c r="I11" s="77"/>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c r="BE11" s="77"/>
      <c r="BF11" s="77"/>
      <c r="BG11" s="77"/>
      <c r="BH11" s="77"/>
      <c r="BI11" s="77"/>
      <c r="BJ11" s="77"/>
      <c r="BK11" s="77"/>
      <c r="BL11" s="77"/>
      <c r="BM11" s="77"/>
      <c r="BN11" s="77"/>
      <c r="BO11" s="77"/>
      <c r="BP11" s="77"/>
      <c r="BQ11" s="77"/>
      <c r="BR11" s="77"/>
      <c r="BS11" s="77"/>
      <c r="BT11" s="77"/>
      <c r="BU11" s="77"/>
      <c r="BV11" s="77"/>
      <c r="BW11" s="77"/>
      <c r="BX11" s="77"/>
      <c r="BY11" s="77"/>
      <c r="BZ11" s="77"/>
      <c r="CA11" s="77"/>
      <c r="CB11" s="77"/>
      <c r="CC11" s="77"/>
      <c r="CD11" s="77"/>
      <c r="CE11" s="77"/>
      <c r="CF11" s="77"/>
      <c r="CG11" s="77"/>
      <c r="CH11" s="77"/>
      <c r="CI11" s="77"/>
      <c r="CJ11" s="77"/>
      <c r="CK11" s="77"/>
      <c r="CL11" s="77"/>
      <c r="CM11" s="77"/>
      <c r="CN11" s="77"/>
      <c r="CO11" s="77"/>
      <c r="CP11" s="77"/>
      <c r="CQ11" s="77"/>
      <c r="CR11" s="77"/>
      <c r="CS11" s="77"/>
      <c r="CT11" s="77"/>
      <c r="CU11" s="77"/>
      <c r="CV11" s="77"/>
      <c r="CW11" s="77"/>
      <c r="CX11" s="77"/>
      <c r="CY11" s="77"/>
      <c r="CZ11" s="77"/>
      <c r="DA11" s="77"/>
      <c r="DB11" s="77"/>
      <c r="DC11" s="77"/>
      <c r="DD11" s="77"/>
      <c r="DE11" s="77"/>
      <c r="DF11" s="77"/>
      <c r="DG11" s="77"/>
      <c r="DH11" s="77"/>
      <c r="DI11" s="77"/>
      <c r="DJ11" s="77"/>
      <c r="DK11" s="77"/>
      <c r="DL11" s="77"/>
      <c r="DM11" s="77"/>
      <c r="DN11" s="77"/>
      <c r="DO11" s="77"/>
      <c r="DP11" s="77"/>
      <c r="DQ11" s="77"/>
      <c r="DR11" s="77"/>
      <c r="DS11" s="77"/>
      <c r="DT11" s="77"/>
      <c r="DU11" s="77"/>
      <c r="DV11" s="77"/>
      <c r="DW11" s="77"/>
      <c r="DX11" s="77"/>
      <c r="DY11" s="77"/>
      <c r="DZ11" s="77"/>
      <c r="EA11" s="77"/>
      <c r="EB11" s="77"/>
      <c r="EC11" s="77"/>
      <c r="ED11" s="77"/>
      <c r="EE11" s="77"/>
      <c r="EF11" s="77"/>
      <c r="EG11" s="77"/>
      <c r="EH11" s="77"/>
      <c r="EI11" s="77"/>
      <c r="EJ11" s="77"/>
      <c r="EK11" s="77"/>
      <c r="EL11" s="77"/>
    </row>
    <row r="12" spans="1:142" s="78" customFormat="1" ht="13.5" thickBot="1">
      <c r="A12" s="74"/>
      <c r="B12" s="516" t="s">
        <v>443</v>
      </c>
      <c r="C12" s="80"/>
      <c r="D12" s="77"/>
      <c r="E12" s="77"/>
      <c r="F12" s="77"/>
      <c r="G12" s="66"/>
      <c r="H12" s="79"/>
      <c r="I12" s="79"/>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c r="BE12" s="77"/>
      <c r="BF12" s="77"/>
      <c r="BG12" s="77"/>
      <c r="BH12" s="77"/>
      <c r="BI12" s="77"/>
      <c r="BJ12" s="77"/>
      <c r="BK12" s="77"/>
      <c r="BL12" s="77"/>
      <c r="BM12" s="77"/>
      <c r="BN12" s="77"/>
      <c r="BO12" s="77"/>
      <c r="BP12" s="77"/>
      <c r="BQ12" s="77"/>
      <c r="BR12" s="77"/>
      <c r="BS12" s="77"/>
      <c r="BT12" s="77"/>
      <c r="BU12" s="77"/>
      <c r="BV12" s="77"/>
      <c r="BW12" s="77"/>
      <c r="BX12" s="77"/>
      <c r="BY12" s="77"/>
      <c r="BZ12" s="77"/>
      <c r="CA12" s="77"/>
      <c r="CB12" s="77"/>
      <c r="CC12" s="77"/>
      <c r="CD12" s="77"/>
      <c r="CE12" s="77"/>
      <c r="CF12" s="77"/>
      <c r="CG12" s="77"/>
      <c r="CH12" s="77"/>
      <c r="CI12" s="77"/>
      <c r="CJ12" s="77"/>
      <c r="CK12" s="77"/>
      <c r="CL12" s="77"/>
      <c r="CM12" s="77"/>
      <c r="CN12" s="77"/>
      <c r="CO12" s="77"/>
      <c r="CP12" s="77"/>
      <c r="CQ12" s="77"/>
      <c r="CR12" s="77"/>
      <c r="CS12" s="77"/>
      <c r="CT12" s="77"/>
      <c r="CU12" s="77"/>
      <c r="CV12" s="77"/>
      <c r="CW12" s="77"/>
      <c r="CX12" s="77"/>
      <c r="CY12" s="77"/>
      <c r="CZ12" s="77"/>
      <c r="DA12" s="77"/>
      <c r="DB12" s="77"/>
      <c r="DC12" s="77"/>
      <c r="DD12" s="77"/>
      <c r="DE12" s="77"/>
      <c r="DF12" s="77"/>
      <c r="DG12" s="77"/>
      <c r="DH12" s="77"/>
      <c r="DI12" s="77"/>
      <c r="DJ12" s="77"/>
      <c r="DK12" s="77"/>
      <c r="DL12" s="77"/>
      <c r="DM12" s="77"/>
      <c r="DN12" s="77"/>
      <c r="DO12" s="77"/>
      <c r="DP12" s="77"/>
      <c r="DQ12" s="77"/>
      <c r="DR12" s="77"/>
      <c r="DS12" s="77"/>
      <c r="DT12" s="77"/>
      <c r="DU12" s="77"/>
      <c r="DV12" s="77"/>
      <c r="DW12" s="77"/>
      <c r="DX12" s="77"/>
      <c r="DY12" s="77"/>
      <c r="DZ12" s="77"/>
      <c r="EA12" s="77"/>
      <c r="EB12" s="77"/>
      <c r="EC12" s="77"/>
      <c r="ED12" s="77"/>
      <c r="EE12" s="77"/>
      <c r="EF12" s="77"/>
      <c r="EG12" s="77"/>
      <c r="EH12" s="77"/>
      <c r="EI12" s="77"/>
      <c r="EJ12" s="77"/>
      <c r="EK12" s="77"/>
      <c r="EL12" s="77"/>
    </row>
    <row r="13" spans="1:142" s="78" customFormat="1" ht="13.5" thickBot="1">
      <c r="A13" s="79"/>
      <c r="B13" s="420" t="s">
        <v>444</v>
      </c>
      <c r="D13" s="77"/>
      <c r="E13" s="77"/>
      <c r="F13" s="77"/>
      <c r="J13" s="79"/>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c r="BE13" s="77"/>
      <c r="BF13" s="77"/>
      <c r="BG13" s="77"/>
      <c r="BH13" s="77"/>
      <c r="BI13" s="77"/>
      <c r="BJ13" s="77"/>
      <c r="BK13" s="77"/>
      <c r="BL13" s="77"/>
      <c r="BM13" s="77"/>
      <c r="BN13" s="77"/>
      <c r="BO13" s="77"/>
      <c r="BP13" s="77"/>
      <c r="BQ13" s="77"/>
      <c r="BR13" s="77"/>
      <c r="BS13" s="77"/>
      <c r="BT13" s="77"/>
      <c r="BU13" s="77"/>
      <c r="BV13" s="77"/>
      <c r="BW13" s="77"/>
      <c r="BX13" s="77"/>
      <c r="BY13" s="77"/>
      <c r="BZ13" s="77"/>
      <c r="CA13" s="77"/>
      <c r="CB13" s="77"/>
      <c r="CC13" s="77"/>
      <c r="CD13" s="77"/>
      <c r="CE13" s="77"/>
      <c r="CF13" s="77"/>
      <c r="CG13" s="77"/>
      <c r="CH13" s="77"/>
      <c r="CI13" s="77"/>
      <c r="CJ13" s="77"/>
      <c r="CK13" s="77"/>
      <c r="CL13" s="77"/>
      <c r="CM13" s="77"/>
      <c r="CN13" s="77"/>
      <c r="CO13" s="77"/>
      <c r="CP13" s="77"/>
      <c r="CQ13" s="77"/>
      <c r="CR13" s="77"/>
      <c r="CS13" s="77"/>
      <c r="CT13" s="77"/>
      <c r="CU13" s="77"/>
      <c r="CV13" s="77"/>
      <c r="CW13" s="77"/>
      <c r="CX13" s="77"/>
      <c r="CY13" s="77"/>
      <c r="CZ13" s="77"/>
      <c r="DA13" s="77"/>
      <c r="DB13" s="77"/>
      <c r="DC13" s="77"/>
      <c r="DD13" s="77"/>
      <c r="DE13" s="77"/>
      <c r="DF13" s="77"/>
      <c r="DG13" s="77"/>
      <c r="DH13" s="77"/>
      <c r="DI13" s="77"/>
      <c r="DJ13" s="77"/>
      <c r="DK13" s="77"/>
      <c r="DL13" s="77"/>
      <c r="DM13" s="77"/>
      <c r="DN13" s="77"/>
      <c r="DO13" s="77"/>
      <c r="DP13" s="77"/>
      <c r="DQ13" s="77"/>
      <c r="DR13" s="77"/>
      <c r="DS13" s="77"/>
      <c r="DT13" s="77"/>
      <c r="DU13" s="77"/>
      <c r="DV13" s="77"/>
      <c r="DW13" s="77"/>
      <c r="DX13" s="77"/>
      <c r="DY13" s="77"/>
      <c r="DZ13" s="77"/>
      <c r="EA13" s="77"/>
      <c r="EB13" s="77"/>
      <c r="EC13" s="77"/>
      <c r="ED13" s="77"/>
      <c r="EE13" s="77"/>
      <c r="EF13" s="77"/>
      <c r="EG13" s="77"/>
      <c r="EH13" s="77"/>
      <c r="EI13" s="77"/>
      <c r="EJ13" s="77"/>
      <c r="EK13" s="77"/>
      <c r="EL13" s="77"/>
    </row>
    <row r="14" spans="1:142" s="78" customFormat="1">
      <c r="A14" s="79"/>
      <c r="B14" s="421" t="s">
        <v>456</v>
      </c>
      <c r="D14" s="81"/>
      <c r="E14" s="77"/>
      <c r="F14" s="77"/>
      <c r="J14" s="87"/>
      <c r="K14" s="82"/>
      <c r="L14" s="82"/>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R14" s="77"/>
      <c r="BS14" s="77"/>
      <c r="BT14" s="77"/>
      <c r="BU14" s="77"/>
      <c r="BV14" s="77"/>
      <c r="BW14" s="77"/>
      <c r="BX14" s="77"/>
      <c r="BY14" s="77"/>
      <c r="BZ14" s="77"/>
      <c r="CA14" s="77"/>
      <c r="CB14" s="77"/>
      <c r="CC14" s="77"/>
      <c r="CD14" s="77"/>
      <c r="CE14" s="77"/>
      <c r="CF14" s="77"/>
      <c r="CG14" s="77"/>
      <c r="CH14" s="77"/>
      <c r="CI14" s="77"/>
      <c r="CJ14" s="77"/>
      <c r="CK14" s="77"/>
      <c r="CL14" s="77"/>
      <c r="CM14" s="77"/>
      <c r="CN14" s="77"/>
      <c r="CO14" s="77"/>
      <c r="CP14" s="77"/>
      <c r="CQ14" s="77"/>
      <c r="CR14" s="77"/>
      <c r="CS14" s="77"/>
      <c r="CT14" s="77"/>
      <c r="CU14" s="77"/>
      <c r="CV14" s="77"/>
      <c r="CW14" s="77"/>
      <c r="CX14" s="77"/>
      <c r="CY14" s="77"/>
      <c r="CZ14" s="77"/>
      <c r="DA14" s="77"/>
      <c r="DB14" s="77"/>
      <c r="DC14" s="77"/>
      <c r="DD14" s="77"/>
      <c r="DE14" s="77"/>
      <c r="DF14" s="77"/>
      <c r="DG14" s="77"/>
      <c r="DH14" s="77"/>
      <c r="DI14" s="77"/>
      <c r="DJ14" s="77"/>
      <c r="DK14" s="77"/>
      <c r="DL14" s="77"/>
      <c r="DM14" s="77"/>
      <c r="DN14" s="77"/>
      <c r="DO14" s="77"/>
      <c r="DP14" s="77"/>
      <c r="DQ14" s="77"/>
      <c r="DR14" s="77"/>
      <c r="DS14" s="77"/>
      <c r="DT14" s="77"/>
      <c r="DU14" s="77"/>
      <c r="DV14" s="77"/>
      <c r="DW14" s="77"/>
      <c r="DX14" s="77"/>
      <c r="DY14" s="77"/>
      <c r="DZ14" s="77"/>
      <c r="EA14" s="77"/>
      <c r="EB14" s="77"/>
      <c r="EC14" s="77"/>
      <c r="ED14" s="77"/>
      <c r="EE14" s="77"/>
      <c r="EF14" s="77"/>
      <c r="EG14" s="77"/>
      <c r="EH14" s="77"/>
      <c r="EI14" s="77"/>
      <c r="EJ14" s="77"/>
      <c r="EK14" s="77"/>
      <c r="EL14" s="77"/>
    </row>
    <row r="15" spans="1:142" s="78" customFormat="1">
      <c r="A15" s="79"/>
      <c r="B15" s="419" t="s">
        <v>409</v>
      </c>
      <c r="C15" s="93"/>
      <c r="D15" s="81"/>
      <c r="J15" s="87"/>
      <c r="K15" s="82"/>
      <c r="L15" s="82"/>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c r="BE15" s="77"/>
      <c r="BF15" s="77"/>
      <c r="BG15" s="77"/>
      <c r="BH15" s="77"/>
      <c r="BI15" s="77"/>
      <c r="BJ15" s="77"/>
      <c r="BK15" s="77"/>
      <c r="BL15" s="77"/>
      <c r="BM15" s="77"/>
      <c r="BN15" s="77"/>
      <c r="BO15" s="77"/>
      <c r="BP15" s="77"/>
      <c r="BQ15" s="77"/>
      <c r="BR15" s="77"/>
      <c r="BS15" s="77"/>
      <c r="BT15" s="77"/>
      <c r="BU15" s="77"/>
      <c r="BV15" s="77"/>
      <c r="BW15" s="77"/>
      <c r="BX15" s="77"/>
      <c r="BY15" s="77"/>
      <c r="BZ15" s="77"/>
      <c r="CA15" s="77"/>
      <c r="CB15" s="77"/>
      <c r="CC15" s="77"/>
      <c r="CD15" s="77"/>
      <c r="CE15" s="77"/>
      <c r="CF15" s="77"/>
      <c r="CG15" s="77"/>
      <c r="CH15" s="77"/>
      <c r="CI15" s="77"/>
      <c r="CJ15" s="77"/>
      <c r="CK15" s="77"/>
      <c r="CL15" s="77"/>
      <c r="CM15" s="77"/>
      <c r="CN15" s="77"/>
      <c r="CO15" s="77"/>
      <c r="CP15" s="77"/>
      <c r="CQ15" s="77"/>
      <c r="CR15" s="77"/>
      <c r="CS15" s="77"/>
      <c r="CT15" s="77"/>
      <c r="CU15" s="77"/>
      <c r="CV15" s="77"/>
      <c r="CW15" s="77"/>
      <c r="CX15" s="77"/>
      <c r="CY15" s="77"/>
      <c r="CZ15" s="77"/>
      <c r="DA15" s="77"/>
      <c r="DB15" s="77"/>
      <c r="DC15" s="77"/>
      <c r="DD15" s="77"/>
      <c r="DE15" s="77"/>
      <c r="DF15" s="77"/>
      <c r="DG15" s="77"/>
      <c r="DH15" s="77"/>
      <c r="DI15" s="77"/>
      <c r="DJ15" s="77"/>
      <c r="DK15" s="77"/>
      <c r="DL15" s="77"/>
      <c r="DM15" s="77"/>
      <c r="DN15" s="77"/>
      <c r="DO15" s="77"/>
      <c r="DP15" s="77"/>
      <c r="DQ15" s="77"/>
      <c r="DR15" s="77"/>
      <c r="DS15" s="77"/>
      <c r="DT15" s="77"/>
      <c r="DU15" s="77"/>
      <c r="DV15" s="77"/>
      <c r="DW15" s="77"/>
      <c r="DX15" s="77"/>
      <c r="DY15" s="77"/>
      <c r="DZ15" s="77"/>
      <c r="EA15" s="77"/>
      <c r="EB15" s="77"/>
      <c r="EC15" s="77"/>
      <c r="ED15" s="77"/>
      <c r="EE15" s="77"/>
      <c r="EF15" s="77"/>
      <c r="EG15" s="77"/>
      <c r="EH15" s="77"/>
      <c r="EI15" s="77"/>
      <c r="EJ15" s="77"/>
      <c r="EK15" s="77"/>
      <c r="EL15" s="77"/>
    </row>
    <row r="16" spans="1:142" s="78" customFormat="1">
      <c r="A16" s="83"/>
      <c r="B16" s="918" t="s">
        <v>710</v>
      </c>
      <c r="C16" s="93"/>
      <c r="D16" s="83"/>
      <c r="K16" s="77"/>
      <c r="L16" s="77"/>
      <c r="M16" s="83"/>
      <c r="N16" s="83"/>
      <c r="O16" s="83"/>
      <c r="P16" s="83"/>
      <c r="Q16" s="83"/>
      <c r="R16" s="83"/>
      <c r="S16" s="83"/>
      <c r="T16" s="83"/>
      <c r="U16" s="83"/>
      <c r="V16" s="83"/>
      <c r="W16" s="83"/>
      <c r="X16" s="83"/>
      <c r="Y16" s="83"/>
      <c r="Z16" s="83"/>
      <c r="AA16" s="83"/>
      <c r="AB16" s="83"/>
      <c r="AC16" s="83"/>
      <c r="AD16" s="83"/>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c r="BE16" s="77"/>
      <c r="BF16" s="77"/>
      <c r="BG16" s="77"/>
      <c r="BH16" s="77"/>
      <c r="BI16" s="77"/>
      <c r="BJ16" s="77"/>
      <c r="BK16" s="77"/>
      <c r="BL16" s="77"/>
      <c r="BM16" s="77"/>
      <c r="BN16" s="77"/>
      <c r="BO16" s="77"/>
      <c r="BP16" s="77"/>
      <c r="BQ16" s="77"/>
      <c r="BR16" s="77"/>
      <c r="BS16" s="77"/>
      <c r="BT16" s="77"/>
      <c r="BU16" s="77"/>
      <c r="BV16" s="77"/>
      <c r="BW16" s="77"/>
      <c r="BX16" s="77"/>
      <c r="BY16" s="77"/>
      <c r="BZ16" s="77"/>
      <c r="CA16" s="77"/>
      <c r="CB16" s="77"/>
      <c r="CC16" s="77"/>
      <c r="CD16" s="77"/>
      <c r="CE16" s="77"/>
      <c r="CF16" s="77"/>
      <c r="CG16" s="77"/>
      <c r="CH16" s="77"/>
      <c r="CI16" s="77"/>
      <c r="CJ16" s="77"/>
      <c r="CK16" s="77"/>
      <c r="CL16" s="77"/>
      <c r="CM16" s="77"/>
      <c r="CN16" s="77"/>
      <c r="CO16" s="77"/>
      <c r="CP16" s="77"/>
      <c r="CQ16" s="77"/>
      <c r="CR16" s="77"/>
      <c r="CS16" s="77"/>
      <c r="CT16" s="77"/>
      <c r="CU16" s="77"/>
      <c r="CV16" s="77"/>
      <c r="CW16" s="77"/>
      <c r="CX16" s="77"/>
      <c r="CY16" s="77"/>
      <c r="CZ16" s="77"/>
      <c r="DA16" s="77"/>
      <c r="DB16" s="77"/>
      <c r="DC16" s="77"/>
      <c r="DD16" s="77"/>
      <c r="DE16" s="77"/>
      <c r="DF16" s="77"/>
      <c r="DG16" s="77"/>
      <c r="DH16" s="77"/>
      <c r="DI16" s="77"/>
      <c r="DJ16" s="77"/>
      <c r="DK16" s="77"/>
      <c r="DL16" s="77"/>
      <c r="DM16" s="77"/>
      <c r="DN16" s="77"/>
      <c r="DO16" s="77"/>
      <c r="DP16" s="77"/>
      <c r="DQ16" s="77"/>
      <c r="DR16" s="77"/>
      <c r="DS16" s="77"/>
      <c r="DT16" s="77"/>
      <c r="DU16" s="77"/>
      <c r="DV16" s="77"/>
      <c r="DW16" s="77"/>
      <c r="DX16" s="77"/>
      <c r="DY16" s="77"/>
      <c r="DZ16" s="77"/>
      <c r="EA16" s="77"/>
      <c r="EB16" s="77"/>
      <c r="EC16" s="77"/>
      <c r="ED16" s="77"/>
      <c r="EE16" s="77"/>
      <c r="EF16" s="77"/>
      <c r="EG16" s="77"/>
      <c r="EH16" s="77"/>
      <c r="EI16" s="77"/>
      <c r="EJ16" s="77"/>
      <c r="EK16" s="77"/>
      <c r="EL16" s="77"/>
    </row>
    <row r="17" spans="1:142" s="78" customFormat="1">
      <c r="A17" s="89"/>
      <c r="F17" s="89"/>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c r="BE17" s="77"/>
      <c r="BF17" s="77"/>
      <c r="BG17" s="77"/>
      <c r="BH17" s="77"/>
      <c r="BI17" s="77"/>
      <c r="BJ17" s="77"/>
      <c r="BK17" s="77"/>
      <c r="BL17" s="77"/>
      <c r="BM17" s="77"/>
      <c r="BN17" s="77"/>
      <c r="BO17" s="77"/>
      <c r="BP17" s="77"/>
      <c r="BQ17" s="77"/>
      <c r="BR17" s="77"/>
      <c r="BS17" s="77"/>
      <c r="BT17" s="77"/>
      <c r="BU17" s="77"/>
      <c r="BV17" s="77"/>
      <c r="BW17" s="77"/>
      <c r="BX17" s="77"/>
      <c r="BY17" s="77"/>
      <c r="BZ17" s="77"/>
      <c r="CA17" s="77"/>
      <c r="CB17" s="77"/>
      <c r="CC17" s="77"/>
      <c r="CD17" s="77"/>
      <c r="CE17" s="77"/>
      <c r="CF17" s="77"/>
      <c r="CG17" s="77"/>
      <c r="CH17" s="77"/>
      <c r="CI17" s="77"/>
      <c r="CJ17" s="77"/>
      <c r="CK17" s="77"/>
      <c r="CL17" s="77"/>
      <c r="CM17" s="77"/>
      <c r="CN17" s="77"/>
      <c r="CO17" s="77"/>
      <c r="CP17" s="77"/>
      <c r="CQ17" s="77"/>
      <c r="CR17" s="77"/>
      <c r="CS17" s="77"/>
      <c r="CT17" s="77"/>
      <c r="CU17" s="77"/>
      <c r="CV17" s="77"/>
      <c r="CW17" s="77"/>
      <c r="CX17" s="77"/>
      <c r="CY17" s="77"/>
      <c r="CZ17" s="77"/>
      <c r="DA17" s="77"/>
      <c r="DB17" s="77"/>
      <c r="DC17" s="77"/>
      <c r="DD17" s="77"/>
      <c r="DE17" s="77"/>
      <c r="DF17" s="77"/>
      <c r="DG17" s="77"/>
      <c r="DH17" s="77"/>
      <c r="DI17" s="77"/>
      <c r="DJ17" s="77"/>
      <c r="DK17" s="77"/>
      <c r="DL17" s="77"/>
      <c r="DM17" s="77"/>
      <c r="DN17" s="77"/>
      <c r="DO17" s="77"/>
      <c r="DP17" s="77"/>
      <c r="DQ17" s="77"/>
      <c r="DR17" s="77"/>
      <c r="DS17" s="77"/>
      <c r="DT17" s="77"/>
      <c r="DU17" s="77"/>
      <c r="DV17" s="77"/>
      <c r="DW17" s="77"/>
      <c r="DX17" s="77"/>
      <c r="DY17" s="77"/>
      <c r="DZ17" s="77"/>
      <c r="EA17" s="77"/>
      <c r="EB17" s="77"/>
      <c r="EC17" s="77"/>
      <c r="ED17" s="77"/>
      <c r="EE17" s="77"/>
      <c r="EF17" s="77"/>
      <c r="EG17" s="77"/>
      <c r="EH17" s="77"/>
      <c r="EI17" s="77"/>
      <c r="EJ17" s="77"/>
      <c r="EK17" s="77"/>
      <c r="EL17" s="77"/>
    </row>
    <row r="18" spans="1:142" s="78" customFormat="1">
      <c r="A18" s="89"/>
      <c r="F18" s="89"/>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c r="BE18" s="77"/>
      <c r="BF18" s="77"/>
      <c r="BG18" s="77"/>
      <c r="BH18" s="77"/>
      <c r="BI18" s="77"/>
      <c r="BJ18" s="77"/>
      <c r="BK18" s="77"/>
      <c r="BL18" s="77"/>
      <c r="BM18" s="77"/>
      <c r="BN18" s="77"/>
      <c r="BO18" s="77"/>
      <c r="BP18" s="77"/>
      <c r="BQ18" s="77"/>
      <c r="BR18" s="77"/>
      <c r="BS18" s="77"/>
      <c r="BT18" s="77"/>
      <c r="BU18" s="77"/>
      <c r="BV18" s="77"/>
      <c r="BW18" s="77"/>
      <c r="BX18" s="77"/>
      <c r="BY18" s="77"/>
      <c r="BZ18" s="77"/>
      <c r="CA18" s="77"/>
      <c r="CB18" s="77"/>
      <c r="CC18" s="77"/>
      <c r="CD18" s="77"/>
      <c r="CE18" s="77"/>
      <c r="CF18" s="77"/>
      <c r="CG18" s="77"/>
      <c r="CH18" s="77"/>
      <c r="CI18" s="77"/>
      <c r="CJ18" s="77"/>
      <c r="CK18" s="77"/>
      <c r="CL18" s="77"/>
      <c r="CM18" s="77"/>
      <c r="CN18" s="77"/>
      <c r="CO18" s="77"/>
      <c r="CP18" s="77"/>
      <c r="CQ18" s="77"/>
      <c r="CR18" s="77"/>
      <c r="CS18" s="77"/>
      <c r="CT18" s="77"/>
      <c r="CU18" s="77"/>
      <c r="CV18" s="77"/>
      <c r="CW18" s="77"/>
      <c r="CX18" s="77"/>
      <c r="CY18" s="77"/>
      <c r="CZ18" s="77"/>
      <c r="DA18" s="77"/>
      <c r="DB18" s="77"/>
      <c r="DC18" s="77"/>
      <c r="DD18" s="77"/>
      <c r="DE18" s="77"/>
      <c r="DF18" s="77"/>
      <c r="DG18" s="77"/>
      <c r="DH18" s="77"/>
      <c r="DI18" s="77"/>
      <c r="DJ18" s="77"/>
      <c r="DK18" s="77"/>
      <c r="DL18" s="77"/>
      <c r="DM18" s="77"/>
      <c r="DN18" s="77"/>
      <c r="DO18" s="77"/>
      <c r="DP18" s="77"/>
      <c r="DQ18" s="77"/>
      <c r="DR18" s="77"/>
      <c r="DS18" s="77"/>
      <c r="DT18" s="77"/>
      <c r="DU18" s="77"/>
      <c r="DV18" s="77"/>
      <c r="DW18" s="77"/>
      <c r="DX18" s="77"/>
      <c r="DY18" s="77"/>
      <c r="DZ18" s="77"/>
      <c r="EA18" s="77"/>
      <c r="EB18" s="77"/>
      <c r="EC18" s="77"/>
      <c r="ED18" s="77"/>
      <c r="EE18" s="77"/>
      <c r="EF18" s="77"/>
      <c r="EG18" s="77"/>
      <c r="EH18" s="77"/>
      <c r="EI18" s="77"/>
      <c r="EJ18" s="77"/>
      <c r="EK18" s="77"/>
      <c r="EL18" s="77"/>
    </row>
    <row r="19" spans="1:142" s="78" customFormat="1">
      <c r="A19" s="89"/>
      <c r="B19" s="89" t="s">
        <v>87</v>
      </c>
      <c r="C19" s="89"/>
      <c r="E19" s="89"/>
      <c r="F19" s="94" t="s">
        <v>839</v>
      </c>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c r="BO19" s="77"/>
      <c r="BP19" s="77"/>
      <c r="BQ19" s="77"/>
      <c r="BR19" s="77"/>
      <c r="BS19" s="77"/>
      <c r="BT19" s="77"/>
      <c r="BU19" s="77"/>
      <c r="BV19" s="77"/>
      <c r="BW19" s="77"/>
      <c r="BX19" s="77"/>
      <c r="BY19" s="77"/>
      <c r="BZ19" s="77"/>
      <c r="CA19" s="77"/>
      <c r="CB19" s="77"/>
      <c r="CC19" s="77"/>
      <c r="CD19" s="77"/>
      <c r="CE19" s="77"/>
      <c r="CF19" s="77"/>
      <c r="CG19" s="77"/>
      <c r="CH19" s="77"/>
      <c r="CI19" s="77"/>
      <c r="CJ19" s="77"/>
      <c r="CK19" s="77"/>
      <c r="CL19" s="77"/>
      <c r="CM19" s="77"/>
      <c r="CN19" s="77"/>
      <c r="CO19" s="77"/>
      <c r="CP19" s="77"/>
      <c r="CQ19" s="77"/>
      <c r="CR19" s="77"/>
      <c r="CS19" s="77"/>
      <c r="CT19" s="77"/>
      <c r="CU19" s="77"/>
      <c r="CV19" s="77"/>
      <c r="CW19" s="77"/>
      <c r="CX19" s="77"/>
      <c r="CY19" s="77"/>
      <c r="CZ19" s="77"/>
      <c r="DA19" s="77"/>
      <c r="DB19" s="77"/>
      <c r="DC19" s="77"/>
      <c r="DD19" s="77"/>
      <c r="DE19" s="77"/>
      <c r="DF19" s="77"/>
      <c r="DG19" s="77"/>
      <c r="DH19" s="77"/>
      <c r="DI19" s="77"/>
      <c r="DJ19" s="77"/>
      <c r="DK19" s="77"/>
      <c r="DL19" s="77"/>
      <c r="DM19" s="77"/>
      <c r="DN19" s="77"/>
      <c r="DO19" s="77"/>
      <c r="DP19" s="77"/>
      <c r="DQ19" s="77"/>
      <c r="DR19" s="77"/>
      <c r="DS19" s="77"/>
      <c r="DT19" s="77"/>
      <c r="DU19" s="77"/>
      <c r="DV19" s="77"/>
      <c r="DW19" s="77"/>
      <c r="DX19" s="77"/>
      <c r="DY19" s="77"/>
      <c r="DZ19" s="77"/>
      <c r="EA19" s="77"/>
      <c r="EB19" s="77"/>
      <c r="EC19" s="77"/>
      <c r="ED19" s="77"/>
      <c r="EE19" s="77"/>
      <c r="EF19" s="77"/>
      <c r="EG19" s="77"/>
      <c r="EH19" s="77"/>
      <c r="EI19" s="77"/>
      <c r="EJ19" s="77"/>
      <c r="EK19" s="77"/>
      <c r="EL19" s="77"/>
    </row>
    <row r="20" spans="1:142" s="78" customFormat="1">
      <c r="A20" s="89"/>
      <c r="B20" s="89" t="s">
        <v>88</v>
      </c>
      <c r="C20" s="89"/>
      <c r="E20" s="89"/>
      <c r="F20" s="94" t="s">
        <v>840</v>
      </c>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c r="BE20" s="77"/>
      <c r="BF20" s="77"/>
      <c r="BG20" s="77"/>
      <c r="BH20" s="77"/>
      <c r="BI20" s="77"/>
      <c r="BJ20" s="77"/>
      <c r="BK20" s="77"/>
      <c r="BL20" s="77"/>
      <c r="BM20" s="77"/>
      <c r="BN20" s="77"/>
      <c r="BO20" s="77"/>
      <c r="BP20" s="77"/>
      <c r="BQ20" s="77"/>
      <c r="BR20" s="77"/>
      <c r="BS20" s="77"/>
      <c r="BT20" s="77"/>
      <c r="BU20" s="77"/>
      <c r="BV20" s="77"/>
      <c r="BW20" s="77"/>
      <c r="BX20" s="77"/>
      <c r="BY20" s="77"/>
      <c r="BZ20" s="77"/>
      <c r="CA20" s="77"/>
      <c r="CB20" s="77"/>
      <c r="CC20" s="77"/>
      <c r="CD20" s="77"/>
      <c r="CE20" s="77"/>
      <c r="CF20" s="77"/>
      <c r="CG20" s="77"/>
      <c r="CH20" s="77"/>
      <c r="CI20" s="77"/>
      <c r="CJ20" s="77"/>
      <c r="CK20" s="77"/>
      <c r="CL20" s="77"/>
      <c r="CM20" s="77"/>
      <c r="CN20" s="77"/>
      <c r="CO20" s="77"/>
      <c r="CP20" s="77"/>
      <c r="CQ20" s="77"/>
      <c r="CR20" s="77"/>
      <c r="CS20" s="77"/>
      <c r="CT20" s="77"/>
      <c r="CU20" s="77"/>
      <c r="CV20" s="77"/>
      <c r="CW20" s="77"/>
      <c r="CX20" s="77"/>
      <c r="CY20" s="77"/>
      <c r="CZ20" s="77"/>
      <c r="DA20" s="77"/>
      <c r="DB20" s="77"/>
      <c r="DC20" s="77"/>
      <c r="DD20" s="77"/>
      <c r="DE20" s="77"/>
      <c r="DF20" s="77"/>
      <c r="DG20" s="77"/>
      <c r="DH20" s="77"/>
      <c r="DI20" s="77"/>
      <c r="DJ20" s="77"/>
      <c r="DK20" s="77"/>
      <c r="DL20" s="77"/>
      <c r="DM20" s="77"/>
      <c r="DN20" s="77"/>
      <c r="DO20" s="77"/>
      <c r="DP20" s="77"/>
      <c r="DQ20" s="77"/>
      <c r="DR20" s="77"/>
      <c r="DS20" s="77"/>
      <c r="DT20" s="77"/>
      <c r="DU20" s="77"/>
      <c r="DV20" s="77"/>
      <c r="DW20" s="77"/>
      <c r="DX20" s="77"/>
      <c r="DY20" s="77"/>
      <c r="DZ20" s="77"/>
      <c r="EA20" s="77"/>
      <c r="EB20" s="77"/>
      <c r="EC20" s="77"/>
      <c r="ED20" s="77"/>
      <c r="EE20" s="77"/>
      <c r="EF20" s="77"/>
      <c r="EG20" s="77"/>
      <c r="EH20" s="77"/>
      <c r="EI20" s="77"/>
      <c r="EJ20" s="77"/>
      <c r="EK20" s="77"/>
      <c r="EL20" s="77"/>
    </row>
    <row r="21" spans="1:142" s="78" customFormat="1">
      <c r="A21" s="89"/>
      <c r="B21" s="89" t="s">
        <v>626</v>
      </c>
      <c r="C21" s="89"/>
      <c r="E21" s="408" t="s">
        <v>137</v>
      </c>
      <c r="F21" s="360">
        <v>1</v>
      </c>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c r="BE21" s="77"/>
      <c r="BF21" s="77"/>
      <c r="BG21" s="77"/>
      <c r="BH21" s="77"/>
      <c r="BI21" s="77"/>
      <c r="BJ21" s="77"/>
      <c r="BK21" s="77"/>
      <c r="BL21" s="77"/>
      <c r="BM21" s="77"/>
      <c r="BN21" s="77"/>
      <c r="BO21" s="77"/>
      <c r="BP21" s="77"/>
      <c r="BQ21" s="77"/>
      <c r="BR21" s="77"/>
      <c r="BS21" s="77"/>
      <c r="BT21" s="77"/>
      <c r="BU21" s="77"/>
      <c r="BV21" s="77"/>
      <c r="BW21" s="77"/>
      <c r="BX21" s="77"/>
      <c r="BY21" s="77"/>
      <c r="BZ21" s="77"/>
      <c r="CA21" s="77"/>
      <c r="CB21" s="77"/>
      <c r="CC21" s="77"/>
      <c r="CD21" s="77"/>
      <c r="CE21" s="77"/>
      <c r="CF21" s="77"/>
      <c r="CG21" s="77"/>
      <c r="CH21" s="77"/>
      <c r="CI21" s="77"/>
      <c r="CJ21" s="77"/>
      <c r="CK21" s="77"/>
      <c r="CL21" s="77"/>
      <c r="CM21" s="77"/>
      <c r="CN21" s="77"/>
      <c r="CO21" s="77"/>
      <c r="CP21" s="77"/>
      <c r="CQ21" s="77"/>
      <c r="CR21" s="77"/>
      <c r="CS21" s="77"/>
      <c r="CT21" s="77"/>
      <c r="CU21" s="77"/>
      <c r="CV21" s="77"/>
      <c r="CW21" s="77"/>
      <c r="CX21" s="77"/>
      <c r="CY21" s="77"/>
      <c r="CZ21" s="77"/>
      <c r="DA21" s="77"/>
      <c r="DB21" s="77"/>
      <c r="DC21" s="77"/>
      <c r="DD21" s="77"/>
      <c r="DE21" s="77"/>
      <c r="DF21" s="77"/>
      <c r="DG21" s="77"/>
      <c r="DH21" s="77"/>
      <c r="DI21" s="77"/>
      <c r="DJ21" s="77"/>
      <c r="DK21" s="77"/>
      <c r="DL21" s="77"/>
      <c r="DM21" s="77"/>
      <c r="DN21" s="77"/>
      <c r="DO21" s="77"/>
      <c r="DP21" s="77"/>
      <c r="DQ21" s="77"/>
      <c r="DR21" s="77"/>
      <c r="DS21" s="77"/>
      <c r="DT21" s="77"/>
      <c r="DU21" s="77"/>
      <c r="DV21" s="77"/>
      <c r="DW21" s="77"/>
      <c r="DX21" s="77"/>
      <c r="DY21" s="77"/>
      <c r="DZ21" s="77"/>
      <c r="EA21" s="77"/>
      <c r="EB21" s="77"/>
      <c r="EC21" s="77"/>
      <c r="ED21" s="77"/>
      <c r="EE21" s="77"/>
      <c r="EF21" s="77"/>
      <c r="EG21" s="77"/>
      <c r="EH21" s="77"/>
      <c r="EI21" s="77"/>
      <c r="EJ21" s="77"/>
      <c r="EK21" s="77"/>
      <c r="EL21" s="77"/>
    </row>
    <row r="22" spans="1:142" s="78" customFormat="1">
      <c r="A22" s="89"/>
      <c r="B22" s="89" t="s">
        <v>134</v>
      </c>
      <c r="C22" s="89"/>
      <c r="E22" s="89"/>
      <c r="F22" s="197">
        <v>20</v>
      </c>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c r="BE22" s="77"/>
      <c r="BF22" s="77"/>
      <c r="BG22" s="77"/>
      <c r="BH22" s="77"/>
      <c r="BI22" s="77"/>
      <c r="BJ22" s="77"/>
      <c r="BK22" s="77"/>
      <c r="BL22" s="77"/>
      <c r="BM22" s="77"/>
      <c r="BN22" s="77"/>
      <c r="BO22" s="77"/>
      <c r="BP22" s="77"/>
      <c r="BQ22" s="77"/>
      <c r="BR22" s="77"/>
      <c r="BS22" s="77"/>
      <c r="BT22" s="77"/>
      <c r="BU22" s="77"/>
      <c r="BV22" s="77"/>
      <c r="BW22" s="77"/>
      <c r="BX22" s="77"/>
      <c r="BY22" s="77"/>
      <c r="BZ22" s="77"/>
      <c r="CA22" s="77"/>
      <c r="CB22" s="77"/>
      <c r="CC22" s="77"/>
      <c r="CD22" s="77"/>
      <c r="CE22" s="77"/>
      <c r="CF22" s="77"/>
      <c r="CG22" s="77"/>
      <c r="CH22" s="77"/>
      <c r="CI22" s="77"/>
      <c r="CJ22" s="77"/>
      <c r="CK22" s="77"/>
      <c r="CL22" s="77"/>
      <c r="CM22" s="77"/>
      <c r="CN22" s="77"/>
      <c r="CO22" s="77"/>
      <c r="CP22" s="77"/>
      <c r="CQ22" s="77"/>
      <c r="CR22" s="77"/>
      <c r="CS22" s="77"/>
      <c r="CT22" s="77"/>
      <c r="CU22" s="77"/>
      <c r="CV22" s="77"/>
      <c r="CW22" s="77"/>
      <c r="CX22" s="77"/>
      <c r="CY22" s="77"/>
      <c r="CZ22" s="77"/>
      <c r="DA22" s="77"/>
      <c r="DB22" s="77"/>
      <c r="DC22" s="77"/>
      <c r="DD22" s="77"/>
      <c r="DE22" s="77"/>
      <c r="DF22" s="77"/>
      <c r="DG22" s="77"/>
      <c r="DH22" s="77"/>
      <c r="DI22" s="77"/>
      <c r="DJ22" s="77"/>
      <c r="DK22" s="77"/>
      <c r="DL22" s="77"/>
      <c r="DM22" s="77"/>
      <c r="DN22" s="77"/>
      <c r="DO22" s="77"/>
      <c r="DP22" s="77"/>
      <c r="DQ22" s="77"/>
      <c r="DR22" s="77"/>
      <c r="DS22" s="77"/>
      <c r="DT22" s="77"/>
      <c r="DU22" s="77"/>
      <c r="DV22" s="77"/>
      <c r="DW22" s="77"/>
      <c r="DX22" s="77"/>
      <c r="DY22" s="77"/>
      <c r="DZ22" s="77"/>
      <c r="EA22" s="77"/>
      <c r="EB22" s="77"/>
      <c r="EC22" s="77"/>
      <c r="ED22" s="77"/>
      <c r="EE22" s="77"/>
      <c r="EF22" s="77"/>
      <c r="EG22" s="77"/>
      <c r="EH22" s="77"/>
      <c r="EI22" s="77"/>
      <c r="EJ22" s="77"/>
      <c r="EK22" s="77"/>
      <c r="EL22" s="77"/>
    </row>
    <row r="23" spans="1:142" s="78" customFormat="1">
      <c r="A23" s="89"/>
      <c r="H23" s="836">
        <f>YEARFRAC(F24,F25)</f>
        <v>0.99722222222222223</v>
      </c>
      <c r="I23" s="837" t="s">
        <v>408</v>
      </c>
      <c r="J23" s="838"/>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c r="BE23" s="77"/>
      <c r="BF23" s="77"/>
      <c r="BG23" s="77"/>
      <c r="BH23" s="77"/>
      <c r="BI23" s="77"/>
      <c r="BJ23" s="77"/>
      <c r="BK23" s="77"/>
      <c r="BL23" s="77"/>
      <c r="BM23" s="77"/>
      <c r="BN23" s="77"/>
      <c r="BO23" s="77"/>
      <c r="BP23" s="77"/>
      <c r="BQ23" s="77"/>
      <c r="BR23" s="77"/>
      <c r="BS23" s="77"/>
      <c r="BT23" s="77"/>
      <c r="BU23" s="77"/>
      <c r="BV23" s="77"/>
      <c r="BW23" s="77"/>
      <c r="BX23" s="77"/>
      <c r="BY23" s="77"/>
      <c r="BZ23" s="77"/>
      <c r="CA23" s="77"/>
      <c r="CB23" s="77"/>
      <c r="CC23" s="77"/>
      <c r="CD23" s="77"/>
      <c r="CE23" s="77"/>
      <c r="CF23" s="77"/>
      <c r="CG23" s="77"/>
      <c r="CH23" s="77"/>
      <c r="CI23" s="77"/>
      <c r="CJ23" s="77"/>
      <c r="CK23" s="77"/>
      <c r="CL23" s="77"/>
      <c r="CM23" s="77"/>
      <c r="CN23" s="77"/>
      <c r="CO23" s="77"/>
      <c r="CP23" s="77"/>
      <c r="CQ23" s="77"/>
      <c r="CR23" s="77"/>
      <c r="CS23" s="77"/>
      <c r="CT23" s="77"/>
      <c r="CU23" s="77"/>
      <c r="CV23" s="77"/>
      <c r="CW23" s="77"/>
      <c r="CX23" s="77"/>
      <c r="CY23" s="77"/>
      <c r="CZ23" s="77"/>
      <c r="DA23" s="77"/>
      <c r="DB23" s="77"/>
      <c r="DC23" s="77"/>
      <c r="DD23" s="77"/>
      <c r="DE23" s="77"/>
      <c r="DF23" s="77"/>
      <c r="DG23" s="77"/>
      <c r="DH23" s="77"/>
      <c r="DI23" s="77"/>
      <c r="DJ23" s="77"/>
      <c r="DK23" s="77"/>
      <c r="DL23" s="77"/>
      <c r="DM23" s="77"/>
      <c r="DN23" s="77"/>
      <c r="DO23" s="77"/>
      <c r="DP23" s="77"/>
      <c r="DQ23" s="77"/>
      <c r="DR23" s="77"/>
      <c r="DS23" s="77"/>
      <c r="DT23" s="77"/>
      <c r="DU23" s="77"/>
      <c r="DV23" s="77"/>
      <c r="DW23" s="77"/>
      <c r="DX23" s="77"/>
      <c r="DY23" s="77"/>
      <c r="DZ23" s="77"/>
      <c r="EA23" s="77"/>
      <c r="EB23" s="77"/>
      <c r="EC23" s="77"/>
      <c r="ED23" s="77"/>
      <c r="EE23" s="77"/>
      <c r="EF23" s="77"/>
      <c r="EG23" s="77"/>
      <c r="EH23" s="77"/>
      <c r="EI23" s="77"/>
      <c r="EJ23" s="77"/>
      <c r="EK23" s="77"/>
      <c r="EL23" s="77"/>
    </row>
    <row r="24" spans="1:142" s="78" customFormat="1">
      <c r="A24" s="79"/>
      <c r="B24" s="89" t="s">
        <v>642</v>
      </c>
      <c r="C24" s="89"/>
      <c r="E24" s="89"/>
      <c r="F24" s="736">
        <v>35795</v>
      </c>
      <c r="H24" s="840">
        <f>IF(H23&lt;=1,IF(H23&gt;0.75,1,IF(H23&gt;0.5,0.75,IF(H23&gt;0.25,0.5,0.25))),1)</f>
        <v>1</v>
      </c>
      <c r="I24" s="93" t="s">
        <v>644</v>
      </c>
      <c r="J24" s="841"/>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c r="BE24" s="77"/>
      <c r="BF24" s="77"/>
      <c r="BG24" s="77"/>
      <c r="BH24" s="77"/>
      <c r="BI24" s="77"/>
      <c r="BJ24" s="77"/>
      <c r="BK24" s="77"/>
      <c r="BL24" s="77"/>
      <c r="BM24" s="77"/>
      <c r="BN24" s="77"/>
      <c r="BO24" s="77"/>
      <c r="BP24" s="77"/>
      <c r="BQ24" s="77"/>
      <c r="BR24" s="77"/>
      <c r="BS24" s="77"/>
      <c r="BT24" s="77"/>
      <c r="BU24" s="77"/>
      <c r="BV24" s="77"/>
      <c r="BW24" s="77"/>
      <c r="BX24" s="77"/>
      <c r="BY24" s="77"/>
      <c r="BZ24" s="77"/>
      <c r="CA24" s="77"/>
      <c r="CB24" s="77"/>
      <c r="CC24" s="77"/>
      <c r="CD24" s="77"/>
      <c r="CE24" s="77"/>
      <c r="CF24" s="77"/>
      <c r="CG24" s="77"/>
      <c r="CH24" s="77"/>
      <c r="CI24" s="77"/>
      <c r="CJ24" s="77"/>
      <c r="CK24" s="77"/>
      <c r="CL24" s="77"/>
      <c r="CM24" s="77"/>
      <c r="CN24" s="77"/>
      <c r="CO24" s="77"/>
      <c r="CP24" s="77"/>
      <c r="CQ24" s="77"/>
      <c r="CR24" s="77"/>
      <c r="CS24" s="77"/>
      <c r="CT24" s="77"/>
      <c r="CU24" s="77"/>
      <c r="CV24" s="77"/>
      <c r="CW24" s="77"/>
      <c r="CX24" s="77"/>
      <c r="CY24" s="77"/>
      <c r="CZ24" s="77"/>
      <c r="DA24" s="77"/>
      <c r="DB24" s="77"/>
      <c r="DC24" s="77"/>
      <c r="DD24" s="77"/>
      <c r="DE24" s="77"/>
      <c r="DF24" s="77"/>
      <c r="DG24" s="77"/>
      <c r="DH24" s="77"/>
      <c r="DI24" s="77"/>
      <c r="DJ24" s="77"/>
      <c r="DK24" s="77"/>
      <c r="DL24" s="77"/>
      <c r="DM24" s="77"/>
      <c r="DN24" s="77"/>
      <c r="DO24" s="77"/>
      <c r="DP24" s="77"/>
      <c r="DQ24" s="77"/>
      <c r="DR24" s="77"/>
      <c r="DS24" s="77"/>
      <c r="DT24" s="77"/>
      <c r="DU24" s="77"/>
      <c r="DV24" s="77"/>
      <c r="DW24" s="77"/>
      <c r="DX24" s="77"/>
      <c r="DY24" s="77"/>
      <c r="DZ24" s="77"/>
      <c r="EA24" s="77"/>
      <c r="EB24" s="77"/>
      <c r="EC24" s="77"/>
      <c r="ED24" s="77"/>
      <c r="EE24" s="77"/>
      <c r="EF24" s="77"/>
      <c r="EG24" s="77"/>
      <c r="EH24" s="77"/>
      <c r="EI24" s="77"/>
      <c r="EJ24" s="77"/>
      <c r="EK24" s="77"/>
      <c r="EL24" s="77"/>
    </row>
    <row r="25" spans="1:142" s="78" customFormat="1">
      <c r="A25" s="79"/>
      <c r="B25" s="89" t="s">
        <v>643</v>
      </c>
      <c r="C25" s="89"/>
      <c r="E25" s="89"/>
      <c r="F25" s="736">
        <v>36159</v>
      </c>
      <c r="H25" s="842">
        <f>YEAR(F24)</f>
        <v>2002</v>
      </c>
      <c r="I25" s="413" t="s">
        <v>135</v>
      </c>
      <c r="J25" s="839"/>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c r="BE25" s="77"/>
      <c r="BF25" s="77"/>
      <c r="BG25" s="77"/>
      <c r="BH25" s="77"/>
      <c r="BI25" s="77"/>
      <c r="BJ25" s="77"/>
      <c r="BK25" s="77"/>
      <c r="BL25" s="77"/>
      <c r="BM25" s="77"/>
      <c r="BN25" s="77"/>
      <c r="BO25" s="77"/>
      <c r="BP25" s="77"/>
      <c r="BQ25" s="77"/>
      <c r="BR25" s="77"/>
      <c r="BS25" s="77"/>
      <c r="BT25" s="77"/>
      <c r="BU25" s="77"/>
      <c r="BV25" s="77"/>
      <c r="BW25" s="77"/>
      <c r="BX25" s="77"/>
      <c r="BY25" s="77"/>
      <c r="BZ25" s="77"/>
      <c r="CA25" s="77"/>
      <c r="CB25" s="77"/>
      <c r="CC25" s="77"/>
      <c r="CD25" s="77"/>
      <c r="CE25" s="77"/>
      <c r="CF25" s="77"/>
      <c r="CG25" s="77"/>
      <c r="CH25" s="77"/>
      <c r="CI25" s="77"/>
      <c r="CJ25" s="77"/>
      <c r="CK25" s="77"/>
      <c r="CL25" s="77"/>
      <c r="CM25" s="77"/>
      <c r="CN25" s="77"/>
      <c r="CO25" s="77"/>
      <c r="CP25" s="77"/>
      <c r="CQ25" s="77"/>
      <c r="CR25" s="77"/>
      <c r="CS25" s="77"/>
      <c r="CT25" s="77"/>
      <c r="CU25" s="77"/>
      <c r="CV25" s="77"/>
      <c r="CW25" s="77"/>
      <c r="CX25" s="77"/>
      <c r="CY25" s="77"/>
      <c r="CZ25" s="77"/>
      <c r="DA25" s="77"/>
      <c r="DB25" s="77"/>
      <c r="DC25" s="77"/>
      <c r="DD25" s="77"/>
      <c r="DE25" s="77"/>
      <c r="DF25" s="77"/>
      <c r="DG25" s="77"/>
      <c r="DH25" s="77"/>
      <c r="DI25" s="77"/>
      <c r="DJ25" s="77"/>
      <c r="DK25" s="77"/>
      <c r="DL25" s="77"/>
      <c r="DM25" s="77"/>
      <c r="DN25" s="77"/>
      <c r="DO25" s="77"/>
      <c r="DP25" s="77"/>
      <c r="DQ25" s="77"/>
      <c r="DR25" s="77"/>
      <c r="DS25" s="77"/>
      <c r="DT25" s="77"/>
      <c r="DU25" s="77"/>
      <c r="DV25" s="77"/>
      <c r="DW25" s="77"/>
      <c r="DX25" s="77"/>
      <c r="DY25" s="77"/>
      <c r="DZ25" s="77"/>
      <c r="EA25" s="77"/>
      <c r="EB25" s="77"/>
      <c r="EC25" s="77"/>
      <c r="ED25" s="77"/>
      <c r="EE25" s="77"/>
      <c r="EF25" s="77"/>
      <c r="EG25" s="77"/>
      <c r="EH25" s="77"/>
      <c r="EI25" s="77"/>
      <c r="EJ25" s="77"/>
      <c r="EK25" s="77"/>
      <c r="EL25" s="77"/>
    </row>
    <row r="26" spans="1:142" s="78" customFormat="1">
      <c r="A26" s="79"/>
      <c r="B26" s="89"/>
      <c r="C26" s="89"/>
      <c r="E26" s="89"/>
      <c r="F26" s="1530"/>
      <c r="X26" s="77"/>
      <c r="Y26" s="77"/>
      <c r="Z26" s="77"/>
      <c r="AA26" s="77"/>
      <c r="AB26" s="77"/>
      <c r="AC26" s="77"/>
      <c r="AD26" s="77"/>
      <c r="AE26" s="77"/>
      <c r="AF26" s="77"/>
      <c r="AG26" s="77"/>
      <c r="AH26" s="77"/>
      <c r="AI26" s="77"/>
      <c r="AJ26" s="77"/>
      <c r="AK26" s="77"/>
      <c r="AL26" s="77"/>
      <c r="AM26" s="77"/>
      <c r="AN26" s="77"/>
      <c r="AO26" s="77"/>
      <c r="AP26" s="77"/>
      <c r="AQ26" s="77"/>
      <c r="AR26" s="77"/>
      <c r="AS26" s="77"/>
      <c r="AT26" s="77"/>
      <c r="AU26" s="77"/>
      <c r="AV26" s="77"/>
      <c r="AW26" s="77"/>
      <c r="AX26" s="77"/>
      <c r="AY26" s="77"/>
      <c r="AZ26" s="77"/>
      <c r="BA26" s="77"/>
      <c r="BB26" s="77"/>
      <c r="BC26" s="77"/>
      <c r="BD26" s="77"/>
      <c r="BE26" s="77"/>
      <c r="BF26" s="77"/>
      <c r="BG26" s="77"/>
      <c r="BH26" s="77"/>
      <c r="BI26" s="77"/>
      <c r="BJ26" s="77"/>
      <c r="BK26" s="77"/>
      <c r="BL26" s="77"/>
      <c r="BM26" s="77"/>
      <c r="BN26" s="77"/>
      <c r="BO26" s="77"/>
      <c r="BP26" s="77"/>
      <c r="BQ26" s="77"/>
      <c r="BR26" s="77"/>
      <c r="BS26" s="77"/>
      <c r="BT26" s="77"/>
      <c r="BU26" s="77"/>
      <c r="BV26" s="77"/>
      <c r="BW26" s="77"/>
      <c r="BX26" s="77"/>
      <c r="BY26" s="77"/>
      <c r="BZ26" s="77"/>
      <c r="CA26" s="77"/>
      <c r="CB26" s="77"/>
      <c r="CC26" s="77"/>
      <c r="CD26" s="77"/>
      <c r="CE26" s="77"/>
      <c r="CF26" s="77"/>
      <c r="CG26" s="77"/>
      <c r="CH26" s="77"/>
      <c r="CI26" s="77"/>
      <c r="CJ26" s="77"/>
      <c r="CK26" s="77"/>
      <c r="CL26" s="77"/>
      <c r="CM26" s="77"/>
      <c r="CN26" s="77"/>
      <c r="CO26" s="77"/>
      <c r="CP26" s="77"/>
      <c r="CQ26" s="77"/>
      <c r="CR26" s="77"/>
      <c r="CS26" s="77"/>
      <c r="CT26" s="77"/>
      <c r="CU26" s="77"/>
      <c r="CV26" s="77"/>
      <c r="CW26" s="77"/>
      <c r="CX26" s="77"/>
      <c r="CY26" s="77"/>
      <c r="CZ26" s="77"/>
      <c r="DA26" s="77"/>
      <c r="DB26" s="77"/>
      <c r="DC26" s="77"/>
      <c r="DD26" s="77"/>
      <c r="DE26" s="77"/>
      <c r="DF26" s="77"/>
      <c r="DG26" s="77"/>
      <c r="DH26" s="77"/>
      <c r="DI26" s="77"/>
      <c r="DJ26" s="77"/>
      <c r="DK26" s="77"/>
      <c r="DL26" s="77"/>
      <c r="DM26" s="77"/>
      <c r="DN26" s="77"/>
      <c r="DO26" s="77"/>
      <c r="DP26" s="77"/>
      <c r="DQ26" s="77"/>
      <c r="DR26" s="77"/>
      <c r="DS26" s="77"/>
      <c r="DT26" s="77"/>
      <c r="DU26" s="77"/>
      <c r="DV26" s="77"/>
      <c r="DW26" s="77"/>
      <c r="DX26" s="77"/>
      <c r="DY26" s="77"/>
      <c r="DZ26" s="77"/>
      <c r="EA26" s="77"/>
      <c r="EB26" s="77"/>
      <c r="EC26" s="77"/>
      <c r="ED26" s="77"/>
      <c r="EE26" s="77"/>
      <c r="EF26" s="77"/>
      <c r="EG26" s="77"/>
      <c r="EH26" s="77"/>
      <c r="EI26" s="77"/>
      <c r="EJ26" s="77"/>
      <c r="EK26" s="77"/>
      <c r="EL26" s="77"/>
    </row>
    <row r="27" spans="1:142" s="78" customFormat="1">
      <c r="A27" s="79"/>
      <c r="X27" s="77"/>
      <c r="Y27" s="77"/>
      <c r="Z27" s="77"/>
      <c r="AA27" s="77"/>
      <c r="AB27" s="77"/>
      <c r="AC27" s="77"/>
      <c r="AD27" s="77"/>
      <c r="AE27" s="77"/>
      <c r="AF27" s="77"/>
      <c r="AG27" s="77"/>
      <c r="AH27" s="77"/>
      <c r="AI27" s="77"/>
      <c r="AJ27" s="77"/>
      <c r="AK27" s="77"/>
      <c r="AL27" s="77"/>
      <c r="AM27" s="77"/>
      <c r="AN27" s="77"/>
      <c r="AO27" s="77"/>
      <c r="AP27" s="77"/>
      <c r="AQ27" s="77"/>
      <c r="AR27" s="77"/>
      <c r="AS27" s="77"/>
      <c r="AT27" s="77"/>
      <c r="AU27" s="77"/>
      <c r="AV27" s="77"/>
      <c r="AW27" s="77"/>
      <c r="AX27" s="77"/>
      <c r="AY27" s="77"/>
      <c r="AZ27" s="77"/>
      <c r="BA27" s="77"/>
      <c r="BB27" s="77"/>
      <c r="BC27" s="77"/>
      <c r="BD27" s="77"/>
      <c r="BE27" s="77"/>
      <c r="BF27" s="77"/>
      <c r="BG27" s="77"/>
      <c r="BH27" s="77"/>
      <c r="BI27" s="77"/>
      <c r="BJ27" s="77"/>
      <c r="BK27" s="77"/>
      <c r="BL27" s="77"/>
      <c r="BM27" s="77"/>
      <c r="BN27" s="77"/>
      <c r="BO27" s="77"/>
      <c r="BP27" s="77"/>
      <c r="BQ27" s="77"/>
      <c r="BR27" s="77"/>
      <c r="BS27" s="77"/>
      <c r="BT27" s="77"/>
      <c r="BU27" s="77"/>
      <c r="BV27" s="77"/>
      <c r="BW27" s="77"/>
      <c r="BX27" s="77"/>
      <c r="BY27" s="77"/>
      <c r="BZ27" s="77"/>
      <c r="CA27" s="77"/>
      <c r="CB27" s="77"/>
      <c r="CC27" s="77"/>
      <c r="CD27" s="77"/>
      <c r="CE27" s="77"/>
      <c r="CF27" s="77"/>
      <c r="CG27" s="77"/>
      <c r="CH27" s="77"/>
      <c r="CI27" s="77"/>
      <c r="CJ27" s="77"/>
      <c r="CK27" s="77"/>
      <c r="CL27" s="77"/>
      <c r="CM27" s="77"/>
      <c r="CN27" s="77"/>
      <c r="CO27" s="77"/>
      <c r="CP27" s="77"/>
      <c r="CQ27" s="77"/>
      <c r="CR27" s="77"/>
      <c r="CS27" s="77"/>
      <c r="CT27" s="77"/>
      <c r="CU27" s="77"/>
      <c r="CV27" s="77"/>
      <c r="CW27" s="77"/>
      <c r="CX27" s="77"/>
      <c r="CY27" s="77"/>
      <c r="CZ27" s="77"/>
      <c r="DA27" s="77"/>
      <c r="DB27" s="77"/>
      <c r="DC27" s="77"/>
      <c r="DD27" s="77"/>
      <c r="DE27" s="77"/>
      <c r="DF27" s="77"/>
      <c r="DG27" s="77"/>
      <c r="DH27" s="77"/>
      <c r="DI27" s="77"/>
      <c r="DJ27" s="77"/>
      <c r="DK27" s="77"/>
      <c r="DL27" s="77"/>
      <c r="DM27" s="77"/>
      <c r="DN27" s="77"/>
      <c r="DO27" s="77"/>
      <c r="DP27" s="77"/>
      <c r="DQ27" s="77"/>
      <c r="DR27" s="77"/>
      <c r="DS27" s="77"/>
      <c r="DT27" s="77"/>
      <c r="DU27" s="77"/>
      <c r="DV27" s="77"/>
      <c r="DW27" s="77"/>
      <c r="DX27" s="77"/>
      <c r="DY27" s="77"/>
      <c r="DZ27" s="77"/>
      <c r="EA27" s="77"/>
      <c r="EB27" s="77"/>
      <c r="EC27" s="77"/>
      <c r="ED27" s="77"/>
      <c r="EE27" s="77"/>
      <c r="EF27" s="77"/>
      <c r="EG27" s="77"/>
      <c r="EH27" s="77"/>
      <c r="EI27" s="77"/>
      <c r="EJ27" s="77"/>
      <c r="EK27" s="77"/>
      <c r="EL27" s="77"/>
    </row>
    <row r="28" spans="1:142" s="78" customFormat="1">
      <c r="A28" s="79"/>
      <c r="B28" s="89"/>
      <c r="C28" s="89"/>
      <c r="E28" s="79"/>
      <c r="H28" s="409" t="str">
        <f>Internal!F16</f>
        <v>-</v>
      </c>
      <c r="I28" s="409" t="str">
        <f>Internal!G16</f>
        <v>TZ 1.5</v>
      </c>
      <c r="J28" s="409" t="str">
        <f>Internal!H16</f>
        <v>-</v>
      </c>
      <c r="X28" s="77"/>
      <c r="Y28" s="77"/>
      <c r="Z28" s="77"/>
      <c r="AA28" s="77"/>
      <c r="AB28" s="77"/>
      <c r="AC28" s="77"/>
      <c r="AD28" s="77"/>
      <c r="AE28" s="77"/>
      <c r="AF28" s="77"/>
      <c r="AG28" s="77"/>
      <c r="AH28" s="77"/>
      <c r="AI28" s="77"/>
      <c r="AJ28" s="77"/>
      <c r="AK28" s="77"/>
      <c r="AL28" s="77"/>
      <c r="AM28" s="77"/>
      <c r="AN28" s="77"/>
      <c r="AO28" s="77"/>
      <c r="AP28" s="77"/>
      <c r="AQ28" s="77"/>
      <c r="AR28" s="77"/>
      <c r="AS28" s="77"/>
      <c r="AT28" s="77"/>
      <c r="AU28" s="77"/>
      <c r="AV28" s="77"/>
      <c r="AW28" s="77"/>
      <c r="AX28" s="77"/>
      <c r="AY28" s="77"/>
      <c r="AZ28" s="77"/>
      <c r="BA28" s="77"/>
      <c r="BB28" s="77"/>
      <c r="BC28" s="77"/>
      <c r="BD28" s="77"/>
      <c r="BE28" s="77"/>
      <c r="BF28" s="77"/>
      <c r="BG28" s="77"/>
      <c r="BH28" s="77"/>
      <c r="BI28" s="77"/>
      <c r="BJ28" s="77"/>
      <c r="BK28" s="77"/>
      <c r="BL28" s="77"/>
      <c r="BM28" s="77"/>
      <c r="BN28" s="77"/>
      <c r="BO28" s="77"/>
      <c r="BP28" s="77"/>
      <c r="BQ28" s="77"/>
      <c r="BR28" s="77"/>
      <c r="BS28" s="77"/>
      <c r="BT28" s="77"/>
      <c r="BU28" s="77"/>
      <c r="BV28" s="77"/>
      <c r="BW28" s="77"/>
      <c r="BX28" s="77"/>
      <c r="BY28" s="77"/>
      <c r="BZ28" s="77"/>
      <c r="CA28" s="77"/>
      <c r="CB28" s="77"/>
      <c r="CC28" s="77"/>
      <c r="CD28" s="77"/>
      <c r="CE28" s="77"/>
      <c r="CF28" s="77"/>
      <c r="CG28" s="77"/>
      <c r="CH28" s="77"/>
      <c r="CI28" s="77"/>
      <c r="CJ28" s="77"/>
      <c r="CK28" s="77"/>
      <c r="CL28" s="77"/>
      <c r="CM28" s="77"/>
      <c r="CN28" s="77"/>
      <c r="CO28" s="77"/>
      <c r="CP28" s="77"/>
      <c r="CQ28" s="77"/>
      <c r="CR28" s="77"/>
      <c r="CS28" s="77"/>
      <c r="CT28" s="77"/>
      <c r="CU28" s="77"/>
      <c r="CV28" s="77"/>
      <c r="CW28" s="77"/>
      <c r="CX28" s="77"/>
      <c r="CY28" s="77"/>
      <c r="CZ28" s="77"/>
      <c r="DA28" s="77"/>
      <c r="DB28" s="77"/>
      <c r="DC28" s="77"/>
      <c r="DD28" s="77"/>
      <c r="DE28" s="77"/>
      <c r="DF28" s="77"/>
      <c r="DG28" s="77"/>
      <c r="DH28" s="77"/>
      <c r="DI28" s="77"/>
      <c r="DJ28" s="77"/>
      <c r="DK28" s="77"/>
      <c r="DL28" s="77"/>
      <c r="DM28" s="77"/>
      <c r="DN28" s="77"/>
      <c r="DO28" s="77"/>
      <c r="DP28" s="77"/>
      <c r="DQ28" s="77"/>
      <c r="DR28" s="77"/>
      <c r="DS28" s="77"/>
      <c r="DT28" s="77"/>
      <c r="DU28" s="77"/>
      <c r="DV28" s="77"/>
      <c r="DW28" s="77"/>
      <c r="DX28" s="77"/>
      <c r="DY28" s="77"/>
      <c r="DZ28" s="77"/>
      <c r="EA28" s="77"/>
      <c r="EB28" s="77"/>
      <c r="EC28" s="77"/>
      <c r="ED28" s="77"/>
      <c r="EE28" s="77"/>
      <c r="EF28" s="77"/>
      <c r="EG28" s="77"/>
      <c r="EH28" s="77"/>
      <c r="EI28" s="77"/>
      <c r="EJ28" s="77"/>
      <c r="EK28" s="77"/>
      <c r="EL28" s="77"/>
    </row>
    <row r="29" spans="1:142" s="78" customFormat="1">
      <c r="A29" s="79"/>
      <c r="B29" s="89"/>
      <c r="C29" s="89"/>
      <c r="E29" s="79"/>
      <c r="F29" s="79"/>
      <c r="H29" s="410" t="str">
        <f>Internal!F17</f>
        <v>-</v>
      </c>
      <c r="I29" s="409">
        <f>Internal!G17</f>
        <v>1500</v>
      </c>
      <c r="J29" s="409" t="str">
        <f>Internal!H17</f>
        <v>-</v>
      </c>
      <c r="X29" s="77"/>
      <c r="Y29" s="77"/>
      <c r="Z29" s="77"/>
      <c r="AA29" s="77"/>
      <c r="AB29" s="77"/>
      <c r="AC29" s="77"/>
      <c r="AD29" s="77"/>
      <c r="AE29" s="77"/>
      <c r="AF29" s="77"/>
      <c r="AG29" s="77"/>
      <c r="AH29" s="77"/>
      <c r="AI29" s="77"/>
      <c r="AJ29" s="77"/>
      <c r="AK29" s="77"/>
      <c r="AL29" s="77"/>
      <c r="AM29" s="77"/>
      <c r="AN29" s="77"/>
      <c r="AO29" s="77"/>
      <c r="AP29" s="77"/>
      <c r="AQ29" s="77"/>
      <c r="AR29" s="77"/>
      <c r="AS29" s="77"/>
      <c r="AT29" s="77"/>
      <c r="AU29" s="77"/>
      <c r="AV29" s="77"/>
      <c r="AW29" s="77"/>
      <c r="AX29" s="77"/>
      <c r="AY29" s="77"/>
      <c r="AZ29" s="77"/>
      <c r="BA29" s="77"/>
      <c r="BB29" s="77"/>
      <c r="BC29" s="77"/>
      <c r="BD29" s="77"/>
      <c r="BE29" s="77"/>
      <c r="BF29" s="77"/>
      <c r="BG29" s="77"/>
      <c r="BH29" s="77"/>
      <c r="BI29" s="77"/>
      <c r="BJ29" s="77"/>
      <c r="BK29" s="77"/>
      <c r="BL29" s="77"/>
      <c r="BM29" s="77"/>
      <c r="BN29" s="77"/>
      <c r="BO29" s="77"/>
      <c r="BP29" s="77"/>
      <c r="BQ29" s="77"/>
      <c r="BR29" s="77"/>
      <c r="BS29" s="77"/>
      <c r="BT29" s="77"/>
      <c r="BU29" s="77"/>
      <c r="BV29" s="77"/>
      <c r="BW29" s="77"/>
      <c r="BX29" s="77"/>
      <c r="BY29" s="77"/>
      <c r="BZ29" s="77"/>
      <c r="CA29" s="77"/>
      <c r="CB29" s="77"/>
      <c r="CC29" s="77"/>
      <c r="CD29" s="77"/>
      <c r="CE29" s="77"/>
      <c r="CF29" s="77"/>
      <c r="CG29" s="77"/>
      <c r="CH29" s="77"/>
      <c r="CI29" s="77"/>
      <c r="CJ29" s="77"/>
      <c r="CK29" s="77"/>
      <c r="CL29" s="77"/>
      <c r="CM29" s="77"/>
      <c r="CN29" s="77"/>
      <c r="CO29" s="77"/>
      <c r="CP29" s="77"/>
      <c r="CQ29" s="77"/>
      <c r="CR29" s="77"/>
      <c r="CS29" s="77"/>
      <c r="CT29" s="77"/>
      <c r="CU29" s="77"/>
      <c r="CV29" s="77"/>
      <c r="CW29" s="77"/>
      <c r="CX29" s="77"/>
      <c r="CY29" s="77"/>
      <c r="CZ29" s="77"/>
      <c r="DA29" s="77"/>
      <c r="DB29" s="77"/>
      <c r="DC29" s="77"/>
      <c r="DD29" s="77"/>
      <c r="DE29" s="77"/>
      <c r="DF29" s="77"/>
      <c r="DG29" s="77"/>
      <c r="DH29" s="77"/>
      <c r="DI29" s="77"/>
      <c r="DJ29" s="77"/>
      <c r="DK29" s="77"/>
      <c r="DL29" s="77"/>
      <c r="DM29" s="77"/>
      <c r="DN29" s="77"/>
      <c r="DO29" s="77"/>
      <c r="DP29" s="77"/>
      <c r="DQ29" s="77"/>
      <c r="DR29" s="77"/>
      <c r="DS29" s="77"/>
      <c r="DT29" s="77"/>
      <c r="DU29" s="77"/>
      <c r="DV29" s="77"/>
      <c r="DW29" s="77"/>
      <c r="DX29" s="77"/>
      <c r="DY29" s="77"/>
      <c r="DZ29" s="77"/>
      <c r="EA29" s="77"/>
      <c r="EB29" s="77"/>
      <c r="EC29" s="77"/>
      <c r="ED29" s="77"/>
      <c r="EE29" s="77"/>
      <c r="EF29" s="77"/>
      <c r="EG29" s="77"/>
      <c r="EH29" s="77"/>
      <c r="EI29" s="77"/>
      <c r="EJ29" s="77"/>
      <c r="EK29" s="77"/>
      <c r="EL29" s="77"/>
    </row>
    <row r="30" spans="1:142" s="78" customFormat="1">
      <c r="A30" s="79"/>
      <c r="B30" s="67" t="s">
        <v>136</v>
      </c>
      <c r="C30" s="67"/>
      <c r="E30" s="68"/>
      <c r="F30" s="927">
        <f>SUM(H30:J30)</f>
        <v>86</v>
      </c>
      <c r="G30" s="188" t="s">
        <v>189</v>
      </c>
      <c r="H30" s="409">
        <f>Internal!F18</f>
        <v>0</v>
      </c>
      <c r="I30" s="409">
        <f>Internal!G18</f>
        <v>86</v>
      </c>
      <c r="J30" s="409">
        <f>Internal!H18</f>
        <v>0</v>
      </c>
      <c r="X30" s="77"/>
      <c r="Y30" s="77"/>
      <c r="Z30" s="77"/>
      <c r="AA30" s="77"/>
      <c r="AB30" s="77"/>
      <c r="AC30" s="77"/>
      <c r="AD30" s="77"/>
      <c r="AE30" s="77"/>
      <c r="AF30" s="77"/>
      <c r="AG30" s="77"/>
      <c r="AH30" s="77"/>
      <c r="AI30" s="77"/>
      <c r="AJ30" s="77"/>
      <c r="AK30" s="77"/>
      <c r="AL30" s="77"/>
      <c r="AM30" s="77"/>
      <c r="AN30" s="77"/>
      <c r="AO30" s="77"/>
      <c r="AP30" s="77"/>
      <c r="AQ30" s="77"/>
      <c r="AR30" s="77"/>
      <c r="AS30" s="77"/>
      <c r="AT30" s="77"/>
      <c r="AU30" s="77"/>
      <c r="AV30" s="77"/>
      <c r="AW30" s="77"/>
      <c r="AX30" s="77"/>
      <c r="AY30" s="77"/>
      <c r="AZ30" s="77"/>
      <c r="BA30" s="77"/>
      <c r="BB30" s="77"/>
      <c r="BC30" s="77"/>
      <c r="BD30" s="77"/>
      <c r="BE30" s="77"/>
      <c r="BF30" s="77"/>
      <c r="BG30" s="77"/>
      <c r="BH30" s="77"/>
      <c r="BI30" s="77"/>
      <c r="BJ30" s="77"/>
      <c r="BK30" s="77"/>
      <c r="BL30" s="77"/>
      <c r="BM30" s="77"/>
      <c r="BN30" s="77"/>
      <c r="BO30" s="77"/>
      <c r="BP30" s="77"/>
      <c r="BQ30" s="77"/>
      <c r="BR30" s="77"/>
      <c r="BS30" s="77"/>
      <c r="BT30" s="77"/>
      <c r="BU30" s="77"/>
      <c r="BV30" s="77"/>
      <c r="BW30" s="77"/>
      <c r="BX30" s="77"/>
      <c r="BY30" s="77"/>
      <c r="BZ30" s="77"/>
      <c r="CA30" s="77"/>
      <c r="CB30" s="77"/>
      <c r="CC30" s="77"/>
      <c r="CD30" s="77"/>
      <c r="CE30" s="77"/>
      <c r="CF30" s="77"/>
      <c r="CG30" s="77"/>
      <c r="CH30" s="77"/>
      <c r="CI30" s="77"/>
      <c r="CJ30" s="77"/>
      <c r="CK30" s="77"/>
      <c r="CL30" s="77"/>
      <c r="CM30" s="77"/>
      <c r="CN30" s="77"/>
      <c r="CO30" s="77"/>
      <c r="CP30" s="77"/>
      <c r="CQ30" s="77"/>
      <c r="CR30" s="77"/>
      <c r="CS30" s="77"/>
      <c r="CT30" s="77"/>
      <c r="CU30" s="77"/>
      <c r="CV30" s="77"/>
      <c r="CW30" s="77"/>
      <c r="CX30" s="77"/>
      <c r="CY30" s="77"/>
      <c r="CZ30" s="77"/>
      <c r="DA30" s="77"/>
      <c r="DB30" s="77"/>
      <c r="DC30" s="77"/>
      <c r="DD30" s="77"/>
      <c r="DE30" s="77"/>
      <c r="DF30" s="77"/>
      <c r="DG30" s="77"/>
      <c r="DH30" s="77"/>
      <c r="DI30" s="77"/>
      <c r="DJ30" s="77"/>
      <c r="DK30" s="77"/>
      <c r="DL30" s="77"/>
      <c r="DM30" s="77"/>
      <c r="DN30" s="77"/>
      <c r="DO30" s="77"/>
      <c r="DP30" s="77"/>
      <c r="DQ30" s="77"/>
      <c r="DR30" s="77"/>
      <c r="DS30" s="77"/>
      <c r="DT30" s="77"/>
      <c r="DU30" s="77"/>
      <c r="DV30" s="77"/>
      <c r="DW30" s="77"/>
      <c r="DX30" s="77"/>
      <c r="DY30" s="77"/>
      <c r="DZ30" s="77"/>
      <c r="EA30" s="77"/>
      <c r="EB30" s="77"/>
      <c r="EC30" s="77"/>
      <c r="ED30" s="77"/>
      <c r="EE30" s="77"/>
      <c r="EF30" s="77"/>
      <c r="EG30" s="77"/>
      <c r="EH30" s="77"/>
      <c r="EI30" s="77"/>
      <c r="EJ30" s="77"/>
      <c r="EK30" s="77"/>
      <c r="EL30" s="77"/>
    </row>
    <row r="31" spans="1:142" s="78" customFormat="1">
      <c r="A31" s="79"/>
      <c r="B31" s="67" t="s">
        <v>140</v>
      </c>
      <c r="C31" s="67"/>
      <c r="E31" s="69"/>
      <c r="F31" s="926">
        <f>SUMPRODUCT(H29:J29,H30:J30)/1000</f>
        <v>129</v>
      </c>
      <c r="X31" s="77"/>
      <c r="Y31" s="77"/>
      <c r="Z31" s="77"/>
      <c r="AA31" s="77"/>
      <c r="AB31" s="77"/>
      <c r="AC31" s="77"/>
      <c r="AD31" s="77"/>
      <c r="AE31" s="77"/>
      <c r="AF31" s="77"/>
      <c r="AG31" s="77"/>
      <c r="AH31" s="77"/>
      <c r="AI31" s="77"/>
      <c r="AJ31" s="77"/>
      <c r="AK31" s="77"/>
      <c r="AL31" s="77"/>
      <c r="AM31" s="77"/>
      <c r="AN31" s="77"/>
      <c r="AO31" s="77"/>
      <c r="AP31" s="77"/>
      <c r="AQ31" s="77"/>
      <c r="AR31" s="77"/>
      <c r="AS31" s="77"/>
      <c r="AT31" s="77"/>
      <c r="AU31" s="77"/>
      <c r="AV31" s="77"/>
      <c r="AW31" s="77"/>
      <c r="AX31" s="77"/>
      <c r="AY31" s="77"/>
      <c r="AZ31" s="77"/>
      <c r="BA31" s="77"/>
      <c r="BB31" s="77"/>
      <c r="BC31" s="77"/>
      <c r="BD31" s="77"/>
      <c r="BE31" s="77"/>
      <c r="BF31" s="77"/>
      <c r="BG31" s="77"/>
      <c r="BH31" s="77"/>
      <c r="BI31" s="77"/>
      <c r="BJ31" s="77"/>
      <c r="BK31" s="77"/>
      <c r="BL31" s="77"/>
      <c r="BM31" s="77"/>
      <c r="BN31" s="77"/>
      <c r="BO31" s="77"/>
      <c r="BP31" s="77"/>
      <c r="BQ31" s="77"/>
      <c r="BR31" s="77"/>
      <c r="BS31" s="77"/>
      <c r="BT31" s="77"/>
      <c r="BU31" s="77"/>
      <c r="BV31" s="77"/>
      <c r="BW31" s="77"/>
      <c r="BX31" s="77"/>
      <c r="BY31" s="77"/>
      <c r="BZ31" s="77"/>
      <c r="CA31" s="77"/>
      <c r="CB31" s="77"/>
      <c r="CC31" s="77"/>
      <c r="CD31" s="77"/>
      <c r="CE31" s="77"/>
      <c r="CF31" s="77"/>
      <c r="CG31" s="77"/>
      <c r="CH31" s="77"/>
      <c r="CI31" s="77"/>
      <c r="CJ31" s="77"/>
      <c r="CK31" s="77"/>
      <c r="CL31" s="77"/>
      <c r="CM31" s="77"/>
      <c r="CN31" s="77"/>
      <c r="CO31" s="77"/>
      <c r="CP31" s="77"/>
      <c r="CQ31" s="77"/>
      <c r="CR31" s="77"/>
      <c r="CS31" s="77"/>
      <c r="CT31" s="77"/>
      <c r="CU31" s="77"/>
      <c r="CV31" s="77"/>
      <c r="CW31" s="77"/>
      <c r="CX31" s="77"/>
      <c r="CY31" s="77"/>
      <c r="CZ31" s="77"/>
      <c r="DA31" s="77"/>
      <c r="DB31" s="77"/>
      <c r="DC31" s="77"/>
      <c r="DD31" s="77"/>
      <c r="DE31" s="77"/>
      <c r="DF31" s="77"/>
      <c r="DG31" s="77"/>
      <c r="DH31" s="77"/>
      <c r="DI31" s="77"/>
      <c r="DJ31" s="77"/>
      <c r="DK31" s="77"/>
      <c r="DL31" s="77"/>
      <c r="DM31" s="77"/>
      <c r="DN31" s="77"/>
      <c r="DO31" s="77"/>
      <c r="DP31" s="77"/>
      <c r="DQ31" s="77"/>
      <c r="DR31" s="77"/>
      <c r="DS31" s="77"/>
      <c r="DT31" s="77"/>
      <c r="DU31" s="77"/>
      <c r="DV31" s="77"/>
      <c r="DW31" s="77"/>
      <c r="DX31" s="77"/>
      <c r="DY31" s="77"/>
      <c r="DZ31" s="77"/>
      <c r="EA31" s="77"/>
      <c r="EB31" s="77"/>
      <c r="EC31" s="77"/>
      <c r="ED31" s="77"/>
      <c r="EE31" s="77"/>
      <c r="EF31" s="77"/>
      <c r="EG31" s="77"/>
      <c r="EH31" s="77"/>
      <c r="EI31" s="77"/>
      <c r="EJ31" s="77"/>
      <c r="EK31" s="77"/>
      <c r="EL31" s="77"/>
    </row>
    <row r="32" spans="1:142" s="78" customFormat="1">
      <c r="A32" s="79"/>
      <c r="B32" s="89"/>
      <c r="C32" s="89"/>
      <c r="D32" s="89"/>
      <c r="E32" s="79"/>
      <c r="F32" s="89"/>
      <c r="H32"/>
      <c r="I32"/>
      <c r="J32"/>
      <c r="K32"/>
      <c r="X32" s="77"/>
      <c r="Y32" s="77"/>
      <c r="Z32" s="77"/>
      <c r="AA32" s="77"/>
      <c r="AB32" s="77"/>
      <c r="AC32" s="77"/>
      <c r="AD32" s="77"/>
      <c r="AE32" s="77"/>
      <c r="AF32" s="77"/>
      <c r="AG32" s="77"/>
      <c r="AH32" s="77"/>
      <c r="AI32" s="77"/>
      <c r="AJ32" s="77"/>
      <c r="AK32" s="77"/>
      <c r="AL32" s="77"/>
      <c r="AM32" s="77"/>
      <c r="AN32" s="77"/>
      <c r="AO32" s="77"/>
      <c r="AP32" s="77"/>
      <c r="AQ32" s="77"/>
      <c r="AR32" s="77"/>
      <c r="AS32" s="77"/>
      <c r="AT32" s="77"/>
      <c r="AU32" s="77"/>
      <c r="AV32" s="77"/>
      <c r="AW32" s="77"/>
      <c r="AX32" s="77"/>
      <c r="AY32" s="77"/>
      <c r="AZ32" s="77"/>
      <c r="BA32" s="77"/>
      <c r="BB32" s="77"/>
      <c r="BC32" s="77"/>
      <c r="BD32" s="77"/>
      <c r="BE32" s="77"/>
      <c r="BF32" s="77"/>
      <c r="BG32" s="77"/>
      <c r="BH32" s="77"/>
      <c r="BI32" s="77"/>
      <c r="BJ32" s="77"/>
      <c r="BK32" s="77"/>
      <c r="BL32" s="77"/>
      <c r="BM32" s="77"/>
      <c r="BN32" s="77"/>
      <c r="BO32" s="77"/>
      <c r="BP32" s="77"/>
      <c r="BQ32" s="77"/>
      <c r="BR32" s="77"/>
      <c r="BS32" s="77"/>
      <c r="BT32" s="77"/>
      <c r="BU32" s="77"/>
      <c r="BV32" s="77"/>
      <c r="BW32" s="77"/>
      <c r="BX32" s="77"/>
      <c r="BY32" s="77"/>
      <c r="BZ32" s="77"/>
      <c r="CA32" s="77"/>
      <c r="CB32" s="77"/>
      <c r="CC32" s="77"/>
      <c r="CD32" s="77"/>
      <c r="CE32" s="77"/>
      <c r="CF32" s="77"/>
      <c r="CG32" s="77"/>
      <c r="CH32" s="77"/>
      <c r="CI32" s="77"/>
      <c r="CJ32" s="77"/>
      <c r="CK32" s="77"/>
      <c r="CL32" s="77"/>
      <c r="CM32" s="77"/>
      <c r="CN32" s="77"/>
      <c r="CO32" s="77"/>
      <c r="CP32" s="77"/>
      <c r="CQ32" s="77"/>
      <c r="CR32" s="77"/>
      <c r="CS32" s="77"/>
      <c r="CT32" s="77"/>
      <c r="CU32" s="77"/>
      <c r="CV32" s="77"/>
      <c r="CW32" s="77"/>
      <c r="CX32" s="77"/>
      <c r="CY32" s="77"/>
      <c r="CZ32" s="77"/>
      <c r="DA32" s="77"/>
      <c r="DB32" s="77"/>
      <c r="DC32" s="77"/>
      <c r="DD32" s="77"/>
      <c r="DE32" s="77"/>
      <c r="DF32" s="77"/>
      <c r="DG32" s="77"/>
      <c r="DH32" s="77"/>
      <c r="DI32" s="77"/>
      <c r="DJ32" s="77"/>
      <c r="DK32" s="77"/>
      <c r="DL32" s="77"/>
      <c r="DM32" s="77"/>
      <c r="DN32" s="77"/>
      <c r="DO32" s="77"/>
      <c r="DP32" s="77"/>
      <c r="DQ32" s="77"/>
      <c r="DR32" s="77"/>
      <c r="DS32" s="77"/>
      <c r="DT32" s="77"/>
      <c r="DU32" s="77"/>
      <c r="DV32" s="77"/>
      <c r="DW32" s="77"/>
      <c r="DX32" s="77"/>
      <c r="DY32" s="77"/>
      <c r="DZ32" s="77"/>
      <c r="EA32" s="77"/>
      <c r="EB32" s="77"/>
      <c r="EC32" s="77"/>
      <c r="ED32" s="77"/>
      <c r="EE32" s="77"/>
      <c r="EF32" s="77"/>
      <c r="EG32" s="77"/>
      <c r="EH32" s="77"/>
      <c r="EI32" s="77"/>
      <c r="EJ32" s="77"/>
      <c r="EK32" s="77"/>
      <c r="EL32" s="77"/>
    </row>
    <row r="33" spans="1:142" s="78" customFormat="1">
      <c r="B33" s="362" t="s">
        <v>141</v>
      </c>
      <c r="C33" s="66"/>
      <c r="D33" s="86"/>
      <c r="E33" s="1187" t="s">
        <v>143</v>
      </c>
      <c r="F33" s="1187" t="s">
        <v>267</v>
      </c>
      <c r="H33"/>
      <c r="I33"/>
      <c r="J33"/>
      <c r="K33"/>
      <c r="X33" s="77"/>
      <c r="Y33" s="77"/>
      <c r="Z33" s="77"/>
      <c r="AA33" s="77"/>
      <c r="AB33" s="77"/>
      <c r="AC33" s="77"/>
      <c r="AD33" s="77"/>
      <c r="AE33" s="77"/>
      <c r="AF33" s="77"/>
      <c r="AG33" s="77"/>
      <c r="AH33" s="77"/>
      <c r="AI33" s="77"/>
      <c r="AJ33" s="77"/>
      <c r="AK33" s="77"/>
      <c r="AL33" s="77"/>
      <c r="AM33" s="77"/>
      <c r="AN33" s="77"/>
      <c r="AO33" s="77"/>
      <c r="AP33" s="77"/>
      <c r="AQ33" s="77"/>
      <c r="AR33" s="77"/>
      <c r="AS33" s="77"/>
      <c r="AT33" s="77"/>
      <c r="AU33" s="77"/>
      <c r="AV33" s="77"/>
      <c r="AW33" s="77"/>
      <c r="AX33" s="77"/>
      <c r="AY33" s="77"/>
      <c r="AZ33" s="77"/>
      <c r="BA33" s="77"/>
      <c r="BB33" s="77"/>
      <c r="BC33" s="77"/>
      <c r="BD33" s="77"/>
      <c r="BE33" s="77"/>
      <c r="BF33" s="77"/>
      <c r="BG33" s="77"/>
      <c r="BH33" s="77"/>
      <c r="BI33" s="77"/>
      <c r="BJ33" s="77"/>
      <c r="BK33" s="77"/>
      <c r="BL33" s="77"/>
      <c r="BM33" s="77"/>
      <c r="BN33" s="77"/>
      <c r="BO33" s="77"/>
      <c r="BP33" s="77"/>
      <c r="BQ33" s="77"/>
      <c r="BR33" s="77"/>
      <c r="BS33" s="77"/>
      <c r="BT33" s="77"/>
      <c r="BU33" s="77"/>
      <c r="BV33" s="77"/>
      <c r="BW33" s="77"/>
      <c r="BX33" s="77"/>
      <c r="BY33" s="77"/>
      <c r="BZ33" s="77"/>
      <c r="CA33" s="77"/>
      <c r="CB33" s="77"/>
      <c r="CC33" s="77"/>
      <c r="CD33" s="77"/>
      <c r="CE33" s="77"/>
      <c r="CF33" s="77"/>
      <c r="CG33" s="77"/>
      <c r="CH33" s="77"/>
      <c r="CI33" s="77"/>
      <c r="CJ33" s="77"/>
      <c r="CK33" s="77"/>
      <c r="CL33" s="77"/>
      <c r="CM33" s="77"/>
      <c r="CN33" s="77"/>
      <c r="CO33" s="77"/>
      <c r="CP33" s="77"/>
      <c r="CQ33" s="77"/>
      <c r="CR33" s="77"/>
      <c r="CS33" s="77"/>
      <c r="CT33" s="77"/>
      <c r="CU33" s="77"/>
      <c r="CV33" s="77"/>
      <c r="CW33" s="77"/>
      <c r="CX33" s="77"/>
      <c r="CY33" s="77"/>
      <c r="CZ33" s="77"/>
      <c r="DA33" s="77"/>
      <c r="DB33" s="77"/>
      <c r="DC33" s="77"/>
      <c r="DD33" s="77"/>
      <c r="DE33" s="77"/>
      <c r="DF33" s="77"/>
      <c r="DG33" s="77"/>
      <c r="DH33" s="77"/>
      <c r="DI33" s="77"/>
      <c r="DJ33" s="77"/>
      <c r="DK33" s="77"/>
      <c r="DL33" s="77"/>
      <c r="DM33" s="77"/>
      <c r="DN33" s="77"/>
      <c r="DO33" s="77"/>
      <c r="DP33" s="77"/>
      <c r="DQ33" s="77"/>
      <c r="DR33" s="77"/>
      <c r="DS33" s="77"/>
      <c r="DT33" s="77"/>
      <c r="DU33" s="77"/>
      <c r="DV33" s="77"/>
      <c r="DW33" s="77"/>
      <c r="DX33" s="77"/>
      <c r="DY33" s="77"/>
      <c r="DZ33" s="77"/>
      <c r="EA33" s="77"/>
      <c r="EB33" s="77"/>
      <c r="EC33" s="77"/>
      <c r="ED33" s="77"/>
      <c r="EE33" s="77"/>
      <c r="EF33" s="77"/>
      <c r="EG33" s="77"/>
      <c r="EH33" s="77"/>
      <c r="EI33" s="77"/>
      <c r="EJ33" s="77"/>
      <c r="EK33" s="77"/>
      <c r="EL33" s="77"/>
    </row>
    <row r="34" spans="1:142" s="78" customFormat="1">
      <c r="B34" s="66"/>
      <c r="C34" s="66"/>
      <c r="D34" s="86"/>
      <c r="H34"/>
      <c r="I34"/>
      <c r="J34"/>
      <c r="K34"/>
      <c r="X34" s="77"/>
      <c r="Y34" s="77"/>
      <c r="Z34" s="77"/>
      <c r="AA34" s="77"/>
      <c r="AB34" s="77"/>
      <c r="AC34" s="77"/>
      <c r="AD34" s="77"/>
      <c r="AE34" s="77"/>
      <c r="AF34" s="77"/>
      <c r="AG34" s="77"/>
      <c r="AH34" s="77"/>
      <c r="AI34" s="77"/>
      <c r="AJ34" s="77"/>
      <c r="AK34" s="77"/>
      <c r="AL34" s="77"/>
      <c r="AM34" s="77"/>
      <c r="AN34" s="77"/>
      <c r="AO34" s="77"/>
      <c r="AP34" s="77"/>
      <c r="AQ34" s="77"/>
      <c r="AR34" s="77"/>
      <c r="AS34" s="77"/>
      <c r="AT34" s="77"/>
      <c r="AU34" s="77"/>
      <c r="AV34" s="77"/>
      <c r="AW34" s="77"/>
      <c r="AX34" s="77"/>
      <c r="AY34" s="77"/>
      <c r="AZ34" s="77"/>
      <c r="BA34" s="77"/>
      <c r="BB34" s="77"/>
      <c r="BC34" s="77"/>
      <c r="BD34" s="77"/>
      <c r="BE34" s="77"/>
      <c r="BF34" s="77"/>
      <c r="BG34" s="77"/>
      <c r="BH34" s="77"/>
      <c r="BI34" s="77"/>
      <c r="BJ34" s="77"/>
      <c r="BK34" s="77"/>
      <c r="BL34" s="77"/>
      <c r="BM34" s="77"/>
      <c r="BN34" s="77"/>
      <c r="BO34" s="77"/>
      <c r="BP34" s="77"/>
      <c r="BQ34" s="77"/>
      <c r="BR34" s="77"/>
      <c r="BS34" s="77"/>
      <c r="BT34" s="77"/>
      <c r="BU34" s="77"/>
      <c r="BV34" s="77"/>
      <c r="BW34" s="77"/>
      <c r="BX34" s="77"/>
      <c r="BY34" s="77"/>
      <c r="BZ34" s="77"/>
      <c r="CA34" s="77"/>
      <c r="CB34" s="77"/>
      <c r="CC34" s="77"/>
      <c r="CD34" s="77"/>
      <c r="CE34" s="77"/>
      <c r="CF34" s="77"/>
      <c r="CG34" s="77"/>
      <c r="CH34" s="77"/>
      <c r="CI34" s="77"/>
      <c r="CJ34" s="77"/>
      <c r="CK34" s="77"/>
      <c r="CL34" s="77"/>
      <c r="CM34" s="77"/>
      <c r="CN34" s="77"/>
      <c r="CO34" s="77"/>
      <c r="CP34" s="77"/>
      <c r="CQ34" s="77"/>
      <c r="CR34" s="77"/>
      <c r="CS34" s="77"/>
      <c r="CT34" s="77"/>
      <c r="CU34" s="77"/>
      <c r="CV34" s="77"/>
      <c r="CW34" s="77"/>
      <c r="CX34" s="77"/>
      <c r="CY34" s="77"/>
      <c r="CZ34" s="77"/>
      <c r="DA34" s="77"/>
      <c r="DB34" s="77"/>
      <c r="DC34" s="77"/>
      <c r="DD34" s="77"/>
      <c r="DE34" s="77"/>
      <c r="DF34" s="77"/>
      <c r="DG34" s="77"/>
      <c r="DH34" s="77"/>
      <c r="DI34" s="77"/>
      <c r="DJ34" s="77"/>
      <c r="DK34" s="77"/>
      <c r="DL34" s="77"/>
      <c r="DM34" s="77"/>
      <c r="DN34" s="77"/>
      <c r="DO34" s="77"/>
      <c r="DP34" s="77"/>
      <c r="DQ34" s="77"/>
      <c r="DR34" s="77"/>
      <c r="DS34" s="77"/>
      <c r="DT34" s="77"/>
      <c r="DU34" s="77"/>
      <c r="DV34" s="77"/>
      <c r="DW34" s="77"/>
      <c r="DX34" s="77"/>
      <c r="DY34" s="77"/>
      <c r="DZ34" s="77"/>
      <c r="EA34" s="77"/>
      <c r="EB34" s="77"/>
      <c r="EC34" s="77"/>
      <c r="ED34" s="77"/>
      <c r="EE34" s="77"/>
      <c r="EF34" s="77"/>
      <c r="EG34" s="77"/>
      <c r="EH34" s="77"/>
      <c r="EI34" s="77"/>
      <c r="EJ34" s="77"/>
      <c r="EK34" s="77"/>
      <c r="EL34" s="77"/>
    </row>
    <row r="35" spans="1:142">
      <c r="B35" s="598" t="s">
        <v>739</v>
      </c>
      <c r="C35" s="821"/>
      <c r="D35" s="241"/>
      <c r="E35" s="1062"/>
      <c r="H35"/>
      <c r="I35"/>
      <c r="J35"/>
      <c r="K35"/>
    </row>
    <row r="36" spans="1:142" s="78" customFormat="1">
      <c r="A36" s="89"/>
      <c r="B36" s="217" t="s">
        <v>495</v>
      </c>
      <c r="C36" s="217"/>
      <c r="D36" s="79"/>
      <c r="E36" s="1063">
        <f ca="1">F36/F30</f>
        <v>1355.9137015185993</v>
      </c>
      <c r="F36" s="919">
        <f ca="1">Internal!F114</f>
        <v>116608.57833302872</v>
      </c>
      <c r="G36" s="79"/>
      <c r="H36"/>
      <c r="I36"/>
      <c r="J36"/>
      <c r="K36"/>
      <c r="O36" s="77"/>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c r="AP36" s="77"/>
      <c r="AQ36" s="77"/>
      <c r="AR36" s="77"/>
      <c r="AS36" s="77"/>
      <c r="AT36" s="77"/>
      <c r="AU36" s="77"/>
      <c r="AV36" s="77"/>
      <c r="AW36" s="77"/>
      <c r="AX36" s="77"/>
      <c r="AY36" s="77"/>
      <c r="AZ36" s="77"/>
      <c r="BA36" s="77"/>
      <c r="BB36" s="77"/>
      <c r="BC36" s="77"/>
      <c r="BD36" s="77"/>
      <c r="BE36" s="77"/>
      <c r="BF36" s="77"/>
      <c r="BG36" s="77"/>
      <c r="BH36" s="77"/>
      <c r="BI36" s="77"/>
      <c r="BJ36" s="77"/>
      <c r="BK36" s="77"/>
      <c r="BL36" s="77"/>
      <c r="BM36" s="77"/>
      <c r="BN36" s="77"/>
      <c r="BO36" s="77"/>
      <c r="BP36" s="77"/>
      <c r="BQ36" s="77"/>
      <c r="BR36" s="77"/>
      <c r="BS36" s="77"/>
      <c r="BT36" s="77"/>
      <c r="BU36" s="77"/>
      <c r="BV36" s="77"/>
      <c r="BW36" s="77"/>
      <c r="BX36" s="77"/>
      <c r="BY36" s="77"/>
      <c r="BZ36" s="77"/>
      <c r="CA36" s="77"/>
      <c r="CB36" s="77"/>
      <c r="CC36" s="77"/>
      <c r="CD36" s="77"/>
      <c r="CE36" s="77"/>
      <c r="CF36" s="77"/>
      <c r="CG36" s="77"/>
      <c r="CH36" s="77"/>
      <c r="CI36" s="77"/>
      <c r="CJ36" s="77"/>
      <c r="CK36" s="77"/>
      <c r="CL36" s="77"/>
      <c r="CM36" s="77"/>
      <c r="CN36" s="77"/>
      <c r="CO36" s="77"/>
      <c r="CP36" s="77"/>
      <c r="CQ36" s="77"/>
      <c r="CR36" s="77"/>
      <c r="CS36" s="77"/>
      <c r="CT36" s="77"/>
      <c r="CU36" s="77"/>
      <c r="CV36" s="77"/>
      <c r="CW36" s="77"/>
      <c r="CX36" s="77"/>
      <c r="CY36" s="77"/>
      <c r="CZ36" s="77"/>
      <c r="DA36" s="77"/>
      <c r="DB36" s="77"/>
      <c r="DC36" s="77"/>
      <c r="DD36" s="77"/>
      <c r="DE36" s="77"/>
      <c r="DF36" s="77"/>
      <c r="DG36" s="77"/>
      <c r="DH36" s="77"/>
      <c r="DI36" s="77"/>
      <c r="DJ36" s="77"/>
      <c r="DK36" s="77"/>
      <c r="DL36" s="77"/>
      <c r="DM36" s="77"/>
      <c r="DN36" s="77"/>
      <c r="DO36" s="77"/>
      <c r="DP36" s="77"/>
      <c r="DQ36" s="77"/>
      <c r="DR36" s="77"/>
      <c r="DS36" s="77"/>
      <c r="DT36" s="77"/>
      <c r="DU36" s="77"/>
      <c r="DV36" s="77"/>
      <c r="DW36" s="77"/>
      <c r="DX36" s="77"/>
      <c r="DY36" s="77"/>
      <c r="DZ36" s="77"/>
      <c r="EA36" s="77"/>
      <c r="EB36" s="77"/>
      <c r="EC36" s="77"/>
      <c r="ED36" s="77"/>
      <c r="EE36" s="77"/>
      <c r="EF36" s="77"/>
      <c r="EG36" s="77"/>
      <c r="EH36" s="77"/>
      <c r="EI36" s="77"/>
      <c r="EJ36" s="77"/>
      <c r="EK36" s="77"/>
      <c r="EL36" s="77"/>
    </row>
    <row r="37" spans="1:142" s="78" customFormat="1">
      <c r="A37" s="89"/>
      <c r="B37" s="79"/>
      <c r="C37" s="79"/>
      <c r="D37" s="79"/>
      <c r="E37" s="1064"/>
      <c r="F37" s="226"/>
      <c r="G37" s="79"/>
      <c r="H37"/>
      <c r="I37"/>
      <c r="J37"/>
      <c r="K37"/>
      <c r="O37" s="77"/>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c r="AP37" s="77"/>
      <c r="AQ37" s="77"/>
      <c r="AR37" s="77"/>
      <c r="AS37" s="77"/>
      <c r="AT37" s="77"/>
      <c r="AU37" s="77"/>
      <c r="AV37" s="77"/>
      <c r="AW37" s="77"/>
      <c r="AX37" s="77"/>
      <c r="AY37" s="77"/>
      <c r="AZ37" s="77"/>
      <c r="BA37" s="77"/>
      <c r="BB37" s="77"/>
      <c r="BC37" s="77"/>
      <c r="BD37" s="77"/>
      <c r="BE37" s="77"/>
      <c r="BF37" s="77"/>
      <c r="BG37" s="77"/>
      <c r="BH37" s="77"/>
      <c r="BI37" s="77"/>
      <c r="BJ37" s="77"/>
      <c r="BK37" s="77"/>
      <c r="BL37" s="77"/>
      <c r="BM37" s="77"/>
      <c r="BN37" s="77"/>
      <c r="BO37" s="77"/>
      <c r="BP37" s="77"/>
      <c r="BQ37" s="77"/>
      <c r="BR37" s="77"/>
      <c r="BS37" s="77"/>
      <c r="BT37" s="77"/>
      <c r="BU37" s="77"/>
      <c r="BV37" s="77"/>
      <c r="BW37" s="77"/>
      <c r="BX37" s="77"/>
      <c r="BY37" s="77"/>
      <c r="BZ37" s="77"/>
      <c r="CA37" s="77"/>
      <c r="CB37" s="77"/>
      <c r="CC37" s="77"/>
      <c r="CD37" s="77"/>
      <c r="CE37" s="77"/>
      <c r="CF37" s="77"/>
      <c r="CG37" s="77"/>
      <c r="CH37" s="77"/>
      <c r="CI37" s="77"/>
      <c r="CJ37" s="77"/>
      <c r="CK37" s="77"/>
      <c r="CL37" s="77"/>
      <c r="CM37" s="77"/>
      <c r="CN37" s="77"/>
      <c r="CO37" s="77"/>
      <c r="CP37" s="77"/>
      <c r="CQ37" s="77"/>
      <c r="CR37" s="77"/>
      <c r="CS37" s="77"/>
      <c r="CT37" s="77"/>
      <c r="CU37" s="77"/>
      <c r="CV37" s="77"/>
      <c r="CW37" s="77"/>
      <c r="CX37" s="77"/>
      <c r="CY37" s="77"/>
      <c r="CZ37" s="77"/>
      <c r="DA37" s="77"/>
      <c r="DB37" s="77"/>
      <c r="DC37" s="77"/>
      <c r="DD37" s="77"/>
      <c r="DE37" s="77"/>
      <c r="DF37" s="77"/>
      <c r="DG37" s="77"/>
      <c r="DH37" s="77"/>
      <c r="DI37" s="77"/>
      <c r="DJ37" s="77"/>
      <c r="DK37" s="77"/>
      <c r="DL37" s="77"/>
      <c r="DM37" s="77"/>
      <c r="DN37" s="77"/>
      <c r="DO37" s="77"/>
      <c r="DP37" s="77"/>
      <c r="DQ37" s="77"/>
      <c r="DR37" s="77"/>
      <c r="DS37" s="77"/>
      <c r="DT37" s="77"/>
      <c r="DU37" s="77"/>
      <c r="DV37" s="77"/>
      <c r="DW37" s="77"/>
      <c r="DX37" s="77"/>
      <c r="DY37" s="77"/>
      <c r="DZ37" s="77"/>
      <c r="EA37" s="77"/>
      <c r="EB37" s="77"/>
      <c r="EC37" s="77"/>
      <c r="ED37" s="77"/>
      <c r="EE37" s="77"/>
      <c r="EF37" s="77"/>
      <c r="EG37" s="77"/>
      <c r="EH37" s="77"/>
      <c r="EI37" s="77"/>
      <c r="EJ37" s="77"/>
      <c r="EK37" s="77"/>
      <c r="EL37" s="77"/>
    </row>
    <row r="38" spans="1:142" s="78" customFormat="1">
      <c r="A38" s="98"/>
      <c r="B38" s="99" t="s">
        <v>740</v>
      </c>
      <c r="C38" s="99"/>
      <c r="D38" s="89"/>
      <c r="E38" s="1064"/>
      <c r="F38" s="226"/>
      <c r="G38" s="79"/>
      <c r="H38" s="653"/>
      <c r="I38" s="653"/>
      <c r="O38" s="77"/>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c r="AP38" s="77"/>
      <c r="AQ38" s="77"/>
      <c r="AR38" s="77"/>
      <c r="AS38" s="77"/>
      <c r="AT38" s="77"/>
      <c r="AU38" s="77"/>
      <c r="AV38" s="77"/>
      <c r="AW38" s="77"/>
      <c r="AX38" s="77"/>
      <c r="AY38" s="77"/>
      <c r="AZ38" s="77"/>
      <c r="BA38" s="77"/>
      <c r="BB38" s="77"/>
      <c r="BC38" s="77"/>
      <c r="BD38" s="77"/>
      <c r="BE38" s="77"/>
      <c r="BF38" s="77"/>
      <c r="BG38" s="77"/>
      <c r="BH38" s="77"/>
      <c r="BI38" s="77"/>
      <c r="BJ38" s="77"/>
      <c r="BK38" s="77"/>
      <c r="BL38" s="77"/>
      <c r="BM38" s="77"/>
      <c r="BN38" s="77"/>
      <c r="BO38" s="77"/>
      <c r="BP38" s="77"/>
      <c r="BQ38" s="77"/>
      <c r="BR38" s="77"/>
      <c r="BS38" s="77"/>
      <c r="BT38" s="77"/>
      <c r="BU38" s="77"/>
      <c r="BV38" s="77"/>
      <c r="BW38" s="77"/>
      <c r="BX38" s="77"/>
      <c r="BY38" s="77"/>
      <c r="BZ38" s="77"/>
      <c r="CA38" s="77"/>
      <c r="CB38" s="77"/>
      <c r="CC38" s="77"/>
      <c r="CD38" s="77"/>
      <c r="CE38" s="77"/>
      <c r="CF38" s="77"/>
      <c r="CG38" s="77"/>
      <c r="CH38" s="77"/>
      <c r="CI38" s="77"/>
      <c r="CJ38" s="77"/>
      <c r="CK38" s="77"/>
      <c r="CL38" s="77"/>
      <c r="CM38" s="77"/>
      <c r="CN38" s="77"/>
      <c r="CO38" s="77"/>
      <c r="CP38" s="77"/>
      <c r="CQ38" s="77"/>
      <c r="CR38" s="77"/>
      <c r="CS38" s="77"/>
      <c r="CT38" s="77"/>
      <c r="CU38" s="77"/>
      <c r="CV38" s="77"/>
      <c r="CW38" s="77"/>
      <c r="CX38" s="77"/>
      <c r="CY38" s="77"/>
      <c r="CZ38" s="77"/>
      <c r="DA38" s="77"/>
      <c r="DB38" s="77"/>
      <c r="DC38" s="77"/>
      <c r="DD38" s="77"/>
      <c r="DE38" s="77"/>
      <c r="DF38" s="77"/>
      <c r="DG38" s="77"/>
      <c r="DH38" s="77"/>
      <c r="DI38" s="77"/>
      <c r="DJ38" s="77"/>
      <c r="DK38" s="77"/>
      <c r="DL38" s="77"/>
      <c r="DM38" s="77"/>
      <c r="DN38" s="77"/>
      <c r="DO38" s="77"/>
      <c r="DP38" s="77"/>
      <c r="DQ38" s="77"/>
      <c r="DR38" s="77"/>
      <c r="DS38" s="77"/>
      <c r="DT38" s="77"/>
      <c r="DU38" s="77"/>
      <c r="DV38" s="77"/>
      <c r="DW38" s="77"/>
      <c r="DX38" s="77"/>
      <c r="DY38" s="77"/>
      <c r="DZ38" s="77"/>
      <c r="EA38" s="77"/>
      <c r="EB38" s="77"/>
      <c r="EC38" s="77"/>
      <c r="ED38" s="77"/>
      <c r="EE38" s="77"/>
      <c r="EF38" s="77"/>
      <c r="EG38" s="77"/>
      <c r="EH38" s="77"/>
      <c r="EI38" s="77"/>
      <c r="EJ38" s="77"/>
      <c r="EK38" s="77"/>
      <c r="EL38" s="77"/>
    </row>
    <row r="39" spans="1:142" s="78" customFormat="1">
      <c r="A39" s="98"/>
      <c r="B39" s="67" t="s">
        <v>742</v>
      </c>
      <c r="C39" s="67"/>
      <c r="D39" s="88"/>
      <c r="E39" s="1065"/>
      <c r="F39" s="847">
        <f>H25</f>
        <v>2002</v>
      </c>
      <c r="G39" s="104"/>
      <c r="H39" s="845">
        <f>F39-1</f>
        <v>2001</v>
      </c>
      <c r="I39" s="846">
        <f>H39-1</f>
        <v>2000</v>
      </c>
      <c r="J39" s="846">
        <f>I39-1</f>
        <v>1999</v>
      </c>
      <c r="K39" s="846">
        <f>J39-1</f>
        <v>1998</v>
      </c>
      <c r="O39" s="77"/>
      <c r="P39" s="77"/>
      <c r="Q39" s="77"/>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c r="AP39" s="77"/>
      <c r="AQ39" s="77"/>
      <c r="AR39" s="77"/>
      <c r="AS39" s="77"/>
      <c r="AT39" s="77"/>
      <c r="AU39" s="77"/>
      <c r="AV39" s="77"/>
      <c r="AW39" s="77"/>
      <c r="AX39" s="77"/>
      <c r="AY39" s="77"/>
      <c r="AZ39" s="77"/>
      <c r="BA39" s="77"/>
      <c r="BB39" s="77"/>
      <c r="BC39" s="77"/>
      <c r="BD39" s="77"/>
      <c r="BE39" s="77"/>
      <c r="BF39" s="77"/>
      <c r="BG39" s="77"/>
      <c r="BH39" s="77"/>
      <c r="BI39" s="77"/>
      <c r="BJ39" s="77"/>
      <c r="BK39" s="77"/>
      <c r="BL39" s="77"/>
      <c r="BM39" s="77"/>
      <c r="BN39" s="77"/>
      <c r="BO39" s="77"/>
      <c r="BP39" s="77"/>
      <c r="BQ39" s="77"/>
      <c r="BR39" s="77"/>
      <c r="BS39" s="77"/>
      <c r="BT39" s="77"/>
      <c r="BU39" s="77"/>
      <c r="BV39" s="77"/>
      <c r="BW39" s="77"/>
      <c r="BX39" s="77"/>
      <c r="BY39" s="77"/>
      <c r="BZ39" s="77"/>
      <c r="CA39" s="77"/>
      <c r="CB39" s="77"/>
      <c r="CC39" s="77"/>
      <c r="CD39" s="77"/>
      <c r="CE39" s="77"/>
      <c r="CF39" s="77"/>
      <c r="CG39" s="77"/>
      <c r="CH39" s="77"/>
      <c r="CI39" s="77"/>
      <c r="CJ39" s="77"/>
      <c r="CK39" s="77"/>
      <c r="CL39" s="77"/>
      <c r="CM39" s="77"/>
      <c r="CN39" s="77"/>
      <c r="CO39" s="77"/>
      <c r="CP39" s="77"/>
      <c r="CQ39" s="77"/>
      <c r="CR39" s="77"/>
      <c r="CS39" s="77"/>
      <c r="CT39" s="77"/>
      <c r="CU39" s="77"/>
      <c r="CV39" s="77"/>
      <c r="CW39" s="77"/>
      <c r="CX39" s="77"/>
      <c r="CY39" s="77"/>
      <c r="CZ39" s="77"/>
      <c r="DA39" s="77"/>
      <c r="DB39" s="77"/>
      <c r="DC39" s="77"/>
      <c r="DD39" s="77"/>
      <c r="DE39" s="77"/>
      <c r="DF39" s="77"/>
      <c r="DG39" s="77"/>
      <c r="DH39" s="77"/>
      <c r="DI39" s="77"/>
      <c r="DJ39" s="77"/>
      <c r="DK39" s="77"/>
      <c r="DL39" s="77"/>
      <c r="DM39" s="77"/>
      <c r="DN39" s="77"/>
      <c r="DO39" s="77"/>
      <c r="DP39" s="77"/>
      <c r="DQ39" s="77"/>
      <c r="DR39" s="77"/>
      <c r="DS39" s="77"/>
      <c r="DT39" s="77"/>
      <c r="DU39" s="77"/>
      <c r="DV39" s="77"/>
      <c r="DW39" s="77"/>
      <c r="DX39" s="77"/>
      <c r="DY39" s="77"/>
      <c r="DZ39" s="77"/>
      <c r="EA39" s="77"/>
      <c r="EB39" s="77"/>
      <c r="EC39" s="77"/>
      <c r="ED39" s="77"/>
      <c r="EE39" s="77"/>
      <c r="EF39" s="77"/>
      <c r="EG39" s="77"/>
      <c r="EH39" s="77"/>
      <c r="EI39" s="77"/>
      <c r="EJ39" s="77"/>
      <c r="EK39" s="77"/>
      <c r="EL39" s="77"/>
    </row>
    <row r="40" spans="1:142" s="76" customFormat="1">
      <c r="A40" s="105"/>
      <c r="B40" s="38" t="s">
        <v>890</v>
      </c>
      <c r="C40" s="89"/>
      <c r="D40" s="105"/>
      <c r="E40" s="1066"/>
      <c r="F40" s="928">
        <f>SUM(H40:K40)</f>
        <v>0</v>
      </c>
      <c r="G40" s="63" t="s">
        <v>741</v>
      </c>
      <c r="H40" s="843">
        <v>0</v>
      </c>
      <c r="I40" s="345"/>
      <c r="J40" s="345"/>
      <c r="K40" s="844">
        <v>0</v>
      </c>
      <c r="L40" s="354"/>
      <c r="M40" s="354"/>
      <c r="N40" s="354"/>
      <c r="O40" s="344"/>
      <c r="P40" s="344"/>
      <c r="Q40" s="344"/>
      <c r="R40" s="344"/>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row>
    <row r="41" spans="1:142" s="76" customFormat="1">
      <c r="A41" s="105"/>
      <c r="B41" s="39" t="s">
        <v>280</v>
      </c>
      <c r="C41" s="79"/>
      <c r="D41" s="105"/>
      <c r="E41" s="1066"/>
      <c r="F41" s="928">
        <f t="shared" ref="F41:F50" si="4">SUM(H41:K41)</f>
        <v>283</v>
      </c>
      <c r="G41" s="63" t="s">
        <v>842</v>
      </c>
      <c r="H41" s="843">
        <v>283</v>
      </c>
      <c r="I41" s="345"/>
      <c r="J41" s="345"/>
      <c r="K41" s="106">
        <v>0</v>
      </c>
      <c r="L41" s="344"/>
      <c r="M41" s="344"/>
      <c r="N41" s="344"/>
      <c r="O41" s="344"/>
      <c r="P41" s="344"/>
      <c r="Q41" s="344"/>
      <c r="R41" s="344"/>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c r="CU41" s="12"/>
      <c r="CV41" s="12"/>
      <c r="CW41" s="12"/>
      <c r="CX41" s="12"/>
      <c r="CY41" s="12"/>
      <c r="CZ41" s="12"/>
      <c r="DA41" s="12"/>
      <c r="DB41" s="12"/>
      <c r="DC41" s="12"/>
      <c r="DD41" s="12"/>
      <c r="DE41" s="12"/>
      <c r="DF41" s="12"/>
      <c r="DG41" s="12"/>
      <c r="DH41" s="12"/>
      <c r="DI41" s="12"/>
      <c r="DJ41" s="12"/>
      <c r="DK41" s="12"/>
      <c r="DL41" s="12"/>
      <c r="DM41" s="12"/>
      <c r="DN41" s="12"/>
      <c r="DO41" s="12"/>
      <c r="DP41" s="12"/>
      <c r="DQ41" s="12"/>
      <c r="DR41" s="12"/>
      <c r="DS41" s="12"/>
      <c r="DT41" s="12"/>
      <c r="DU41" s="12"/>
      <c r="DV41" s="12"/>
      <c r="DW41" s="12"/>
      <c r="DX41" s="12"/>
      <c r="DY41" s="12"/>
      <c r="DZ41" s="12"/>
      <c r="EA41" s="12"/>
      <c r="EB41" s="12"/>
      <c r="EC41" s="12"/>
      <c r="ED41" s="12"/>
      <c r="EE41" s="12"/>
      <c r="EF41" s="12"/>
      <c r="EG41" s="12"/>
      <c r="EH41" s="12"/>
      <c r="EI41" s="12"/>
      <c r="EJ41" s="12"/>
      <c r="EK41" s="12"/>
      <c r="EL41" s="12"/>
    </row>
    <row r="42" spans="1:142" s="76" customFormat="1">
      <c r="A42" s="105"/>
      <c r="B42" s="38" t="s">
        <v>729</v>
      </c>
      <c r="C42" s="89" t="s">
        <v>843</v>
      </c>
      <c r="D42" s="105"/>
      <c r="E42" s="1066"/>
      <c r="F42" s="928">
        <f t="shared" si="4"/>
        <v>340</v>
      </c>
      <c r="G42" s="63" t="s">
        <v>842</v>
      </c>
      <c r="H42" s="843">
        <v>340</v>
      </c>
      <c r="I42" s="345"/>
      <c r="J42" s="345"/>
      <c r="K42" s="106">
        <v>0</v>
      </c>
      <c r="L42" s="344"/>
      <c r="M42" s="344"/>
      <c r="N42" s="344"/>
      <c r="O42" s="344"/>
      <c r="P42" s="344"/>
      <c r="Q42" s="344"/>
      <c r="R42" s="344"/>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c r="CU42" s="12"/>
      <c r="CV42" s="12"/>
      <c r="CW42" s="12"/>
      <c r="CX42" s="12"/>
      <c r="CY42" s="12"/>
      <c r="CZ42" s="12"/>
      <c r="DA42" s="12"/>
      <c r="DB42" s="12"/>
      <c r="DC42" s="12"/>
      <c r="DD42" s="12"/>
      <c r="DE42" s="12"/>
      <c r="DF42" s="12"/>
      <c r="DG42" s="12"/>
      <c r="DH42" s="12"/>
      <c r="DI42" s="12"/>
      <c r="DJ42" s="12"/>
      <c r="DK42" s="12"/>
      <c r="DL42" s="12"/>
      <c r="DM42" s="12"/>
      <c r="DN42" s="12"/>
      <c r="DO42" s="12"/>
      <c r="DP42" s="12"/>
      <c r="DQ42" s="12"/>
      <c r="DR42" s="12"/>
      <c r="DS42" s="12"/>
      <c r="DT42" s="12"/>
      <c r="DU42" s="12"/>
      <c r="DV42" s="12"/>
      <c r="DW42" s="12"/>
      <c r="DX42" s="12"/>
      <c r="DY42" s="12"/>
      <c r="DZ42" s="12"/>
      <c r="EA42" s="12"/>
      <c r="EB42" s="12"/>
      <c r="EC42" s="12"/>
      <c r="ED42" s="12"/>
      <c r="EE42" s="12"/>
      <c r="EF42" s="12"/>
      <c r="EG42" s="12"/>
      <c r="EH42" s="12"/>
      <c r="EI42" s="12"/>
      <c r="EJ42" s="12"/>
      <c r="EK42" s="12"/>
      <c r="EL42" s="12"/>
    </row>
    <row r="43" spans="1:142" s="76" customFormat="1">
      <c r="A43" s="105"/>
      <c r="B43" s="39" t="s">
        <v>730</v>
      </c>
      <c r="C43" s="79"/>
      <c r="D43" s="105"/>
      <c r="E43" s="1066"/>
      <c r="F43" s="928">
        <f t="shared" si="4"/>
        <v>200</v>
      </c>
      <c r="G43" s="63" t="s">
        <v>842</v>
      </c>
      <c r="H43" s="843">
        <v>200</v>
      </c>
      <c r="I43" s="345"/>
      <c r="J43" s="345"/>
      <c r="K43" s="106">
        <v>0</v>
      </c>
      <c r="L43" s="344"/>
      <c r="M43" s="344"/>
      <c r="N43" s="344"/>
      <c r="O43" s="344"/>
      <c r="P43" s="344"/>
      <c r="Q43" s="344"/>
      <c r="R43" s="344"/>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2"/>
      <c r="CW43" s="12"/>
      <c r="CX43" s="12"/>
      <c r="CY43" s="12"/>
      <c r="CZ43" s="12"/>
      <c r="DA43" s="12"/>
      <c r="DB43" s="12"/>
      <c r="DC43" s="12"/>
      <c r="DD43" s="12"/>
      <c r="DE43" s="12"/>
      <c r="DF43" s="12"/>
      <c r="DG43" s="12"/>
      <c r="DH43" s="12"/>
      <c r="DI43" s="12"/>
      <c r="DJ43" s="12"/>
      <c r="DK43" s="12"/>
      <c r="DL43" s="12"/>
      <c r="DM43" s="12"/>
      <c r="DN43" s="12"/>
      <c r="DO43" s="12"/>
      <c r="DP43" s="12"/>
      <c r="DQ43" s="12"/>
      <c r="DR43" s="12"/>
      <c r="DS43" s="12"/>
      <c r="DT43" s="12"/>
      <c r="DU43" s="12"/>
      <c r="DV43" s="12"/>
      <c r="DW43" s="12"/>
      <c r="DX43" s="12"/>
      <c r="DY43" s="12"/>
      <c r="DZ43" s="12"/>
      <c r="EA43" s="12"/>
      <c r="EB43" s="12"/>
      <c r="EC43" s="12"/>
      <c r="ED43" s="12"/>
      <c r="EE43" s="12"/>
      <c r="EF43" s="12"/>
      <c r="EG43" s="12"/>
      <c r="EH43" s="12"/>
      <c r="EI43" s="12"/>
      <c r="EJ43" s="12"/>
      <c r="EK43" s="12"/>
      <c r="EL43" s="12"/>
    </row>
    <row r="44" spans="1:142" s="76" customFormat="1">
      <c r="A44" s="105"/>
      <c r="B44" s="38" t="s">
        <v>731</v>
      </c>
      <c r="C44" s="89"/>
      <c r="D44" s="105"/>
      <c r="E44" s="1066"/>
      <c r="F44" s="928">
        <f t="shared" si="4"/>
        <v>500</v>
      </c>
      <c r="G44" s="63" t="s">
        <v>741</v>
      </c>
      <c r="H44" s="843">
        <v>500</v>
      </c>
      <c r="I44" s="345"/>
      <c r="J44" s="345"/>
      <c r="K44" s="106">
        <v>0</v>
      </c>
      <c r="L44" s="344"/>
      <c r="M44" s="344"/>
      <c r="N44" s="344"/>
      <c r="O44" s="344"/>
      <c r="P44" s="344"/>
      <c r="Q44" s="344"/>
      <c r="R44" s="344"/>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2"/>
      <c r="DJ44" s="12"/>
      <c r="DK44" s="12"/>
      <c r="DL44" s="12"/>
      <c r="DM44" s="12"/>
      <c r="DN44" s="12"/>
      <c r="DO44" s="12"/>
      <c r="DP44" s="12"/>
      <c r="DQ44" s="12"/>
      <c r="DR44" s="12"/>
      <c r="DS44" s="12"/>
      <c r="DT44" s="12"/>
      <c r="DU44" s="12"/>
      <c r="DV44" s="12"/>
      <c r="DW44" s="12"/>
      <c r="DX44" s="12"/>
      <c r="DY44" s="12"/>
      <c r="DZ44" s="12"/>
      <c r="EA44" s="12"/>
      <c r="EB44" s="12"/>
      <c r="EC44" s="12"/>
      <c r="ED44" s="12"/>
      <c r="EE44" s="12"/>
      <c r="EF44" s="12"/>
      <c r="EG44" s="12"/>
      <c r="EH44" s="12"/>
      <c r="EI44" s="12"/>
      <c r="EJ44" s="12"/>
      <c r="EK44" s="12"/>
      <c r="EL44" s="12"/>
    </row>
    <row r="45" spans="1:142" s="76" customFormat="1">
      <c r="A45" s="105"/>
      <c r="B45" s="38" t="s">
        <v>732</v>
      </c>
      <c r="C45" s="89"/>
      <c r="D45" s="105"/>
      <c r="E45" s="1066"/>
      <c r="F45" s="928">
        <f t="shared" si="4"/>
        <v>0</v>
      </c>
      <c r="G45" s="63" t="s">
        <v>741</v>
      </c>
      <c r="H45" s="843">
        <v>0</v>
      </c>
      <c r="I45" s="345"/>
      <c r="J45" s="345"/>
      <c r="K45" s="106">
        <v>0</v>
      </c>
      <c r="L45" s="344"/>
      <c r="M45" s="344"/>
      <c r="N45" s="344"/>
      <c r="O45" s="344"/>
      <c r="P45" s="344"/>
      <c r="Q45" s="344"/>
      <c r="R45" s="344"/>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row>
    <row r="46" spans="1:142" s="76" customFormat="1">
      <c r="A46" s="105"/>
      <c r="B46" s="38" t="s">
        <v>733</v>
      </c>
      <c r="C46" s="89"/>
      <c r="D46" s="105"/>
      <c r="E46" s="1066"/>
      <c r="F46" s="928">
        <f t="shared" si="4"/>
        <v>650</v>
      </c>
      <c r="G46" s="63" t="s">
        <v>841</v>
      </c>
      <c r="H46" s="843">
        <v>650</v>
      </c>
      <c r="I46" s="345"/>
      <c r="J46" s="345"/>
      <c r="K46" s="106">
        <v>0</v>
      </c>
      <c r="L46" s="344"/>
      <c r="M46" s="344"/>
      <c r="N46" s="344"/>
      <c r="O46" s="344"/>
      <c r="P46" s="344"/>
      <c r="Q46" s="344"/>
      <c r="R46" s="344"/>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2"/>
      <c r="CW46" s="12"/>
      <c r="CX46" s="12"/>
      <c r="CY46" s="12"/>
      <c r="CZ46" s="12"/>
      <c r="DA46" s="12"/>
      <c r="DB46" s="12"/>
      <c r="DC46" s="12"/>
      <c r="DD46" s="12"/>
      <c r="DE46" s="12"/>
      <c r="DF46" s="12"/>
      <c r="DG46" s="12"/>
      <c r="DH46" s="12"/>
      <c r="DI46" s="12"/>
      <c r="DJ46" s="12"/>
      <c r="DK46" s="12"/>
      <c r="DL46" s="12"/>
      <c r="DM46" s="12"/>
      <c r="DN46" s="12"/>
      <c r="DO46" s="12"/>
      <c r="DP46" s="12"/>
      <c r="DQ46" s="12"/>
      <c r="DR46" s="12"/>
      <c r="DS46" s="12"/>
      <c r="DT46" s="12"/>
      <c r="DU46" s="12"/>
      <c r="DV46" s="12"/>
      <c r="DW46" s="12"/>
      <c r="DX46" s="12"/>
      <c r="DY46" s="12"/>
      <c r="DZ46" s="12"/>
      <c r="EA46" s="12"/>
      <c r="EB46" s="12"/>
      <c r="EC46" s="12"/>
      <c r="ED46" s="12"/>
      <c r="EE46" s="12"/>
      <c r="EF46" s="12"/>
      <c r="EG46" s="12"/>
      <c r="EH46" s="12"/>
      <c r="EI46" s="12"/>
      <c r="EJ46" s="12"/>
      <c r="EK46" s="12"/>
      <c r="EL46" s="12"/>
    </row>
    <row r="47" spans="1:142" s="76" customFormat="1">
      <c r="A47" s="105"/>
      <c r="B47" s="38" t="s">
        <v>734</v>
      </c>
      <c r="C47" s="89"/>
      <c r="D47" s="105"/>
      <c r="E47" s="1066"/>
      <c r="F47" s="928">
        <f t="shared" si="4"/>
        <v>206</v>
      </c>
      <c r="G47" s="63" t="s">
        <v>842</v>
      </c>
      <c r="H47" s="843">
        <v>206</v>
      </c>
      <c r="I47" s="345"/>
      <c r="J47" s="345"/>
      <c r="K47" s="106">
        <v>0</v>
      </c>
      <c r="L47" s="344"/>
      <c r="M47" s="344"/>
      <c r="N47" s="344"/>
      <c r="O47" s="344"/>
      <c r="P47" s="344"/>
      <c r="Q47" s="344"/>
      <c r="R47" s="344"/>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c r="CU47" s="12"/>
      <c r="CV47" s="12"/>
      <c r="CW47" s="12"/>
      <c r="CX47" s="12"/>
      <c r="CY47" s="12"/>
      <c r="CZ47" s="12"/>
      <c r="DA47" s="12"/>
      <c r="DB47" s="12"/>
      <c r="DC47" s="12"/>
      <c r="DD47" s="12"/>
      <c r="DE47" s="12"/>
      <c r="DF47" s="12"/>
      <c r="DG47" s="12"/>
      <c r="DH47" s="12"/>
      <c r="DI47" s="12"/>
      <c r="DJ47" s="12"/>
      <c r="DK47" s="12"/>
      <c r="DL47" s="12"/>
      <c r="DM47" s="12"/>
      <c r="DN47" s="12"/>
      <c r="DO47" s="12"/>
      <c r="DP47" s="12"/>
      <c r="DQ47" s="12"/>
      <c r="DR47" s="12"/>
      <c r="DS47" s="12"/>
      <c r="DT47" s="12"/>
      <c r="DU47" s="12"/>
      <c r="DV47" s="12"/>
      <c r="DW47" s="12"/>
      <c r="DX47" s="12"/>
      <c r="DY47" s="12"/>
      <c r="DZ47" s="12"/>
      <c r="EA47" s="12"/>
      <c r="EB47" s="12"/>
      <c r="EC47" s="12"/>
      <c r="ED47" s="12"/>
      <c r="EE47" s="12"/>
      <c r="EF47" s="12"/>
      <c r="EG47" s="12"/>
      <c r="EH47" s="12"/>
      <c r="EI47" s="12"/>
      <c r="EJ47" s="12"/>
      <c r="EK47" s="12"/>
      <c r="EL47" s="12"/>
    </row>
    <row r="48" spans="1:142" s="76" customFormat="1">
      <c r="A48" s="105"/>
      <c r="B48" s="38" t="s">
        <v>892</v>
      </c>
      <c r="C48" s="89"/>
      <c r="D48" s="105"/>
      <c r="E48" s="1066"/>
      <c r="F48" s="928">
        <f t="shared" si="4"/>
        <v>565.91999999999996</v>
      </c>
      <c r="G48" s="1635" t="s">
        <v>893</v>
      </c>
      <c r="H48" s="122">
        <f>0.03*18864</f>
        <v>565.91999999999996</v>
      </c>
      <c r="I48" s="345"/>
      <c r="J48" s="345"/>
      <c r="K48" s="106">
        <v>0</v>
      </c>
      <c r="L48" s="344"/>
      <c r="M48" s="344"/>
      <c r="N48" s="344"/>
      <c r="O48" s="344"/>
      <c r="P48" s="344"/>
      <c r="Q48" s="344"/>
      <c r="R48" s="344"/>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2"/>
      <c r="CX48" s="12"/>
      <c r="CY48" s="12"/>
      <c r="CZ48" s="12"/>
      <c r="DA48" s="12"/>
      <c r="DB48" s="12"/>
      <c r="DC48" s="12"/>
      <c r="DD48" s="12"/>
      <c r="DE48" s="12"/>
      <c r="DF48" s="12"/>
      <c r="DG48" s="12"/>
      <c r="DH48" s="12"/>
      <c r="DI48" s="12"/>
      <c r="DJ48" s="12"/>
      <c r="DK48" s="12"/>
      <c r="DL48" s="12"/>
      <c r="DM48" s="12"/>
      <c r="DN48" s="12"/>
      <c r="DO48" s="12"/>
      <c r="DP48" s="12"/>
      <c r="DQ48" s="12"/>
      <c r="DR48" s="12"/>
      <c r="DS48" s="12"/>
      <c r="DT48" s="12"/>
      <c r="DU48" s="12"/>
      <c r="DV48" s="12"/>
      <c r="DW48" s="12"/>
      <c r="DX48" s="12"/>
      <c r="DY48" s="12"/>
      <c r="DZ48" s="12"/>
      <c r="EA48" s="12"/>
      <c r="EB48" s="12"/>
      <c r="EC48" s="12"/>
      <c r="ED48" s="12"/>
      <c r="EE48" s="12"/>
      <c r="EF48" s="12"/>
      <c r="EG48" s="12"/>
      <c r="EH48" s="12"/>
      <c r="EI48" s="12"/>
      <c r="EJ48" s="12"/>
      <c r="EK48" s="12"/>
      <c r="EL48" s="12"/>
    </row>
    <row r="49" spans="1:142" s="76" customFormat="1">
      <c r="A49" s="105"/>
      <c r="B49" s="38" t="s">
        <v>735</v>
      </c>
      <c r="C49" s="822"/>
      <c r="D49" s="105"/>
      <c r="E49" s="1066"/>
      <c r="F49" s="928">
        <f t="shared" si="4"/>
        <v>100</v>
      </c>
      <c r="G49" s="63" t="s">
        <v>842</v>
      </c>
      <c r="H49" s="843">
        <v>100</v>
      </c>
      <c r="I49" s="345"/>
      <c r="J49" s="345"/>
      <c r="K49" s="106">
        <v>0</v>
      </c>
      <c r="L49" s="344"/>
      <c r="M49" s="344"/>
      <c r="N49" s="344"/>
      <c r="O49" s="344"/>
      <c r="P49" s="344"/>
      <c r="Q49" s="344"/>
      <c r="R49" s="344"/>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c r="CT49" s="12"/>
      <c r="CU49" s="12"/>
      <c r="CV49" s="12"/>
      <c r="CW49" s="12"/>
      <c r="CX49" s="12"/>
      <c r="CY49" s="12"/>
      <c r="CZ49" s="12"/>
      <c r="DA49" s="12"/>
      <c r="DB49" s="12"/>
      <c r="DC49" s="12"/>
      <c r="DD49" s="12"/>
      <c r="DE49" s="12"/>
      <c r="DF49" s="12"/>
      <c r="DG49" s="12"/>
      <c r="DH49" s="12"/>
      <c r="DI49" s="12"/>
      <c r="DJ49" s="12"/>
      <c r="DK49" s="12"/>
      <c r="DL49" s="12"/>
      <c r="DM49" s="12"/>
      <c r="DN49" s="12"/>
      <c r="DO49" s="12"/>
      <c r="DP49" s="12"/>
      <c r="DQ49" s="12"/>
      <c r="DR49" s="12"/>
      <c r="DS49" s="12"/>
      <c r="DT49" s="12"/>
      <c r="DU49" s="12"/>
      <c r="DV49" s="12"/>
      <c r="DW49" s="12"/>
      <c r="DX49" s="12"/>
      <c r="DY49" s="12"/>
      <c r="DZ49" s="12"/>
      <c r="EA49" s="12"/>
      <c r="EB49" s="12"/>
      <c r="EC49" s="12"/>
      <c r="ED49" s="12"/>
      <c r="EE49" s="12"/>
      <c r="EF49" s="12"/>
      <c r="EG49" s="12"/>
      <c r="EH49" s="12"/>
      <c r="EI49" s="12"/>
      <c r="EJ49" s="12"/>
      <c r="EK49" s="12"/>
      <c r="EL49" s="12"/>
    </row>
    <row r="50" spans="1:142" s="76" customFormat="1">
      <c r="A50" s="105"/>
      <c r="B50" s="38" t="s">
        <v>845</v>
      </c>
      <c r="C50" s="822"/>
      <c r="D50" s="105"/>
      <c r="E50" s="1066"/>
      <c r="F50" s="928">
        <f t="shared" si="4"/>
        <v>225</v>
      </c>
      <c r="G50" s="63" t="s">
        <v>844</v>
      </c>
      <c r="H50" s="843">
        <v>225</v>
      </c>
      <c r="I50" s="345"/>
      <c r="J50" s="345"/>
      <c r="K50" s="106"/>
      <c r="L50" s="344"/>
      <c r="M50" s="344"/>
      <c r="N50" s="344"/>
      <c r="O50" s="344"/>
      <c r="P50" s="344"/>
      <c r="Q50" s="344"/>
      <c r="R50" s="344"/>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c r="DV50" s="12"/>
      <c r="DW50" s="12"/>
      <c r="DX50" s="12"/>
      <c r="DY50" s="12"/>
      <c r="DZ50" s="12"/>
      <c r="EA50" s="12"/>
      <c r="EB50" s="12"/>
      <c r="EC50" s="12"/>
      <c r="ED50" s="12"/>
      <c r="EE50" s="12"/>
      <c r="EF50" s="12"/>
      <c r="EG50" s="12"/>
      <c r="EH50" s="12"/>
      <c r="EI50" s="12"/>
      <c r="EJ50" s="12"/>
      <c r="EK50" s="12"/>
      <c r="EL50" s="12"/>
    </row>
    <row r="51" spans="1:142" s="76" customFormat="1">
      <c r="A51" s="105"/>
      <c r="B51" s="38" t="s">
        <v>871</v>
      </c>
      <c r="C51" s="181"/>
      <c r="D51" s="105"/>
      <c r="E51" s="1066"/>
      <c r="F51" s="928">
        <f>SUM(H51:K51)</f>
        <v>0</v>
      </c>
      <c r="G51" s="63" t="s">
        <v>741</v>
      </c>
      <c r="H51" s="843">
        <v>0</v>
      </c>
      <c r="I51" s="345"/>
      <c r="J51" s="844"/>
      <c r="K51" s="106">
        <v>0</v>
      </c>
      <c r="L51" s="344"/>
      <c r="M51" s="344"/>
      <c r="N51" s="344"/>
      <c r="O51" s="344"/>
      <c r="P51" s="344"/>
      <c r="Q51" s="344"/>
      <c r="R51" s="344"/>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c r="DW51" s="12"/>
      <c r="DX51" s="12"/>
      <c r="DY51" s="12"/>
      <c r="DZ51" s="12"/>
      <c r="EA51" s="12"/>
      <c r="EB51" s="12"/>
      <c r="EC51" s="12"/>
      <c r="ED51" s="12"/>
      <c r="EE51" s="12"/>
      <c r="EF51" s="12"/>
      <c r="EG51" s="12"/>
      <c r="EH51" s="12"/>
      <c r="EI51" s="12"/>
      <c r="EJ51" s="12"/>
      <c r="EK51" s="12"/>
      <c r="EL51" s="12"/>
    </row>
    <row r="52" spans="1:142" s="76" customFormat="1" ht="13.5" thickBot="1">
      <c r="A52" s="105"/>
      <c r="B52" s="422" t="s">
        <v>154</v>
      </c>
      <c r="C52" s="217"/>
      <c r="D52" s="108"/>
      <c r="E52" s="1068">
        <f>F52/$F$30</f>
        <v>35.696744186046516</v>
      </c>
      <c r="F52" s="1061">
        <f>SUM(F40:F51)</f>
        <v>3069.92</v>
      </c>
      <c r="G52" s="63"/>
      <c r="H52" s="61"/>
      <c r="I52" s="105"/>
      <c r="J52" s="105"/>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c r="CK52" s="12"/>
      <c r="CL52" s="12"/>
      <c r="CM52" s="12"/>
      <c r="CN52" s="12"/>
      <c r="CO52" s="12"/>
      <c r="CP52" s="12"/>
      <c r="CQ52" s="12"/>
      <c r="CR52" s="12"/>
      <c r="CS52" s="12"/>
      <c r="CT52" s="12"/>
      <c r="CU52" s="12"/>
      <c r="CV52" s="12"/>
      <c r="CW52" s="12"/>
      <c r="CX52" s="12"/>
      <c r="CY52" s="12"/>
      <c r="CZ52" s="12"/>
      <c r="DA52" s="12"/>
      <c r="DB52" s="12"/>
      <c r="DC52" s="12"/>
      <c r="DD52" s="12"/>
      <c r="DE52" s="12"/>
      <c r="DF52" s="12"/>
      <c r="DG52" s="12"/>
      <c r="DH52" s="12"/>
      <c r="DI52" s="12"/>
      <c r="DJ52" s="12"/>
      <c r="DK52" s="12"/>
      <c r="DL52" s="12"/>
      <c r="DM52" s="12"/>
      <c r="DN52" s="12"/>
      <c r="DO52" s="12"/>
      <c r="DP52" s="12"/>
      <c r="DQ52" s="12"/>
      <c r="DR52" s="12"/>
      <c r="DS52" s="12"/>
      <c r="DT52" s="12"/>
      <c r="DU52" s="12"/>
      <c r="DV52" s="12"/>
      <c r="DW52" s="12"/>
      <c r="DX52" s="12"/>
      <c r="DY52" s="12"/>
      <c r="DZ52" s="12"/>
      <c r="EA52" s="12"/>
      <c r="EB52" s="12"/>
      <c r="EC52" s="12"/>
      <c r="ED52" s="12"/>
      <c r="EE52" s="12"/>
      <c r="EF52" s="12"/>
      <c r="EG52" s="12"/>
      <c r="EH52" s="12"/>
      <c r="EI52" s="12"/>
      <c r="EJ52" s="12"/>
      <c r="EK52" s="12"/>
      <c r="EL52" s="12"/>
    </row>
    <row r="53" spans="1:142" s="76" customFormat="1" ht="13.5" thickTop="1">
      <c r="A53" s="105"/>
      <c r="B53" s="422"/>
      <c r="C53" s="217"/>
      <c r="D53" s="108"/>
      <c r="E53" s="1540"/>
      <c r="F53" s="1541"/>
      <c r="G53" s="63"/>
      <c r="H53" s="1542" t="s">
        <v>377</v>
      </c>
      <c r="I53" s="1543"/>
      <c r="J53" s="1544">
        <f>E163</f>
        <v>129000</v>
      </c>
      <c r="K53" s="1543" t="s">
        <v>554</v>
      </c>
      <c r="L53" s="1543"/>
      <c r="M53" s="1545" t="s">
        <v>295</v>
      </c>
      <c r="N53" s="1546"/>
      <c r="O53" s="1547"/>
      <c r="P53" s="1548"/>
      <c r="Q53" s="1548"/>
      <c r="R53" s="1549"/>
      <c r="S53" s="1550"/>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c r="CT53" s="12"/>
      <c r="CU53" s="12"/>
      <c r="CV53" s="12"/>
      <c r="CW53" s="12"/>
      <c r="CX53" s="12"/>
      <c r="CY53" s="12"/>
      <c r="CZ53" s="12"/>
      <c r="DA53" s="12"/>
      <c r="DB53" s="12"/>
      <c r="DC53" s="12"/>
      <c r="DD53" s="12"/>
      <c r="DE53" s="12"/>
      <c r="DF53" s="12"/>
      <c r="DG53" s="12"/>
      <c r="DH53" s="12"/>
      <c r="DI53" s="12"/>
      <c r="DJ53" s="12"/>
      <c r="DK53" s="12"/>
      <c r="DL53" s="12"/>
      <c r="DM53" s="12"/>
      <c r="DN53" s="12"/>
      <c r="DO53" s="12"/>
      <c r="DP53" s="12"/>
      <c r="DQ53" s="12"/>
      <c r="DR53" s="12"/>
      <c r="DS53" s="12"/>
      <c r="DT53" s="12"/>
      <c r="DU53" s="12"/>
      <c r="DV53" s="12"/>
      <c r="DW53" s="12"/>
      <c r="DX53" s="12"/>
      <c r="DY53" s="12"/>
      <c r="DZ53" s="12"/>
      <c r="EA53" s="12"/>
      <c r="EB53" s="12"/>
      <c r="EC53" s="12"/>
      <c r="ED53" s="12"/>
      <c r="EE53" s="12"/>
      <c r="EF53" s="12"/>
      <c r="EG53" s="12"/>
      <c r="EH53" s="12"/>
      <c r="EI53" s="12"/>
      <c r="EJ53" s="12"/>
      <c r="EK53" s="12"/>
      <c r="EL53" s="12"/>
    </row>
    <row r="54" spans="1:142" s="76" customFormat="1">
      <c r="A54" s="105"/>
      <c r="B54" s="422"/>
      <c r="C54" s="217"/>
      <c r="D54" s="108"/>
      <c r="E54" s="1540"/>
      <c r="F54" s="1541"/>
      <c r="G54" s="63"/>
      <c r="H54" s="1551"/>
      <c r="I54" s="354"/>
      <c r="J54" s="357">
        <f>E164</f>
        <v>19462.1139</v>
      </c>
      <c r="K54" s="344" t="s">
        <v>80</v>
      </c>
      <c r="L54" s="354"/>
      <c r="M54" s="87" t="s">
        <v>296</v>
      </c>
      <c r="N54" s="87"/>
      <c r="O54" s="87"/>
      <c r="P54" s="231">
        <v>14</v>
      </c>
      <c r="Q54" s="87"/>
      <c r="R54" s="344"/>
      <c r="S54" s="62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2"/>
      <c r="CU54" s="12"/>
      <c r="CV54" s="12"/>
      <c r="CW54" s="12"/>
      <c r="CX54" s="12"/>
      <c r="CY54" s="12"/>
      <c r="CZ54" s="12"/>
      <c r="DA54" s="12"/>
      <c r="DB54" s="12"/>
      <c r="DC54" s="12"/>
      <c r="DD54" s="12"/>
      <c r="DE54" s="12"/>
      <c r="DF54" s="12"/>
      <c r="DG54" s="12"/>
      <c r="DH54" s="12"/>
      <c r="DI54" s="12"/>
      <c r="DJ54" s="12"/>
      <c r="DK54" s="12"/>
      <c r="DL54" s="12"/>
      <c r="DM54" s="12"/>
      <c r="DN54" s="12"/>
      <c r="DO54" s="12"/>
      <c r="DP54" s="12"/>
      <c r="DQ54" s="12"/>
      <c r="DR54" s="12"/>
      <c r="DS54" s="12"/>
      <c r="DT54" s="12"/>
      <c r="DU54" s="12"/>
      <c r="DV54" s="12"/>
      <c r="DW54" s="12"/>
      <c r="DX54" s="12"/>
      <c r="DY54" s="12"/>
      <c r="DZ54" s="12"/>
      <c r="EA54" s="12"/>
      <c r="EB54" s="12"/>
      <c r="EC54" s="12"/>
      <c r="ED54" s="12"/>
      <c r="EE54" s="12"/>
      <c r="EF54" s="12"/>
      <c r="EG54" s="12"/>
      <c r="EH54" s="12"/>
      <c r="EI54" s="12"/>
      <c r="EJ54" s="12"/>
      <c r="EK54" s="12"/>
      <c r="EL54" s="12"/>
    </row>
    <row r="55" spans="1:142" s="76" customFormat="1">
      <c r="A55" s="105"/>
      <c r="B55" s="422"/>
      <c r="C55" s="217"/>
      <c r="D55" s="108"/>
      <c r="E55" s="1540"/>
      <c r="F55" s="1541"/>
      <c r="G55" s="63"/>
      <c r="H55" s="1552" t="s">
        <v>378</v>
      </c>
      <c r="I55" s="356" t="s">
        <v>79</v>
      </c>
      <c r="J55" s="354"/>
      <c r="K55" s="354"/>
      <c r="L55" s="344"/>
      <c r="M55" s="87" t="s">
        <v>686</v>
      </c>
      <c r="N55" s="87"/>
      <c r="O55" s="87"/>
      <c r="P55" s="429">
        <v>6.5000000000000002E-2</v>
      </c>
      <c r="Q55" s="87" t="s">
        <v>896</v>
      </c>
      <c r="R55" s="344"/>
      <c r="S55" s="62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s="12"/>
      <c r="CT55" s="12"/>
      <c r="CU55" s="12"/>
      <c r="CV55" s="12"/>
      <c r="CW55" s="12"/>
      <c r="CX55" s="12"/>
      <c r="CY55" s="12"/>
      <c r="CZ55" s="12"/>
      <c r="DA55" s="12"/>
      <c r="DB55" s="12"/>
      <c r="DC55" s="12"/>
      <c r="DD55" s="12"/>
      <c r="DE55" s="12"/>
      <c r="DF55" s="12"/>
      <c r="DG55" s="12"/>
      <c r="DH55" s="12"/>
      <c r="DI55" s="12"/>
      <c r="DJ55" s="12"/>
      <c r="DK55" s="12"/>
      <c r="DL55" s="12"/>
      <c r="DM55" s="12"/>
      <c r="DN55" s="12"/>
      <c r="DO55" s="12"/>
      <c r="DP55" s="12"/>
      <c r="DQ55" s="12"/>
      <c r="DR55" s="12"/>
      <c r="DS55" s="12"/>
      <c r="DT55" s="12"/>
      <c r="DU55" s="12"/>
      <c r="DV55" s="12"/>
      <c r="DW55" s="12"/>
      <c r="DX55" s="12"/>
      <c r="DY55" s="12"/>
      <c r="DZ55" s="12"/>
      <c r="EA55" s="12"/>
      <c r="EB55" s="12"/>
      <c r="EC55" s="12"/>
      <c r="ED55" s="12"/>
      <c r="EE55" s="12"/>
      <c r="EF55" s="12"/>
      <c r="EG55" s="12"/>
      <c r="EH55" s="12"/>
      <c r="EI55" s="12"/>
      <c r="EJ55" s="12"/>
      <c r="EK55" s="12"/>
      <c r="EL55" s="12"/>
    </row>
    <row r="56" spans="1:142" s="78" customFormat="1">
      <c r="A56" s="89"/>
      <c r="B56" s="217" t="s">
        <v>811</v>
      </c>
      <c r="C56" s="217"/>
      <c r="D56" s="79"/>
      <c r="E56" s="1330"/>
      <c r="F56" s="1331"/>
      <c r="G56" s="176"/>
      <c r="H56" s="1553">
        <f>$E$163*I56/100</f>
        <v>154.80000000000001</v>
      </c>
      <c r="I56" s="1083">
        <v>0.12</v>
      </c>
      <c r="J56" s="355" t="s">
        <v>382</v>
      </c>
      <c r="K56" s="355" t="s">
        <v>379</v>
      </c>
      <c r="L56" s="344"/>
      <c r="M56" s="355" t="s">
        <v>812</v>
      </c>
      <c r="N56" s="87"/>
      <c r="O56" s="355"/>
      <c r="P56" s="306">
        <v>2.5000000000000001E-2</v>
      </c>
      <c r="Q56" s="344" t="s">
        <v>153</v>
      </c>
      <c r="R56" s="92"/>
      <c r="S56" s="1554"/>
      <c r="T56" s="77"/>
      <c r="U56" s="77"/>
      <c r="V56" s="77"/>
      <c r="W56" s="77"/>
      <c r="X56" s="77"/>
      <c r="Y56" s="77"/>
      <c r="Z56" s="77"/>
      <c r="AA56" s="77"/>
      <c r="AB56" s="77"/>
      <c r="AC56" s="77"/>
      <c r="AD56" s="77"/>
      <c r="AE56" s="77"/>
      <c r="AF56" s="77"/>
      <c r="AG56" s="77"/>
      <c r="AH56" s="77"/>
      <c r="AI56" s="77"/>
      <c r="AJ56" s="77"/>
      <c r="AK56" s="77"/>
      <c r="AL56" s="77"/>
      <c r="AM56" s="77"/>
      <c r="AN56" s="77"/>
      <c r="AO56" s="77"/>
      <c r="AP56" s="77"/>
      <c r="AQ56" s="77"/>
      <c r="AR56" s="77"/>
      <c r="AS56" s="77"/>
      <c r="AT56" s="77"/>
      <c r="AU56" s="77"/>
      <c r="AV56" s="77"/>
      <c r="AW56" s="77"/>
      <c r="AX56" s="77"/>
      <c r="AY56" s="77"/>
      <c r="AZ56" s="77"/>
      <c r="BA56" s="77"/>
      <c r="BB56" s="77"/>
      <c r="BC56" s="77"/>
      <c r="BD56" s="77"/>
      <c r="BE56" s="77"/>
      <c r="BF56" s="77"/>
      <c r="BG56" s="77"/>
      <c r="BH56" s="77"/>
      <c r="BI56" s="77"/>
      <c r="BJ56" s="77"/>
      <c r="BK56" s="77"/>
      <c r="BL56" s="77"/>
      <c r="BM56" s="77"/>
      <c r="BN56" s="77"/>
      <c r="BO56" s="77"/>
      <c r="BP56" s="77"/>
      <c r="BQ56" s="77"/>
      <c r="BR56" s="77"/>
      <c r="BS56" s="77"/>
      <c r="BT56" s="77"/>
      <c r="BU56" s="77"/>
      <c r="BV56" s="77"/>
      <c r="BW56" s="77"/>
      <c r="BX56" s="77"/>
      <c r="BY56" s="77"/>
      <c r="BZ56" s="77"/>
      <c r="CA56" s="77"/>
      <c r="CB56" s="77"/>
      <c r="CC56" s="77"/>
      <c r="CD56" s="77"/>
      <c r="CE56" s="77"/>
      <c r="CF56" s="77"/>
      <c r="CG56" s="77"/>
      <c r="CH56" s="77"/>
      <c r="CI56" s="77"/>
      <c r="CJ56" s="77"/>
      <c r="CK56" s="77"/>
      <c r="CL56" s="77"/>
      <c r="CM56" s="77"/>
      <c r="CN56" s="77"/>
      <c r="CO56" s="77"/>
      <c r="CP56" s="77"/>
      <c r="CQ56" s="77"/>
      <c r="CR56" s="77"/>
      <c r="CS56" s="77"/>
      <c r="CT56" s="77"/>
      <c r="CU56" s="77"/>
      <c r="CV56" s="77"/>
      <c r="CW56" s="77"/>
      <c r="CX56" s="77"/>
      <c r="CY56" s="77"/>
      <c r="CZ56" s="77"/>
      <c r="DA56" s="77"/>
      <c r="DB56" s="77"/>
      <c r="DC56" s="77"/>
      <c r="DD56" s="77"/>
      <c r="DE56" s="77"/>
      <c r="DF56" s="77"/>
      <c r="DG56" s="77"/>
      <c r="DH56" s="77"/>
      <c r="DI56" s="77"/>
      <c r="DJ56" s="77"/>
      <c r="DK56" s="77"/>
      <c r="DL56" s="77"/>
      <c r="DM56" s="77"/>
      <c r="DN56" s="77"/>
      <c r="DO56" s="77"/>
      <c r="DP56" s="77"/>
      <c r="DQ56" s="77"/>
      <c r="DR56" s="77"/>
      <c r="DS56" s="77"/>
      <c r="DT56" s="77"/>
      <c r="DU56" s="77"/>
      <c r="DV56" s="77"/>
      <c r="DW56" s="77"/>
      <c r="DX56" s="77"/>
      <c r="DY56" s="77"/>
      <c r="DZ56" s="77"/>
      <c r="EA56" s="77"/>
      <c r="EB56" s="77"/>
      <c r="EC56" s="77"/>
      <c r="ED56" s="77"/>
      <c r="EE56" s="77"/>
      <c r="EF56" s="77"/>
      <c r="EG56" s="77"/>
      <c r="EH56" s="77"/>
      <c r="EI56" s="77"/>
      <c r="EJ56" s="77"/>
      <c r="EK56" s="77"/>
      <c r="EL56" s="77"/>
    </row>
    <row r="57" spans="1:142" s="78" customFormat="1">
      <c r="A57" s="89"/>
      <c r="B57" s="320" t="s">
        <v>228</v>
      </c>
      <c r="C57" s="68"/>
      <c r="D57" s="76"/>
      <c r="E57" s="1066"/>
      <c r="F57" s="1584">
        <f>H61*H63</f>
        <v>262.15652590166667</v>
      </c>
      <c r="G57" s="412" t="s">
        <v>815</v>
      </c>
      <c r="H57" s="1553">
        <f>$E$164*I57/100</f>
        <v>29.193170850000001</v>
      </c>
      <c r="I57" s="1084">
        <v>0.15</v>
      </c>
      <c r="J57" s="355" t="s">
        <v>382</v>
      </c>
      <c r="K57" s="355" t="s">
        <v>381</v>
      </c>
      <c r="L57" s="344"/>
      <c r="M57" s="355" t="s">
        <v>813</v>
      </c>
      <c r="N57" s="87"/>
      <c r="O57" s="355"/>
      <c r="P57" s="1555">
        <f>P55+P56</f>
        <v>0.09</v>
      </c>
      <c r="Q57" s="355"/>
      <c r="R57" s="92"/>
      <c r="S57" s="1554"/>
      <c r="T57" s="77"/>
      <c r="U57" s="77"/>
      <c r="V57" s="77"/>
      <c r="W57" s="77"/>
      <c r="X57" s="77"/>
      <c r="Y57" s="77"/>
      <c r="Z57" s="77"/>
      <c r="AA57" s="77"/>
      <c r="AB57" s="77"/>
      <c r="AC57" s="77"/>
      <c r="AD57" s="77"/>
      <c r="AE57" s="77"/>
      <c r="AF57" s="77"/>
      <c r="AG57" s="77"/>
      <c r="AH57" s="77"/>
      <c r="AI57" s="77"/>
      <c r="AJ57" s="77"/>
      <c r="AK57" s="77"/>
      <c r="AL57" s="77"/>
      <c r="AM57" s="77"/>
      <c r="AN57" s="77"/>
      <c r="AO57" s="77"/>
      <c r="AP57" s="77"/>
      <c r="AQ57" s="77"/>
      <c r="AR57" s="77"/>
      <c r="AS57" s="77"/>
      <c r="AT57" s="77"/>
      <c r="AU57" s="77"/>
      <c r="AV57" s="77"/>
      <c r="AW57" s="77"/>
      <c r="AX57" s="77"/>
      <c r="AY57" s="77"/>
      <c r="AZ57" s="77"/>
      <c r="BA57" s="77"/>
      <c r="BB57" s="77"/>
      <c r="BC57" s="77"/>
      <c r="BD57" s="77"/>
      <c r="BE57" s="77"/>
      <c r="BF57" s="77"/>
      <c r="BG57" s="77"/>
      <c r="BH57" s="77"/>
      <c r="BI57" s="77"/>
      <c r="BJ57" s="77"/>
      <c r="BK57" s="77"/>
      <c r="BL57" s="77"/>
      <c r="BM57" s="77"/>
      <c r="BN57" s="77"/>
      <c r="BO57" s="77"/>
      <c r="BP57" s="77"/>
      <c r="BQ57" s="77"/>
      <c r="BR57" s="77"/>
      <c r="BS57" s="77"/>
      <c r="BT57" s="77"/>
      <c r="BU57" s="77"/>
      <c r="BV57" s="77"/>
      <c r="BW57" s="77"/>
      <c r="BX57" s="77"/>
      <c r="BY57" s="77"/>
      <c r="BZ57" s="77"/>
      <c r="CA57" s="77"/>
      <c r="CB57" s="77"/>
      <c r="CC57" s="77"/>
      <c r="CD57" s="77"/>
      <c r="CE57" s="77"/>
      <c r="CF57" s="77"/>
      <c r="CG57" s="77"/>
      <c r="CH57" s="77"/>
      <c r="CI57" s="77"/>
      <c r="CJ57" s="77"/>
      <c r="CK57" s="77"/>
      <c r="CL57" s="77"/>
      <c r="CM57" s="77"/>
      <c r="CN57" s="77"/>
      <c r="CO57" s="77"/>
      <c r="CP57" s="77"/>
      <c r="CQ57" s="77"/>
      <c r="CR57" s="77"/>
      <c r="CS57" s="77"/>
      <c r="CT57" s="77"/>
      <c r="CU57" s="77"/>
      <c r="CV57" s="77"/>
      <c r="CW57" s="77"/>
      <c r="CX57" s="77"/>
      <c r="CY57" s="77"/>
      <c r="CZ57" s="77"/>
      <c r="DA57" s="77"/>
      <c r="DB57" s="77"/>
      <c r="DC57" s="77"/>
      <c r="DD57" s="77"/>
      <c r="DE57" s="77"/>
      <c r="DF57" s="77"/>
      <c r="DG57" s="77"/>
      <c r="DH57" s="77"/>
      <c r="DI57" s="77"/>
      <c r="DJ57" s="77"/>
      <c r="DK57" s="77"/>
      <c r="DL57" s="77"/>
      <c r="DM57" s="77"/>
      <c r="DN57" s="77"/>
      <c r="DO57" s="77"/>
      <c r="DP57" s="77"/>
      <c r="DQ57" s="77"/>
      <c r="DR57" s="77"/>
      <c r="DS57" s="77"/>
      <c r="DT57" s="77"/>
      <c r="DU57" s="77"/>
      <c r="DV57" s="77"/>
      <c r="DW57" s="77"/>
      <c r="DX57" s="77"/>
      <c r="DY57" s="77"/>
      <c r="DZ57" s="77"/>
      <c r="EA57" s="77"/>
      <c r="EB57" s="77"/>
      <c r="EC57" s="77"/>
      <c r="ED57" s="77"/>
      <c r="EE57" s="77"/>
      <c r="EF57" s="77"/>
      <c r="EG57" s="77"/>
      <c r="EH57" s="77"/>
      <c r="EI57" s="77"/>
      <c r="EJ57" s="77"/>
      <c r="EK57" s="77"/>
      <c r="EL57" s="77"/>
    </row>
    <row r="58" spans="1:142" s="78" customFormat="1">
      <c r="A58" s="109"/>
      <c r="B58" s="521" t="s">
        <v>816</v>
      </c>
      <c r="C58" s="821"/>
      <c r="D58" s="108"/>
      <c r="E58" s="1066"/>
      <c r="F58" s="1584">
        <f ca="1">SUM(Srcs_Uses!E15:E17)*P58*(P57/12)*P54+P59</f>
        <v>8185.9496939562068</v>
      </c>
      <c r="G58" s="412" t="s">
        <v>815</v>
      </c>
      <c r="H58" s="1553">
        <f>I58*F21</f>
        <v>5</v>
      </c>
      <c r="I58" s="1083">
        <f>5000/1000</f>
        <v>5</v>
      </c>
      <c r="J58" s="355" t="s">
        <v>466</v>
      </c>
      <c r="K58" s="355" t="s">
        <v>383</v>
      </c>
      <c r="L58" s="344"/>
      <c r="M58" s="355" t="s">
        <v>814</v>
      </c>
      <c r="N58" s="87"/>
      <c r="O58" s="355"/>
      <c r="P58" s="114">
        <v>0.65</v>
      </c>
      <c r="Q58" s="344" t="s">
        <v>153</v>
      </c>
      <c r="R58" s="92"/>
      <c r="S58" s="1554"/>
      <c r="T58" s="77"/>
      <c r="U58" s="77"/>
      <c r="V58" s="77"/>
      <c r="W58" s="77"/>
      <c r="X58" s="77"/>
      <c r="Y58" s="77"/>
      <c r="Z58" s="77"/>
      <c r="AA58" s="77"/>
      <c r="AB58" s="77"/>
      <c r="AC58" s="77"/>
      <c r="AD58" s="77"/>
      <c r="AE58" s="77"/>
      <c r="AF58" s="77"/>
      <c r="AG58" s="77"/>
      <c r="AH58" s="77"/>
      <c r="AI58" s="77"/>
      <c r="AJ58" s="77"/>
      <c r="AK58" s="77"/>
      <c r="AL58" s="77"/>
      <c r="AM58" s="77"/>
      <c r="AN58" s="77"/>
      <c r="AO58" s="77"/>
      <c r="AP58" s="77"/>
      <c r="AQ58" s="77"/>
      <c r="AR58" s="77"/>
      <c r="AS58" s="77"/>
      <c r="AT58" s="77"/>
      <c r="AU58" s="77"/>
      <c r="AV58" s="77"/>
      <c r="AW58" s="77"/>
      <c r="AX58" s="77"/>
      <c r="AY58" s="77"/>
      <c r="AZ58" s="77"/>
      <c r="BA58" s="77"/>
      <c r="BB58" s="77"/>
      <c r="BC58" s="77"/>
      <c r="BD58" s="77"/>
      <c r="BE58" s="77"/>
      <c r="BF58" s="77"/>
      <c r="BG58" s="77"/>
      <c r="BH58" s="77"/>
      <c r="BI58" s="77"/>
      <c r="BJ58" s="77"/>
      <c r="BK58" s="77"/>
      <c r="BL58" s="77"/>
      <c r="BM58" s="77"/>
      <c r="BN58" s="77"/>
      <c r="BO58" s="77"/>
      <c r="BP58" s="77"/>
      <c r="BQ58" s="77"/>
      <c r="BR58" s="77"/>
      <c r="BS58" s="77"/>
      <c r="BT58" s="77"/>
      <c r="BU58" s="77"/>
      <c r="BV58" s="77"/>
      <c r="BW58" s="77"/>
      <c r="BX58" s="77"/>
      <c r="BY58" s="77"/>
      <c r="BZ58" s="77"/>
      <c r="CA58" s="77"/>
      <c r="CB58" s="77"/>
      <c r="CC58" s="77"/>
      <c r="CD58" s="77"/>
      <c r="CE58" s="77"/>
      <c r="CF58" s="77"/>
      <c r="CG58" s="77"/>
      <c r="CH58" s="77"/>
      <c r="CI58" s="77"/>
      <c r="CJ58" s="77"/>
      <c r="CK58" s="77"/>
      <c r="CL58" s="77"/>
      <c r="CM58" s="77"/>
      <c r="CN58" s="77"/>
      <c r="CO58" s="77"/>
      <c r="CP58" s="77"/>
      <c r="CQ58" s="77"/>
      <c r="CR58" s="77"/>
      <c r="CS58" s="77"/>
      <c r="CT58" s="77"/>
      <c r="CU58" s="77"/>
      <c r="CV58" s="77"/>
      <c r="CW58" s="77"/>
      <c r="CX58" s="77"/>
      <c r="CY58" s="77"/>
      <c r="CZ58" s="77"/>
      <c r="DA58" s="77"/>
      <c r="DB58" s="77"/>
      <c r="DC58" s="77"/>
      <c r="DD58" s="77"/>
      <c r="DE58" s="77"/>
      <c r="DF58" s="77"/>
      <c r="DG58" s="77"/>
      <c r="DH58" s="77"/>
      <c r="DI58" s="77"/>
      <c r="DJ58" s="77"/>
      <c r="DK58" s="77"/>
      <c r="DL58" s="77"/>
      <c r="DM58" s="77"/>
      <c r="DN58" s="77"/>
      <c r="DO58" s="77"/>
      <c r="DP58" s="77"/>
      <c r="DQ58" s="77"/>
      <c r="DR58" s="77"/>
      <c r="DS58" s="77"/>
      <c r="DT58" s="77"/>
      <c r="DU58" s="77"/>
      <c r="DV58" s="77"/>
      <c r="DW58" s="77"/>
      <c r="DX58" s="77"/>
      <c r="DY58" s="77"/>
      <c r="DZ58" s="77"/>
      <c r="EA58" s="77"/>
      <c r="EB58" s="77"/>
      <c r="EC58" s="77"/>
      <c r="ED58" s="77"/>
      <c r="EE58" s="77"/>
      <c r="EF58" s="77"/>
      <c r="EG58" s="77"/>
      <c r="EH58" s="77"/>
      <c r="EI58" s="77"/>
      <c r="EJ58" s="77"/>
      <c r="EK58" s="77"/>
      <c r="EL58" s="77"/>
    </row>
    <row r="59" spans="1:142" s="78" customFormat="1">
      <c r="A59" s="105"/>
      <c r="B59" s="521" t="s">
        <v>306</v>
      </c>
      <c r="C59" s="821"/>
      <c r="D59" s="76"/>
      <c r="E59" s="1067"/>
      <c r="F59" s="1339">
        <f>E178*(1-D179)</f>
        <v>0</v>
      </c>
      <c r="G59" s="1563" t="s">
        <v>313</v>
      </c>
      <c r="H59" s="1553">
        <f>I59*F30*F21</f>
        <v>6.0200000000000005</v>
      </c>
      <c r="I59" s="1083">
        <f>70/1000</f>
        <v>7.0000000000000007E-2</v>
      </c>
      <c r="J59" s="355" t="s">
        <v>467</v>
      </c>
      <c r="K59" s="355" t="s">
        <v>485</v>
      </c>
      <c r="L59" s="344"/>
      <c r="M59" s="355" t="s">
        <v>446</v>
      </c>
      <c r="N59" s="87"/>
      <c r="O59" s="355"/>
      <c r="P59" s="228">
        <v>0</v>
      </c>
      <c r="Q59" s="344" t="s">
        <v>153</v>
      </c>
      <c r="R59" s="92"/>
      <c r="S59" s="1554"/>
      <c r="T59" s="77"/>
      <c r="U59" s="77"/>
      <c r="V59" s="77"/>
      <c r="W59" s="77"/>
      <c r="X59" s="77"/>
      <c r="Y59" s="77"/>
      <c r="Z59" s="77"/>
      <c r="AA59" s="77"/>
      <c r="AB59" s="77"/>
      <c r="AC59" s="77"/>
      <c r="AD59" s="77"/>
      <c r="AE59" s="77"/>
      <c r="AF59" s="77"/>
      <c r="AG59" s="77"/>
      <c r="AH59" s="77"/>
      <c r="AI59" s="77"/>
      <c r="AJ59" s="77"/>
      <c r="AK59" s="77"/>
      <c r="AL59" s="77"/>
      <c r="AM59" s="77"/>
      <c r="AN59" s="77"/>
      <c r="AO59" s="77"/>
      <c r="AP59" s="77"/>
      <c r="AQ59" s="77"/>
      <c r="AR59" s="77"/>
      <c r="AS59" s="77"/>
      <c r="AT59" s="77"/>
      <c r="AU59" s="77"/>
      <c r="AV59" s="77"/>
      <c r="AW59" s="77"/>
      <c r="AX59" s="77"/>
      <c r="AY59" s="77"/>
      <c r="AZ59" s="77"/>
      <c r="BA59" s="77"/>
      <c r="BB59" s="77"/>
      <c r="BC59" s="77"/>
      <c r="BD59" s="77"/>
      <c r="BE59" s="77"/>
      <c r="BF59" s="77"/>
      <c r="BG59" s="77"/>
      <c r="BH59" s="77"/>
      <c r="BI59" s="77"/>
      <c r="BJ59" s="77"/>
      <c r="BK59" s="77"/>
      <c r="BL59" s="77"/>
      <c r="BM59" s="77"/>
      <c r="BN59" s="77"/>
      <c r="BO59" s="77"/>
      <c r="BP59" s="77"/>
      <c r="BQ59" s="77"/>
      <c r="BR59" s="77"/>
      <c r="BS59" s="77"/>
      <c r="BT59" s="77"/>
      <c r="BU59" s="77"/>
      <c r="BV59" s="77"/>
      <c r="BW59" s="77"/>
      <c r="BX59" s="77"/>
      <c r="BY59" s="77"/>
      <c r="BZ59" s="77"/>
      <c r="CA59" s="77"/>
      <c r="CB59" s="77"/>
      <c r="CC59" s="77"/>
      <c r="CD59" s="77"/>
      <c r="CE59" s="77"/>
      <c r="CF59" s="77"/>
      <c r="CG59" s="77"/>
      <c r="CH59" s="77"/>
      <c r="CI59" s="77"/>
      <c r="CJ59" s="77"/>
      <c r="CK59" s="77"/>
      <c r="CL59" s="77"/>
      <c r="CM59" s="77"/>
      <c r="CN59" s="77"/>
      <c r="CO59" s="77"/>
      <c r="CP59" s="77"/>
      <c r="CQ59" s="77"/>
      <c r="CR59" s="77"/>
      <c r="CS59" s="77"/>
      <c r="CT59" s="77"/>
      <c r="CU59" s="77"/>
      <c r="CV59" s="77"/>
      <c r="CW59" s="77"/>
      <c r="CX59" s="77"/>
      <c r="CY59" s="77"/>
      <c r="CZ59" s="77"/>
      <c r="DA59" s="77"/>
      <c r="DB59" s="77"/>
      <c r="DC59" s="77"/>
      <c r="DD59" s="77"/>
      <c r="DE59" s="77"/>
      <c r="DF59" s="77"/>
      <c r="DG59" s="77"/>
      <c r="DH59" s="77"/>
      <c r="DI59" s="77"/>
      <c r="DJ59" s="77"/>
      <c r="DK59" s="77"/>
      <c r="DL59" s="77"/>
      <c r="DM59" s="77"/>
      <c r="DN59" s="77"/>
      <c r="DO59" s="77"/>
      <c r="DP59" s="77"/>
      <c r="DQ59" s="77"/>
      <c r="DR59" s="77"/>
      <c r="DS59" s="77"/>
      <c r="DT59" s="77"/>
      <c r="DU59" s="77"/>
      <c r="DV59" s="77"/>
      <c r="DW59" s="77"/>
      <c r="DX59" s="77"/>
      <c r="DY59" s="77"/>
      <c r="DZ59" s="77"/>
      <c r="EA59" s="77"/>
      <c r="EB59" s="77"/>
      <c r="EC59" s="77"/>
      <c r="ED59" s="77"/>
      <c r="EE59" s="77"/>
      <c r="EF59" s="77"/>
      <c r="EG59" s="77"/>
      <c r="EH59" s="77"/>
      <c r="EI59" s="77"/>
      <c r="EJ59" s="77"/>
      <c r="EK59" s="77"/>
      <c r="EL59" s="77"/>
    </row>
    <row r="60" spans="1:142" s="78" customFormat="1" ht="13.5" thickBot="1">
      <c r="A60" s="89"/>
      <c r="B60" s="217" t="s">
        <v>822</v>
      </c>
      <c r="C60" s="217"/>
      <c r="D60" s="79"/>
      <c r="E60" s="1580">
        <f ca="1">F60/F30</f>
        <v>98.233793250299456</v>
      </c>
      <c r="F60" s="1579">
        <f ca="1">SUM(F57:F59)</f>
        <v>8448.1062198578729</v>
      </c>
      <c r="G60" s="176"/>
      <c r="H60" s="1553">
        <f>(+$E$163+E164)*I60/100</f>
        <v>29.692422780000001</v>
      </c>
      <c r="I60" s="1084">
        <v>0.02</v>
      </c>
      <c r="J60" s="355" t="s">
        <v>380</v>
      </c>
      <c r="K60" s="355" t="s">
        <v>487</v>
      </c>
      <c r="L60" s="344"/>
      <c r="M60" s="354"/>
      <c r="N60" s="344"/>
      <c r="O60" s="93"/>
      <c r="P60" s="92"/>
      <c r="Q60" s="92"/>
      <c r="R60" s="92"/>
      <c r="S60" s="1554"/>
      <c r="T60" s="77"/>
      <c r="U60" s="77"/>
      <c r="V60" s="77"/>
      <c r="W60" s="77"/>
      <c r="X60" s="77"/>
      <c r="Y60" s="77"/>
      <c r="Z60" s="77"/>
      <c r="AA60" s="77"/>
      <c r="AB60" s="77"/>
      <c r="AC60" s="77"/>
      <c r="AD60" s="77"/>
      <c r="AE60" s="77"/>
      <c r="AF60" s="77"/>
      <c r="AG60" s="77"/>
      <c r="AH60" s="77"/>
      <c r="AI60" s="77"/>
      <c r="AJ60" s="77"/>
      <c r="AK60" s="77"/>
      <c r="AL60" s="77"/>
      <c r="AM60" s="77"/>
      <c r="AN60" s="77"/>
      <c r="AO60" s="77"/>
      <c r="AP60" s="77"/>
      <c r="AQ60" s="77"/>
      <c r="AR60" s="77"/>
      <c r="AS60" s="77"/>
      <c r="AT60" s="77"/>
      <c r="AU60" s="77"/>
      <c r="AV60" s="77"/>
      <c r="AW60" s="77"/>
      <c r="AX60" s="77"/>
      <c r="AY60" s="77"/>
      <c r="AZ60" s="77"/>
      <c r="BA60" s="77"/>
      <c r="BB60" s="77"/>
      <c r="BC60" s="77"/>
      <c r="BD60" s="77"/>
      <c r="BE60" s="77"/>
      <c r="BF60" s="77"/>
      <c r="BG60" s="77"/>
      <c r="BH60" s="77"/>
      <c r="BI60" s="77"/>
      <c r="BJ60" s="77"/>
      <c r="BK60" s="77"/>
      <c r="BL60" s="77"/>
      <c r="BM60" s="77"/>
      <c r="BN60" s="77"/>
      <c r="BO60" s="77"/>
      <c r="BP60" s="77"/>
      <c r="BQ60" s="77"/>
      <c r="BR60" s="77"/>
      <c r="BS60" s="77"/>
      <c r="BT60" s="77"/>
      <c r="BU60" s="77"/>
      <c r="BV60" s="77"/>
      <c r="BW60" s="77"/>
      <c r="BX60" s="77"/>
      <c r="BY60" s="77"/>
      <c r="BZ60" s="77"/>
      <c r="CA60" s="77"/>
      <c r="CB60" s="77"/>
      <c r="CC60" s="77"/>
      <c r="CD60" s="77"/>
      <c r="CE60" s="77"/>
      <c r="CF60" s="77"/>
      <c r="CG60" s="77"/>
      <c r="CH60" s="77"/>
      <c r="CI60" s="77"/>
      <c r="CJ60" s="77"/>
      <c r="CK60" s="77"/>
      <c r="CL60" s="77"/>
      <c r="CM60" s="77"/>
      <c r="CN60" s="77"/>
      <c r="CO60" s="77"/>
      <c r="CP60" s="77"/>
      <c r="CQ60" s="77"/>
      <c r="CR60" s="77"/>
      <c r="CS60" s="77"/>
      <c r="CT60" s="77"/>
      <c r="CU60" s="77"/>
      <c r="CV60" s="77"/>
      <c r="CW60" s="77"/>
      <c r="CX60" s="77"/>
      <c r="CY60" s="77"/>
      <c r="CZ60" s="77"/>
      <c r="DA60" s="77"/>
      <c r="DB60" s="77"/>
      <c r="DC60" s="77"/>
      <c r="DD60" s="77"/>
      <c r="DE60" s="77"/>
      <c r="DF60" s="77"/>
      <c r="DG60" s="77"/>
      <c r="DH60" s="77"/>
      <c r="DI60" s="77"/>
      <c r="DJ60" s="77"/>
      <c r="DK60" s="77"/>
      <c r="DL60" s="77"/>
      <c r="DM60" s="77"/>
      <c r="DN60" s="77"/>
      <c r="DO60" s="77"/>
      <c r="DP60" s="77"/>
      <c r="DQ60" s="77"/>
      <c r="DR60" s="77"/>
      <c r="DS60" s="77"/>
      <c r="DT60" s="77"/>
      <c r="DU60" s="77"/>
      <c r="DV60" s="77"/>
      <c r="DW60" s="77"/>
      <c r="DX60" s="77"/>
      <c r="DY60" s="77"/>
      <c r="DZ60" s="77"/>
      <c r="EA60" s="77"/>
      <c r="EB60" s="77"/>
      <c r="EC60" s="77"/>
      <c r="ED60" s="77"/>
      <c r="EE60" s="77"/>
      <c r="EF60" s="77"/>
      <c r="EG60" s="77"/>
      <c r="EH60" s="77"/>
      <c r="EI60" s="77"/>
      <c r="EJ60" s="77"/>
      <c r="EK60" s="77"/>
      <c r="EL60" s="77"/>
    </row>
    <row r="61" spans="1:142" s="78" customFormat="1">
      <c r="A61" s="89"/>
      <c r="H61" s="1553">
        <f>SUM(H54:H60)</f>
        <v>224.70559363000001</v>
      </c>
      <c r="I61" s="355" t="s">
        <v>287</v>
      </c>
      <c r="J61" s="355"/>
      <c r="K61" s="354"/>
      <c r="L61" s="344"/>
      <c r="M61" s="344"/>
      <c r="N61" s="344"/>
      <c r="O61" s="93"/>
      <c r="P61" s="92"/>
      <c r="Q61" s="92"/>
      <c r="R61" s="92"/>
      <c r="S61" s="1554"/>
      <c r="T61" s="77"/>
      <c r="U61" s="77"/>
      <c r="V61" s="77"/>
      <c r="W61" s="77"/>
      <c r="X61" s="77"/>
      <c r="Y61" s="77"/>
      <c r="Z61" s="77"/>
      <c r="AA61" s="77"/>
      <c r="AB61" s="77"/>
      <c r="AC61" s="77"/>
      <c r="AD61" s="77"/>
      <c r="AE61" s="77"/>
      <c r="AF61" s="77"/>
      <c r="AG61" s="77"/>
      <c r="AH61" s="77"/>
      <c r="AI61" s="77"/>
      <c r="AJ61" s="77"/>
      <c r="AK61" s="77"/>
      <c r="AL61" s="77"/>
      <c r="AM61" s="77"/>
      <c r="AN61" s="77"/>
      <c r="AO61" s="77"/>
      <c r="AP61" s="77"/>
      <c r="AQ61" s="77"/>
      <c r="AR61" s="77"/>
      <c r="AS61" s="77"/>
      <c r="AT61" s="77"/>
      <c r="AU61" s="77"/>
      <c r="AV61" s="77"/>
      <c r="AW61" s="77"/>
      <c r="AX61" s="77"/>
      <c r="AY61" s="77"/>
      <c r="AZ61" s="77"/>
      <c r="BA61" s="77"/>
      <c r="BB61" s="77"/>
      <c r="BC61" s="77"/>
      <c r="BD61" s="77"/>
      <c r="BE61" s="77"/>
      <c r="BF61" s="77"/>
      <c r="BG61" s="77"/>
      <c r="BH61" s="77"/>
      <c r="BI61" s="77"/>
      <c r="BJ61" s="77"/>
      <c r="BK61" s="77"/>
      <c r="BL61" s="77"/>
      <c r="BM61" s="77"/>
      <c r="BN61" s="77"/>
      <c r="BO61" s="77"/>
      <c r="BP61" s="77"/>
      <c r="BQ61" s="77"/>
      <c r="BR61" s="77"/>
      <c r="BS61" s="77"/>
      <c r="BT61" s="77"/>
      <c r="BU61" s="77"/>
      <c r="BV61" s="77"/>
      <c r="BW61" s="77"/>
      <c r="BX61" s="77"/>
      <c r="BY61" s="77"/>
      <c r="BZ61" s="77"/>
      <c r="CA61" s="77"/>
      <c r="CB61" s="77"/>
      <c r="CC61" s="77"/>
      <c r="CD61" s="77"/>
      <c r="CE61" s="77"/>
      <c r="CF61" s="77"/>
      <c r="CG61" s="77"/>
      <c r="CH61" s="77"/>
      <c r="CI61" s="77"/>
      <c r="CJ61" s="77"/>
      <c r="CK61" s="77"/>
      <c r="CL61" s="77"/>
      <c r="CM61" s="77"/>
      <c r="CN61" s="77"/>
      <c r="CO61" s="77"/>
      <c r="CP61" s="77"/>
      <c r="CQ61" s="77"/>
      <c r="CR61" s="77"/>
      <c r="CS61" s="77"/>
      <c r="CT61" s="77"/>
      <c r="CU61" s="77"/>
      <c r="CV61" s="77"/>
      <c r="CW61" s="77"/>
      <c r="CX61" s="77"/>
      <c r="CY61" s="77"/>
      <c r="CZ61" s="77"/>
      <c r="DA61" s="77"/>
      <c r="DB61" s="77"/>
      <c r="DC61" s="77"/>
      <c r="DD61" s="77"/>
      <c r="DE61" s="77"/>
      <c r="DF61" s="77"/>
      <c r="DG61" s="77"/>
      <c r="DH61" s="77"/>
      <c r="DI61" s="77"/>
      <c r="DJ61" s="77"/>
      <c r="DK61" s="77"/>
      <c r="DL61" s="77"/>
      <c r="DM61" s="77"/>
      <c r="DN61" s="77"/>
      <c r="DO61" s="77"/>
      <c r="DP61" s="77"/>
      <c r="DQ61" s="77"/>
      <c r="DR61" s="77"/>
      <c r="DS61" s="77"/>
      <c r="DT61" s="77"/>
      <c r="DU61" s="77"/>
      <c r="DV61" s="77"/>
      <c r="DW61" s="77"/>
      <c r="DX61" s="77"/>
      <c r="DY61" s="77"/>
      <c r="DZ61" s="77"/>
      <c r="EA61" s="77"/>
      <c r="EB61" s="77"/>
      <c r="EC61" s="77"/>
      <c r="ED61" s="77"/>
      <c r="EE61" s="77"/>
      <c r="EF61" s="77"/>
      <c r="EG61" s="77"/>
      <c r="EH61" s="77"/>
      <c r="EI61" s="77"/>
      <c r="EJ61" s="77"/>
      <c r="EK61" s="77"/>
      <c r="EL61" s="77"/>
    </row>
    <row r="62" spans="1:142" s="78" customFormat="1">
      <c r="A62" s="89"/>
      <c r="B62" s="217"/>
      <c r="C62" s="217"/>
      <c r="D62" s="79"/>
      <c r="E62" s="1330"/>
      <c r="F62" s="1331"/>
      <c r="G62" s="176"/>
      <c r="H62" s="1553"/>
      <c r="I62" s="355"/>
      <c r="J62" s="355"/>
      <c r="K62" s="354"/>
      <c r="L62" s="344"/>
      <c r="M62" s="344"/>
      <c r="N62" s="344"/>
      <c r="O62" s="93"/>
      <c r="P62" s="92"/>
      <c r="Q62" s="92"/>
      <c r="R62" s="92"/>
      <c r="S62" s="1554"/>
      <c r="T62" s="77"/>
      <c r="U62" s="77"/>
      <c r="V62" s="77"/>
      <c r="W62" s="77"/>
      <c r="X62" s="77"/>
      <c r="Y62" s="77"/>
      <c r="Z62" s="77"/>
      <c r="AA62" s="77"/>
      <c r="AB62" s="77"/>
      <c r="AC62" s="77"/>
      <c r="AD62" s="77"/>
      <c r="AE62" s="77"/>
      <c r="AF62" s="77"/>
      <c r="AG62" s="77"/>
      <c r="AH62" s="77"/>
      <c r="AI62" s="77"/>
      <c r="AJ62" s="77"/>
      <c r="AK62" s="77"/>
      <c r="AL62" s="77"/>
      <c r="AM62" s="77"/>
      <c r="AN62" s="77"/>
      <c r="AO62" s="77"/>
      <c r="AP62" s="77"/>
      <c r="AQ62" s="77"/>
      <c r="AR62" s="77"/>
      <c r="AS62" s="77"/>
      <c r="AT62" s="77"/>
      <c r="AU62" s="77"/>
      <c r="AV62" s="77"/>
      <c r="AW62" s="77"/>
      <c r="AX62" s="77"/>
      <c r="AY62" s="77"/>
      <c r="AZ62" s="77"/>
      <c r="BA62" s="77"/>
      <c r="BB62" s="77"/>
      <c r="BC62" s="77"/>
      <c r="BD62" s="77"/>
      <c r="BE62" s="77"/>
      <c r="BF62" s="77"/>
      <c r="BG62" s="77"/>
      <c r="BH62" s="77"/>
      <c r="BI62" s="77"/>
      <c r="BJ62" s="77"/>
      <c r="BK62" s="77"/>
      <c r="BL62" s="77"/>
      <c r="BM62" s="77"/>
      <c r="BN62" s="77"/>
      <c r="BO62" s="77"/>
      <c r="BP62" s="77"/>
      <c r="BQ62" s="77"/>
      <c r="BR62" s="77"/>
      <c r="BS62" s="77"/>
      <c r="BT62" s="77"/>
      <c r="BU62" s="77"/>
      <c r="BV62" s="77"/>
      <c r="BW62" s="77"/>
      <c r="BX62" s="77"/>
      <c r="BY62" s="77"/>
      <c r="BZ62" s="77"/>
      <c r="CA62" s="77"/>
      <c r="CB62" s="77"/>
      <c r="CC62" s="77"/>
      <c r="CD62" s="77"/>
      <c r="CE62" s="77"/>
      <c r="CF62" s="77"/>
      <c r="CG62" s="77"/>
      <c r="CH62" s="77"/>
      <c r="CI62" s="77"/>
      <c r="CJ62" s="77"/>
      <c r="CK62" s="77"/>
      <c r="CL62" s="77"/>
      <c r="CM62" s="77"/>
      <c r="CN62" s="77"/>
      <c r="CO62" s="77"/>
      <c r="CP62" s="77"/>
      <c r="CQ62" s="77"/>
      <c r="CR62" s="77"/>
      <c r="CS62" s="77"/>
      <c r="CT62" s="77"/>
      <c r="CU62" s="77"/>
      <c r="CV62" s="77"/>
      <c r="CW62" s="77"/>
      <c r="CX62" s="77"/>
      <c r="CY62" s="77"/>
      <c r="CZ62" s="77"/>
      <c r="DA62" s="77"/>
      <c r="DB62" s="77"/>
      <c r="DC62" s="77"/>
      <c r="DD62" s="77"/>
      <c r="DE62" s="77"/>
      <c r="DF62" s="77"/>
      <c r="DG62" s="77"/>
      <c r="DH62" s="77"/>
      <c r="DI62" s="77"/>
      <c r="DJ62" s="77"/>
      <c r="DK62" s="77"/>
      <c r="DL62" s="77"/>
      <c r="DM62" s="77"/>
      <c r="DN62" s="77"/>
      <c r="DO62" s="77"/>
      <c r="DP62" s="77"/>
      <c r="DQ62" s="77"/>
      <c r="DR62" s="77"/>
      <c r="DS62" s="77"/>
      <c r="DT62" s="77"/>
      <c r="DU62" s="77"/>
      <c r="DV62" s="77"/>
      <c r="DW62" s="77"/>
      <c r="DX62" s="77"/>
      <c r="DY62" s="77"/>
      <c r="DZ62" s="77"/>
      <c r="EA62" s="77"/>
      <c r="EB62" s="77"/>
      <c r="EC62" s="77"/>
      <c r="ED62" s="77"/>
      <c r="EE62" s="77"/>
      <c r="EF62" s="77"/>
      <c r="EG62" s="77"/>
      <c r="EH62" s="77"/>
      <c r="EI62" s="77"/>
      <c r="EJ62" s="77"/>
      <c r="EK62" s="77"/>
      <c r="EL62" s="77"/>
    </row>
    <row r="63" spans="1:142" s="78" customFormat="1" ht="13.5" thickBot="1">
      <c r="A63" s="89"/>
      <c r="B63" s="217" t="s">
        <v>736</v>
      </c>
      <c r="C63" s="217"/>
      <c r="D63" s="79"/>
      <c r="E63" s="1330"/>
      <c r="F63" s="1331"/>
      <c r="G63" s="176"/>
      <c r="H63" s="1556">
        <f>P54/12</f>
        <v>1.1666666666666667</v>
      </c>
      <c r="I63" s="1557" t="s">
        <v>286</v>
      </c>
      <c r="J63" s="1558"/>
      <c r="K63" s="1557"/>
      <c r="L63" s="1559"/>
      <c r="M63" s="1559"/>
      <c r="N63" s="1559"/>
      <c r="O63" s="1560"/>
      <c r="P63" s="1561"/>
      <c r="Q63" s="1561"/>
      <c r="R63" s="1561"/>
      <c r="S63" s="1562"/>
      <c r="T63" s="77"/>
      <c r="U63" s="77"/>
      <c r="V63" s="77"/>
      <c r="W63" s="77"/>
      <c r="X63" s="77"/>
      <c r="Y63" s="77"/>
      <c r="Z63" s="77"/>
      <c r="AA63" s="77"/>
      <c r="AB63" s="77"/>
      <c r="AC63" s="77"/>
      <c r="AD63" s="77"/>
      <c r="AE63" s="77"/>
      <c r="AF63" s="77"/>
      <c r="AG63" s="77"/>
      <c r="AH63" s="77"/>
      <c r="AI63" s="77"/>
      <c r="AJ63" s="77"/>
      <c r="AK63" s="77"/>
      <c r="AL63" s="77"/>
      <c r="AM63" s="77"/>
      <c r="AN63" s="77"/>
      <c r="AO63" s="77"/>
      <c r="AP63" s="77"/>
      <c r="AQ63" s="77"/>
      <c r="AR63" s="77"/>
      <c r="AS63" s="77"/>
      <c r="AT63" s="77"/>
      <c r="AU63" s="77"/>
      <c r="AV63" s="77"/>
      <c r="AW63" s="77"/>
      <c r="AX63" s="77"/>
      <c r="AY63" s="77"/>
      <c r="AZ63" s="77"/>
      <c r="BA63" s="77"/>
      <c r="BB63" s="77"/>
      <c r="BC63" s="77"/>
      <c r="BD63" s="77"/>
      <c r="BE63" s="77"/>
      <c r="BF63" s="77"/>
      <c r="BG63" s="77"/>
      <c r="BH63" s="77"/>
      <c r="BI63" s="77"/>
      <c r="BJ63" s="77"/>
      <c r="BK63" s="77"/>
      <c r="BL63" s="77"/>
      <c r="BM63" s="77"/>
      <c r="BN63" s="77"/>
      <c r="BO63" s="77"/>
      <c r="BP63" s="77"/>
      <c r="BQ63" s="77"/>
      <c r="BR63" s="77"/>
      <c r="BS63" s="77"/>
      <c r="BT63" s="77"/>
      <c r="BU63" s="77"/>
      <c r="BV63" s="77"/>
      <c r="BW63" s="77"/>
      <c r="BX63" s="77"/>
      <c r="BY63" s="77"/>
      <c r="BZ63" s="77"/>
      <c r="CA63" s="77"/>
      <c r="CB63" s="77"/>
      <c r="CC63" s="77"/>
      <c r="CD63" s="77"/>
      <c r="CE63" s="77"/>
      <c r="CF63" s="77"/>
      <c r="CG63" s="77"/>
      <c r="CH63" s="77"/>
      <c r="CI63" s="77"/>
      <c r="CJ63" s="77"/>
      <c r="CK63" s="77"/>
      <c r="CL63" s="77"/>
      <c r="CM63" s="77"/>
      <c r="CN63" s="77"/>
      <c r="CO63" s="77"/>
      <c r="CP63" s="77"/>
      <c r="CQ63" s="77"/>
      <c r="CR63" s="77"/>
      <c r="CS63" s="77"/>
      <c r="CT63" s="77"/>
      <c r="CU63" s="77"/>
      <c r="CV63" s="77"/>
      <c r="CW63" s="77"/>
      <c r="CX63" s="77"/>
      <c r="CY63" s="77"/>
      <c r="CZ63" s="77"/>
      <c r="DA63" s="77"/>
      <c r="DB63" s="77"/>
      <c r="DC63" s="77"/>
      <c r="DD63" s="77"/>
      <c r="DE63" s="77"/>
      <c r="DF63" s="77"/>
      <c r="DG63" s="77"/>
      <c r="DH63" s="77"/>
      <c r="DI63" s="77"/>
      <c r="DJ63" s="77"/>
      <c r="DK63" s="77"/>
      <c r="DL63" s="77"/>
      <c r="DM63" s="77"/>
      <c r="DN63" s="77"/>
      <c r="DO63" s="77"/>
      <c r="DP63" s="77"/>
      <c r="DQ63" s="77"/>
      <c r="DR63" s="77"/>
      <c r="DS63" s="77"/>
      <c r="DT63" s="77"/>
      <c r="DU63" s="77"/>
      <c r="DV63" s="77"/>
      <c r="DW63" s="77"/>
      <c r="DX63" s="77"/>
      <c r="DY63" s="77"/>
      <c r="DZ63" s="77"/>
      <c r="EA63" s="77"/>
      <c r="EB63" s="77"/>
      <c r="EC63" s="77"/>
      <c r="ED63" s="77"/>
      <c r="EE63" s="77"/>
      <c r="EF63" s="77"/>
      <c r="EG63" s="77"/>
      <c r="EH63" s="77"/>
      <c r="EI63" s="77"/>
      <c r="EJ63" s="77"/>
      <c r="EK63" s="77"/>
      <c r="EL63" s="77"/>
    </row>
    <row r="64" spans="1:142" s="76" customFormat="1">
      <c r="A64" s="109"/>
      <c r="B64" s="321" t="s">
        <v>823</v>
      </c>
      <c r="C64" s="67"/>
      <c r="D64" s="110"/>
      <c r="E64" s="1066"/>
      <c r="F64" s="929">
        <v>1000</v>
      </c>
      <c r="G64" s="63" t="s">
        <v>844</v>
      </c>
      <c r="M64" s="79"/>
      <c r="N64" s="79"/>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2"/>
      <c r="CO64" s="12"/>
      <c r="CP64" s="12"/>
      <c r="CQ64" s="12"/>
      <c r="CR64" s="12"/>
      <c r="CS64" s="12"/>
      <c r="CT64" s="12"/>
      <c r="CU64" s="12"/>
      <c r="CV64" s="12"/>
      <c r="CW64" s="12"/>
      <c r="CX64" s="12"/>
      <c r="CY64" s="12"/>
      <c r="CZ64" s="12"/>
      <c r="DA64" s="12"/>
      <c r="DB64" s="12"/>
      <c r="DC64" s="12"/>
      <c r="DD64" s="12"/>
      <c r="DE64" s="12"/>
      <c r="DF64" s="12"/>
      <c r="DG64" s="12"/>
      <c r="DH64" s="12"/>
      <c r="DI64" s="12"/>
      <c r="DJ64" s="12"/>
      <c r="DK64" s="12"/>
      <c r="DL64" s="12"/>
      <c r="DM64" s="12"/>
      <c r="DN64" s="12"/>
      <c r="DO64" s="12"/>
      <c r="DP64" s="12"/>
      <c r="DQ64" s="12"/>
      <c r="DR64" s="12"/>
      <c r="DS64" s="12"/>
      <c r="DT64" s="12"/>
      <c r="DU64" s="12"/>
      <c r="DV64" s="12"/>
      <c r="DW64" s="12"/>
      <c r="DX64" s="12"/>
      <c r="DY64" s="12"/>
      <c r="DZ64" s="12"/>
      <c r="EA64" s="12"/>
      <c r="EB64" s="12"/>
      <c r="EC64" s="12"/>
      <c r="ED64" s="12"/>
      <c r="EE64" s="12"/>
      <c r="EF64" s="12"/>
      <c r="EG64" s="12"/>
      <c r="EH64" s="12"/>
      <c r="EI64" s="12"/>
      <c r="EJ64" s="12"/>
      <c r="EK64" s="12"/>
      <c r="EL64" s="12"/>
    </row>
    <row r="65" spans="1:142" s="76" customFormat="1">
      <c r="A65" s="109"/>
      <c r="B65" s="321" t="s">
        <v>737</v>
      </c>
      <c r="C65" s="67"/>
      <c r="D65" s="110"/>
      <c r="E65" s="1066"/>
      <c r="F65" s="929">
        <v>100</v>
      </c>
      <c r="G65" s="63" t="s">
        <v>844</v>
      </c>
      <c r="M65" s="79"/>
      <c r="N65" s="79"/>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2"/>
      <c r="CU65" s="12"/>
      <c r="CV65" s="12"/>
      <c r="CW65" s="12"/>
      <c r="CX65" s="12"/>
      <c r="CY65" s="12"/>
      <c r="CZ65" s="12"/>
      <c r="DA65" s="12"/>
      <c r="DB65" s="12"/>
      <c r="DC65" s="12"/>
      <c r="DD65" s="12"/>
      <c r="DE65" s="12"/>
      <c r="DF65" s="12"/>
      <c r="DG65" s="12"/>
      <c r="DH65" s="12"/>
      <c r="DI65" s="12"/>
      <c r="DJ65" s="12"/>
      <c r="DK65" s="12"/>
      <c r="DL65" s="12"/>
      <c r="DM65" s="12"/>
      <c r="DN65" s="12"/>
      <c r="DO65" s="12"/>
      <c r="DP65" s="12"/>
      <c r="DQ65" s="12"/>
      <c r="DR65" s="12"/>
      <c r="DS65" s="12"/>
      <c r="DT65" s="12"/>
      <c r="DU65" s="12"/>
      <c r="DV65" s="12"/>
      <c r="DW65" s="12"/>
      <c r="DX65" s="12"/>
      <c r="DY65" s="12"/>
      <c r="DZ65" s="12"/>
      <c r="EA65" s="12"/>
      <c r="EB65" s="12"/>
      <c r="EC65" s="12"/>
      <c r="ED65" s="12"/>
      <c r="EE65" s="12"/>
      <c r="EF65" s="12"/>
      <c r="EG65" s="12"/>
      <c r="EH65" s="12"/>
      <c r="EI65" s="12"/>
      <c r="EJ65" s="12"/>
      <c r="EK65" s="12"/>
      <c r="EL65" s="12"/>
    </row>
    <row r="66" spans="1:142" s="76" customFormat="1">
      <c r="A66" s="109"/>
      <c r="B66" s="321" t="s">
        <v>810</v>
      </c>
      <c r="C66" s="67"/>
      <c r="D66" s="110"/>
      <c r="E66" s="1066"/>
      <c r="F66" s="929">
        <v>40</v>
      </c>
      <c r="G66" s="63" t="s">
        <v>844</v>
      </c>
      <c r="M66" s="78"/>
      <c r="N66" s="78"/>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2"/>
      <c r="CL66" s="12"/>
      <c r="CM66" s="12"/>
      <c r="CN66" s="12"/>
      <c r="CO66" s="12"/>
      <c r="CP66" s="12"/>
      <c r="CQ66" s="12"/>
      <c r="CR66" s="12"/>
      <c r="CS66" s="12"/>
      <c r="CT66" s="12"/>
      <c r="CU66" s="12"/>
      <c r="CV66" s="12"/>
      <c r="CW66" s="12"/>
      <c r="CX66" s="12"/>
      <c r="CY66" s="12"/>
      <c r="CZ66" s="12"/>
      <c r="DA66" s="12"/>
      <c r="DB66" s="12"/>
      <c r="DC66" s="12"/>
      <c r="DD66" s="12"/>
      <c r="DE66" s="12"/>
      <c r="DF66" s="12"/>
      <c r="DG66" s="12"/>
      <c r="DH66" s="12"/>
      <c r="DI66" s="12"/>
      <c r="DJ66" s="12"/>
      <c r="DK66" s="12"/>
      <c r="DL66" s="12"/>
      <c r="DM66" s="12"/>
      <c r="DN66" s="12"/>
      <c r="DO66" s="12"/>
      <c r="DP66" s="12"/>
      <c r="DQ66" s="12"/>
      <c r="DR66" s="12"/>
      <c r="DS66" s="12"/>
      <c r="DT66" s="12"/>
      <c r="DU66" s="12"/>
      <c r="DV66" s="12"/>
      <c r="DW66" s="12"/>
      <c r="DX66" s="12"/>
      <c r="DY66" s="12"/>
      <c r="DZ66" s="12"/>
      <c r="EA66" s="12"/>
      <c r="EB66" s="12"/>
      <c r="EC66" s="12"/>
      <c r="ED66" s="12"/>
      <c r="EE66" s="12"/>
      <c r="EF66" s="12"/>
      <c r="EG66" s="12"/>
      <c r="EH66" s="12"/>
      <c r="EI66" s="12"/>
      <c r="EJ66" s="12"/>
      <c r="EK66" s="12"/>
      <c r="EL66" s="12"/>
    </row>
    <row r="67" spans="1:142" s="76" customFormat="1">
      <c r="A67" s="109"/>
      <c r="B67" s="321" t="s">
        <v>155</v>
      </c>
      <c r="C67" s="67"/>
      <c r="D67" s="110"/>
      <c r="E67" s="1066"/>
      <c r="F67" s="929">
        <v>25</v>
      </c>
      <c r="G67" s="63" t="s">
        <v>844</v>
      </c>
      <c r="M67" s="229"/>
      <c r="N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c r="CU67" s="12"/>
      <c r="CV67" s="12"/>
      <c r="CW67" s="12"/>
      <c r="CX67" s="12"/>
      <c r="CY67" s="12"/>
      <c r="CZ67" s="12"/>
      <c r="DA67" s="12"/>
      <c r="DB67" s="12"/>
      <c r="DC67" s="12"/>
      <c r="DD67" s="12"/>
      <c r="DE67" s="12"/>
      <c r="DF67" s="12"/>
      <c r="DG67" s="12"/>
      <c r="DH67" s="12"/>
      <c r="DI67" s="12"/>
      <c r="DJ67" s="12"/>
      <c r="DK67" s="12"/>
      <c r="DL67" s="12"/>
      <c r="DM67" s="12"/>
      <c r="DN67" s="12"/>
      <c r="DO67" s="12"/>
      <c r="DP67" s="12"/>
      <c r="DQ67" s="12"/>
      <c r="DR67" s="12"/>
      <c r="DS67" s="12"/>
      <c r="DT67" s="12"/>
      <c r="DU67" s="12"/>
      <c r="DV67" s="12"/>
      <c r="DW67" s="12"/>
      <c r="DX67" s="12"/>
      <c r="DY67" s="12"/>
      <c r="DZ67" s="12"/>
      <c r="EA67" s="12"/>
      <c r="EB67" s="12"/>
      <c r="EC67" s="12"/>
      <c r="ED67" s="12"/>
      <c r="EE67" s="12"/>
      <c r="EF67" s="12"/>
      <c r="EG67" s="12"/>
      <c r="EH67" s="12"/>
      <c r="EI67" s="12"/>
      <c r="EJ67" s="12"/>
      <c r="EK67" s="12"/>
      <c r="EL67" s="12"/>
    </row>
    <row r="68" spans="1:142" s="76" customFormat="1">
      <c r="A68" s="109"/>
      <c r="B68" s="321" t="s">
        <v>156</v>
      </c>
      <c r="C68" s="67"/>
      <c r="D68" s="110"/>
      <c r="E68" s="1066"/>
      <c r="F68" s="929">
        <v>700</v>
      </c>
      <c r="G68" s="63" t="s">
        <v>842</v>
      </c>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2"/>
      <c r="CL68" s="12"/>
      <c r="CM68" s="12"/>
      <c r="CN68" s="12"/>
      <c r="CO68" s="12"/>
      <c r="CP68" s="12"/>
      <c r="CQ68" s="12"/>
      <c r="CR68" s="12"/>
      <c r="CS68" s="12"/>
      <c r="CT68" s="12"/>
      <c r="CU68" s="12"/>
      <c r="CV68" s="12"/>
      <c r="CW68" s="12"/>
      <c r="CX68" s="12"/>
      <c r="CY68" s="12"/>
      <c r="CZ68" s="12"/>
      <c r="DA68" s="12"/>
      <c r="DB68" s="12"/>
      <c r="DC68" s="12"/>
      <c r="DD68" s="12"/>
      <c r="DE68" s="12"/>
      <c r="DF68" s="12"/>
      <c r="DG68" s="12"/>
      <c r="DH68" s="12"/>
      <c r="DI68" s="12"/>
      <c r="DJ68" s="12"/>
      <c r="DK68" s="12"/>
      <c r="DL68" s="12"/>
      <c r="DM68" s="12"/>
      <c r="DN68" s="12"/>
      <c r="DO68" s="12"/>
      <c r="DP68" s="12"/>
      <c r="DQ68" s="12"/>
      <c r="DR68" s="12"/>
      <c r="DS68" s="12"/>
      <c r="DT68" s="12"/>
      <c r="DU68" s="12"/>
      <c r="DV68" s="12"/>
      <c r="DW68" s="12"/>
      <c r="DX68" s="12"/>
      <c r="DY68" s="12"/>
      <c r="DZ68" s="12"/>
      <c r="EA68" s="12"/>
      <c r="EB68" s="12"/>
      <c r="EC68" s="12"/>
      <c r="ED68" s="12"/>
      <c r="EE68" s="12"/>
      <c r="EF68" s="12"/>
      <c r="EG68" s="12"/>
      <c r="EH68" s="12"/>
      <c r="EI68" s="12"/>
      <c r="EJ68" s="12"/>
      <c r="EK68" s="12"/>
      <c r="EL68" s="12"/>
    </row>
    <row r="69" spans="1:142" s="76" customFormat="1">
      <c r="A69" s="109"/>
      <c r="B69" s="321" t="s">
        <v>821</v>
      </c>
      <c r="C69" s="67"/>
      <c r="D69" s="110"/>
      <c r="E69" s="1066"/>
      <c r="F69" s="929">
        <v>0</v>
      </c>
      <c r="G69" s="63" t="s">
        <v>121</v>
      </c>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2"/>
      <c r="CL69" s="12"/>
      <c r="CM69" s="12"/>
      <c r="CN69" s="12"/>
      <c r="CO69" s="12"/>
      <c r="CP69" s="12"/>
      <c r="CQ69" s="12"/>
      <c r="CR69" s="12"/>
      <c r="CS69" s="12"/>
      <c r="CT69" s="12"/>
      <c r="CU69" s="12"/>
      <c r="CV69" s="12"/>
      <c r="CW69" s="12"/>
      <c r="CX69" s="12"/>
      <c r="CY69" s="12"/>
      <c r="CZ69" s="12"/>
      <c r="DA69" s="12"/>
      <c r="DB69" s="12"/>
      <c r="DC69" s="12"/>
      <c r="DD69" s="12"/>
      <c r="DE69" s="12"/>
      <c r="DF69" s="12"/>
      <c r="DG69" s="12"/>
      <c r="DH69" s="12"/>
      <c r="DI69" s="12"/>
      <c r="DJ69" s="12"/>
      <c r="DK69" s="12"/>
      <c r="DL69" s="12"/>
      <c r="DM69" s="12"/>
      <c r="DN69" s="12"/>
      <c r="DO69" s="12"/>
      <c r="DP69" s="12"/>
      <c r="DQ69" s="12"/>
      <c r="DR69" s="12"/>
      <c r="DS69" s="12"/>
      <c r="DT69" s="12"/>
      <c r="DU69" s="12"/>
      <c r="DV69" s="12"/>
      <c r="DW69" s="12"/>
      <c r="DX69" s="12"/>
      <c r="DY69" s="12"/>
      <c r="DZ69" s="12"/>
      <c r="EA69" s="12"/>
      <c r="EB69" s="12"/>
      <c r="EC69" s="12"/>
      <c r="ED69" s="12"/>
      <c r="EE69" s="12"/>
      <c r="EF69" s="12"/>
      <c r="EG69" s="12"/>
      <c r="EH69" s="12"/>
      <c r="EI69" s="12"/>
      <c r="EJ69" s="12"/>
      <c r="EK69" s="12"/>
      <c r="EL69" s="12"/>
    </row>
    <row r="70" spans="1:142" s="76" customFormat="1">
      <c r="A70" s="109"/>
      <c r="B70" s="320" t="s">
        <v>738</v>
      </c>
      <c r="C70" s="68"/>
      <c r="D70" s="112"/>
      <c r="E70" s="1066"/>
      <c r="F70" s="929">
        <v>500</v>
      </c>
      <c r="G70" s="63" t="s">
        <v>844</v>
      </c>
      <c r="N70" s="81"/>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2"/>
      <c r="CO70" s="12"/>
      <c r="CP70" s="12"/>
      <c r="CQ70" s="12"/>
      <c r="CR70" s="12"/>
      <c r="CS70" s="12"/>
      <c r="CT70" s="12"/>
      <c r="CU70" s="12"/>
      <c r="CV70" s="12"/>
      <c r="CW70" s="12"/>
      <c r="CX70" s="12"/>
      <c r="CY70" s="12"/>
      <c r="CZ70" s="12"/>
      <c r="DA70" s="12"/>
      <c r="DB70" s="12"/>
      <c r="DC70" s="12"/>
      <c r="DD70" s="12"/>
      <c r="DE70" s="12"/>
      <c r="DF70" s="12"/>
      <c r="DG70" s="12"/>
      <c r="DH70" s="12"/>
      <c r="DI70" s="12"/>
      <c r="DJ70" s="12"/>
      <c r="DK70" s="12"/>
      <c r="DL70" s="12"/>
      <c r="DM70" s="12"/>
      <c r="DN70" s="12"/>
      <c r="DO70" s="12"/>
      <c r="DP70" s="12"/>
      <c r="DQ70" s="12"/>
      <c r="DR70" s="12"/>
      <c r="DS70" s="12"/>
      <c r="DT70" s="12"/>
      <c r="DU70" s="12"/>
      <c r="DV70" s="12"/>
      <c r="DW70" s="12"/>
      <c r="DX70" s="12"/>
      <c r="DY70" s="12"/>
      <c r="DZ70" s="12"/>
      <c r="EA70" s="12"/>
      <c r="EB70" s="12"/>
      <c r="EC70" s="12"/>
      <c r="ED70" s="12"/>
      <c r="EE70" s="12"/>
      <c r="EF70" s="12"/>
      <c r="EG70" s="12"/>
      <c r="EH70" s="12"/>
      <c r="EI70" s="12"/>
      <c r="EJ70" s="12"/>
      <c r="EK70" s="12"/>
      <c r="EL70" s="12"/>
    </row>
    <row r="71" spans="1:142" s="76" customFormat="1">
      <c r="A71" s="109"/>
      <c r="B71" s="320" t="s">
        <v>0</v>
      </c>
      <c r="C71" s="68"/>
      <c r="D71" s="112"/>
      <c r="E71" s="1066"/>
      <c r="F71" s="929">
        <v>0</v>
      </c>
      <c r="G71" s="63" t="s">
        <v>121</v>
      </c>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c r="CR71" s="12"/>
      <c r="CS71" s="12"/>
      <c r="CT71" s="12"/>
      <c r="CU71" s="12"/>
      <c r="CV71" s="12"/>
      <c r="CW71" s="12"/>
      <c r="CX71" s="12"/>
      <c r="CY71" s="12"/>
      <c r="CZ71" s="12"/>
      <c r="DA71" s="12"/>
      <c r="DB71" s="12"/>
      <c r="DC71" s="12"/>
      <c r="DD71" s="12"/>
      <c r="DE71" s="12"/>
      <c r="DF71" s="12"/>
      <c r="DG71" s="12"/>
      <c r="DH71" s="12"/>
      <c r="DI71" s="12"/>
      <c r="DJ71" s="12"/>
      <c r="DK71" s="12"/>
      <c r="DL71" s="12"/>
      <c r="DM71" s="12"/>
      <c r="DN71" s="12"/>
      <c r="DO71" s="12"/>
      <c r="DP71" s="12"/>
      <c r="DQ71" s="12"/>
      <c r="DR71" s="12"/>
      <c r="DS71" s="12"/>
      <c r="DT71" s="12"/>
      <c r="DU71" s="12"/>
      <c r="DV71" s="12"/>
      <c r="DW71" s="12"/>
      <c r="DX71" s="12"/>
      <c r="DY71" s="12"/>
      <c r="DZ71" s="12"/>
      <c r="EA71" s="12"/>
      <c r="EB71" s="12"/>
      <c r="EC71" s="12"/>
      <c r="ED71" s="12"/>
      <c r="EE71" s="12"/>
      <c r="EF71" s="12"/>
      <c r="EG71" s="12"/>
      <c r="EH71" s="12"/>
      <c r="EI71" s="12"/>
      <c r="EJ71" s="12"/>
      <c r="EK71" s="12"/>
      <c r="EL71" s="12"/>
    </row>
    <row r="72" spans="1:142" s="76" customFormat="1">
      <c r="A72" s="109"/>
      <c r="B72" s="320" t="s">
        <v>872</v>
      </c>
      <c r="C72" s="68"/>
      <c r="D72" s="112"/>
      <c r="E72" s="1066"/>
      <c r="F72" s="1631">
        <v>0</v>
      </c>
      <c r="G72" s="1630"/>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c r="CR72" s="12"/>
      <c r="CS72" s="12"/>
      <c r="CT72" s="12"/>
      <c r="CU72" s="12"/>
      <c r="CV72" s="12"/>
      <c r="CW72" s="12"/>
      <c r="CX72" s="12"/>
      <c r="CY72" s="12"/>
      <c r="CZ72" s="12"/>
      <c r="DA72" s="12"/>
      <c r="DB72" s="12"/>
      <c r="DC72" s="12"/>
      <c r="DD72" s="12"/>
      <c r="DE72" s="12"/>
      <c r="DF72" s="12"/>
      <c r="DG72" s="12"/>
      <c r="DH72" s="12"/>
      <c r="DI72" s="12"/>
      <c r="DJ72" s="12"/>
      <c r="DK72" s="12"/>
      <c r="DL72" s="12"/>
      <c r="DM72" s="12"/>
      <c r="DN72" s="12"/>
      <c r="DO72" s="12"/>
      <c r="DP72" s="12"/>
      <c r="DQ72" s="12"/>
      <c r="DR72" s="12"/>
      <c r="DS72" s="12"/>
      <c r="DT72" s="12"/>
      <c r="DU72" s="12"/>
      <c r="DV72" s="12"/>
      <c r="DW72" s="12"/>
      <c r="DX72" s="12"/>
      <c r="DY72" s="12"/>
      <c r="DZ72" s="12"/>
      <c r="EA72" s="12"/>
      <c r="EB72" s="12"/>
      <c r="EC72" s="12"/>
      <c r="ED72" s="12"/>
      <c r="EE72" s="12"/>
      <c r="EF72" s="12"/>
      <c r="EG72" s="12"/>
      <c r="EH72" s="12"/>
      <c r="EI72" s="12"/>
      <c r="EJ72" s="12"/>
      <c r="EK72" s="12"/>
      <c r="EL72" s="12"/>
    </row>
    <row r="73" spans="1:142" s="76" customFormat="1">
      <c r="A73" s="109"/>
      <c r="B73" s="320" t="s">
        <v>253</v>
      </c>
      <c r="C73" s="68"/>
      <c r="D73" s="112"/>
      <c r="E73" s="1066"/>
      <c r="F73" s="929">
        <v>0</v>
      </c>
      <c r="G73" s="63" t="s">
        <v>121</v>
      </c>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2"/>
      <c r="CL73" s="12"/>
      <c r="CM73" s="12"/>
      <c r="CN73" s="12"/>
      <c r="CO73" s="12"/>
      <c r="CP73" s="12"/>
      <c r="CQ73" s="12"/>
      <c r="CR73" s="12"/>
      <c r="CS73" s="12"/>
      <c r="CT73" s="12"/>
      <c r="CU73" s="12"/>
      <c r="CV73" s="12"/>
      <c r="CW73" s="12"/>
      <c r="CX73" s="12"/>
      <c r="CY73" s="12"/>
      <c r="CZ73" s="12"/>
      <c r="DA73" s="12"/>
      <c r="DB73" s="12"/>
      <c r="DC73" s="12"/>
      <c r="DD73" s="12"/>
      <c r="DE73" s="12"/>
      <c r="DF73" s="12"/>
      <c r="DG73" s="12"/>
      <c r="DH73" s="12"/>
      <c r="DI73" s="12"/>
      <c r="DJ73" s="12"/>
      <c r="DK73" s="12"/>
      <c r="DL73" s="12"/>
      <c r="DM73" s="12"/>
      <c r="DN73" s="12"/>
      <c r="DO73" s="12"/>
      <c r="DP73" s="12"/>
      <c r="DQ73" s="12"/>
      <c r="DR73" s="12"/>
      <c r="DS73" s="12"/>
      <c r="DT73" s="12"/>
      <c r="DU73" s="12"/>
      <c r="DV73" s="12"/>
      <c r="DW73" s="12"/>
      <c r="DX73" s="12"/>
      <c r="DY73" s="12"/>
      <c r="DZ73" s="12"/>
      <c r="EA73" s="12"/>
      <c r="EB73" s="12"/>
      <c r="EC73" s="12"/>
      <c r="ED73" s="12"/>
      <c r="EE73" s="12"/>
      <c r="EF73" s="12"/>
      <c r="EG73" s="12"/>
      <c r="EH73" s="12"/>
      <c r="EI73" s="12"/>
      <c r="EJ73" s="12"/>
      <c r="EK73" s="12"/>
      <c r="EL73" s="12"/>
    </row>
    <row r="74" spans="1:142" s="76" customFormat="1">
      <c r="A74" s="109"/>
      <c r="B74" s="321" t="s">
        <v>494</v>
      </c>
      <c r="C74" s="328"/>
      <c r="D74" s="105"/>
      <c r="E74" s="1066"/>
      <c r="F74" s="929">
        <f>4/1000*J53</f>
        <v>516</v>
      </c>
      <c r="G74" s="108" t="s">
        <v>860</v>
      </c>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c r="CR74" s="12"/>
      <c r="CS74" s="12"/>
      <c r="CT74" s="12"/>
      <c r="CU74" s="12"/>
      <c r="CV74" s="12"/>
      <c r="CW74" s="12"/>
      <c r="CX74" s="12"/>
      <c r="CY74" s="12"/>
      <c r="CZ74" s="12"/>
      <c r="DA74" s="12"/>
      <c r="DB74" s="12"/>
      <c r="DC74" s="12"/>
      <c r="DD74" s="12"/>
      <c r="DE74" s="12"/>
      <c r="DF74" s="12"/>
      <c r="DG74" s="12"/>
      <c r="DH74" s="12"/>
      <c r="DI74" s="12"/>
      <c r="DJ74" s="12"/>
      <c r="DK74" s="12"/>
      <c r="DL74" s="12"/>
      <c r="DM74" s="12"/>
      <c r="DN74" s="12"/>
      <c r="DO74" s="12"/>
      <c r="DP74" s="12"/>
      <c r="DQ74" s="12"/>
      <c r="DR74" s="12"/>
      <c r="DS74" s="12"/>
      <c r="DT74" s="12"/>
      <c r="DU74" s="12"/>
      <c r="DV74" s="12"/>
      <c r="DW74" s="12"/>
      <c r="DX74" s="12"/>
      <c r="DY74" s="12"/>
      <c r="DZ74" s="12"/>
      <c r="EA74" s="12"/>
      <c r="EB74" s="12"/>
      <c r="EC74" s="12"/>
      <c r="ED74" s="12"/>
      <c r="EE74" s="12"/>
      <c r="EF74" s="12"/>
      <c r="EG74" s="12"/>
      <c r="EH74" s="12"/>
      <c r="EI74" s="12"/>
      <c r="EJ74" s="12"/>
      <c r="EK74" s="12"/>
      <c r="EL74" s="12"/>
    </row>
    <row r="75" spans="1:142" s="76" customFormat="1">
      <c r="A75" s="105"/>
      <c r="B75" s="521" t="s">
        <v>746</v>
      </c>
      <c r="C75" s="1338">
        <f>Assum!E234</f>
        <v>40271.353865997226</v>
      </c>
      <c r="D75" s="1341">
        <v>1.4999999999999999E-2</v>
      </c>
      <c r="E75" s="1067"/>
      <c r="F75" s="1340">
        <f>D75*C75</f>
        <v>604.07030798995834</v>
      </c>
      <c r="G75" s="63" t="s">
        <v>121</v>
      </c>
      <c r="H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2"/>
      <c r="CO75" s="12"/>
      <c r="CP75" s="12"/>
      <c r="CQ75" s="12"/>
      <c r="CR75" s="12"/>
      <c r="CS75" s="12"/>
      <c r="CT75" s="12"/>
      <c r="CU75" s="12"/>
      <c r="CV75" s="12"/>
      <c r="CW75" s="12"/>
      <c r="CX75" s="12"/>
      <c r="CY75" s="12"/>
      <c r="CZ75" s="12"/>
      <c r="DA75" s="12"/>
      <c r="DB75" s="12"/>
      <c r="DC75" s="12"/>
      <c r="DD75" s="12"/>
      <c r="DE75" s="12"/>
      <c r="DF75" s="12"/>
      <c r="DG75" s="12"/>
      <c r="DH75" s="12"/>
      <c r="DI75" s="12"/>
      <c r="DJ75" s="12"/>
      <c r="DK75" s="12"/>
      <c r="DL75" s="12"/>
      <c r="DM75" s="12"/>
      <c r="DN75" s="12"/>
      <c r="DO75" s="12"/>
      <c r="DP75" s="12"/>
      <c r="DQ75" s="12"/>
      <c r="DR75" s="12"/>
      <c r="DS75" s="12"/>
      <c r="DT75" s="12"/>
      <c r="DU75" s="12"/>
      <c r="DV75" s="12"/>
      <c r="DW75" s="12"/>
      <c r="DX75" s="12"/>
      <c r="DY75" s="12"/>
      <c r="DZ75" s="12"/>
      <c r="EA75" s="12"/>
      <c r="EB75" s="12"/>
      <c r="EC75" s="12"/>
      <c r="ED75" s="12"/>
      <c r="EE75" s="12"/>
      <c r="EF75" s="12"/>
      <c r="EG75" s="12"/>
      <c r="EH75" s="12"/>
      <c r="EI75" s="12"/>
      <c r="EJ75" s="12"/>
      <c r="EK75" s="12"/>
      <c r="EL75" s="12"/>
    </row>
    <row r="76" spans="1:142" s="76" customFormat="1">
      <c r="A76" s="105"/>
      <c r="B76" s="521" t="s">
        <v>747</v>
      </c>
      <c r="C76" s="1338">
        <f>C278</f>
        <v>0</v>
      </c>
      <c r="D76" s="1341">
        <v>0.02</v>
      </c>
      <c r="E76" s="1067"/>
      <c r="F76" s="1340">
        <f>D76*C76</f>
        <v>0</v>
      </c>
      <c r="G76" s="63" t="s">
        <v>121</v>
      </c>
      <c r="H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2"/>
      <c r="CO76" s="12"/>
      <c r="CP76" s="12"/>
      <c r="CQ76" s="12"/>
      <c r="CR76" s="12"/>
      <c r="CS76" s="12"/>
      <c r="CT76" s="12"/>
      <c r="CU76" s="12"/>
      <c r="CV76" s="12"/>
      <c r="CW76" s="12"/>
      <c r="CX76" s="12"/>
      <c r="CY76" s="12"/>
      <c r="CZ76" s="12"/>
      <c r="DA76" s="12"/>
      <c r="DB76" s="12"/>
      <c r="DC76" s="12"/>
      <c r="DD76" s="12"/>
      <c r="DE76" s="12"/>
      <c r="DF76" s="12"/>
      <c r="DG76" s="12"/>
      <c r="DH76" s="12"/>
      <c r="DI76" s="12"/>
      <c r="DJ76" s="12"/>
      <c r="DK76" s="12"/>
      <c r="DL76" s="12"/>
      <c r="DM76" s="12"/>
      <c r="DN76" s="12"/>
      <c r="DO76" s="12"/>
      <c r="DP76" s="12"/>
      <c r="DQ76" s="12"/>
      <c r="DR76" s="12"/>
      <c r="DS76" s="12"/>
      <c r="DT76" s="12"/>
      <c r="DU76" s="12"/>
      <c r="DV76" s="12"/>
      <c r="DW76" s="12"/>
      <c r="DX76" s="12"/>
      <c r="DY76" s="12"/>
      <c r="DZ76" s="12"/>
      <c r="EA76" s="12"/>
      <c r="EB76" s="12"/>
      <c r="EC76" s="12"/>
      <c r="ED76" s="12"/>
      <c r="EE76" s="12"/>
      <c r="EF76" s="12"/>
      <c r="EG76" s="12"/>
      <c r="EH76" s="12"/>
      <c r="EI76" s="12"/>
      <c r="EJ76" s="12"/>
      <c r="EK76" s="12"/>
      <c r="EL76" s="12"/>
    </row>
    <row r="77" spans="1:142" s="76" customFormat="1" ht="13.5" thickBot="1">
      <c r="A77" s="105"/>
      <c r="B77" s="422" t="s">
        <v>743</v>
      </c>
      <c r="C77" s="217"/>
      <c r="D77" s="108"/>
      <c r="E77" s="1068">
        <f>F77/$F$30</f>
        <v>40.524073348720449</v>
      </c>
      <c r="F77" s="1070">
        <f>SUM(F64:F76)</f>
        <v>3485.0703079899586</v>
      </c>
      <c r="H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c r="CR77" s="12"/>
      <c r="CS77" s="12"/>
      <c r="CT77" s="12"/>
      <c r="CU77" s="12"/>
      <c r="CV77" s="12"/>
      <c r="CW77" s="12"/>
      <c r="CX77" s="12"/>
      <c r="CY77" s="12"/>
      <c r="CZ77" s="12"/>
      <c r="DA77" s="12"/>
      <c r="DB77" s="12"/>
      <c r="DC77" s="12"/>
      <c r="DD77" s="12"/>
      <c r="DE77" s="12"/>
      <c r="DF77" s="12"/>
      <c r="DG77" s="12"/>
      <c r="DH77" s="12"/>
      <c r="DI77" s="12"/>
      <c r="DJ77" s="12"/>
      <c r="DK77" s="12"/>
      <c r="DL77" s="12"/>
      <c r="DM77" s="12"/>
      <c r="DN77" s="12"/>
      <c r="DO77" s="12"/>
      <c r="DP77" s="12"/>
      <c r="DQ77" s="12"/>
      <c r="DR77" s="12"/>
      <c r="DS77" s="12"/>
      <c r="DT77" s="12"/>
      <c r="DU77" s="12"/>
      <c r="DV77" s="12"/>
      <c r="DW77" s="12"/>
      <c r="DX77" s="12"/>
      <c r="DY77" s="12"/>
      <c r="DZ77" s="12"/>
      <c r="EA77" s="12"/>
      <c r="EB77" s="12"/>
      <c r="EC77" s="12"/>
      <c r="ED77" s="12"/>
      <c r="EE77" s="12"/>
      <c r="EF77" s="12"/>
      <c r="EG77" s="12"/>
      <c r="EH77" s="12"/>
      <c r="EI77" s="12"/>
      <c r="EJ77" s="12"/>
      <c r="EK77" s="12"/>
      <c r="EL77" s="12"/>
    </row>
    <row r="78" spans="1:142" s="76" customFormat="1" ht="13.5" thickTop="1">
      <c r="A78" s="105"/>
      <c r="H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2"/>
      <c r="CO78" s="12"/>
      <c r="CP78" s="12"/>
      <c r="CQ78" s="12"/>
      <c r="CR78" s="12"/>
      <c r="CS78" s="12"/>
      <c r="CT78" s="12"/>
      <c r="CU78" s="12"/>
      <c r="CV78" s="12"/>
      <c r="CW78" s="12"/>
      <c r="CX78" s="12"/>
      <c r="CY78" s="12"/>
      <c r="CZ78" s="12"/>
      <c r="DA78" s="12"/>
      <c r="DB78" s="12"/>
      <c r="DC78" s="12"/>
      <c r="DD78" s="12"/>
      <c r="DE78" s="12"/>
      <c r="DF78" s="12"/>
      <c r="DG78" s="12"/>
      <c r="DH78" s="12"/>
      <c r="DI78" s="12"/>
      <c r="DJ78" s="12"/>
      <c r="DK78" s="12"/>
      <c r="DL78" s="12"/>
      <c r="DM78" s="12"/>
      <c r="DN78" s="12"/>
      <c r="DO78" s="12"/>
      <c r="DP78" s="12"/>
      <c r="DQ78" s="12"/>
      <c r="DR78" s="12"/>
      <c r="DS78" s="12"/>
      <c r="DT78" s="12"/>
      <c r="DU78" s="12"/>
      <c r="DV78" s="12"/>
      <c r="DW78" s="12"/>
      <c r="DX78" s="12"/>
      <c r="DY78" s="12"/>
      <c r="DZ78" s="12"/>
      <c r="EA78" s="12"/>
      <c r="EB78" s="12"/>
      <c r="EC78" s="12"/>
      <c r="ED78" s="12"/>
      <c r="EE78" s="12"/>
      <c r="EF78" s="12"/>
      <c r="EG78" s="12"/>
      <c r="EH78" s="12"/>
      <c r="EI78" s="12"/>
      <c r="EJ78" s="12"/>
      <c r="EK78" s="12"/>
      <c r="EL78" s="12"/>
    </row>
    <row r="79" spans="1:142" s="76" customFormat="1" ht="13.5" thickBot="1">
      <c r="A79" s="105"/>
      <c r="B79" s="422" t="s">
        <v>496</v>
      </c>
      <c r="C79" s="79"/>
      <c r="D79" s="108"/>
      <c r="E79" s="1071">
        <f ca="1">F79/$F$30</f>
        <v>1530.3683123036658</v>
      </c>
      <c r="F79" s="1069">
        <f ca="1">zcell10+F52+F60+F77</f>
        <v>131611.67486087655</v>
      </c>
      <c r="G79" s="107" t="s">
        <v>744</v>
      </c>
      <c r="H79" s="1337">
        <f ca="1">Srcs_Uses!E33</f>
        <v>131611.67485811526</v>
      </c>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2"/>
      <c r="CL79" s="12"/>
      <c r="CM79" s="12"/>
      <c r="CN79" s="12"/>
      <c r="CO79" s="12"/>
      <c r="CP79" s="12"/>
      <c r="CQ79" s="12"/>
      <c r="CR79" s="12"/>
      <c r="CS79" s="12"/>
      <c r="CT79" s="12"/>
      <c r="CU79" s="12"/>
      <c r="CV79" s="12"/>
      <c r="CW79" s="12"/>
      <c r="CX79" s="12"/>
      <c r="CY79" s="12"/>
      <c r="CZ79" s="12"/>
      <c r="DA79" s="12"/>
      <c r="DB79" s="12"/>
      <c r="DC79" s="12"/>
      <c r="DD79" s="12"/>
      <c r="DE79" s="12"/>
      <c r="DF79" s="12"/>
      <c r="DG79" s="12"/>
      <c r="DH79" s="12"/>
      <c r="DI79" s="12"/>
      <c r="DJ79" s="12"/>
      <c r="DK79" s="12"/>
      <c r="DL79" s="12"/>
      <c r="DM79" s="12"/>
      <c r="DN79" s="12"/>
      <c r="DO79" s="12"/>
      <c r="DP79" s="12"/>
      <c r="DQ79" s="12"/>
      <c r="DR79" s="12"/>
      <c r="DS79" s="12"/>
      <c r="DT79" s="12"/>
      <c r="DU79" s="12"/>
      <c r="DV79" s="12"/>
      <c r="DW79" s="12"/>
      <c r="DX79" s="12"/>
      <c r="DY79" s="12"/>
      <c r="DZ79" s="12"/>
      <c r="EA79" s="12"/>
      <c r="EB79" s="12"/>
      <c r="EC79" s="12"/>
      <c r="ED79" s="12"/>
      <c r="EE79" s="12"/>
      <c r="EF79" s="12"/>
      <c r="EG79" s="12"/>
      <c r="EH79" s="12"/>
      <c r="EI79" s="12"/>
      <c r="EJ79" s="12"/>
      <c r="EK79" s="12"/>
      <c r="EL79" s="12"/>
    </row>
    <row r="80" spans="1:142" s="76" customFormat="1">
      <c r="A80" s="105"/>
      <c r="G80" s="105"/>
      <c r="H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2"/>
      <c r="CL80" s="12"/>
      <c r="CM80" s="12"/>
      <c r="CN80" s="12"/>
      <c r="CO80" s="12"/>
      <c r="CP80" s="12"/>
      <c r="CQ80" s="12"/>
      <c r="CR80" s="12"/>
      <c r="CS80" s="12"/>
      <c r="CT80" s="12"/>
      <c r="CU80" s="12"/>
      <c r="CV80" s="12"/>
      <c r="CW80" s="12"/>
      <c r="CX80" s="12"/>
      <c r="CY80" s="12"/>
      <c r="CZ80" s="12"/>
      <c r="DA80" s="12"/>
      <c r="DB80" s="12"/>
      <c r="DC80" s="12"/>
      <c r="DD80" s="12"/>
      <c r="DE80" s="12"/>
      <c r="DF80" s="12"/>
      <c r="DG80" s="12"/>
      <c r="DH80" s="12"/>
      <c r="DI80" s="12"/>
      <c r="DJ80" s="12"/>
      <c r="DK80" s="12"/>
      <c r="DL80" s="12"/>
      <c r="DM80" s="12"/>
      <c r="DN80" s="12"/>
      <c r="DO80" s="12"/>
      <c r="DP80" s="12"/>
      <c r="DQ80" s="12"/>
      <c r="DR80" s="12"/>
      <c r="DS80" s="12"/>
      <c r="DT80" s="12"/>
      <c r="DU80" s="12"/>
      <c r="DV80" s="12"/>
      <c r="DW80" s="12"/>
      <c r="DX80" s="12"/>
      <c r="DY80" s="12"/>
      <c r="DZ80" s="12"/>
      <c r="EA80" s="12"/>
      <c r="EB80" s="12"/>
      <c r="EC80" s="12"/>
      <c r="ED80" s="12"/>
      <c r="EE80" s="12"/>
      <c r="EF80" s="12"/>
      <c r="EG80" s="12"/>
      <c r="EH80" s="12"/>
      <c r="EI80" s="12"/>
      <c r="EJ80" s="12"/>
      <c r="EK80" s="12"/>
      <c r="EL80" s="12"/>
    </row>
    <row r="81" spans="1:142" s="76" customFormat="1">
      <c r="A81" s="105"/>
      <c r="G81" s="105"/>
      <c r="H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c r="DU81" s="12"/>
      <c r="DV81" s="12"/>
      <c r="DW81" s="12"/>
      <c r="DX81" s="12"/>
      <c r="DY81" s="12"/>
      <c r="DZ81" s="12"/>
      <c r="EA81" s="12"/>
      <c r="EB81" s="12"/>
      <c r="EC81" s="12"/>
      <c r="ED81" s="12"/>
      <c r="EE81" s="12"/>
      <c r="EF81" s="12"/>
      <c r="EG81" s="12"/>
      <c r="EH81" s="12"/>
      <c r="EI81" s="12"/>
      <c r="EJ81" s="12"/>
      <c r="EK81" s="12"/>
      <c r="EL81" s="12"/>
    </row>
    <row r="82" spans="1:142" s="76" customFormat="1">
      <c r="C82" s="66"/>
      <c r="D82" s="108"/>
      <c r="E82" s="108"/>
      <c r="F82" s="105"/>
      <c r="G82" s="105"/>
      <c r="H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12"/>
      <c r="DQ82" s="12"/>
      <c r="DR82" s="12"/>
      <c r="DS82" s="12"/>
      <c r="DT82" s="12"/>
      <c r="DU82" s="12"/>
      <c r="DV82" s="12"/>
      <c r="DW82" s="12"/>
      <c r="DX82" s="12"/>
      <c r="DY82" s="12"/>
      <c r="DZ82" s="12"/>
      <c r="EA82" s="12"/>
      <c r="EB82" s="12"/>
      <c r="EC82" s="12"/>
      <c r="ED82" s="12"/>
      <c r="EE82" s="12"/>
      <c r="EF82" s="12"/>
      <c r="EG82" s="12"/>
      <c r="EH82" s="12"/>
      <c r="EI82" s="12"/>
      <c r="EJ82" s="12"/>
      <c r="EK82" s="12"/>
      <c r="EL82" s="12"/>
    </row>
    <row r="83" spans="1:142" s="76" customFormat="1">
      <c r="A83" s="105"/>
      <c r="B83" s="362" t="s">
        <v>139</v>
      </c>
      <c r="C83" s="79"/>
      <c r="D83" s="108"/>
      <c r="E83" s="108"/>
      <c r="F83" s="108"/>
      <c r="G83" s="105"/>
      <c r="H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c r="DS83" s="12"/>
      <c r="DT83" s="12"/>
      <c r="DU83" s="12"/>
      <c r="DV83" s="12"/>
      <c r="DW83" s="12"/>
      <c r="DX83" s="12"/>
      <c r="DY83" s="12"/>
      <c r="DZ83" s="12"/>
      <c r="EA83" s="12"/>
      <c r="EB83" s="12"/>
      <c r="EC83" s="12"/>
      <c r="ED83" s="12"/>
      <c r="EE83" s="12"/>
      <c r="EF83" s="12"/>
      <c r="EG83" s="12"/>
      <c r="EH83" s="12"/>
      <c r="EI83" s="12"/>
      <c r="EJ83" s="12"/>
      <c r="EK83" s="12"/>
      <c r="EL83" s="12"/>
    </row>
    <row r="84" spans="1:142" s="76" customFormat="1">
      <c r="A84" s="105"/>
      <c r="B84" s="355" t="s">
        <v>497</v>
      </c>
      <c r="C84" s="87"/>
      <c r="E84" s="1596">
        <f>5450*F30</f>
        <v>468700</v>
      </c>
      <c r="F84" s="108" t="s">
        <v>81</v>
      </c>
      <c r="G84" s="105">
        <v>5450</v>
      </c>
      <c r="H84" s="12" t="s">
        <v>847</v>
      </c>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c r="DK84" s="12"/>
      <c r="DL84" s="12"/>
      <c r="DM84" s="12"/>
      <c r="DN84" s="12"/>
      <c r="DO84" s="12"/>
      <c r="DP84" s="12"/>
      <c r="DQ84" s="12"/>
      <c r="DR84" s="12"/>
      <c r="DS84" s="12"/>
      <c r="DT84" s="12"/>
      <c r="DU84" s="12"/>
      <c r="DV84" s="12"/>
      <c r="DW84" s="12"/>
      <c r="DX84" s="12"/>
      <c r="DY84" s="12"/>
      <c r="DZ84" s="12"/>
      <c r="EA84" s="12"/>
      <c r="EB84" s="12"/>
      <c r="EC84" s="12"/>
      <c r="ED84" s="12"/>
      <c r="EE84" s="12"/>
      <c r="EF84" s="12"/>
      <c r="EG84" s="12"/>
      <c r="EH84" s="12"/>
      <c r="EI84" s="12"/>
      <c r="EJ84" s="12"/>
      <c r="EK84" s="12"/>
      <c r="EL84" s="12"/>
    </row>
    <row r="85" spans="1:142" s="76" customFormat="1">
      <c r="A85" s="105"/>
      <c r="B85" s="355" t="s">
        <v>499</v>
      </c>
      <c r="C85" s="87"/>
      <c r="E85" s="221">
        <f>$F$31*8760</f>
        <v>1130040</v>
      </c>
      <c r="F85" s="108"/>
      <c r="G85" s="109" t="s">
        <v>849</v>
      </c>
      <c r="H85" s="12" t="s">
        <v>848</v>
      </c>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c r="DP85" s="12"/>
      <c r="DQ85" s="12"/>
      <c r="DR85" s="12"/>
      <c r="DS85" s="12"/>
      <c r="DT85" s="12"/>
      <c r="DU85" s="12"/>
      <c r="DV85" s="12"/>
      <c r="DW85" s="12"/>
      <c r="DX85" s="12"/>
      <c r="DY85" s="12"/>
      <c r="DZ85" s="12"/>
      <c r="EA85" s="12"/>
      <c r="EB85" s="12"/>
      <c r="EC85" s="12"/>
      <c r="ED85" s="12"/>
      <c r="EE85" s="12"/>
      <c r="EF85" s="12"/>
      <c r="EG85" s="12"/>
      <c r="EH85" s="12"/>
      <c r="EI85" s="12"/>
      <c r="EJ85" s="12"/>
      <c r="EK85" s="12"/>
      <c r="EL85" s="12"/>
    </row>
    <row r="86" spans="1:142" s="76" customFormat="1">
      <c r="A86" s="105"/>
      <c r="B86" s="355" t="s">
        <v>498</v>
      </c>
      <c r="C86" s="87"/>
      <c r="E86" s="358">
        <f>E84/E85</f>
        <v>0.4147640791476408</v>
      </c>
      <c r="F86" s="108" t="s">
        <v>138</v>
      </c>
      <c r="G86" s="125"/>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c r="DP86" s="12"/>
      <c r="DQ86" s="12"/>
      <c r="DR86" s="12"/>
      <c r="DS86" s="12"/>
      <c r="DT86" s="12"/>
      <c r="DU86" s="12"/>
      <c r="DV86" s="12"/>
      <c r="DW86" s="12"/>
      <c r="DX86" s="12"/>
      <c r="DY86" s="12"/>
      <c r="DZ86" s="12"/>
      <c r="EA86" s="12"/>
      <c r="EB86" s="12"/>
      <c r="EC86" s="12"/>
      <c r="ED86" s="12"/>
      <c r="EE86" s="12"/>
      <c r="EF86" s="12"/>
      <c r="EG86" s="12"/>
      <c r="EH86" s="12"/>
      <c r="EI86" s="12"/>
      <c r="EJ86" s="12"/>
      <c r="EK86" s="12"/>
      <c r="EL86" s="12"/>
    </row>
    <row r="87" spans="1:142" s="76" customFormat="1">
      <c r="A87" s="105"/>
      <c r="B87" s="355"/>
      <c r="C87" s="87"/>
      <c r="E87" s="358"/>
      <c r="F87" s="108"/>
      <c r="G87" s="125"/>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c r="DP87" s="12"/>
      <c r="DQ87" s="12"/>
      <c r="DR87" s="12"/>
      <c r="DS87" s="12"/>
      <c r="DT87" s="12"/>
      <c r="DU87" s="12"/>
      <c r="DV87" s="12"/>
      <c r="DW87" s="12"/>
      <c r="DX87" s="12"/>
      <c r="DY87" s="12"/>
      <c r="DZ87" s="12"/>
      <c r="EA87" s="12"/>
      <c r="EB87" s="12"/>
      <c r="EC87" s="12"/>
      <c r="ED87" s="12"/>
      <c r="EE87" s="12"/>
      <c r="EF87" s="12"/>
      <c r="EG87" s="12"/>
      <c r="EH87" s="12"/>
      <c r="EI87" s="12"/>
      <c r="EJ87" s="12"/>
      <c r="EK87" s="12"/>
      <c r="EL87" s="12"/>
    </row>
    <row r="88" spans="1:142" s="76" customFormat="1">
      <c r="A88" s="105"/>
      <c r="B88" s="108"/>
      <c r="C88" s="79"/>
      <c r="D88" s="108"/>
      <c r="E88" s="244">
        <v>1</v>
      </c>
      <c r="F88" s="245">
        <v>2</v>
      </c>
      <c r="G88" s="245">
        <v>3</v>
      </c>
      <c r="H88" s="245">
        <v>4</v>
      </c>
      <c r="I88" s="245">
        <v>5</v>
      </c>
      <c r="J88" s="245">
        <v>6</v>
      </c>
      <c r="K88" s="245">
        <v>7</v>
      </c>
      <c r="L88" s="245">
        <v>8</v>
      </c>
      <c r="M88" s="245">
        <v>9</v>
      </c>
      <c r="N88" s="245">
        <v>10</v>
      </c>
      <c r="O88" s="245">
        <v>11</v>
      </c>
      <c r="P88" s="245">
        <v>12</v>
      </c>
      <c r="Q88" s="245">
        <v>13</v>
      </c>
      <c r="R88" s="245">
        <v>14</v>
      </c>
      <c r="S88" s="245">
        <v>15</v>
      </c>
      <c r="T88" s="245">
        <v>16</v>
      </c>
      <c r="U88" s="245">
        <v>17</v>
      </c>
      <c r="V88" s="245">
        <v>18</v>
      </c>
      <c r="W88" s="245">
        <v>19</v>
      </c>
      <c r="X88" s="245">
        <v>20</v>
      </c>
      <c r="Y88" s="245">
        <v>21</v>
      </c>
      <c r="Z88" s="245">
        <v>22</v>
      </c>
      <c r="AA88" s="245">
        <v>23</v>
      </c>
      <c r="AB88" s="245">
        <v>24</v>
      </c>
      <c r="AC88" s="245">
        <v>25</v>
      </c>
      <c r="AD88" s="245">
        <v>26</v>
      </c>
      <c r="AE88" s="245">
        <v>27</v>
      </c>
      <c r="AF88" s="245">
        <v>28</v>
      </c>
      <c r="AG88" s="245">
        <v>29</v>
      </c>
      <c r="AH88" s="246">
        <v>30</v>
      </c>
      <c r="AI88" s="246">
        <v>31</v>
      </c>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c r="DP88" s="12"/>
      <c r="DQ88" s="12"/>
      <c r="DR88" s="12"/>
      <c r="DS88" s="12"/>
      <c r="DT88" s="12"/>
      <c r="DU88" s="12"/>
      <c r="DV88" s="12"/>
      <c r="DW88" s="12"/>
      <c r="DX88" s="12"/>
      <c r="DY88" s="12"/>
      <c r="DZ88" s="12"/>
      <c r="EA88" s="12"/>
      <c r="EB88" s="12"/>
      <c r="EC88" s="12"/>
      <c r="ED88" s="12"/>
      <c r="EE88" s="12"/>
      <c r="EF88" s="12"/>
      <c r="EG88" s="12"/>
      <c r="EH88" s="12"/>
      <c r="EI88" s="12"/>
      <c r="EJ88" s="12"/>
      <c r="EK88" s="12"/>
      <c r="EL88" s="12"/>
    </row>
    <row r="89" spans="1:142" s="76" customFormat="1">
      <c r="C89" s="78"/>
      <c r="D89" s="105"/>
      <c r="E89" s="247">
        <f>Assum!$H$25</f>
        <v>2002</v>
      </c>
      <c r="F89" s="248">
        <f t="shared" ref="F89:AI89" si="5">E89+1</f>
        <v>2003</v>
      </c>
      <c r="G89" s="248">
        <f t="shared" si="5"/>
        <v>2004</v>
      </c>
      <c r="H89" s="248">
        <f t="shared" si="5"/>
        <v>2005</v>
      </c>
      <c r="I89" s="248">
        <f t="shared" si="5"/>
        <v>2006</v>
      </c>
      <c r="J89" s="248">
        <f t="shared" si="5"/>
        <v>2007</v>
      </c>
      <c r="K89" s="248">
        <f t="shared" si="5"/>
        <v>2008</v>
      </c>
      <c r="L89" s="248">
        <f t="shared" si="5"/>
        <v>2009</v>
      </c>
      <c r="M89" s="248">
        <f t="shared" si="5"/>
        <v>2010</v>
      </c>
      <c r="N89" s="248">
        <f t="shared" si="5"/>
        <v>2011</v>
      </c>
      <c r="O89" s="248">
        <f t="shared" si="5"/>
        <v>2012</v>
      </c>
      <c r="P89" s="248">
        <f t="shared" si="5"/>
        <v>2013</v>
      </c>
      <c r="Q89" s="248">
        <f t="shared" si="5"/>
        <v>2014</v>
      </c>
      <c r="R89" s="248">
        <f t="shared" si="5"/>
        <v>2015</v>
      </c>
      <c r="S89" s="248">
        <f t="shared" si="5"/>
        <v>2016</v>
      </c>
      <c r="T89" s="248">
        <f t="shared" si="5"/>
        <v>2017</v>
      </c>
      <c r="U89" s="248">
        <f t="shared" si="5"/>
        <v>2018</v>
      </c>
      <c r="V89" s="248">
        <f t="shared" si="5"/>
        <v>2019</v>
      </c>
      <c r="W89" s="248">
        <f t="shared" si="5"/>
        <v>2020</v>
      </c>
      <c r="X89" s="248">
        <f t="shared" si="5"/>
        <v>2021</v>
      </c>
      <c r="Y89" s="248">
        <f t="shared" si="5"/>
        <v>2022</v>
      </c>
      <c r="Z89" s="248">
        <f t="shared" si="5"/>
        <v>2023</v>
      </c>
      <c r="AA89" s="248">
        <f t="shared" si="5"/>
        <v>2024</v>
      </c>
      <c r="AB89" s="248">
        <f t="shared" si="5"/>
        <v>2025</v>
      </c>
      <c r="AC89" s="248">
        <f t="shared" si="5"/>
        <v>2026</v>
      </c>
      <c r="AD89" s="248">
        <f t="shared" si="5"/>
        <v>2027</v>
      </c>
      <c r="AE89" s="248">
        <f t="shared" si="5"/>
        <v>2028</v>
      </c>
      <c r="AF89" s="248">
        <f t="shared" si="5"/>
        <v>2029</v>
      </c>
      <c r="AG89" s="248">
        <f t="shared" si="5"/>
        <v>2030</v>
      </c>
      <c r="AH89" s="249">
        <f t="shared" si="5"/>
        <v>2031</v>
      </c>
      <c r="AI89" s="249">
        <f t="shared" si="5"/>
        <v>2032</v>
      </c>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c r="DU89" s="12"/>
      <c r="DV89" s="12"/>
      <c r="DW89" s="12"/>
      <c r="DX89" s="12"/>
      <c r="DY89" s="12"/>
      <c r="DZ89" s="12"/>
      <c r="EA89" s="12"/>
      <c r="EB89" s="12"/>
      <c r="EC89" s="12"/>
      <c r="ED89" s="12"/>
      <c r="EE89" s="12"/>
      <c r="EF89" s="12"/>
      <c r="EG89" s="12"/>
      <c r="EH89" s="12"/>
      <c r="EI89" s="12"/>
      <c r="EJ89" s="12"/>
      <c r="EK89" s="12"/>
      <c r="EL89" s="12"/>
    </row>
    <row r="90" spans="1:142" s="76" customFormat="1">
      <c r="A90" s="105"/>
      <c r="B90" s="333" t="s">
        <v>3</v>
      </c>
      <c r="C90" s="823"/>
      <c r="D90" s="105"/>
      <c r="E90" s="1627">
        <v>0.41499999999999998</v>
      </c>
      <c r="F90" s="113">
        <f t="shared" ref="F90:AI90" si="6">E90</f>
        <v>0.41499999999999998</v>
      </c>
      <c r="G90" s="113">
        <f t="shared" si="6"/>
        <v>0.41499999999999998</v>
      </c>
      <c r="H90" s="113">
        <f t="shared" si="6"/>
        <v>0.41499999999999998</v>
      </c>
      <c r="I90" s="113">
        <f t="shared" si="6"/>
        <v>0.41499999999999998</v>
      </c>
      <c r="J90" s="113">
        <f t="shared" si="6"/>
        <v>0.41499999999999998</v>
      </c>
      <c r="K90" s="113">
        <f t="shared" si="6"/>
        <v>0.41499999999999998</v>
      </c>
      <c r="L90" s="113">
        <f t="shared" si="6"/>
        <v>0.41499999999999998</v>
      </c>
      <c r="M90" s="113">
        <f t="shared" si="6"/>
        <v>0.41499999999999998</v>
      </c>
      <c r="N90" s="113">
        <f t="shared" si="6"/>
        <v>0.41499999999999998</v>
      </c>
      <c r="O90" s="113">
        <f t="shared" si="6"/>
        <v>0.41499999999999998</v>
      </c>
      <c r="P90" s="113">
        <f t="shared" si="6"/>
        <v>0.41499999999999998</v>
      </c>
      <c r="Q90" s="113">
        <f t="shared" si="6"/>
        <v>0.41499999999999998</v>
      </c>
      <c r="R90" s="113">
        <f t="shared" si="6"/>
        <v>0.41499999999999998</v>
      </c>
      <c r="S90" s="113">
        <f t="shared" si="6"/>
        <v>0.41499999999999998</v>
      </c>
      <c r="T90" s="113">
        <f t="shared" si="6"/>
        <v>0.41499999999999998</v>
      </c>
      <c r="U90" s="113">
        <f t="shared" si="6"/>
        <v>0.41499999999999998</v>
      </c>
      <c r="V90" s="113">
        <f t="shared" si="6"/>
        <v>0.41499999999999998</v>
      </c>
      <c r="W90" s="113">
        <f t="shared" si="6"/>
        <v>0.41499999999999998</v>
      </c>
      <c r="X90" s="113">
        <f t="shared" si="6"/>
        <v>0.41499999999999998</v>
      </c>
      <c r="Y90" s="113">
        <f t="shared" si="6"/>
        <v>0.41499999999999998</v>
      </c>
      <c r="Z90" s="113">
        <f t="shared" si="6"/>
        <v>0.41499999999999998</v>
      </c>
      <c r="AA90" s="113">
        <f t="shared" si="6"/>
        <v>0.41499999999999998</v>
      </c>
      <c r="AB90" s="113">
        <f t="shared" si="6"/>
        <v>0.41499999999999998</v>
      </c>
      <c r="AC90" s="113">
        <f t="shared" si="6"/>
        <v>0.41499999999999998</v>
      </c>
      <c r="AD90" s="113">
        <f t="shared" si="6"/>
        <v>0.41499999999999998</v>
      </c>
      <c r="AE90" s="113">
        <f t="shared" si="6"/>
        <v>0.41499999999999998</v>
      </c>
      <c r="AF90" s="113">
        <f t="shared" si="6"/>
        <v>0.41499999999999998</v>
      </c>
      <c r="AG90" s="113">
        <f t="shared" si="6"/>
        <v>0.41499999999999998</v>
      </c>
      <c r="AH90" s="113">
        <f t="shared" si="6"/>
        <v>0.41499999999999998</v>
      </c>
      <c r="AI90" s="113">
        <f t="shared" si="6"/>
        <v>0.41499999999999998</v>
      </c>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c r="DP90" s="12"/>
      <c r="DQ90" s="12"/>
      <c r="DR90" s="12"/>
      <c r="DS90" s="12"/>
      <c r="DT90" s="12"/>
      <c r="DU90" s="12"/>
      <c r="DV90" s="12"/>
      <c r="DW90" s="12"/>
      <c r="DX90" s="12"/>
      <c r="DY90" s="12"/>
      <c r="DZ90" s="12"/>
      <c r="EA90" s="12"/>
      <c r="EB90" s="12"/>
      <c r="EC90" s="12"/>
      <c r="ED90" s="12"/>
      <c r="EE90" s="12"/>
      <c r="EF90" s="12"/>
      <c r="EG90" s="12"/>
      <c r="EH90" s="12"/>
      <c r="EI90" s="12"/>
      <c r="EJ90" s="12"/>
      <c r="EK90" s="12"/>
      <c r="EL90" s="12"/>
    </row>
    <row r="91" spans="1:142" s="76" customFormat="1">
      <c r="A91" s="105"/>
      <c r="B91" s="105" t="s">
        <v>4</v>
      </c>
      <c r="C91" s="89"/>
      <c r="D91" s="105"/>
      <c r="E91" s="114">
        <v>0</v>
      </c>
      <c r="F91" s="114">
        <f t="shared" ref="F91:AI91" si="7">E91</f>
        <v>0</v>
      </c>
      <c r="G91" s="114">
        <f t="shared" si="7"/>
        <v>0</v>
      </c>
      <c r="H91" s="114">
        <f t="shared" si="7"/>
        <v>0</v>
      </c>
      <c r="I91" s="114">
        <f t="shared" si="7"/>
        <v>0</v>
      </c>
      <c r="J91" s="114">
        <f t="shared" si="7"/>
        <v>0</v>
      </c>
      <c r="K91" s="114">
        <f t="shared" si="7"/>
        <v>0</v>
      </c>
      <c r="L91" s="114">
        <f t="shared" si="7"/>
        <v>0</v>
      </c>
      <c r="M91" s="114">
        <f t="shared" si="7"/>
        <v>0</v>
      </c>
      <c r="N91" s="114">
        <f t="shared" si="7"/>
        <v>0</v>
      </c>
      <c r="O91" s="114">
        <f t="shared" si="7"/>
        <v>0</v>
      </c>
      <c r="P91" s="114">
        <f t="shared" si="7"/>
        <v>0</v>
      </c>
      <c r="Q91" s="114">
        <f t="shared" si="7"/>
        <v>0</v>
      </c>
      <c r="R91" s="114">
        <f t="shared" si="7"/>
        <v>0</v>
      </c>
      <c r="S91" s="114">
        <f t="shared" si="7"/>
        <v>0</v>
      </c>
      <c r="T91" s="114">
        <f t="shared" si="7"/>
        <v>0</v>
      </c>
      <c r="U91" s="114">
        <f t="shared" si="7"/>
        <v>0</v>
      </c>
      <c r="V91" s="114">
        <f t="shared" si="7"/>
        <v>0</v>
      </c>
      <c r="W91" s="114">
        <f t="shared" si="7"/>
        <v>0</v>
      </c>
      <c r="X91" s="114">
        <f t="shared" si="7"/>
        <v>0</v>
      </c>
      <c r="Y91" s="114">
        <f t="shared" si="7"/>
        <v>0</v>
      </c>
      <c r="Z91" s="114">
        <f t="shared" si="7"/>
        <v>0</v>
      </c>
      <c r="AA91" s="114">
        <f t="shared" si="7"/>
        <v>0</v>
      </c>
      <c r="AB91" s="114">
        <f t="shared" si="7"/>
        <v>0</v>
      </c>
      <c r="AC91" s="114">
        <f t="shared" si="7"/>
        <v>0</v>
      </c>
      <c r="AD91" s="114">
        <f t="shared" si="7"/>
        <v>0</v>
      </c>
      <c r="AE91" s="114">
        <f t="shared" si="7"/>
        <v>0</v>
      </c>
      <c r="AF91" s="114">
        <f t="shared" si="7"/>
        <v>0</v>
      </c>
      <c r="AG91" s="114">
        <f t="shared" si="7"/>
        <v>0</v>
      </c>
      <c r="AH91" s="114">
        <f t="shared" si="7"/>
        <v>0</v>
      </c>
      <c r="AI91" s="114">
        <f t="shared" si="7"/>
        <v>0</v>
      </c>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c r="DS91" s="12"/>
      <c r="DT91" s="12"/>
      <c r="DU91" s="12"/>
      <c r="DV91" s="12"/>
      <c r="DW91" s="12"/>
      <c r="DX91" s="12"/>
      <c r="DY91" s="12"/>
      <c r="DZ91" s="12"/>
      <c r="EA91" s="12"/>
      <c r="EB91" s="12"/>
      <c r="EC91" s="12"/>
      <c r="ED91" s="12"/>
      <c r="EE91" s="12"/>
      <c r="EF91" s="12"/>
      <c r="EG91" s="12"/>
      <c r="EH91" s="12"/>
      <c r="EI91" s="12"/>
      <c r="EJ91" s="12"/>
      <c r="EK91" s="12"/>
      <c r="EL91" s="12"/>
    </row>
    <row r="92" spans="1:142" s="76" customFormat="1">
      <c r="A92" s="105"/>
      <c r="B92" s="105" t="s">
        <v>469</v>
      </c>
      <c r="C92" s="89"/>
      <c r="D92" s="105"/>
      <c r="E92" s="114">
        <v>0</v>
      </c>
      <c r="F92" s="114">
        <f t="shared" ref="F92:AI92" si="8">E92</f>
        <v>0</v>
      </c>
      <c r="G92" s="114">
        <f t="shared" si="8"/>
        <v>0</v>
      </c>
      <c r="H92" s="114">
        <f t="shared" si="8"/>
        <v>0</v>
      </c>
      <c r="I92" s="114">
        <f t="shared" si="8"/>
        <v>0</v>
      </c>
      <c r="J92" s="114">
        <f t="shared" si="8"/>
        <v>0</v>
      </c>
      <c r="K92" s="114">
        <f t="shared" si="8"/>
        <v>0</v>
      </c>
      <c r="L92" s="114">
        <f t="shared" si="8"/>
        <v>0</v>
      </c>
      <c r="M92" s="114">
        <f t="shared" si="8"/>
        <v>0</v>
      </c>
      <c r="N92" s="114">
        <f t="shared" si="8"/>
        <v>0</v>
      </c>
      <c r="O92" s="114">
        <f t="shared" si="8"/>
        <v>0</v>
      </c>
      <c r="P92" s="114">
        <f t="shared" si="8"/>
        <v>0</v>
      </c>
      <c r="Q92" s="114">
        <f t="shared" si="8"/>
        <v>0</v>
      </c>
      <c r="R92" s="114">
        <f t="shared" si="8"/>
        <v>0</v>
      </c>
      <c r="S92" s="114">
        <f t="shared" si="8"/>
        <v>0</v>
      </c>
      <c r="T92" s="114">
        <f t="shared" si="8"/>
        <v>0</v>
      </c>
      <c r="U92" s="114">
        <f t="shared" si="8"/>
        <v>0</v>
      </c>
      <c r="V92" s="114">
        <f t="shared" si="8"/>
        <v>0</v>
      </c>
      <c r="W92" s="114">
        <f t="shared" si="8"/>
        <v>0</v>
      </c>
      <c r="X92" s="114">
        <f t="shared" si="8"/>
        <v>0</v>
      </c>
      <c r="Y92" s="114">
        <f t="shared" si="8"/>
        <v>0</v>
      </c>
      <c r="Z92" s="114">
        <f t="shared" si="8"/>
        <v>0</v>
      </c>
      <c r="AA92" s="114">
        <f t="shared" si="8"/>
        <v>0</v>
      </c>
      <c r="AB92" s="114">
        <f t="shared" si="8"/>
        <v>0</v>
      </c>
      <c r="AC92" s="114">
        <f t="shared" si="8"/>
        <v>0</v>
      </c>
      <c r="AD92" s="114">
        <f t="shared" si="8"/>
        <v>0</v>
      </c>
      <c r="AE92" s="114">
        <f t="shared" si="8"/>
        <v>0</v>
      </c>
      <c r="AF92" s="114">
        <f t="shared" si="8"/>
        <v>0</v>
      </c>
      <c r="AG92" s="114">
        <f t="shared" si="8"/>
        <v>0</v>
      </c>
      <c r="AH92" s="114">
        <f t="shared" si="8"/>
        <v>0</v>
      </c>
      <c r="AI92" s="114">
        <f t="shared" si="8"/>
        <v>0</v>
      </c>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2"/>
      <c r="DS92" s="12"/>
      <c r="DT92" s="12"/>
      <c r="DU92" s="12"/>
      <c r="DV92" s="12"/>
      <c r="DW92" s="12"/>
      <c r="DX92" s="12"/>
      <c r="DY92" s="12"/>
      <c r="DZ92" s="12"/>
      <c r="EA92" s="12"/>
      <c r="EB92" s="12"/>
      <c r="EC92" s="12"/>
      <c r="ED92" s="12"/>
      <c r="EE92" s="12"/>
      <c r="EF92" s="12"/>
      <c r="EG92" s="12"/>
      <c r="EH92" s="12"/>
      <c r="EI92" s="12"/>
      <c r="EJ92" s="12"/>
      <c r="EK92" s="12"/>
      <c r="EL92" s="12"/>
    </row>
    <row r="93" spans="1:142" s="76" customFormat="1">
      <c r="A93" s="105"/>
      <c r="B93" s="105" t="s">
        <v>470</v>
      </c>
      <c r="C93" s="89"/>
      <c r="D93" s="105"/>
      <c r="E93" s="114">
        <v>0</v>
      </c>
      <c r="F93" s="114">
        <f t="shared" ref="F93:AI93" si="9">E93</f>
        <v>0</v>
      </c>
      <c r="G93" s="114">
        <f t="shared" si="9"/>
        <v>0</v>
      </c>
      <c r="H93" s="114">
        <f t="shared" si="9"/>
        <v>0</v>
      </c>
      <c r="I93" s="114">
        <f t="shared" si="9"/>
        <v>0</v>
      </c>
      <c r="J93" s="114">
        <f t="shared" si="9"/>
        <v>0</v>
      </c>
      <c r="K93" s="114">
        <f t="shared" si="9"/>
        <v>0</v>
      </c>
      <c r="L93" s="114">
        <f t="shared" si="9"/>
        <v>0</v>
      </c>
      <c r="M93" s="114">
        <f t="shared" si="9"/>
        <v>0</v>
      </c>
      <c r="N93" s="114">
        <f t="shared" si="9"/>
        <v>0</v>
      </c>
      <c r="O93" s="114">
        <f t="shared" si="9"/>
        <v>0</v>
      </c>
      <c r="P93" s="114">
        <f t="shared" si="9"/>
        <v>0</v>
      </c>
      <c r="Q93" s="114">
        <f t="shared" si="9"/>
        <v>0</v>
      </c>
      <c r="R93" s="114">
        <f t="shared" si="9"/>
        <v>0</v>
      </c>
      <c r="S93" s="114">
        <f t="shared" si="9"/>
        <v>0</v>
      </c>
      <c r="T93" s="114">
        <f t="shared" si="9"/>
        <v>0</v>
      </c>
      <c r="U93" s="114">
        <f t="shared" si="9"/>
        <v>0</v>
      </c>
      <c r="V93" s="114">
        <f t="shared" si="9"/>
        <v>0</v>
      </c>
      <c r="W93" s="114">
        <f t="shared" si="9"/>
        <v>0</v>
      </c>
      <c r="X93" s="114">
        <f t="shared" si="9"/>
        <v>0</v>
      </c>
      <c r="Y93" s="114">
        <f t="shared" si="9"/>
        <v>0</v>
      </c>
      <c r="Z93" s="114">
        <f t="shared" si="9"/>
        <v>0</v>
      </c>
      <c r="AA93" s="114">
        <f t="shared" si="9"/>
        <v>0</v>
      </c>
      <c r="AB93" s="114">
        <f t="shared" si="9"/>
        <v>0</v>
      </c>
      <c r="AC93" s="114">
        <f t="shared" si="9"/>
        <v>0</v>
      </c>
      <c r="AD93" s="114">
        <f t="shared" si="9"/>
        <v>0</v>
      </c>
      <c r="AE93" s="114">
        <f t="shared" si="9"/>
        <v>0</v>
      </c>
      <c r="AF93" s="114">
        <f t="shared" si="9"/>
        <v>0</v>
      </c>
      <c r="AG93" s="114">
        <f t="shared" si="9"/>
        <v>0</v>
      </c>
      <c r="AH93" s="114">
        <f t="shared" si="9"/>
        <v>0</v>
      </c>
      <c r="AI93" s="114">
        <f t="shared" si="9"/>
        <v>0</v>
      </c>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c r="CU93" s="12"/>
      <c r="CV93" s="12"/>
      <c r="CW93" s="12"/>
      <c r="CX93" s="12"/>
      <c r="CY93" s="12"/>
      <c r="CZ93" s="12"/>
      <c r="DA93" s="12"/>
      <c r="DB93" s="12"/>
      <c r="DC93" s="12"/>
      <c r="DD93" s="12"/>
      <c r="DE93" s="12"/>
      <c r="DF93" s="12"/>
      <c r="DG93" s="12"/>
      <c r="DH93" s="12"/>
      <c r="DI93" s="12"/>
      <c r="DJ93" s="12"/>
      <c r="DK93" s="12"/>
      <c r="DL93" s="12"/>
      <c r="DM93" s="12"/>
      <c r="DN93" s="12"/>
      <c r="DO93" s="12"/>
      <c r="DP93" s="12"/>
      <c r="DQ93" s="12"/>
      <c r="DR93" s="12"/>
      <c r="DS93" s="12"/>
      <c r="DT93" s="12"/>
      <c r="DU93" s="12"/>
      <c r="DV93" s="12"/>
      <c r="DW93" s="12"/>
      <c r="DX93" s="12"/>
      <c r="DY93" s="12"/>
      <c r="DZ93" s="12"/>
      <c r="EA93" s="12"/>
      <c r="EB93" s="12"/>
      <c r="EC93" s="12"/>
      <c r="ED93" s="12"/>
      <c r="EE93" s="12"/>
      <c r="EF93" s="12"/>
      <c r="EG93" s="12"/>
      <c r="EH93" s="12"/>
      <c r="EI93" s="12"/>
      <c r="EJ93" s="12"/>
      <c r="EK93" s="12"/>
      <c r="EL93" s="12"/>
    </row>
    <row r="94" spans="1:142" s="76" customFormat="1">
      <c r="A94" s="105"/>
      <c r="B94" s="105" t="s">
        <v>471</v>
      </c>
      <c r="C94" s="89"/>
      <c r="D94" s="105"/>
      <c r="E94" s="114">
        <v>0</v>
      </c>
      <c r="F94" s="114">
        <f t="shared" ref="F94:AI94" si="10">E94</f>
        <v>0</v>
      </c>
      <c r="G94" s="114">
        <f t="shared" si="10"/>
        <v>0</v>
      </c>
      <c r="H94" s="114">
        <f t="shared" si="10"/>
        <v>0</v>
      </c>
      <c r="I94" s="114">
        <f t="shared" si="10"/>
        <v>0</v>
      </c>
      <c r="J94" s="114">
        <f t="shared" si="10"/>
        <v>0</v>
      </c>
      <c r="K94" s="114">
        <f t="shared" si="10"/>
        <v>0</v>
      </c>
      <c r="L94" s="114">
        <f t="shared" si="10"/>
        <v>0</v>
      </c>
      <c r="M94" s="114">
        <f t="shared" si="10"/>
        <v>0</v>
      </c>
      <c r="N94" s="114">
        <f t="shared" si="10"/>
        <v>0</v>
      </c>
      <c r="O94" s="114">
        <f t="shared" si="10"/>
        <v>0</v>
      </c>
      <c r="P94" s="114">
        <f t="shared" si="10"/>
        <v>0</v>
      </c>
      <c r="Q94" s="114">
        <f t="shared" si="10"/>
        <v>0</v>
      </c>
      <c r="R94" s="114">
        <f t="shared" si="10"/>
        <v>0</v>
      </c>
      <c r="S94" s="114">
        <f t="shared" si="10"/>
        <v>0</v>
      </c>
      <c r="T94" s="114">
        <f t="shared" si="10"/>
        <v>0</v>
      </c>
      <c r="U94" s="114">
        <f t="shared" si="10"/>
        <v>0</v>
      </c>
      <c r="V94" s="114">
        <f t="shared" si="10"/>
        <v>0</v>
      </c>
      <c r="W94" s="114">
        <f t="shared" si="10"/>
        <v>0</v>
      </c>
      <c r="X94" s="114">
        <f t="shared" si="10"/>
        <v>0</v>
      </c>
      <c r="Y94" s="114">
        <f t="shared" si="10"/>
        <v>0</v>
      </c>
      <c r="Z94" s="114">
        <f t="shared" si="10"/>
        <v>0</v>
      </c>
      <c r="AA94" s="114">
        <f t="shared" si="10"/>
        <v>0</v>
      </c>
      <c r="AB94" s="114">
        <f t="shared" si="10"/>
        <v>0</v>
      </c>
      <c r="AC94" s="114">
        <f t="shared" si="10"/>
        <v>0</v>
      </c>
      <c r="AD94" s="114">
        <f t="shared" si="10"/>
        <v>0</v>
      </c>
      <c r="AE94" s="114">
        <f t="shared" si="10"/>
        <v>0</v>
      </c>
      <c r="AF94" s="114">
        <f t="shared" si="10"/>
        <v>0</v>
      </c>
      <c r="AG94" s="114">
        <f t="shared" si="10"/>
        <v>0</v>
      </c>
      <c r="AH94" s="114">
        <f t="shared" si="10"/>
        <v>0</v>
      </c>
      <c r="AI94" s="114">
        <f t="shared" si="10"/>
        <v>0</v>
      </c>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s="12"/>
      <c r="CT94" s="12"/>
      <c r="CU94" s="12"/>
      <c r="CV94" s="12"/>
      <c r="CW94" s="12"/>
      <c r="CX94" s="12"/>
      <c r="CY94" s="12"/>
      <c r="CZ94" s="12"/>
      <c r="DA94" s="12"/>
      <c r="DB94" s="12"/>
      <c r="DC94" s="12"/>
      <c r="DD94" s="12"/>
      <c r="DE94" s="12"/>
      <c r="DF94" s="12"/>
      <c r="DG94" s="12"/>
      <c r="DH94" s="12"/>
      <c r="DI94" s="12"/>
      <c r="DJ94" s="12"/>
      <c r="DK94" s="12"/>
      <c r="DL94" s="12"/>
      <c r="DM94" s="12"/>
      <c r="DN94" s="12"/>
      <c r="DO94" s="12"/>
      <c r="DP94" s="12"/>
      <c r="DQ94" s="12"/>
      <c r="DR94" s="12"/>
      <c r="DS94" s="12"/>
      <c r="DT94" s="12"/>
      <c r="DU94" s="12"/>
      <c r="DV94" s="12"/>
      <c r="DW94" s="12"/>
      <c r="DX94" s="12"/>
      <c r="DY94" s="12"/>
      <c r="DZ94" s="12"/>
      <c r="EA94" s="12"/>
      <c r="EB94" s="12"/>
      <c r="EC94" s="12"/>
      <c r="ED94" s="12"/>
      <c r="EE94" s="12"/>
      <c r="EF94" s="12"/>
      <c r="EG94" s="12"/>
      <c r="EH94" s="12"/>
      <c r="EI94" s="12"/>
      <c r="EJ94" s="12"/>
      <c r="EK94" s="12"/>
      <c r="EL94" s="12"/>
    </row>
    <row r="95" spans="1:142" s="76" customFormat="1">
      <c r="A95" s="105"/>
      <c r="B95" s="105" t="s">
        <v>5</v>
      </c>
      <c r="C95" s="89"/>
      <c r="D95" s="105"/>
      <c r="E95" s="114">
        <v>0</v>
      </c>
      <c r="F95" s="114">
        <f t="shared" ref="F95:AI95" si="11">E95</f>
        <v>0</v>
      </c>
      <c r="G95" s="114">
        <f t="shared" si="11"/>
        <v>0</v>
      </c>
      <c r="H95" s="114">
        <f t="shared" si="11"/>
        <v>0</v>
      </c>
      <c r="I95" s="114">
        <f t="shared" si="11"/>
        <v>0</v>
      </c>
      <c r="J95" s="114">
        <f t="shared" si="11"/>
        <v>0</v>
      </c>
      <c r="K95" s="114">
        <f t="shared" si="11"/>
        <v>0</v>
      </c>
      <c r="L95" s="114">
        <f t="shared" si="11"/>
        <v>0</v>
      </c>
      <c r="M95" s="114">
        <f t="shared" si="11"/>
        <v>0</v>
      </c>
      <c r="N95" s="114">
        <f t="shared" si="11"/>
        <v>0</v>
      </c>
      <c r="O95" s="114">
        <f t="shared" si="11"/>
        <v>0</v>
      </c>
      <c r="P95" s="114">
        <f t="shared" si="11"/>
        <v>0</v>
      </c>
      <c r="Q95" s="114">
        <f t="shared" si="11"/>
        <v>0</v>
      </c>
      <c r="R95" s="114">
        <f t="shared" si="11"/>
        <v>0</v>
      </c>
      <c r="S95" s="114">
        <f t="shared" si="11"/>
        <v>0</v>
      </c>
      <c r="T95" s="114">
        <f t="shared" si="11"/>
        <v>0</v>
      </c>
      <c r="U95" s="114">
        <f t="shared" si="11"/>
        <v>0</v>
      </c>
      <c r="V95" s="114">
        <f t="shared" si="11"/>
        <v>0</v>
      </c>
      <c r="W95" s="114">
        <f t="shared" si="11"/>
        <v>0</v>
      </c>
      <c r="X95" s="114">
        <f t="shared" si="11"/>
        <v>0</v>
      </c>
      <c r="Y95" s="114">
        <f t="shared" si="11"/>
        <v>0</v>
      </c>
      <c r="Z95" s="114">
        <f t="shared" si="11"/>
        <v>0</v>
      </c>
      <c r="AA95" s="114">
        <f t="shared" si="11"/>
        <v>0</v>
      </c>
      <c r="AB95" s="114">
        <f t="shared" si="11"/>
        <v>0</v>
      </c>
      <c r="AC95" s="114">
        <f t="shared" si="11"/>
        <v>0</v>
      </c>
      <c r="AD95" s="114">
        <f t="shared" si="11"/>
        <v>0</v>
      </c>
      <c r="AE95" s="114">
        <f t="shared" si="11"/>
        <v>0</v>
      </c>
      <c r="AF95" s="114">
        <f t="shared" si="11"/>
        <v>0</v>
      </c>
      <c r="AG95" s="114">
        <f t="shared" si="11"/>
        <v>0</v>
      </c>
      <c r="AH95" s="114">
        <f t="shared" si="11"/>
        <v>0</v>
      </c>
      <c r="AI95" s="114">
        <f t="shared" si="11"/>
        <v>0</v>
      </c>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c r="CU95" s="12"/>
      <c r="CV95" s="12"/>
      <c r="CW95" s="12"/>
      <c r="CX95" s="12"/>
      <c r="CY95" s="12"/>
      <c r="CZ95" s="12"/>
      <c r="DA95" s="12"/>
      <c r="DB95" s="12"/>
      <c r="DC95" s="12"/>
      <c r="DD95" s="12"/>
      <c r="DE95" s="12"/>
      <c r="DF95" s="12"/>
      <c r="DG95" s="12"/>
      <c r="DH95" s="12"/>
      <c r="DI95" s="12"/>
      <c r="DJ95" s="12"/>
      <c r="DK95" s="12"/>
      <c r="DL95" s="12"/>
      <c r="DM95" s="12"/>
      <c r="DN95" s="12"/>
      <c r="DO95" s="12"/>
      <c r="DP95" s="12"/>
      <c r="DQ95" s="12"/>
      <c r="DR95" s="12"/>
      <c r="DS95" s="12"/>
      <c r="DT95" s="12"/>
      <c r="DU95" s="12"/>
      <c r="DV95" s="12"/>
      <c r="DW95" s="12"/>
      <c r="DX95" s="12"/>
      <c r="DY95" s="12"/>
      <c r="DZ95" s="12"/>
      <c r="EA95" s="12"/>
      <c r="EB95" s="12"/>
      <c r="EC95" s="12"/>
      <c r="ED95" s="12"/>
      <c r="EE95" s="12"/>
      <c r="EF95" s="12"/>
      <c r="EG95" s="12"/>
      <c r="EH95" s="12"/>
      <c r="EI95" s="12"/>
      <c r="EJ95" s="12"/>
      <c r="EK95" s="12"/>
      <c r="EL95" s="12"/>
    </row>
    <row r="96" spans="1:142" s="76" customFormat="1">
      <c r="A96" s="105"/>
      <c r="B96" s="105" t="s">
        <v>472</v>
      </c>
      <c r="C96" s="89"/>
      <c r="D96" s="105"/>
      <c r="E96" s="114">
        <v>0</v>
      </c>
      <c r="F96" s="114">
        <f t="shared" ref="F96:AI96" si="12">E96</f>
        <v>0</v>
      </c>
      <c r="G96" s="114">
        <f t="shared" si="12"/>
        <v>0</v>
      </c>
      <c r="H96" s="114">
        <f t="shared" si="12"/>
        <v>0</v>
      </c>
      <c r="I96" s="114">
        <f t="shared" si="12"/>
        <v>0</v>
      </c>
      <c r="J96" s="114">
        <f t="shared" si="12"/>
        <v>0</v>
      </c>
      <c r="K96" s="114">
        <f t="shared" si="12"/>
        <v>0</v>
      </c>
      <c r="L96" s="114">
        <f t="shared" si="12"/>
        <v>0</v>
      </c>
      <c r="M96" s="114">
        <f t="shared" si="12"/>
        <v>0</v>
      </c>
      <c r="N96" s="114">
        <f t="shared" si="12"/>
        <v>0</v>
      </c>
      <c r="O96" s="114">
        <f t="shared" si="12"/>
        <v>0</v>
      </c>
      <c r="P96" s="114">
        <f t="shared" si="12"/>
        <v>0</v>
      </c>
      <c r="Q96" s="114">
        <f t="shared" si="12"/>
        <v>0</v>
      </c>
      <c r="R96" s="114">
        <f t="shared" si="12"/>
        <v>0</v>
      </c>
      <c r="S96" s="114">
        <f t="shared" si="12"/>
        <v>0</v>
      </c>
      <c r="T96" s="114">
        <f t="shared" si="12"/>
        <v>0</v>
      </c>
      <c r="U96" s="114">
        <f t="shared" si="12"/>
        <v>0</v>
      </c>
      <c r="V96" s="114">
        <f t="shared" si="12"/>
        <v>0</v>
      </c>
      <c r="W96" s="114">
        <f t="shared" si="12"/>
        <v>0</v>
      </c>
      <c r="X96" s="114">
        <f t="shared" si="12"/>
        <v>0</v>
      </c>
      <c r="Y96" s="114">
        <f t="shared" si="12"/>
        <v>0</v>
      </c>
      <c r="Z96" s="114">
        <f t="shared" si="12"/>
        <v>0</v>
      </c>
      <c r="AA96" s="114">
        <f t="shared" si="12"/>
        <v>0</v>
      </c>
      <c r="AB96" s="114">
        <f t="shared" si="12"/>
        <v>0</v>
      </c>
      <c r="AC96" s="114">
        <f t="shared" si="12"/>
        <v>0</v>
      </c>
      <c r="AD96" s="114">
        <f t="shared" si="12"/>
        <v>0</v>
      </c>
      <c r="AE96" s="114">
        <f t="shared" si="12"/>
        <v>0</v>
      </c>
      <c r="AF96" s="114">
        <f t="shared" si="12"/>
        <v>0</v>
      </c>
      <c r="AG96" s="114">
        <f t="shared" si="12"/>
        <v>0</v>
      </c>
      <c r="AH96" s="114">
        <f t="shared" si="12"/>
        <v>0</v>
      </c>
      <c r="AI96" s="114">
        <f t="shared" si="12"/>
        <v>0</v>
      </c>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c r="CU96" s="12"/>
      <c r="CV96" s="12"/>
      <c r="CW96" s="12"/>
      <c r="CX96" s="12"/>
      <c r="CY96" s="12"/>
      <c r="CZ96" s="12"/>
      <c r="DA96" s="12"/>
      <c r="DB96" s="12"/>
      <c r="DC96" s="12"/>
      <c r="DD96" s="12"/>
      <c r="DE96" s="12"/>
      <c r="DF96" s="12"/>
      <c r="DG96" s="12"/>
      <c r="DH96" s="12"/>
      <c r="DI96" s="12"/>
      <c r="DJ96" s="12"/>
      <c r="DK96" s="12"/>
      <c r="DL96" s="12"/>
      <c r="DM96" s="12"/>
      <c r="DN96" s="12"/>
      <c r="DO96" s="12"/>
      <c r="DP96" s="12"/>
      <c r="DQ96" s="12"/>
      <c r="DR96" s="12"/>
      <c r="DS96" s="12"/>
      <c r="DT96" s="12"/>
      <c r="DU96" s="12"/>
      <c r="DV96" s="12"/>
      <c r="DW96" s="12"/>
      <c r="DX96" s="12"/>
      <c r="DY96" s="12"/>
      <c r="DZ96" s="12"/>
      <c r="EA96" s="12"/>
      <c r="EB96" s="12"/>
      <c r="EC96" s="12"/>
      <c r="ED96" s="12"/>
      <c r="EE96" s="12"/>
      <c r="EF96" s="12"/>
      <c r="EG96" s="12"/>
      <c r="EH96" s="12"/>
      <c r="EI96" s="12"/>
      <c r="EJ96" s="12"/>
      <c r="EK96" s="12"/>
      <c r="EL96" s="12"/>
    </row>
    <row r="97" spans="1:142" s="76" customFormat="1">
      <c r="A97" s="105"/>
      <c r="B97" s="105" t="s">
        <v>6</v>
      </c>
      <c r="C97" s="89"/>
      <c r="D97" s="105"/>
      <c r="E97" s="114">
        <v>0</v>
      </c>
      <c r="F97" s="114">
        <f t="shared" ref="F97:AI97" si="13">E97</f>
        <v>0</v>
      </c>
      <c r="G97" s="114">
        <f t="shared" si="13"/>
        <v>0</v>
      </c>
      <c r="H97" s="114">
        <f t="shared" si="13"/>
        <v>0</v>
      </c>
      <c r="I97" s="114">
        <f t="shared" si="13"/>
        <v>0</v>
      </c>
      <c r="J97" s="114">
        <f t="shared" si="13"/>
        <v>0</v>
      </c>
      <c r="K97" s="114">
        <f t="shared" si="13"/>
        <v>0</v>
      </c>
      <c r="L97" s="114">
        <f t="shared" si="13"/>
        <v>0</v>
      </c>
      <c r="M97" s="114">
        <f t="shared" si="13"/>
        <v>0</v>
      </c>
      <c r="N97" s="114">
        <f t="shared" si="13"/>
        <v>0</v>
      </c>
      <c r="O97" s="114">
        <f t="shared" si="13"/>
        <v>0</v>
      </c>
      <c r="P97" s="114">
        <f t="shared" si="13"/>
        <v>0</v>
      </c>
      <c r="Q97" s="114">
        <f t="shared" si="13"/>
        <v>0</v>
      </c>
      <c r="R97" s="114">
        <f t="shared" si="13"/>
        <v>0</v>
      </c>
      <c r="S97" s="114">
        <f t="shared" si="13"/>
        <v>0</v>
      </c>
      <c r="T97" s="114">
        <f t="shared" si="13"/>
        <v>0</v>
      </c>
      <c r="U97" s="114">
        <f t="shared" si="13"/>
        <v>0</v>
      </c>
      <c r="V97" s="114">
        <f t="shared" si="13"/>
        <v>0</v>
      </c>
      <c r="W97" s="114">
        <f t="shared" si="13"/>
        <v>0</v>
      </c>
      <c r="X97" s="114">
        <f t="shared" si="13"/>
        <v>0</v>
      </c>
      <c r="Y97" s="114">
        <f t="shared" si="13"/>
        <v>0</v>
      </c>
      <c r="Z97" s="114">
        <f t="shared" si="13"/>
        <v>0</v>
      </c>
      <c r="AA97" s="114">
        <f t="shared" si="13"/>
        <v>0</v>
      </c>
      <c r="AB97" s="114">
        <f t="shared" si="13"/>
        <v>0</v>
      </c>
      <c r="AC97" s="114">
        <f t="shared" si="13"/>
        <v>0</v>
      </c>
      <c r="AD97" s="114">
        <f t="shared" si="13"/>
        <v>0</v>
      </c>
      <c r="AE97" s="114">
        <f t="shared" si="13"/>
        <v>0</v>
      </c>
      <c r="AF97" s="114">
        <f t="shared" si="13"/>
        <v>0</v>
      </c>
      <c r="AG97" s="114">
        <f t="shared" si="13"/>
        <v>0</v>
      </c>
      <c r="AH97" s="114">
        <f t="shared" si="13"/>
        <v>0</v>
      </c>
      <c r="AI97" s="114">
        <f t="shared" si="13"/>
        <v>0</v>
      </c>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c r="DS97" s="12"/>
      <c r="DT97" s="12"/>
      <c r="DU97" s="12"/>
      <c r="DV97" s="12"/>
      <c r="DW97" s="12"/>
      <c r="DX97" s="12"/>
      <c r="DY97" s="12"/>
      <c r="DZ97" s="12"/>
      <c r="EA97" s="12"/>
      <c r="EB97" s="12"/>
      <c r="EC97" s="12"/>
      <c r="ED97" s="12"/>
      <c r="EE97" s="12"/>
      <c r="EF97" s="12"/>
      <c r="EG97" s="12"/>
      <c r="EH97" s="12"/>
      <c r="EI97" s="12"/>
      <c r="EJ97" s="12"/>
      <c r="EK97" s="12"/>
      <c r="EL97" s="12"/>
    </row>
    <row r="98" spans="1:142" s="76" customFormat="1">
      <c r="A98" s="105"/>
      <c r="B98" s="105" t="s">
        <v>340</v>
      </c>
      <c r="C98" s="89"/>
      <c r="D98" s="105"/>
      <c r="E98" s="115">
        <v>0</v>
      </c>
      <c r="F98" s="114">
        <f t="shared" ref="F98:AI98" si="14">E98</f>
        <v>0</v>
      </c>
      <c r="G98" s="114">
        <f t="shared" si="14"/>
        <v>0</v>
      </c>
      <c r="H98" s="114">
        <f t="shared" si="14"/>
        <v>0</v>
      </c>
      <c r="I98" s="114">
        <f t="shared" si="14"/>
        <v>0</v>
      </c>
      <c r="J98" s="114">
        <f t="shared" si="14"/>
        <v>0</v>
      </c>
      <c r="K98" s="114">
        <f t="shared" si="14"/>
        <v>0</v>
      </c>
      <c r="L98" s="114">
        <f t="shared" si="14"/>
        <v>0</v>
      </c>
      <c r="M98" s="114">
        <f t="shared" si="14"/>
        <v>0</v>
      </c>
      <c r="N98" s="114">
        <f t="shared" si="14"/>
        <v>0</v>
      </c>
      <c r="O98" s="114">
        <f t="shared" si="14"/>
        <v>0</v>
      </c>
      <c r="P98" s="114">
        <f t="shared" si="14"/>
        <v>0</v>
      </c>
      <c r="Q98" s="114">
        <f t="shared" si="14"/>
        <v>0</v>
      </c>
      <c r="R98" s="114">
        <f t="shared" si="14"/>
        <v>0</v>
      </c>
      <c r="S98" s="114">
        <f t="shared" si="14"/>
        <v>0</v>
      </c>
      <c r="T98" s="114">
        <f t="shared" si="14"/>
        <v>0</v>
      </c>
      <c r="U98" s="114">
        <f t="shared" si="14"/>
        <v>0</v>
      </c>
      <c r="V98" s="114">
        <f t="shared" si="14"/>
        <v>0</v>
      </c>
      <c r="W98" s="114">
        <f t="shared" si="14"/>
        <v>0</v>
      </c>
      <c r="X98" s="114">
        <f t="shared" si="14"/>
        <v>0</v>
      </c>
      <c r="Y98" s="114">
        <f t="shared" si="14"/>
        <v>0</v>
      </c>
      <c r="Z98" s="114">
        <f t="shared" si="14"/>
        <v>0</v>
      </c>
      <c r="AA98" s="114">
        <f t="shared" si="14"/>
        <v>0</v>
      </c>
      <c r="AB98" s="114">
        <f t="shared" si="14"/>
        <v>0</v>
      </c>
      <c r="AC98" s="114">
        <f t="shared" si="14"/>
        <v>0</v>
      </c>
      <c r="AD98" s="114">
        <f t="shared" si="14"/>
        <v>0</v>
      </c>
      <c r="AE98" s="114">
        <f t="shared" si="14"/>
        <v>0</v>
      </c>
      <c r="AF98" s="114">
        <f t="shared" si="14"/>
        <v>0</v>
      </c>
      <c r="AG98" s="114">
        <f t="shared" si="14"/>
        <v>0</v>
      </c>
      <c r="AH98" s="114">
        <f t="shared" si="14"/>
        <v>0</v>
      </c>
      <c r="AI98" s="114">
        <f t="shared" si="14"/>
        <v>0</v>
      </c>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c r="CU98" s="12"/>
      <c r="CV98" s="12"/>
      <c r="CW98" s="12"/>
      <c r="CX98" s="12"/>
      <c r="CY98" s="12"/>
      <c r="CZ98" s="12"/>
      <c r="DA98" s="12"/>
      <c r="DB98" s="12"/>
      <c r="DC98" s="12"/>
      <c r="DD98" s="12"/>
      <c r="DE98" s="12"/>
      <c r="DF98" s="12"/>
      <c r="DG98" s="12"/>
      <c r="DH98" s="12"/>
      <c r="DI98" s="12"/>
      <c r="DJ98" s="12"/>
      <c r="DK98" s="12"/>
      <c r="DL98" s="12"/>
      <c r="DM98" s="12"/>
      <c r="DN98" s="12"/>
      <c r="DO98" s="12"/>
      <c r="DP98" s="12"/>
      <c r="DQ98" s="12"/>
      <c r="DR98" s="12"/>
      <c r="DS98" s="12"/>
      <c r="DT98" s="12"/>
      <c r="DU98" s="12"/>
      <c r="DV98" s="12"/>
      <c r="DW98" s="12"/>
      <c r="DX98" s="12"/>
      <c r="DY98" s="12"/>
      <c r="DZ98" s="12"/>
      <c r="EA98" s="12"/>
      <c r="EB98" s="12"/>
      <c r="EC98" s="12"/>
      <c r="ED98" s="12"/>
      <c r="EE98" s="12"/>
      <c r="EF98" s="12"/>
      <c r="EG98" s="12"/>
      <c r="EH98" s="12"/>
      <c r="EI98" s="12"/>
      <c r="EJ98" s="12"/>
      <c r="EK98" s="12"/>
      <c r="EL98" s="12"/>
    </row>
    <row r="99" spans="1:142" s="76" customFormat="1">
      <c r="A99" s="105"/>
      <c r="B99" s="61" t="s">
        <v>341</v>
      </c>
      <c r="C99" s="69"/>
      <c r="D99" s="105"/>
      <c r="E99" s="116">
        <f t="shared" ref="E99:AI99" si="15">E$90*(1+E$91)*(1+E$92)*(1+E$93)*(1+E$94)*(1+E$95)*(1+E$96)*(1+E$97)*(1+E98)</f>
        <v>0.41499999999999998</v>
      </c>
      <c r="F99" s="116">
        <f t="shared" si="15"/>
        <v>0.41499999999999998</v>
      </c>
      <c r="G99" s="116">
        <f t="shared" si="15"/>
        <v>0.41499999999999998</v>
      </c>
      <c r="H99" s="116">
        <f t="shared" si="15"/>
        <v>0.41499999999999998</v>
      </c>
      <c r="I99" s="116">
        <f t="shared" si="15"/>
        <v>0.41499999999999998</v>
      </c>
      <c r="J99" s="116">
        <f t="shared" si="15"/>
        <v>0.41499999999999998</v>
      </c>
      <c r="K99" s="116">
        <f t="shared" si="15"/>
        <v>0.41499999999999998</v>
      </c>
      <c r="L99" s="116">
        <f t="shared" si="15"/>
        <v>0.41499999999999998</v>
      </c>
      <c r="M99" s="116">
        <f t="shared" si="15"/>
        <v>0.41499999999999998</v>
      </c>
      <c r="N99" s="116">
        <f t="shared" si="15"/>
        <v>0.41499999999999998</v>
      </c>
      <c r="O99" s="116">
        <f t="shared" si="15"/>
        <v>0.41499999999999998</v>
      </c>
      <c r="P99" s="116">
        <f t="shared" si="15"/>
        <v>0.41499999999999998</v>
      </c>
      <c r="Q99" s="116">
        <f t="shared" si="15"/>
        <v>0.41499999999999998</v>
      </c>
      <c r="R99" s="116">
        <f t="shared" si="15"/>
        <v>0.41499999999999998</v>
      </c>
      <c r="S99" s="116">
        <f t="shared" si="15"/>
        <v>0.41499999999999998</v>
      </c>
      <c r="T99" s="116">
        <f t="shared" si="15"/>
        <v>0.41499999999999998</v>
      </c>
      <c r="U99" s="116">
        <f t="shared" si="15"/>
        <v>0.41499999999999998</v>
      </c>
      <c r="V99" s="116">
        <f t="shared" si="15"/>
        <v>0.41499999999999998</v>
      </c>
      <c r="W99" s="116">
        <f t="shared" si="15"/>
        <v>0.41499999999999998</v>
      </c>
      <c r="X99" s="116">
        <f t="shared" si="15"/>
        <v>0.41499999999999998</v>
      </c>
      <c r="Y99" s="116">
        <f t="shared" si="15"/>
        <v>0.41499999999999998</v>
      </c>
      <c r="Z99" s="116">
        <f t="shared" si="15"/>
        <v>0.41499999999999998</v>
      </c>
      <c r="AA99" s="116">
        <f t="shared" si="15"/>
        <v>0.41499999999999998</v>
      </c>
      <c r="AB99" s="116">
        <f t="shared" si="15"/>
        <v>0.41499999999999998</v>
      </c>
      <c r="AC99" s="116">
        <f t="shared" si="15"/>
        <v>0.41499999999999998</v>
      </c>
      <c r="AD99" s="116">
        <f t="shared" si="15"/>
        <v>0.41499999999999998</v>
      </c>
      <c r="AE99" s="116">
        <f t="shared" si="15"/>
        <v>0.41499999999999998</v>
      </c>
      <c r="AF99" s="116">
        <f t="shared" si="15"/>
        <v>0.41499999999999998</v>
      </c>
      <c r="AG99" s="116">
        <f t="shared" si="15"/>
        <v>0.41499999999999998</v>
      </c>
      <c r="AH99" s="116">
        <f t="shared" si="15"/>
        <v>0.41499999999999998</v>
      </c>
      <c r="AI99" s="116">
        <f t="shared" si="15"/>
        <v>0.41499999999999998</v>
      </c>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c r="CU99" s="12"/>
      <c r="CV99" s="12"/>
      <c r="CW99" s="12"/>
      <c r="CX99" s="12"/>
      <c r="CY99" s="12"/>
      <c r="CZ99" s="12"/>
      <c r="DA99" s="12"/>
      <c r="DB99" s="12"/>
      <c r="DC99" s="12"/>
      <c r="DD99" s="12"/>
      <c r="DE99" s="12"/>
      <c r="DF99" s="12"/>
      <c r="DG99" s="12"/>
      <c r="DH99" s="12"/>
      <c r="DI99" s="12"/>
      <c r="DJ99" s="12"/>
      <c r="DK99" s="12"/>
      <c r="DL99" s="12"/>
      <c r="DM99" s="12"/>
      <c r="DN99" s="12"/>
      <c r="DO99" s="12"/>
      <c r="DP99" s="12"/>
      <c r="DQ99" s="12"/>
      <c r="DR99" s="12"/>
      <c r="DS99" s="12"/>
      <c r="DT99" s="12"/>
      <c r="DU99" s="12"/>
      <c r="DV99" s="12"/>
      <c r="DW99" s="12"/>
      <c r="DX99" s="12"/>
      <c r="DY99" s="12"/>
      <c r="DZ99" s="12"/>
      <c r="EA99" s="12"/>
      <c r="EB99" s="12"/>
      <c r="EC99" s="12"/>
      <c r="ED99" s="12"/>
      <c r="EE99" s="12"/>
      <c r="EF99" s="12"/>
      <c r="EG99" s="12"/>
      <c r="EH99" s="12"/>
      <c r="EI99" s="12"/>
      <c r="EJ99" s="12"/>
      <c r="EK99" s="12"/>
      <c r="EL99" s="12"/>
    </row>
    <row r="100" spans="1:142" s="76" customFormat="1">
      <c r="A100" s="105"/>
      <c r="B100" s="105"/>
      <c r="C100" s="89"/>
      <c r="D100" s="105"/>
      <c r="E100" s="108"/>
      <c r="F100" s="108"/>
      <c r="G100" s="111"/>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s="12"/>
      <c r="CT100" s="12"/>
      <c r="CU100" s="12"/>
      <c r="CV100" s="12"/>
      <c r="CW100" s="12"/>
      <c r="CX100" s="12"/>
      <c r="CY100" s="12"/>
      <c r="CZ100" s="12"/>
      <c r="DA100" s="12"/>
      <c r="DB100" s="12"/>
      <c r="DC100" s="12"/>
      <c r="DD100" s="12"/>
      <c r="DE100" s="12"/>
      <c r="DF100" s="12"/>
      <c r="DG100" s="12"/>
      <c r="DH100" s="12"/>
      <c r="DI100" s="12"/>
      <c r="DJ100" s="12"/>
      <c r="DK100" s="12"/>
      <c r="DL100" s="12"/>
      <c r="DM100" s="12"/>
      <c r="DN100" s="12"/>
      <c r="DO100" s="12"/>
      <c r="DP100" s="12"/>
      <c r="DQ100" s="12"/>
      <c r="DR100" s="12"/>
      <c r="DS100" s="12"/>
      <c r="DT100" s="12"/>
      <c r="DU100" s="12"/>
      <c r="DV100" s="12"/>
      <c r="DW100" s="12"/>
      <c r="DX100" s="12"/>
      <c r="DY100" s="12"/>
      <c r="DZ100" s="12"/>
      <c r="EA100" s="12"/>
      <c r="EB100" s="12"/>
      <c r="EC100" s="12"/>
      <c r="ED100" s="12"/>
      <c r="EE100" s="12"/>
      <c r="EF100" s="12"/>
      <c r="EG100" s="12"/>
      <c r="EH100" s="12"/>
      <c r="EI100" s="12"/>
      <c r="EJ100" s="12"/>
      <c r="EK100" s="12"/>
      <c r="EL100" s="12"/>
    </row>
    <row r="101" spans="1:142" s="76" customFormat="1">
      <c r="A101" s="105"/>
      <c r="B101" s="105" t="s">
        <v>622</v>
      </c>
      <c r="C101" s="89"/>
      <c r="D101" s="105"/>
      <c r="E101" s="296">
        <v>1</v>
      </c>
      <c r="F101" s="296">
        <f t="shared" ref="F101:AI101" si="16">E101</f>
        <v>1</v>
      </c>
      <c r="G101" s="296">
        <f t="shared" si="16"/>
        <v>1</v>
      </c>
      <c r="H101" s="296">
        <f t="shared" si="16"/>
        <v>1</v>
      </c>
      <c r="I101" s="296">
        <f t="shared" si="16"/>
        <v>1</v>
      </c>
      <c r="J101" s="296">
        <f t="shared" si="16"/>
        <v>1</v>
      </c>
      <c r="K101" s="296">
        <f t="shared" si="16"/>
        <v>1</v>
      </c>
      <c r="L101" s="296">
        <f t="shared" si="16"/>
        <v>1</v>
      </c>
      <c r="M101" s="296">
        <f t="shared" si="16"/>
        <v>1</v>
      </c>
      <c r="N101" s="296">
        <f t="shared" si="16"/>
        <v>1</v>
      </c>
      <c r="O101" s="296">
        <f t="shared" si="16"/>
        <v>1</v>
      </c>
      <c r="P101" s="296">
        <f t="shared" si="16"/>
        <v>1</v>
      </c>
      <c r="Q101" s="296">
        <f t="shared" si="16"/>
        <v>1</v>
      </c>
      <c r="R101" s="296">
        <f t="shared" si="16"/>
        <v>1</v>
      </c>
      <c r="S101" s="296">
        <f t="shared" si="16"/>
        <v>1</v>
      </c>
      <c r="T101" s="296">
        <f t="shared" si="16"/>
        <v>1</v>
      </c>
      <c r="U101" s="296">
        <f t="shared" si="16"/>
        <v>1</v>
      </c>
      <c r="V101" s="296">
        <f t="shared" si="16"/>
        <v>1</v>
      </c>
      <c r="W101" s="296">
        <f t="shared" si="16"/>
        <v>1</v>
      </c>
      <c r="X101" s="296">
        <f t="shared" si="16"/>
        <v>1</v>
      </c>
      <c r="Y101" s="296">
        <f t="shared" si="16"/>
        <v>1</v>
      </c>
      <c r="Z101" s="296">
        <f t="shared" si="16"/>
        <v>1</v>
      </c>
      <c r="AA101" s="296">
        <f t="shared" si="16"/>
        <v>1</v>
      </c>
      <c r="AB101" s="296">
        <f t="shared" si="16"/>
        <v>1</v>
      </c>
      <c r="AC101" s="296">
        <f t="shared" si="16"/>
        <v>1</v>
      </c>
      <c r="AD101" s="296">
        <f t="shared" si="16"/>
        <v>1</v>
      </c>
      <c r="AE101" s="296">
        <f t="shared" si="16"/>
        <v>1</v>
      </c>
      <c r="AF101" s="296">
        <f t="shared" si="16"/>
        <v>1</v>
      </c>
      <c r="AG101" s="296">
        <f t="shared" si="16"/>
        <v>1</v>
      </c>
      <c r="AH101" s="296">
        <f t="shared" si="16"/>
        <v>1</v>
      </c>
      <c r="AI101" s="296">
        <f t="shared" si="16"/>
        <v>1</v>
      </c>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2"/>
      <c r="CO101" s="12"/>
      <c r="CP101" s="12"/>
      <c r="CQ101" s="12"/>
      <c r="CR101" s="12"/>
      <c r="CS101" s="12"/>
      <c r="CT101" s="12"/>
      <c r="CU101" s="12"/>
      <c r="CV101" s="12"/>
      <c r="CW101" s="12"/>
      <c r="CX101" s="12"/>
      <c r="CY101" s="12"/>
      <c r="CZ101" s="12"/>
      <c r="DA101" s="12"/>
      <c r="DB101" s="12"/>
      <c r="DC101" s="12"/>
      <c r="DD101" s="12"/>
      <c r="DE101" s="12"/>
      <c r="DF101" s="12"/>
      <c r="DG101" s="12"/>
      <c r="DH101" s="12"/>
      <c r="DI101" s="12"/>
      <c r="DJ101" s="12"/>
      <c r="DK101" s="12"/>
      <c r="DL101" s="12"/>
      <c r="DM101" s="12"/>
      <c r="DN101" s="12"/>
      <c r="DO101" s="12"/>
      <c r="DP101" s="12"/>
      <c r="DQ101" s="12"/>
      <c r="DR101" s="12"/>
      <c r="DS101" s="12"/>
      <c r="DT101" s="12"/>
      <c r="DU101" s="12"/>
      <c r="DV101" s="12"/>
      <c r="DW101" s="12"/>
      <c r="DX101" s="12"/>
      <c r="DY101" s="12"/>
      <c r="DZ101" s="12"/>
      <c r="EA101" s="12"/>
      <c r="EB101" s="12"/>
      <c r="EC101" s="12"/>
      <c r="ED101" s="12"/>
      <c r="EE101" s="12"/>
      <c r="EF101" s="12"/>
      <c r="EG101" s="12"/>
      <c r="EH101" s="12"/>
      <c r="EI101" s="12"/>
      <c r="EJ101" s="12"/>
      <c r="EK101" s="12"/>
      <c r="EL101" s="12"/>
    </row>
    <row r="102" spans="1:142" s="76" customFormat="1">
      <c r="A102" s="105"/>
      <c r="B102" s="117" t="s">
        <v>625</v>
      </c>
      <c r="C102" s="81"/>
      <c r="D102" s="105"/>
      <c r="E102" s="229">
        <f t="shared" ref="E102:AI102" si="17">(E99*$F$31*8760)*E101</f>
        <v>468966.6</v>
      </c>
      <c r="F102" s="229">
        <f t="shared" si="17"/>
        <v>468966.6</v>
      </c>
      <c r="G102" s="229">
        <f t="shared" si="17"/>
        <v>468966.6</v>
      </c>
      <c r="H102" s="229">
        <f t="shared" si="17"/>
        <v>468966.6</v>
      </c>
      <c r="I102" s="229">
        <f t="shared" si="17"/>
        <v>468966.6</v>
      </c>
      <c r="J102" s="229">
        <f t="shared" si="17"/>
        <v>468966.6</v>
      </c>
      <c r="K102" s="229">
        <f t="shared" si="17"/>
        <v>468966.6</v>
      </c>
      <c r="L102" s="229">
        <f t="shared" si="17"/>
        <v>468966.6</v>
      </c>
      <c r="M102" s="229">
        <f t="shared" si="17"/>
        <v>468966.6</v>
      </c>
      <c r="N102" s="229">
        <f t="shared" si="17"/>
        <v>468966.6</v>
      </c>
      <c r="O102" s="229">
        <f t="shared" si="17"/>
        <v>468966.6</v>
      </c>
      <c r="P102" s="229">
        <f t="shared" si="17"/>
        <v>468966.6</v>
      </c>
      <c r="Q102" s="229">
        <f t="shared" si="17"/>
        <v>468966.6</v>
      </c>
      <c r="R102" s="229">
        <f t="shared" si="17"/>
        <v>468966.6</v>
      </c>
      <c r="S102" s="229">
        <f t="shared" si="17"/>
        <v>468966.6</v>
      </c>
      <c r="T102" s="229">
        <f t="shared" si="17"/>
        <v>468966.6</v>
      </c>
      <c r="U102" s="229">
        <f t="shared" si="17"/>
        <v>468966.6</v>
      </c>
      <c r="V102" s="229">
        <f t="shared" si="17"/>
        <v>468966.6</v>
      </c>
      <c r="W102" s="229">
        <f t="shared" si="17"/>
        <v>468966.6</v>
      </c>
      <c r="X102" s="229">
        <f t="shared" si="17"/>
        <v>468966.6</v>
      </c>
      <c r="Y102" s="229">
        <f t="shared" si="17"/>
        <v>468966.6</v>
      </c>
      <c r="Z102" s="229">
        <f t="shared" si="17"/>
        <v>468966.6</v>
      </c>
      <c r="AA102" s="229">
        <f t="shared" si="17"/>
        <v>468966.6</v>
      </c>
      <c r="AB102" s="229">
        <f t="shared" si="17"/>
        <v>468966.6</v>
      </c>
      <c r="AC102" s="229">
        <f t="shared" si="17"/>
        <v>468966.6</v>
      </c>
      <c r="AD102" s="229">
        <f t="shared" si="17"/>
        <v>468966.6</v>
      </c>
      <c r="AE102" s="229">
        <f t="shared" si="17"/>
        <v>468966.6</v>
      </c>
      <c r="AF102" s="229">
        <f t="shared" si="17"/>
        <v>468966.6</v>
      </c>
      <c r="AG102" s="229">
        <f t="shared" si="17"/>
        <v>468966.6</v>
      </c>
      <c r="AH102" s="229">
        <f t="shared" si="17"/>
        <v>468966.6</v>
      </c>
      <c r="AI102" s="229">
        <f t="shared" si="17"/>
        <v>468966.6</v>
      </c>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2"/>
      <c r="CO102" s="12"/>
      <c r="CP102" s="12"/>
      <c r="CQ102" s="12"/>
      <c r="CR102" s="12"/>
      <c r="CS102" s="12"/>
      <c r="CT102" s="12"/>
      <c r="CU102" s="12"/>
      <c r="CV102" s="12"/>
      <c r="CW102" s="12"/>
      <c r="CX102" s="12"/>
      <c r="CY102" s="12"/>
      <c r="CZ102" s="12"/>
      <c r="DA102" s="12"/>
      <c r="DB102" s="12"/>
      <c r="DC102" s="12"/>
      <c r="DD102" s="12"/>
      <c r="DE102" s="12"/>
      <c r="DF102" s="12"/>
      <c r="DG102" s="12"/>
      <c r="DH102" s="12"/>
      <c r="DI102" s="12"/>
      <c r="DJ102" s="12"/>
      <c r="DK102" s="12"/>
      <c r="DL102" s="12"/>
      <c r="DM102" s="12"/>
      <c r="DN102" s="12"/>
      <c r="DO102" s="12"/>
      <c r="DP102" s="12"/>
      <c r="DQ102" s="12"/>
      <c r="DR102" s="12"/>
      <c r="DS102" s="12"/>
      <c r="DT102" s="12"/>
      <c r="DU102" s="12"/>
      <c r="DV102" s="12"/>
      <c r="DW102" s="12"/>
      <c r="DX102" s="12"/>
      <c r="DY102" s="12"/>
      <c r="DZ102" s="12"/>
      <c r="EA102" s="12"/>
      <c r="EB102" s="12"/>
      <c r="EC102" s="12"/>
      <c r="ED102" s="12"/>
      <c r="EE102" s="12"/>
      <c r="EF102" s="12"/>
      <c r="EG102" s="12"/>
      <c r="EH102" s="12"/>
      <c r="EI102" s="12"/>
      <c r="EJ102" s="12"/>
      <c r="EK102" s="12"/>
      <c r="EL102" s="12"/>
    </row>
    <row r="103" spans="1:142" s="76" customFormat="1">
      <c r="A103" s="105"/>
      <c r="B103" s="108"/>
      <c r="C103" s="89">
        <f ca="1">EWCSum!G41</f>
        <v>-83.863669400456274</v>
      </c>
      <c r="D103" s="108"/>
      <c r="E103" s="108"/>
      <c r="F103" s="108"/>
      <c r="G103" s="105"/>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2"/>
      <c r="CO103" s="12"/>
      <c r="CP103" s="12"/>
      <c r="CQ103" s="12"/>
      <c r="CR103" s="12"/>
      <c r="CS103" s="12"/>
      <c r="CT103" s="12"/>
      <c r="CU103" s="12"/>
      <c r="CV103" s="12"/>
      <c r="CW103" s="12"/>
      <c r="CX103" s="12"/>
      <c r="CY103" s="12"/>
      <c r="CZ103" s="12"/>
      <c r="DA103" s="12"/>
      <c r="DB103" s="12"/>
      <c r="DC103" s="12"/>
      <c r="DD103" s="12"/>
      <c r="DE103" s="12"/>
      <c r="DF103" s="12"/>
      <c r="DG103" s="12"/>
      <c r="DH103" s="12"/>
      <c r="DI103" s="12"/>
      <c r="DJ103" s="12"/>
      <c r="DK103" s="12"/>
      <c r="DL103" s="12"/>
      <c r="DM103" s="12"/>
      <c r="DN103" s="12"/>
      <c r="DO103" s="12"/>
      <c r="DP103" s="12"/>
      <c r="DQ103" s="12"/>
      <c r="DR103" s="12"/>
      <c r="DS103" s="12"/>
      <c r="DT103" s="12"/>
      <c r="DU103" s="12"/>
      <c r="DV103" s="12"/>
      <c r="DW103" s="12"/>
      <c r="DX103" s="12"/>
      <c r="DY103" s="12"/>
      <c r="DZ103" s="12"/>
      <c r="EA103" s="12"/>
      <c r="EB103" s="12"/>
      <c r="EC103" s="12"/>
      <c r="ED103" s="12"/>
      <c r="EE103" s="12"/>
      <c r="EF103" s="12"/>
      <c r="EG103" s="12"/>
      <c r="EH103" s="12"/>
      <c r="EI103" s="12"/>
      <c r="EJ103" s="12"/>
      <c r="EK103" s="12"/>
      <c r="EL103" s="12"/>
    </row>
    <row r="104" spans="1:142" s="76" customFormat="1">
      <c r="A104" s="105"/>
      <c r="B104" s="108"/>
      <c r="C104" s="89"/>
      <c r="D104" s="111"/>
      <c r="E104" s="108"/>
      <c r="F104" s="108"/>
      <c r="G104" s="105"/>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2"/>
      <c r="CO104" s="12"/>
      <c r="CP104" s="12"/>
      <c r="CQ104" s="12"/>
      <c r="CR104" s="12"/>
      <c r="CS104" s="12"/>
      <c r="CT104" s="12"/>
      <c r="CU104" s="12"/>
      <c r="CV104" s="12"/>
      <c r="CW104" s="12"/>
      <c r="CX104" s="12"/>
      <c r="CY104" s="12"/>
      <c r="CZ104" s="12"/>
      <c r="DA104" s="12"/>
      <c r="DB104" s="12"/>
      <c r="DC104" s="12"/>
      <c r="DD104" s="12"/>
      <c r="DE104" s="12"/>
      <c r="DF104" s="12"/>
      <c r="DG104" s="12"/>
      <c r="DH104" s="12"/>
      <c r="DI104" s="12"/>
      <c r="DJ104" s="12"/>
      <c r="DK104" s="12"/>
      <c r="DL104" s="12"/>
      <c r="DM104" s="12"/>
      <c r="DN104" s="12"/>
      <c r="DO104" s="12"/>
      <c r="DP104" s="12"/>
      <c r="DQ104" s="12"/>
      <c r="DR104" s="12"/>
      <c r="DS104" s="12"/>
      <c r="DT104" s="12"/>
      <c r="DU104" s="12"/>
      <c r="DV104" s="12"/>
      <c r="DW104" s="12"/>
      <c r="DX104" s="12"/>
      <c r="DY104" s="12"/>
      <c r="DZ104" s="12"/>
      <c r="EA104" s="12"/>
      <c r="EB104" s="12"/>
      <c r="EC104" s="12"/>
      <c r="ED104" s="12"/>
      <c r="EE104" s="12"/>
      <c r="EF104" s="12"/>
      <c r="EG104" s="12"/>
      <c r="EH104" s="12"/>
      <c r="EI104" s="12"/>
      <c r="EJ104" s="12"/>
      <c r="EK104" s="12"/>
      <c r="EL104" s="12"/>
    </row>
    <row r="105" spans="1:142" s="76" customFormat="1">
      <c r="A105" s="105"/>
      <c r="B105" s="362" t="s">
        <v>342</v>
      </c>
      <c r="C105" s="66"/>
      <c r="D105" s="108"/>
      <c r="E105" s="833">
        <v>1</v>
      </c>
      <c r="F105" s="834">
        <v>2</v>
      </c>
      <c r="G105" s="834">
        <v>3</v>
      </c>
      <c r="H105" s="834">
        <v>4</v>
      </c>
      <c r="I105" s="834">
        <v>5</v>
      </c>
      <c r="J105" s="834">
        <v>6</v>
      </c>
      <c r="K105" s="834">
        <v>7</v>
      </c>
      <c r="L105" s="834">
        <v>8</v>
      </c>
      <c r="M105" s="834">
        <v>9</v>
      </c>
      <c r="N105" s="834">
        <v>10</v>
      </c>
      <c r="O105" s="834">
        <v>11</v>
      </c>
      <c r="P105" s="834">
        <v>12</v>
      </c>
      <c r="Q105" s="834">
        <v>13</v>
      </c>
      <c r="R105" s="834">
        <v>14</v>
      </c>
      <c r="S105" s="834">
        <v>15</v>
      </c>
      <c r="T105" s="834">
        <v>16</v>
      </c>
      <c r="U105" s="834">
        <v>17</v>
      </c>
      <c r="V105" s="834">
        <v>18</v>
      </c>
      <c r="W105" s="834">
        <v>19</v>
      </c>
      <c r="X105" s="834">
        <v>20</v>
      </c>
      <c r="Y105" s="834">
        <v>21</v>
      </c>
      <c r="Z105" s="834">
        <v>22</v>
      </c>
      <c r="AA105" s="834">
        <v>23</v>
      </c>
      <c r="AB105" s="834">
        <v>24</v>
      </c>
      <c r="AC105" s="834">
        <v>25</v>
      </c>
      <c r="AD105" s="834">
        <v>26</v>
      </c>
      <c r="AE105" s="834">
        <v>27</v>
      </c>
      <c r="AF105" s="834">
        <v>28</v>
      </c>
      <c r="AG105" s="834">
        <v>29</v>
      </c>
      <c r="AH105" s="834">
        <v>30</v>
      </c>
      <c r="AI105" s="835">
        <v>31</v>
      </c>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2"/>
      <c r="CO105" s="12"/>
      <c r="CP105" s="12"/>
      <c r="CQ105" s="12"/>
      <c r="CR105" s="12"/>
      <c r="CS105" s="12"/>
      <c r="CT105" s="12"/>
      <c r="CU105" s="12"/>
      <c r="CV105" s="12"/>
      <c r="CW105" s="12"/>
      <c r="CX105" s="12"/>
      <c r="CY105" s="12"/>
      <c r="CZ105" s="12"/>
      <c r="DA105" s="12"/>
      <c r="DB105" s="12"/>
      <c r="DC105" s="12"/>
      <c r="DD105" s="12"/>
      <c r="DE105" s="12"/>
      <c r="DF105" s="12"/>
      <c r="DG105" s="12"/>
      <c r="DH105" s="12"/>
      <c r="DI105" s="12"/>
      <c r="DJ105" s="12"/>
      <c r="DK105" s="12"/>
      <c r="DL105" s="12"/>
      <c r="DM105" s="12"/>
      <c r="DN105" s="12"/>
      <c r="DO105" s="12"/>
      <c r="DP105" s="12"/>
      <c r="DQ105" s="12"/>
      <c r="DR105" s="12"/>
      <c r="DS105" s="12"/>
      <c r="DT105" s="12"/>
      <c r="DU105" s="12"/>
      <c r="DV105" s="12"/>
      <c r="DW105" s="12"/>
      <c r="DX105" s="12"/>
      <c r="DY105" s="12"/>
      <c r="DZ105" s="12"/>
      <c r="EA105" s="12"/>
      <c r="EB105" s="12"/>
      <c r="EC105" s="12"/>
      <c r="ED105" s="12"/>
      <c r="EE105" s="12"/>
      <c r="EF105" s="12"/>
      <c r="EG105" s="12"/>
      <c r="EH105" s="12"/>
      <c r="EI105" s="12"/>
      <c r="EJ105" s="12"/>
      <c r="EK105" s="12"/>
      <c r="EL105" s="12"/>
    </row>
    <row r="106" spans="1:142" s="78" customFormat="1">
      <c r="A106" s="97"/>
      <c r="B106" s="1628" t="s">
        <v>887</v>
      </c>
      <c r="C106" s="1321">
        <v>0</v>
      </c>
      <c r="D106" s="89"/>
      <c r="E106" s="247">
        <f>Assum!$H$25</f>
        <v>2002</v>
      </c>
      <c r="F106" s="248">
        <f t="shared" ref="F106:AI106" si="18">E106+1</f>
        <v>2003</v>
      </c>
      <c r="G106" s="248">
        <f t="shared" si="18"/>
        <v>2004</v>
      </c>
      <c r="H106" s="248">
        <f t="shared" si="18"/>
        <v>2005</v>
      </c>
      <c r="I106" s="248">
        <f t="shared" si="18"/>
        <v>2006</v>
      </c>
      <c r="J106" s="248">
        <f t="shared" si="18"/>
        <v>2007</v>
      </c>
      <c r="K106" s="248">
        <f t="shared" si="18"/>
        <v>2008</v>
      </c>
      <c r="L106" s="248">
        <f t="shared" si="18"/>
        <v>2009</v>
      </c>
      <c r="M106" s="248">
        <f t="shared" si="18"/>
        <v>2010</v>
      </c>
      <c r="N106" s="248">
        <f t="shared" si="18"/>
        <v>2011</v>
      </c>
      <c r="O106" s="248">
        <f t="shared" si="18"/>
        <v>2012</v>
      </c>
      <c r="P106" s="248">
        <f t="shared" si="18"/>
        <v>2013</v>
      </c>
      <c r="Q106" s="248">
        <f t="shared" si="18"/>
        <v>2014</v>
      </c>
      <c r="R106" s="248">
        <f t="shared" si="18"/>
        <v>2015</v>
      </c>
      <c r="S106" s="248">
        <f t="shared" si="18"/>
        <v>2016</v>
      </c>
      <c r="T106" s="248">
        <f t="shared" si="18"/>
        <v>2017</v>
      </c>
      <c r="U106" s="248">
        <f t="shared" si="18"/>
        <v>2018</v>
      </c>
      <c r="V106" s="248">
        <f t="shared" si="18"/>
        <v>2019</v>
      </c>
      <c r="W106" s="248">
        <f t="shared" si="18"/>
        <v>2020</v>
      </c>
      <c r="X106" s="248">
        <f t="shared" si="18"/>
        <v>2021</v>
      </c>
      <c r="Y106" s="248">
        <f t="shared" si="18"/>
        <v>2022</v>
      </c>
      <c r="Z106" s="248">
        <f t="shared" si="18"/>
        <v>2023</v>
      </c>
      <c r="AA106" s="248">
        <f t="shared" si="18"/>
        <v>2024</v>
      </c>
      <c r="AB106" s="248">
        <f t="shared" si="18"/>
        <v>2025</v>
      </c>
      <c r="AC106" s="248">
        <f t="shared" si="18"/>
        <v>2026</v>
      </c>
      <c r="AD106" s="248">
        <f t="shared" si="18"/>
        <v>2027</v>
      </c>
      <c r="AE106" s="248">
        <f t="shared" si="18"/>
        <v>2028</v>
      </c>
      <c r="AF106" s="248">
        <f t="shared" si="18"/>
        <v>2029</v>
      </c>
      <c r="AG106" s="248">
        <f t="shared" si="18"/>
        <v>2030</v>
      </c>
      <c r="AH106" s="248">
        <f t="shared" si="18"/>
        <v>2031</v>
      </c>
      <c r="AI106" s="249">
        <f t="shared" si="18"/>
        <v>2032</v>
      </c>
      <c r="AJ106" s="77"/>
      <c r="AK106" s="77"/>
      <c r="AL106" s="77"/>
      <c r="AM106" s="77"/>
      <c r="AN106" s="77"/>
      <c r="AO106" s="77"/>
      <c r="AP106" s="77"/>
      <c r="AQ106" s="77"/>
      <c r="AR106" s="77"/>
      <c r="AS106" s="77"/>
      <c r="AT106" s="77"/>
      <c r="AU106" s="77"/>
      <c r="AV106" s="77"/>
      <c r="AW106" s="77"/>
      <c r="AX106" s="77"/>
      <c r="AY106" s="77"/>
      <c r="AZ106" s="77"/>
      <c r="BA106" s="77"/>
      <c r="BB106" s="77"/>
      <c r="BC106" s="77"/>
      <c r="BD106" s="77"/>
      <c r="BE106" s="77"/>
      <c r="BF106" s="77"/>
      <c r="BG106" s="77"/>
      <c r="BH106" s="77"/>
      <c r="BI106" s="77"/>
      <c r="BJ106" s="77"/>
      <c r="BK106" s="77"/>
      <c r="BL106" s="77"/>
      <c r="BM106" s="77"/>
      <c r="BN106" s="77"/>
      <c r="BO106" s="77"/>
      <c r="BP106" s="77"/>
      <c r="BQ106" s="77"/>
      <c r="BR106" s="77"/>
      <c r="BS106" s="77"/>
      <c r="BT106" s="77"/>
      <c r="BU106" s="77"/>
      <c r="BV106" s="77"/>
      <c r="BW106" s="77"/>
      <c r="BX106" s="77"/>
      <c r="BY106" s="77"/>
      <c r="BZ106" s="77"/>
      <c r="CA106" s="77"/>
      <c r="CB106" s="77"/>
      <c r="CC106" s="77"/>
      <c r="CD106" s="77"/>
      <c r="CE106" s="77"/>
      <c r="CF106" s="77"/>
      <c r="CG106" s="77"/>
      <c r="CH106" s="77"/>
      <c r="CI106" s="77"/>
      <c r="CJ106" s="77"/>
      <c r="CK106" s="77"/>
      <c r="CL106" s="77"/>
      <c r="CM106" s="77"/>
      <c r="CN106" s="77"/>
      <c r="CO106" s="77"/>
      <c r="CP106" s="77"/>
      <c r="CQ106" s="77"/>
      <c r="CR106" s="77"/>
      <c r="CS106" s="77"/>
      <c r="CT106" s="77"/>
      <c r="CU106" s="77"/>
      <c r="CV106" s="77"/>
      <c r="CW106" s="77"/>
      <c r="CX106" s="77"/>
      <c r="CY106" s="77"/>
      <c r="CZ106" s="77"/>
      <c r="DA106" s="77"/>
      <c r="DB106" s="77"/>
      <c r="DC106" s="77"/>
      <c r="DD106" s="77"/>
      <c r="DE106" s="77"/>
      <c r="DF106" s="77"/>
      <c r="DG106" s="77"/>
      <c r="DH106" s="77"/>
      <c r="DI106" s="77"/>
      <c r="DJ106" s="77"/>
      <c r="DK106" s="77"/>
      <c r="DL106" s="77"/>
      <c r="DM106" s="77"/>
      <c r="DN106" s="77"/>
      <c r="DO106" s="77"/>
      <c r="DP106" s="77"/>
      <c r="DQ106" s="77"/>
      <c r="DR106" s="77"/>
      <c r="DS106" s="77"/>
      <c r="DT106" s="77"/>
      <c r="DU106" s="77"/>
      <c r="DV106" s="77"/>
      <c r="DW106" s="77"/>
      <c r="DX106" s="77"/>
      <c r="DY106" s="77"/>
      <c r="DZ106" s="77"/>
      <c r="EA106" s="77"/>
      <c r="EB106" s="77"/>
      <c r="EC106" s="77"/>
      <c r="ED106" s="77"/>
      <c r="EE106" s="77"/>
      <c r="EF106" s="77"/>
      <c r="EG106" s="77"/>
      <c r="EH106" s="77"/>
      <c r="EI106" s="77"/>
      <c r="EJ106" s="77"/>
      <c r="EK106" s="77"/>
      <c r="EL106" s="77"/>
    </row>
    <row r="107" spans="1:142" s="76" customFormat="1">
      <c r="A107" s="118"/>
      <c r="B107" s="109" t="s">
        <v>343</v>
      </c>
      <c r="C107" s="1321">
        <v>1</v>
      </c>
      <c r="D107" s="1640">
        <v>2.35E-2</v>
      </c>
      <c r="E107" s="930">
        <f>C107*D107</f>
        <v>2.35E-2</v>
      </c>
      <c r="F107" s="930">
        <f>E107*(1+$C$106)</f>
        <v>2.35E-2</v>
      </c>
      <c r="G107" s="930">
        <f t="shared" ref="G107:AI107" si="19">F107*(1+$C$106)</f>
        <v>2.35E-2</v>
      </c>
      <c r="H107" s="930">
        <f t="shared" si="19"/>
        <v>2.35E-2</v>
      </c>
      <c r="I107" s="930">
        <f t="shared" si="19"/>
        <v>2.35E-2</v>
      </c>
      <c r="J107" s="930">
        <f t="shared" si="19"/>
        <v>2.35E-2</v>
      </c>
      <c r="K107" s="930">
        <f t="shared" si="19"/>
        <v>2.35E-2</v>
      </c>
      <c r="L107" s="930">
        <f t="shared" si="19"/>
        <v>2.35E-2</v>
      </c>
      <c r="M107" s="930">
        <f t="shared" si="19"/>
        <v>2.35E-2</v>
      </c>
      <c r="N107" s="930">
        <f t="shared" si="19"/>
        <v>2.35E-2</v>
      </c>
      <c r="O107" s="930">
        <f t="shared" si="19"/>
        <v>2.35E-2</v>
      </c>
      <c r="P107" s="930">
        <f t="shared" si="19"/>
        <v>2.35E-2</v>
      </c>
      <c r="Q107" s="930">
        <f t="shared" si="19"/>
        <v>2.35E-2</v>
      </c>
      <c r="R107" s="930">
        <f t="shared" si="19"/>
        <v>2.35E-2</v>
      </c>
      <c r="S107" s="930">
        <f t="shared" si="19"/>
        <v>2.35E-2</v>
      </c>
      <c r="T107" s="930">
        <f t="shared" si="19"/>
        <v>2.35E-2</v>
      </c>
      <c r="U107" s="930">
        <f t="shared" si="19"/>
        <v>2.35E-2</v>
      </c>
      <c r="V107" s="930">
        <f t="shared" si="19"/>
        <v>2.35E-2</v>
      </c>
      <c r="W107" s="930">
        <f t="shared" si="19"/>
        <v>2.35E-2</v>
      </c>
      <c r="X107" s="930">
        <f t="shared" si="19"/>
        <v>2.35E-2</v>
      </c>
      <c r="Y107" s="930">
        <f t="shared" si="19"/>
        <v>2.35E-2</v>
      </c>
      <c r="Z107" s="930">
        <f t="shared" si="19"/>
        <v>2.35E-2</v>
      </c>
      <c r="AA107" s="930">
        <f t="shared" si="19"/>
        <v>2.35E-2</v>
      </c>
      <c r="AB107" s="930">
        <f t="shared" si="19"/>
        <v>2.35E-2</v>
      </c>
      <c r="AC107" s="930">
        <f t="shared" si="19"/>
        <v>2.35E-2</v>
      </c>
      <c r="AD107" s="930">
        <f t="shared" si="19"/>
        <v>2.35E-2</v>
      </c>
      <c r="AE107" s="930">
        <f t="shared" si="19"/>
        <v>2.35E-2</v>
      </c>
      <c r="AF107" s="930">
        <f t="shared" si="19"/>
        <v>2.35E-2</v>
      </c>
      <c r="AG107" s="930">
        <f t="shared" si="19"/>
        <v>2.35E-2</v>
      </c>
      <c r="AH107" s="930">
        <f t="shared" si="19"/>
        <v>2.35E-2</v>
      </c>
      <c r="AI107" s="930">
        <f t="shared" si="19"/>
        <v>2.35E-2</v>
      </c>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2"/>
      <c r="CL107" s="12"/>
      <c r="CM107" s="12"/>
      <c r="CN107" s="12"/>
      <c r="CO107" s="12"/>
      <c r="CP107" s="12"/>
      <c r="CQ107" s="12"/>
      <c r="CR107" s="12"/>
      <c r="CS107" s="12"/>
      <c r="CT107" s="12"/>
      <c r="CU107" s="12"/>
      <c r="CV107" s="12"/>
      <c r="CW107" s="12"/>
      <c r="CX107" s="12"/>
      <c r="CY107" s="12"/>
      <c r="CZ107" s="12"/>
      <c r="DA107" s="12"/>
      <c r="DB107" s="12"/>
      <c r="DC107" s="12"/>
      <c r="DD107" s="12"/>
      <c r="DE107" s="12"/>
      <c r="DF107" s="12"/>
      <c r="DG107" s="12"/>
      <c r="DH107" s="12"/>
      <c r="DI107" s="12"/>
      <c r="DJ107" s="12"/>
      <c r="DK107" s="12"/>
      <c r="DL107" s="12"/>
      <c r="DM107" s="12"/>
      <c r="DN107" s="12"/>
      <c r="DO107" s="12"/>
      <c r="DP107" s="12"/>
      <c r="DQ107" s="12"/>
      <c r="DR107" s="12"/>
      <c r="DS107" s="12"/>
      <c r="DT107" s="12"/>
      <c r="DU107" s="12"/>
      <c r="DV107" s="12"/>
      <c r="DW107" s="12"/>
      <c r="DX107" s="12"/>
      <c r="DY107" s="12"/>
      <c r="DZ107" s="12"/>
      <c r="EA107" s="12"/>
      <c r="EB107" s="12"/>
      <c r="EC107" s="12"/>
      <c r="ED107" s="12"/>
      <c r="EE107" s="12"/>
      <c r="EF107" s="12"/>
      <c r="EG107" s="12"/>
      <c r="EH107" s="12"/>
      <c r="EI107" s="12"/>
      <c r="EJ107" s="12"/>
      <c r="EK107" s="12"/>
      <c r="EL107" s="12"/>
    </row>
    <row r="108" spans="1:142" s="76" customFormat="1">
      <c r="A108" s="118"/>
      <c r="B108" s="109" t="s">
        <v>344</v>
      </c>
      <c r="C108" s="1321">
        <v>0.02</v>
      </c>
      <c r="D108" s="105" t="s">
        <v>897</v>
      </c>
      <c r="E108" s="931">
        <v>2.5000000000000001E-2</v>
      </c>
      <c r="F108" s="931">
        <f t="shared" ref="F108:O108" si="20">E108</f>
        <v>2.5000000000000001E-2</v>
      </c>
      <c r="G108" s="931">
        <f t="shared" si="20"/>
        <v>2.5000000000000001E-2</v>
      </c>
      <c r="H108" s="931">
        <f t="shared" si="20"/>
        <v>2.5000000000000001E-2</v>
      </c>
      <c r="I108" s="931">
        <f t="shared" si="20"/>
        <v>2.5000000000000001E-2</v>
      </c>
      <c r="J108" s="931">
        <f t="shared" si="20"/>
        <v>2.5000000000000001E-2</v>
      </c>
      <c r="K108" s="931">
        <f t="shared" si="20"/>
        <v>2.5000000000000001E-2</v>
      </c>
      <c r="L108" s="931">
        <f t="shared" si="20"/>
        <v>2.5000000000000001E-2</v>
      </c>
      <c r="M108" s="931">
        <f t="shared" si="20"/>
        <v>2.5000000000000001E-2</v>
      </c>
      <c r="N108" s="931">
        <f t="shared" si="20"/>
        <v>2.5000000000000001E-2</v>
      </c>
      <c r="O108" s="931">
        <f t="shared" si="20"/>
        <v>2.5000000000000001E-2</v>
      </c>
      <c r="P108" s="931">
        <f>O108*(1+$C$108)</f>
        <v>2.5500000000000002E-2</v>
      </c>
      <c r="Q108" s="931">
        <f t="shared" ref="Q108:AI108" si="21">P108*(1+$C$108)</f>
        <v>2.6010000000000002E-2</v>
      </c>
      <c r="R108" s="931">
        <f t="shared" si="21"/>
        <v>2.6530200000000004E-2</v>
      </c>
      <c r="S108" s="931">
        <f t="shared" si="21"/>
        <v>2.7060804000000004E-2</v>
      </c>
      <c r="T108" s="931">
        <f t="shared" si="21"/>
        <v>2.7602020080000005E-2</v>
      </c>
      <c r="U108" s="931">
        <f t="shared" si="21"/>
        <v>2.8154060481600005E-2</v>
      </c>
      <c r="V108" s="931">
        <f t="shared" si="21"/>
        <v>2.8717141691232004E-2</v>
      </c>
      <c r="W108" s="931">
        <f t="shared" si="21"/>
        <v>2.9291484525056644E-2</v>
      </c>
      <c r="X108" s="931">
        <f t="shared" si="21"/>
        <v>2.9877314215557779E-2</v>
      </c>
      <c r="Y108" s="931">
        <f t="shared" si="21"/>
        <v>3.0474860499868934E-2</v>
      </c>
      <c r="Z108" s="931">
        <f t="shared" si="21"/>
        <v>3.1084357709866312E-2</v>
      </c>
      <c r="AA108" s="931">
        <f t="shared" si="21"/>
        <v>3.1706044864063636E-2</v>
      </c>
      <c r="AB108" s="931">
        <f t="shared" si="21"/>
        <v>3.2340165761344908E-2</v>
      </c>
      <c r="AC108" s="931">
        <f t="shared" si="21"/>
        <v>3.2986969076571809E-2</v>
      </c>
      <c r="AD108" s="931">
        <f t="shared" si="21"/>
        <v>3.3646708458103247E-2</v>
      </c>
      <c r="AE108" s="931">
        <f t="shared" si="21"/>
        <v>3.4319642627265314E-2</v>
      </c>
      <c r="AF108" s="931">
        <f t="shared" si="21"/>
        <v>3.500603547981062E-2</v>
      </c>
      <c r="AG108" s="931">
        <f t="shared" si="21"/>
        <v>3.5706156189406833E-2</v>
      </c>
      <c r="AH108" s="931">
        <f t="shared" si="21"/>
        <v>3.642027931319497E-2</v>
      </c>
      <c r="AI108" s="931">
        <f t="shared" si="21"/>
        <v>3.714868489945887E-2</v>
      </c>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2"/>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2"/>
      <c r="DJ108" s="12"/>
      <c r="DK108" s="12"/>
      <c r="DL108" s="12"/>
      <c r="DM108" s="12"/>
      <c r="DN108" s="12"/>
      <c r="DO108" s="12"/>
      <c r="DP108" s="12"/>
      <c r="DQ108" s="12"/>
      <c r="DR108" s="12"/>
      <c r="DS108" s="12"/>
      <c r="DT108" s="12"/>
      <c r="DU108" s="12"/>
      <c r="DV108" s="12"/>
      <c r="DW108" s="12"/>
      <c r="DX108" s="12"/>
      <c r="DY108" s="12"/>
      <c r="DZ108" s="12"/>
      <c r="EA108" s="12"/>
      <c r="EB108" s="12"/>
      <c r="EC108" s="12"/>
      <c r="ED108" s="12"/>
      <c r="EE108" s="12"/>
      <c r="EF108" s="12"/>
      <c r="EG108" s="12"/>
      <c r="EH108" s="12"/>
      <c r="EI108" s="12"/>
      <c r="EJ108" s="12"/>
      <c r="EK108" s="12"/>
      <c r="EL108" s="12"/>
    </row>
    <row r="109" spans="1:142" s="76" customFormat="1">
      <c r="A109" s="118"/>
      <c r="B109" s="109" t="s">
        <v>345</v>
      </c>
      <c r="C109" s="98"/>
      <c r="D109" s="105"/>
      <c r="E109" s="931">
        <v>0</v>
      </c>
      <c r="F109" s="931"/>
      <c r="G109" s="931"/>
      <c r="H109" s="931"/>
      <c r="I109" s="931"/>
      <c r="J109" s="931"/>
      <c r="K109" s="931"/>
      <c r="L109" s="931"/>
      <c r="M109" s="931"/>
      <c r="N109" s="931"/>
      <c r="O109" s="931"/>
      <c r="P109" s="931"/>
      <c r="Q109" s="931"/>
      <c r="R109" s="931"/>
      <c r="S109" s="931"/>
      <c r="T109" s="931"/>
      <c r="U109" s="931"/>
      <c r="V109" s="931"/>
      <c r="W109" s="931"/>
      <c r="X109" s="931"/>
      <c r="Y109" s="931"/>
      <c r="Z109" s="931"/>
      <c r="AA109" s="931"/>
      <c r="AB109" s="931"/>
      <c r="AC109" s="931"/>
      <c r="AD109" s="931"/>
      <c r="AE109" s="931"/>
      <c r="AF109" s="931"/>
      <c r="AG109" s="931"/>
      <c r="AH109" s="931"/>
      <c r="AI109" s="931"/>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2"/>
      <c r="CL109" s="12"/>
      <c r="CM109" s="12"/>
      <c r="CN109" s="12"/>
      <c r="CO109" s="12"/>
      <c r="CP109" s="12"/>
      <c r="CQ109" s="12"/>
      <c r="CR109" s="12"/>
      <c r="CS109" s="12"/>
      <c r="CT109" s="12"/>
      <c r="CU109" s="12"/>
      <c r="CV109" s="12"/>
      <c r="CW109" s="12"/>
      <c r="CX109" s="12"/>
      <c r="CY109" s="12"/>
      <c r="CZ109" s="12"/>
      <c r="DA109" s="12"/>
      <c r="DB109" s="12"/>
      <c r="DC109" s="12"/>
      <c r="DD109" s="12"/>
      <c r="DE109" s="12"/>
      <c r="DF109" s="12"/>
      <c r="DG109" s="12"/>
      <c r="DH109" s="12"/>
      <c r="DI109" s="12"/>
      <c r="DJ109" s="12"/>
      <c r="DK109" s="12"/>
      <c r="DL109" s="12"/>
      <c r="DM109" s="12"/>
      <c r="DN109" s="12"/>
      <c r="DO109" s="12"/>
      <c r="DP109" s="12"/>
      <c r="DQ109" s="12"/>
      <c r="DR109" s="12"/>
      <c r="DS109" s="12"/>
      <c r="DT109" s="12"/>
      <c r="DU109" s="12"/>
      <c r="DV109" s="12"/>
      <c r="DW109" s="12"/>
      <c r="DX109" s="12"/>
      <c r="DY109" s="12"/>
      <c r="DZ109" s="12"/>
      <c r="EA109" s="12"/>
      <c r="EB109" s="12"/>
      <c r="EC109" s="12"/>
      <c r="ED109" s="12"/>
      <c r="EE109" s="12"/>
      <c r="EF109" s="12"/>
      <c r="EG109" s="12"/>
      <c r="EH109" s="12"/>
      <c r="EI109" s="12"/>
      <c r="EJ109" s="12"/>
      <c r="EK109" s="12"/>
      <c r="EL109" s="12"/>
    </row>
    <row r="110" spans="1:142" s="76" customFormat="1" ht="12.6" customHeight="1">
      <c r="A110" s="118"/>
      <c r="B110" s="109"/>
      <c r="C110" s="98"/>
      <c r="D110" s="105"/>
      <c r="E110" s="355"/>
      <c r="F110" s="111"/>
      <c r="G110" s="109"/>
      <c r="H110" s="105"/>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2"/>
      <c r="CL110" s="12"/>
      <c r="CM110" s="12"/>
      <c r="CN110" s="12"/>
      <c r="CO110" s="12"/>
      <c r="CP110" s="12"/>
      <c r="CQ110" s="12"/>
      <c r="CR110" s="12"/>
      <c r="CS110" s="12"/>
      <c r="CT110" s="12"/>
      <c r="CU110" s="12"/>
      <c r="CV110" s="12"/>
      <c r="CW110" s="12"/>
      <c r="CX110" s="12"/>
      <c r="CY110" s="12"/>
      <c r="CZ110" s="12"/>
      <c r="DA110" s="12"/>
      <c r="DB110" s="12"/>
      <c r="DC110" s="12"/>
      <c r="DD110" s="12"/>
      <c r="DE110" s="12"/>
      <c r="DF110" s="12"/>
      <c r="DG110" s="12"/>
      <c r="DH110" s="12"/>
      <c r="DI110" s="12"/>
      <c r="DJ110" s="12"/>
      <c r="DK110" s="12"/>
      <c r="DL110" s="12"/>
      <c r="DM110" s="12"/>
      <c r="DN110" s="12"/>
      <c r="DO110" s="12"/>
      <c r="DP110" s="12"/>
      <c r="DQ110" s="12"/>
      <c r="DR110" s="12"/>
      <c r="DS110" s="12"/>
      <c r="DT110" s="12"/>
      <c r="DU110" s="12"/>
      <c r="DV110" s="12"/>
      <c r="DW110" s="12"/>
      <c r="DX110" s="12"/>
      <c r="DY110" s="12"/>
      <c r="DZ110" s="12"/>
      <c r="EA110" s="12"/>
      <c r="EB110" s="12"/>
      <c r="EC110" s="12"/>
      <c r="ED110" s="12"/>
      <c r="EE110" s="12"/>
      <c r="EF110" s="12"/>
      <c r="EG110" s="12"/>
      <c r="EH110" s="12"/>
      <c r="EI110" s="12"/>
      <c r="EJ110" s="12"/>
      <c r="EK110" s="12"/>
      <c r="EL110" s="12"/>
    </row>
    <row r="111" spans="1:142" s="78" customFormat="1">
      <c r="A111" s="97"/>
      <c r="B111" s="84" t="s">
        <v>600</v>
      </c>
      <c r="C111" s="84"/>
      <c r="D111" s="68"/>
      <c r="E111" s="68">
        <f t="shared" ref="E111:AI111" si="22">IF(E106&lt;$E$113,E107+E109,E108+E109)</f>
        <v>2.35E-2</v>
      </c>
      <c r="F111" s="68">
        <f t="shared" si="22"/>
        <v>2.35E-2</v>
      </c>
      <c r="G111" s="68">
        <f t="shared" si="22"/>
        <v>2.35E-2</v>
      </c>
      <c r="H111" s="68">
        <f t="shared" si="22"/>
        <v>2.35E-2</v>
      </c>
      <c r="I111" s="68">
        <f t="shared" si="22"/>
        <v>2.35E-2</v>
      </c>
      <c r="J111" s="68">
        <f t="shared" si="22"/>
        <v>2.35E-2</v>
      </c>
      <c r="K111" s="68">
        <f t="shared" si="22"/>
        <v>2.35E-2</v>
      </c>
      <c r="L111" s="68">
        <f t="shared" si="22"/>
        <v>2.35E-2</v>
      </c>
      <c r="M111" s="68">
        <f t="shared" si="22"/>
        <v>2.35E-2</v>
      </c>
      <c r="N111" s="68">
        <f t="shared" si="22"/>
        <v>2.35E-2</v>
      </c>
      <c r="O111" s="68">
        <f t="shared" si="22"/>
        <v>2.35E-2</v>
      </c>
      <c r="P111" s="68">
        <f t="shared" si="22"/>
        <v>2.35E-2</v>
      </c>
      <c r="Q111" s="68">
        <f t="shared" si="22"/>
        <v>2.35E-2</v>
      </c>
      <c r="R111" s="68">
        <f t="shared" si="22"/>
        <v>2.35E-2</v>
      </c>
      <c r="S111" s="68">
        <f t="shared" si="22"/>
        <v>2.35E-2</v>
      </c>
      <c r="T111" s="68">
        <f t="shared" si="22"/>
        <v>2.35E-2</v>
      </c>
      <c r="U111" s="68">
        <f t="shared" si="22"/>
        <v>2.35E-2</v>
      </c>
      <c r="V111" s="68">
        <f t="shared" si="22"/>
        <v>2.35E-2</v>
      </c>
      <c r="W111" s="68">
        <f t="shared" si="22"/>
        <v>2.35E-2</v>
      </c>
      <c r="X111" s="68">
        <f t="shared" si="22"/>
        <v>2.35E-2</v>
      </c>
      <c r="Y111" s="68">
        <f t="shared" si="22"/>
        <v>2.35E-2</v>
      </c>
      <c r="Z111" s="68">
        <f t="shared" si="22"/>
        <v>2.35E-2</v>
      </c>
      <c r="AA111" s="68">
        <f t="shared" si="22"/>
        <v>2.35E-2</v>
      </c>
      <c r="AB111" s="68">
        <f t="shared" si="22"/>
        <v>2.35E-2</v>
      </c>
      <c r="AC111" s="68">
        <f t="shared" si="22"/>
        <v>2.35E-2</v>
      </c>
      <c r="AD111" s="68">
        <f t="shared" si="22"/>
        <v>2.35E-2</v>
      </c>
      <c r="AE111" s="68">
        <f t="shared" si="22"/>
        <v>2.35E-2</v>
      </c>
      <c r="AF111" s="68">
        <f t="shared" si="22"/>
        <v>2.35E-2</v>
      </c>
      <c r="AG111" s="68">
        <f t="shared" si="22"/>
        <v>2.35E-2</v>
      </c>
      <c r="AH111" s="68">
        <f t="shared" si="22"/>
        <v>2.35E-2</v>
      </c>
      <c r="AI111" s="68">
        <f t="shared" si="22"/>
        <v>2.35E-2</v>
      </c>
      <c r="AJ111" s="77"/>
      <c r="AK111" s="77"/>
      <c r="AL111" s="77"/>
      <c r="AM111" s="77"/>
      <c r="AN111" s="77"/>
      <c r="AO111" s="77"/>
      <c r="AP111" s="77"/>
      <c r="AQ111" s="77"/>
      <c r="AR111" s="77"/>
      <c r="AS111" s="77"/>
      <c r="AT111" s="77"/>
      <c r="AU111" s="77"/>
      <c r="AV111" s="77"/>
      <c r="AW111" s="77"/>
      <c r="AX111" s="77"/>
      <c r="AY111" s="77"/>
      <c r="AZ111" s="77"/>
      <c r="BA111" s="77"/>
      <c r="BB111" s="77"/>
      <c r="BC111" s="77"/>
      <c r="BD111" s="77"/>
      <c r="BE111" s="77"/>
      <c r="BF111" s="77"/>
      <c r="BG111" s="77"/>
      <c r="BH111" s="77"/>
      <c r="BI111" s="77"/>
      <c r="BJ111" s="77"/>
      <c r="BK111" s="77"/>
      <c r="BL111" s="77"/>
      <c r="BM111" s="77"/>
      <c r="BN111" s="77"/>
      <c r="BO111" s="77"/>
      <c r="BP111" s="77"/>
      <c r="BQ111" s="77"/>
      <c r="BR111" s="77"/>
      <c r="BS111" s="77"/>
      <c r="BT111" s="77"/>
      <c r="BU111" s="77"/>
      <c r="BV111" s="77"/>
      <c r="BW111" s="77"/>
      <c r="BX111" s="77"/>
      <c r="BY111" s="77"/>
      <c r="BZ111" s="77"/>
      <c r="CA111" s="77"/>
      <c r="CB111" s="77"/>
      <c r="CC111" s="77"/>
      <c r="CD111" s="77"/>
      <c r="CE111" s="77"/>
      <c r="CF111" s="77"/>
      <c r="CG111" s="77"/>
      <c r="CH111" s="77"/>
      <c r="CI111" s="77"/>
      <c r="CJ111" s="77"/>
      <c r="CK111" s="77"/>
      <c r="CL111" s="77"/>
      <c r="CM111" s="77"/>
      <c r="CN111" s="77"/>
      <c r="CO111" s="77"/>
      <c r="CP111" s="77"/>
      <c r="CQ111" s="77"/>
      <c r="CR111" s="77"/>
      <c r="CS111" s="77"/>
      <c r="CT111" s="77"/>
      <c r="CU111" s="77"/>
      <c r="CV111" s="77"/>
      <c r="CW111" s="77"/>
      <c r="CX111" s="77"/>
      <c r="CY111" s="77"/>
      <c r="CZ111" s="77"/>
      <c r="DA111" s="77"/>
      <c r="DB111" s="77"/>
      <c r="DC111" s="77"/>
      <c r="DD111" s="77"/>
      <c r="DE111" s="77"/>
      <c r="DF111" s="77"/>
      <c r="DG111" s="77"/>
      <c r="DH111" s="77"/>
      <c r="DI111" s="77"/>
      <c r="DJ111" s="77"/>
      <c r="DK111" s="77"/>
      <c r="DL111" s="77"/>
      <c r="DM111" s="77"/>
      <c r="DN111" s="77"/>
      <c r="DO111" s="77"/>
      <c r="DP111" s="77"/>
      <c r="DQ111" s="77"/>
      <c r="DR111" s="77"/>
      <c r="DS111" s="77"/>
      <c r="DT111" s="77"/>
      <c r="DU111" s="77"/>
      <c r="DV111" s="77"/>
      <c r="DW111" s="77"/>
      <c r="DX111" s="77"/>
      <c r="DY111" s="77"/>
      <c r="DZ111" s="77"/>
      <c r="EA111" s="77"/>
      <c r="EB111" s="77"/>
      <c r="EC111" s="77"/>
      <c r="ED111" s="77"/>
      <c r="EE111" s="77"/>
      <c r="EF111" s="77"/>
      <c r="EG111" s="77"/>
      <c r="EH111" s="77"/>
      <c r="EI111" s="77"/>
      <c r="EJ111" s="77"/>
      <c r="EK111" s="77"/>
      <c r="EL111" s="77"/>
    </row>
    <row r="112" spans="1:142" s="78" customFormat="1">
      <c r="A112" s="97"/>
      <c r="B112" s="69"/>
      <c r="C112" s="69"/>
      <c r="D112" s="68"/>
      <c r="E112" s="68"/>
      <c r="F112" s="68"/>
      <c r="G112" s="68"/>
      <c r="H112" s="68"/>
      <c r="I112" s="68"/>
      <c r="J112" s="68"/>
      <c r="K112" s="68"/>
      <c r="L112" s="68"/>
      <c r="M112" s="68"/>
      <c r="N112" s="68"/>
      <c r="O112" s="68"/>
      <c r="P112" s="68"/>
      <c r="Q112" s="68"/>
      <c r="R112" s="68"/>
      <c r="S112" s="68"/>
      <c r="T112" s="68"/>
      <c r="U112" s="68"/>
      <c r="V112" s="68"/>
      <c r="W112" s="68"/>
      <c r="X112" s="68"/>
      <c r="Y112" s="68"/>
      <c r="Z112" s="68"/>
      <c r="AA112" s="68"/>
      <c r="AB112" s="68"/>
      <c r="AC112" s="68"/>
      <c r="AD112" s="68"/>
      <c r="AE112" s="68"/>
      <c r="AF112" s="68"/>
      <c r="AG112" s="68"/>
      <c r="AH112" s="68"/>
      <c r="AI112" s="68"/>
      <c r="AJ112" s="77"/>
      <c r="AK112" s="77"/>
      <c r="AL112" s="77"/>
      <c r="AM112" s="77"/>
      <c r="AN112" s="77"/>
      <c r="AO112" s="77"/>
      <c r="AP112" s="77"/>
      <c r="AQ112" s="77"/>
      <c r="AR112" s="77"/>
      <c r="AS112" s="77"/>
      <c r="AT112" s="77"/>
      <c r="AU112" s="77"/>
      <c r="AV112" s="77"/>
      <c r="AW112" s="77"/>
      <c r="AX112" s="77"/>
      <c r="AY112" s="77"/>
      <c r="AZ112" s="77"/>
      <c r="BA112" s="77"/>
      <c r="BB112" s="77"/>
      <c r="BC112" s="77"/>
      <c r="BD112" s="77"/>
      <c r="BE112" s="77"/>
      <c r="BF112" s="77"/>
      <c r="BG112" s="77"/>
      <c r="BH112" s="77"/>
      <c r="BI112" s="77"/>
      <c r="BJ112" s="77"/>
      <c r="BK112" s="77"/>
      <c r="BL112" s="77"/>
      <c r="BM112" s="77"/>
      <c r="BN112" s="77"/>
      <c r="BO112" s="77"/>
      <c r="BP112" s="77"/>
      <c r="BQ112" s="77"/>
      <c r="BR112" s="77"/>
      <c r="BS112" s="77"/>
      <c r="BT112" s="77"/>
      <c r="BU112" s="77"/>
      <c r="BV112" s="77"/>
      <c r="BW112" s="77"/>
      <c r="BX112" s="77"/>
      <c r="BY112" s="77"/>
      <c r="BZ112" s="77"/>
      <c r="CA112" s="77"/>
      <c r="CB112" s="77"/>
      <c r="CC112" s="77"/>
      <c r="CD112" s="77"/>
      <c r="CE112" s="77"/>
      <c r="CF112" s="77"/>
      <c r="CG112" s="77"/>
      <c r="CH112" s="77"/>
      <c r="CI112" s="77"/>
      <c r="CJ112" s="77"/>
      <c r="CK112" s="77"/>
      <c r="CL112" s="77"/>
      <c r="CM112" s="77"/>
      <c r="CN112" s="77"/>
      <c r="CO112" s="77"/>
      <c r="CP112" s="77"/>
      <c r="CQ112" s="77"/>
      <c r="CR112" s="77"/>
      <c r="CS112" s="77"/>
      <c r="CT112" s="77"/>
      <c r="CU112" s="77"/>
      <c r="CV112" s="77"/>
      <c r="CW112" s="77"/>
      <c r="CX112" s="77"/>
      <c r="CY112" s="77"/>
      <c r="CZ112" s="77"/>
      <c r="DA112" s="77"/>
      <c r="DB112" s="77"/>
      <c r="DC112" s="77"/>
      <c r="DD112" s="77"/>
      <c r="DE112" s="77"/>
      <c r="DF112" s="77"/>
      <c r="DG112" s="77"/>
      <c r="DH112" s="77"/>
      <c r="DI112" s="77"/>
      <c r="DJ112" s="77"/>
      <c r="DK112" s="77"/>
      <c r="DL112" s="77"/>
      <c r="DM112" s="77"/>
      <c r="DN112" s="77"/>
      <c r="DO112" s="77"/>
      <c r="DP112" s="77"/>
      <c r="DQ112" s="77"/>
      <c r="DR112" s="77"/>
      <c r="DS112" s="77"/>
      <c r="DT112" s="77"/>
      <c r="DU112" s="77"/>
      <c r="DV112" s="77"/>
      <c r="DW112" s="77"/>
      <c r="DX112" s="77"/>
      <c r="DY112" s="77"/>
      <c r="DZ112" s="77"/>
      <c r="EA112" s="77"/>
      <c r="EB112" s="77"/>
      <c r="EC112" s="77"/>
      <c r="ED112" s="77"/>
      <c r="EE112" s="77"/>
      <c r="EF112" s="77"/>
      <c r="EG112" s="77"/>
      <c r="EH112" s="77"/>
      <c r="EI112" s="77"/>
      <c r="EJ112" s="77"/>
      <c r="EK112" s="77"/>
      <c r="EL112" s="77"/>
    </row>
    <row r="113" spans="1:142" s="76" customFormat="1">
      <c r="A113" s="50"/>
      <c r="B113" s="109" t="s">
        <v>346</v>
      </c>
      <c r="C113" s="98"/>
      <c r="D113" s="105"/>
      <c r="E113" s="1243">
        <v>2050</v>
      </c>
      <c r="F113" s="108"/>
      <c r="G113" s="108"/>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c r="DK113" s="12"/>
      <c r="DL113" s="12"/>
      <c r="DM113" s="12"/>
      <c r="DN113" s="12"/>
      <c r="DO113" s="12"/>
      <c r="DP113" s="12"/>
      <c r="DQ113" s="12"/>
      <c r="DR113" s="12"/>
      <c r="DS113" s="12"/>
      <c r="DT113" s="12"/>
      <c r="DU113" s="12"/>
      <c r="DV113" s="12"/>
      <c r="DW113" s="12"/>
      <c r="DX113" s="12"/>
      <c r="DY113" s="12"/>
      <c r="DZ113" s="12"/>
      <c r="EA113" s="12"/>
      <c r="EB113" s="12"/>
      <c r="EC113" s="12"/>
      <c r="ED113" s="12"/>
      <c r="EE113" s="12"/>
      <c r="EF113" s="12"/>
      <c r="EG113" s="12"/>
      <c r="EH113" s="12"/>
      <c r="EI113" s="12"/>
      <c r="EJ113" s="12"/>
      <c r="EK113" s="12"/>
      <c r="EL113" s="12"/>
    </row>
    <row r="114" spans="1:142" s="76" customFormat="1">
      <c r="A114" s="50"/>
      <c r="B114" s="109"/>
      <c r="C114" s="98"/>
      <c r="D114" s="105"/>
      <c r="E114" s="287"/>
      <c r="F114" s="108"/>
      <c r="G114" s="108"/>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c r="CJ114" s="12"/>
      <c r="CK114" s="12"/>
      <c r="CL114" s="12"/>
      <c r="CM114" s="12"/>
      <c r="CN114" s="12"/>
      <c r="CO114" s="12"/>
      <c r="CP114" s="12"/>
      <c r="CQ114" s="12"/>
      <c r="CR114" s="12"/>
      <c r="CS114" s="12"/>
      <c r="CT114" s="12"/>
      <c r="CU114" s="12"/>
      <c r="CV114" s="12"/>
      <c r="CW114" s="12"/>
      <c r="CX114" s="12"/>
      <c r="CY114" s="12"/>
      <c r="CZ114" s="12"/>
      <c r="DA114" s="12"/>
      <c r="DB114" s="12"/>
      <c r="DC114" s="12"/>
      <c r="DD114" s="12"/>
      <c r="DE114" s="12"/>
      <c r="DF114" s="12"/>
      <c r="DG114" s="12"/>
      <c r="DH114" s="12"/>
      <c r="DI114" s="12"/>
      <c r="DJ114" s="12"/>
      <c r="DK114" s="12"/>
      <c r="DL114" s="12"/>
      <c r="DM114" s="12"/>
      <c r="DN114" s="12"/>
      <c r="DO114" s="12"/>
      <c r="DP114" s="12"/>
      <c r="DQ114" s="12"/>
      <c r="DR114" s="12"/>
      <c r="DS114" s="12"/>
      <c r="DT114" s="12"/>
      <c r="DU114" s="12"/>
      <c r="DV114" s="12"/>
      <c r="DW114" s="12"/>
      <c r="DX114" s="12"/>
      <c r="DY114" s="12"/>
      <c r="DZ114" s="12"/>
      <c r="EA114" s="12"/>
      <c r="EB114" s="12"/>
      <c r="EC114" s="12"/>
      <c r="ED114" s="12"/>
      <c r="EE114" s="12"/>
      <c r="EF114" s="12"/>
      <c r="EG114" s="12"/>
      <c r="EH114" s="12"/>
      <c r="EI114" s="12"/>
      <c r="EJ114" s="12"/>
      <c r="EK114" s="12"/>
      <c r="EL114" s="12"/>
    </row>
    <row r="115" spans="1:142" s="76" customFormat="1">
      <c r="A115" s="50"/>
      <c r="B115" s="109"/>
      <c r="C115" s="98"/>
      <c r="D115" s="105"/>
      <c r="E115" s="1241" t="s">
        <v>703</v>
      </c>
      <c r="F115" s="412" t="s">
        <v>66</v>
      </c>
      <c r="G115" s="108"/>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c r="CJ115" s="12"/>
      <c r="CK115" s="12"/>
      <c r="CL115" s="12"/>
      <c r="CM115" s="12"/>
      <c r="CN115" s="12"/>
      <c r="CO115" s="12"/>
      <c r="CP115" s="12"/>
      <c r="CQ115" s="12"/>
      <c r="CR115" s="12"/>
      <c r="CS115" s="12"/>
      <c r="CT115" s="12"/>
      <c r="CU115" s="12"/>
      <c r="CV115" s="12"/>
      <c r="CW115" s="12"/>
      <c r="CX115" s="12"/>
      <c r="CY115" s="12"/>
      <c r="CZ115" s="12"/>
      <c r="DA115" s="12"/>
      <c r="DB115" s="12"/>
      <c r="DC115" s="12"/>
      <c r="DD115" s="12"/>
      <c r="DE115" s="12"/>
      <c r="DF115" s="12"/>
      <c r="DG115" s="12"/>
      <c r="DH115" s="12"/>
      <c r="DI115" s="12"/>
      <c r="DJ115" s="12"/>
      <c r="DK115" s="12"/>
      <c r="DL115" s="12"/>
      <c r="DM115" s="12"/>
      <c r="DN115" s="12"/>
      <c r="DO115" s="12"/>
      <c r="DP115" s="12"/>
      <c r="DQ115" s="12"/>
      <c r="DR115" s="12"/>
      <c r="DS115" s="12"/>
      <c r="DT115" s="12"/>
      <c r="DU115" s="12"/>
      <c r="DV115" s="12"/>
      <c r="DW115" s="12"/>
      <c r="DX115" s="12"/>
      <c r="DY115" s="12"/>
      <c r="DZ115" s="12"/>
      <c r="EA115" s="12"/>
      <c r="EB115" s="12"/>
      <c r="EC115" s="12"/>
      <c r="ED115" s="12"/>
      <c r="EE115" s="12"/>
      <c r="EF115" s="12"/>
      <c r="EG115" s="12"/>
      <c r="EH115" s="12"/>
      <c r="EI115" s="12"/>
      <c r="EJ115" s="12"/>
      <c r="EK115" s="12"/>
      <c r="EL115" s="12"/>
    </row>
    <row r="116" spans="1:142" s="76" customFormat="1">
      <c r="A116" s="50"/>
      <c r="B116" s="105" t="s">
        <v>67</v>
      </c>
      <c r="C116" s="89"/>
      <c r="D116" s="105"/>
      <c r="E116" s="1242">
        <f>1-F116</f>
        <v>2.7777777777777679E-3</v>
      </c>
      <c r="F116" s="1242">
        <f>H23</f>
        <v>0.99722222222222223</v>
      </c>
      <c r="G116" s="105"/>
      <c r="H116" s="105"/>
      <c r="I116" s="105"/>
      <c r="J116" s="105"/>
      <c r="K116" s="105"/>
      <c r="L116" s="105"/>
      <c r="M116" s="105"/>
      <c r="N116" s="105"/>
      <c r="O116" s="105"/>
      <c r="P116" s="105"/>
      <c r="Q116" s="105"/>
      <c r="R116" s="105"/>
      <c r="S116" s="105"/>
      <c r="T116" s="105"/>
      <c r="U116" s="105"/>
      <c r="V116" s="105"/>
      <c r="W116" s="105"/>
      <c r="X116" s="105"/>
      <c r="Y116" s="105"/>
      <c r="Z116" s="105"/>
      <c r="AA116" s="105"/>
      <c r="AB116" s="105"/>
      <c r="AC116" s="105"/>
      <c r="AD116" s="105"/>
      <c r="AE116" s="105"/>
      <c r="AF116" s="105"/>
      <c r="AG116" s="105"/>
      <c r="AH116" s="105"/>
      <c r="AI116" s="105"/>
      <c r="AJ116" s="105"/>
      <c r="AK116" s="105"/>
      <c r="AL116" s="105"/>
      <c r="AM116" s="105"/>
      <c r="AN116" s="105"/>
      <c r="AO116" s="105"/>
      <c r="AP116" s="105"/>
      <c r="AQ116" s="105"/>
      <c r="AR116" s="105"/>
      <c r="AS116" s="105"/>
      <c r="AT116" s="105"/>
      <c r="AU116" s="105"/>
      <c r="AV116" s="105"/>
      <c r="AW116" s="105"/>
      <c r="AX116" s="105"/>
      <c r="AY116" s="105"/>
      <c r="AZ116" s="105"/>
      <c r="BA116" s="105"/>
      <c r="BB116" s="105"/>
      <c r="BC116" s="105"/>
      <c r="BD116" s="105"/>
      <c r="BE116" s="105"/>
      <c r="BF116" s="105"/>
      <c r="BG116" s="105"/>
      <c r="BH116" s="105"/>
      <c r="BI116" s="105"/>
      <c r="BJ116" s="105"/>
      <c r="BK116" s="105"/>
      <c r="BL116" s="105"/>
      <c r="BM116" s="105"/>
      <c r="BN116" s="105"/>
      <c r="BO116" s="105"/>
      <c r="BP116" s="105"/>
      <c r="BQ116" s="105"/>
      <c r="BR116" s="105"/>
      <c r="BS116" s="105"/>
      <c r="BT116" s="105"/>
      <c r="BU116" s="105"/>
      <c r="BV116" s="105"/>
      <c r="BW116" s="105"/>
      <c r="BX116" s="105"/>
      <c r="BY116" s="105"/>
      <c r="BZ116" s="105"/>
      <c r="CA116" s="105"/>
      <c r="CB116" s="105"/>
      <c r="CC116" s="105"/>
      <c r="CD116" s="105"/>
      <c r="CE116" s="105"/>
      <c r="CF116" s="105"/>
      <c r="CG116" s="105"/>
      <c r="CH116" s="105"/>
      <c r="CI116" s="105"/>
      <c r="CJ116" s="105"/>
      <c r="CK116" s="105"/>
      <c r="CL116" s="105"/>
      <c r="CM116" s="105"/>
      <c r="CN116" s="105"/>
      <c r="CO116" s="105"/>
      <c r="CP116" s="105"/>
      <c r="CQ116" s="105"/>
      <c r="CR116" s="105"/>
      <c r="CS116" s="105"/>
      <c r="CT116" s="105"/>
      <c r="CU116" s="105"/>
      <c r="CV116" s="105"/>
      <c r="CW116" s="105"/>
      <c r="CX116" s="105"/>
      <c r="CY116" s="105"/>
      <c r="CZ116" s="105"/>
      <c r="DA116" s="105"/>
      <c r="DB116" s="105"/>
      <c r="DC116" s="105"/>
      <c r="DD116" s="105"/>
      <c r="DE116" s="105"/>
      <c r="DF116" s="105"/>
      <c r="DG116" s="105"/>
      <c r="DH116" s="105"/>
      <c r="DI116" s="105"/>
      <c r="DJ116" s="105"/>
      <c r="DK116" s="105"/>
      <c r="DL116" s="105"/>
      <c r="DM116" s="105"/>
      <c r="DN116" s="105"/>
      <c r="DO116" s="105"/>
      <c r="DP116" s="105"/>
      <c r="DQ116" s="105"/>
      <c r="DR116" s="105"/>
      <c r="DS116" s="105"/>
      <c r="DT116" s="105"/>
      <c r="DU116" s="105"/>
      <c r="DV116" s="105"/>
      <c r="DW116" s="105"/>
      <c r="DX116" s="105"/>
      <c r="DY116" s="105"/>
      <c r="DZ116" s="105"/>
      <c r="EA116" s="105"/>
      <c r="EB116" s="105"/>
      <c r="EC116" s="105"/>
      <c r="ED116" s="105"/>
      <c r="EE116" s="105"/>
      <c r="EF116" s="105"/>
      <c r="EG116" s="105"/>
      <c r="EH116" s="105"/>
      <c r="EI116" s="105"/>
      <c r="EJ116" s="105"/>
      <c r="EK116" s="105"/>
      <c r="EL116" s="105"/>
    </row>
    <row r="117" spans="1:142" s="76" customFormat="1">
      <c r="A117" s="50"/>
      <c r="B117" s="105"/>
      <c r="C117" s="89"/>
      <c r="D117" s="105"/>
      <c r="F117" s="108"/>
      <c r="G117" s="108"/>
      <c r="H117" s="108"/>
      <c r="I117" s="108"/>
      <c r="J117" s="108"/>
      <c r="K117" s="108"/>
      <c r="L117" s="108"/>
      <c r="M117" s="108"/>
      <c r="N117" s="108"/>
      <c r="O117" s="108"/>
      <c r="P117" s="108"/>
      <c r="Q117" s="108"/>
      <c r="R117" s="108"/>
      <c r="S117" s="108"/>
      <c r="T117" s="108"/>
      <c r="U117" s="108"/>
      <c r="V117" s="108"/>
      <c r="W117" s="108"/>
      <c r="X117" s="108"/>
      <c r="Y117" s="108"/>
      <c r="Z117" s="108"/>
      <c r="AA117" s="108"/>
      <c r="AB117" s="108"/>
      <c r="AC117" s="108"/>
      <c r="AD117" s="108"/>
      <c r="AE117" s="108"/>
      <c r="AF117" s="108"/>
      <c r="AG117" s="108"/>
      <c r="AH117" s="108"/>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c r="CJ117" s="12"/>
      <c r="CK117" s="12"/>
      <c r="CL117" s="12"/>
      <c r="CM117" s="12"/>
      <c r="CN117" s="12"/>
      <c r="CO117" s="12"/>
      <c r="CP117" s="12"/>
      <c r="CQ117" s="12"/>
      <c r="CR117" s="12"/>
      <c r="CS117" s="12"/>
      <c r="CT117" s="12"/>
      <c r="CU117" s="12"/>
      <c r="CV117" s="12"/>
      <c r="CW117" s="12"/>
      <c r="CX117" s="12"/>
      <c r="CY117" s="12"/>
      <c r="CZ117" s="12"/>
      <c r="DA117" s="12"/>
      <c r="DB117" s="12"/>
      <c r="DC117" s="12"/>
      <c r="DD117" s="12"/>
      <c r="DE117" s="12"/>
      <c r="DF117" s="12"/>
      <c r="DG117" s="12"/>
      <c r="DH117" s="12"/>
      <c r="DI117" s="12"/>
      <c r="DJ117" s="12"/>
      <c r="DK117" s="12"/>
      <c r="DL117" s="12"/>
      <c r="DM117" s="12"/>
      <c r="DN117" s="12"/>
      <c r="DO117" s="12"/>
      <c r="DP117" s="12"/>
      <c r="DQ117" s="12"/>
      <c r="DR117" s="12"/>
      <c r="DS117" s="12"/>
      <c r="DT117" s="12"/>
      <c r="DU117" s="12"/>
      <c r="DV117" s="12"/>
      <c r="DW117" s="12"/>
      <c r="DX117" s="12"/>
      <c r="DY117" s="12"/>
      <c r="DZ117" s="12"/>
      <c r="EA117" s="12"/>
      <c r="EB117" s="12"/>
      <c r="EC117" s="12"/>
      <c r="ED117" s="12"/>
      <c r="EE117" s="12"/>
      <c r="EF117" s="12"/>
      <c r="EG117" s="12"/>
      <c r="EH117" s="12"/>
      <c r="EI117" s="12"/>
      <c r="EJ117" s="12"/>
      <c r="EK117" s="12"/>
      <c r="EL117" s="12"/>
    </row>
    <row r="118" spans="1:142" s="76" customFormat="1">
      <c r="A118" s="50"/>
      <c r="B118" s="108"/>
      <c r="C118" s="79"/>
      <c r="D118" s="108"/>
      <c r="E118" s="108"/>
      <c r="F118" s="108"/>
      <c r="G118" s="108"/>
      <c r="H118" s="108"/>
      <c r="I118" s="108"/>
      <c r="J118" s="108"/>
      <c r="K118" s="108"/>
      <c r="L118" s="108"/>
      <c r="M118" s="108"/>
      <c r="N118" s="108"/>
      <c r="O118" s="108"/>
      <c r="P118" s="108"/>
      <c r="Q118" s="108"/>
      <c r="R118" s="108"/>
      <c r="S118" s="108"/>
      <c r="T118" s="108"/>
      <c r="U118" s="108"/>
      <c r="V118" s="108"/>
      <c r="W118" s="108"/>
      <c r="X118" s="108"/>
      <c r="Y118" s="108"/>
      <c r="Z118" s="108"/>
      <c r="AA118" s="108"/>
      <c r="AB118" s="108"/>
      <c r="AC118" s="108"/>
      <c r="AD118" s="108"/>
      <c r="AE118" s="108"/>
      <c r="AF118" s="108"/>
      <c r="AG118" s="108"/>
      <c r="AH118" s="108"/>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2"/>
      <c r="CL118" s="12"/>
      <c r="CM118" s="12"/>
      <c r="CN118" s="12"/>
      <c r="CO118" s="12"/>
      <c r="CP118" s="12"/>
      <c r="CQ118" s="12"/>
      <c r="CR118" s="12"/>
      <c r="CS118" s="12"/>
      <c r="CT118" s="12"/>
      <c r="CU118" s="12"/>
      <c r="CV118" s="12"/>
      <c r="CW118" s="12"/>
      <c r="CX118" s="12"/>
      <c r="CY118" s="12"/>
      <c r="CZ118" s="12"/>
      <c r="DA118" s="12"/>
      <c r="DB118" s="12"/>
      <c r="DC118" s="12"/>
      <c r="DD118" s="12"/>
      <c r="DE118" s="12"/>
      <c r="DF118" s="12"/>
      <c r="DG118" s="12"/>
      <c r="DH118" s="12"/>
      <c r="DI118" s="12"/>
      <c r="DJ118" s="12"/>
      <c r="DK118" s="12"/>
      <c r="DL118" s="12"/>
      <c r="DM118" s="12"/>
      <c r="DN118" s="12"/>
      <c r="DO118" s="12"/>
      <c r="DP118" s="12"/>
      <c r="DQ118" s="12"/>
      <c r="DR118" s="12"/>
      <c r="DS118" s="12"/>
      <c r="DT118" s="12"/>
      <c r="DU118" s="12"/>
      <c r="DV118" s="12"/>
      <c r="DW118" s="12"/>
      <c r="DX118" s="12"/>
      <c r="DY118" s="12"/>
      <c r="DZ118" s="12"/>
      <c r="EA118" s="12"/>
      <c r="EB118" s="12"/>
      <c r="EC118" s="12"/>
      <c r="ED118" s="12"/>
      <c r="EE118" s="12"/>
      <c r="EF118" s="12"/>
      <c r="EG118" s="12"/>
      <c r="EH118" s="12"/>
      <c r="EI118" s="12"/>
      <c r="EJ118" s="12"/>
      <c r="EK118" s="12"/>
      <c r="EL118" s="12"/>
    </row>
    <row r="119" spans="1:142" s="76" customFormat="1">
      <c r="A119" s="50"/>
      <c r="B119" s="41" t="s">
        <v>601</v>
      </c>
      <c r="C119" s="824"/>
      <c r="D119" s="114">
        <v>8.2500000000000004E-2</v>
      </c>
      <c r="E119" s="1085">
        <f>PMT(D119,20,-(NPV(D119,CashFlow!E8:X8)))</f>
        <v>2.3499999999999997E-2</v>
      </c>
      <c r="F119" s="108"/>
      <c r="G119" s="108"/>
      <c r="H119" s="108"/>
      <c r="I119" s="108"/>
      <c r="J119" s="108"/>
      <c r="K119" s="108"/>
      <c r="L119" s="108"/>
      <c r="M119" s="108"/>
      <c r="N119" s="108"/>
      <c r="O119" s="108"/>
      <c r="P119" s="108"/>
      <c r="Q119" s="108"/>
      <c r="R119" s="108"/>
      <c r="S119" s="108"/>
      <c r="T119" s="108"/>
      <c r="U119" s="108"/>
      <c r="V119" s="108"/>
      <c r="W119" s="108"/>
      <c r="X119" s="108"/>
      <c r="Y119" s="108"/>
      <c r="Z119" s="108"/>
      <c r="AA119" s="108"/>
      <c r="AB119" s="108"/>
      <c r="AC119" s="108"/>
      <c r="AD119" s="108"/>
      <c r="AE119" s="108"/>
      <c r="AF119" s="108"/>
      <c r="AG119" s="108"/>
      <c r="AH119" s="108"/>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c r="CJ119" s="12"/>
      <c r="CK119" s="12"/>
      <c r="CL119" s="12"/>
      <c r="CM119" s="12"/>
      <c r="CN119" s="12"/>
      <c r="CO119" s="12"/>
      <c r="CP119" s="12"/>
      <c r="CQ119" s="12"/>
      <c r="CR119" s="12"/>
      <c r="CS119" s="12"/>
      <c r="CT119" s="12"/>
      <c r="CU119" s="12"/>
      <c r="CV119" s="12"/>
      <c r="CW119" s="12"/>
      <c r="CX119" s="12"/>
      <c r="CY119" s="12"/>
      <c r="CZ119" s="12"/>
      <c r="DA119" s="12"/>
      <c r="DB119" s="12"/>
      <c r="DC119" s="12"/>
      <c r="DD119" s="12"/>
      <c r="DE119" s="12"/>
      <c r="DF119" s="12"/>
      <c r="DG119" s="12"/>
      <c r="DH119" s="12"/>
      <c r="DI119" s="12"/>
      <c r="DJ119" s="12"/>
      <c r="DK119" s="12"/>
      <c r="DL119" s="12"/>
      <c r="DM119" s="12"/>
      <c r="DN119" s="12"/>
      <c r="DO119" s="12"/>
      <c r="DP119" s="12"/>
      <c r="DQ119" s="12"/>
      <c r="DR119" s="12"/>
      <c r="DS119" s="12"/>
      <c r="DT119" s="12"/>
      <c r="DU119" s="12"/>
      <c r="DV119" s="12"/>
      <c r="DW119" s="12"/>
      <c r="DX119" s="12"/>
      <c r="DY119" s="12"/>
      <c r="DZ119" s="12"/>
      <c r="EA119" s="12"/>
      <c r="EB119" s="12"/>
      <c r="EC119" s="12"/>
      <c r="ED119" s="12"/>
      <c r="EE119" s="12"/>
      <c r="EF119" s="12"/>
      <c r="EG119" s="12"/>
      <c r="EH119" s="12"/>
      <c r="EI119" s="12"/>
      <c r="EJ119" s="12"/>
      <c r="EK119" s="12"/>
      <c r="EL119" s="12"/>
    </row>
    <row r="120" spans="1:142" s="76" customFormat="1">
      <c r="A120" s="105"/>
      <c r="B120" s="109"/>
      <c r="C120" s="98"/>
      <c r="D120" s="109"/>
      <c r="E120" s="108"/>
      <c r="F120" s="108"/>
      <c r="G120" s="108"/>
      <c r="H120" s="12"/>
      <c r="I120" s="108"/>
      <c r="J120" s="108"/>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c r="CJ120" s="12"/>
      <c r="CK120" s="12"/>
      <c r="CL120" s="12"/>
      <c r="CM120" s="12"/>
      <c r="CN120" s="12"/>
      <c r="CO120" s="12"/>
      <c r="CP120" s="12"/>
      <c r="CQ120" s="12"/>
      <c r="CR120" s="12"/>
      <c r="CS120" s="12"/>
      <c r="CT120" s="12"/>
      <c r="CU120" s="12"/>
      <c r="CV120" s="12"/>
      <c r="CW120" s="12"/>
      <c r="CX120" s="12"/>
      <c r="CY120" s="12"/>
      <c r="CZ120" s="12"/>
      <c r="DA120" s="12"/>
      <c r="DB120" s="12"/>
      <c r="DC120" s="12"/>
      <c r="DD120" s="12"/>
      <c r="DE120" s="12"/>
      <c r="DF120" s="12"/>
      <c r="DG120" s="12"/>
      <c r="DH120" s="12"/>
      <c r="DI120" s="12"/>
      <c r="DJ120" s="12"/>
      <c r="DK120" s="12"/>
      <c r="DL120" s="12"/>
      <c r="DM120" s="12"/>
      <c r="DN120" s="12"/>
      <c r="DO120" s="12"/>
      <c r="DP120" s="12"/>
      <c r="DQ120" s="12"/>
      <c r="DR120" s="12"/>
      <c r="DS120" s="12"/>
      <c r="DT120" s="12"/>
      <c r="DU120" s="12"/>
      <c r="DV120" s="12"/>
      <c r="DW120" s="12"/>
      <c r="DX120" s="12"/>
      <c r="DY120" s="12"/>
      <c r="DZ120" s="12"/>
      <c r="EA120" s="12"/>
      <c r="EB120" s="12"/>
      <c r="EC120" s="12"/>
      <c r="ED120" s="12"/>
      <c r="EE120" s="12"/>
      <c r="EF120" s="12"/>
      <c r="EG120" s="12"/>
      <c r="EH120" s="12"/>
      <c r="EI120" s="12"/>
      <c r="EJ120" s="12"/>
      <c r="EK120" s="12"/>
      <c r="EL120" s="12"/>
    </row>
    <row r="121" spans="1:142" s="76" customFormat="1">
      <c r="A121" s="105"/>
      <c r="B121" s="105" t="s">
        <v>347</v>
      </c>
      <c r="C121" s="89"/>
      <c r="D121" s="105"/>
      <c r="E121" s="228">
        <f>F68</f>
        <v>700</v>
      </c>
      <c r="F121" s="108" t="s">
        <v>297</v>
      </c>
      <c r="G121" s="108"/>
      <c r="H121" s="12"/>
      <c r="I121" s="108"/>
      <c r="J121" s="108"/>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c r="CJ121" s="12"/>
      <c r="CK121" s="12"/>
      <c r="CL121" s="12"/>
      <c r="CM121" s="12"/>
      <c r="CN121" s="12"/>
      <c r="CO121" s="12"/>
      <c r="CP121" s="12"/>
      <c r="CQ121" s="12"/>
      <c r="CR121" s="12"/>
      <c r="CS121" s="12"/>
      <c r="CT121" s="12"/>
      <c r="CU121" s="12"/>
      <c r="CV121" s="12"/>
      <c r="CW121" s="12"/>
      <c r="CX121" s="12"/>
      <c r="CY121" s="12"/>
      <c r="CZ121" s="12"/>
      <c r="DA121" s="12"/>
      <c r="DB121" s="12"/>
      <c r="DC121" s="12"/>
      <c r="DD121" s="12"/>
      <c r="DE121" s="12"/>
      <c r="DF121" s="12"/>
      <c r="DG121" s="12"/>
      <c r="DH121" s="12"/>
      <c r="DI121" s="12"/>
      <c r="DJ121" s="12"/>
      <c r="DK121" s="12"/>
      <c r="DL121" s="12"/>
      <c r="DM121" s="12"/>
      <c r="DN121" s="12"/>
      <c r="DO121" s="12"/>
      <c r="DP121" s="12"/>
      <c r="DQ121" s="12"/>
      <c r="DR121" s="12"/>
      <c r="DS121" s="12"/>
      <c r="DT121" s="12"/>
      <c r="DU121" s="12"/>
      <c r="DV121" s="12"/>
      <c r="DW121" s="12"/>
      <c r="DX121" s="12"/>
      <c r="DY121" s="12"/>
      <c r="DZ121" s="12"/>
      <c r="EA121" s="12"/>
      <c r="EB121" s="12"/>
      <c r="EC121" s="12"/>
      <c r="ED121" s="12"/>
      <c r="EE121" s="12"/>
      <c r="EF121" s="12"/>
      <c r="EG121" s="12"/>
      <c r="EH121" s="12"/>
      <c r="EI121" s="12"/>
      <c r="EJ121" s="12"/>
      <c r="EK121" s="12"/>
      <c r="EL121" s="12"/>
    </row>
    <row r="122" spans="1:142" s="76" customFormat="1">
      <c r="A122" s="105"/>
      <c r="B122" s="105" t="s">
        <v>802</v>
      </c>
      <c r="C122"/>
      <c r="D122" s="105"/>
      <c r="E122" s="228">
        <v>0</v>
      </c>
      <c r="F122" s="228">
        <v>0</v>
      </c>
      <c r="G122" s="228">
        <v>0</v>
      </c>
      <c r="H122" s="228">
        <v>0</v>
      </c>
      <c r="I122" s="228">
        <v>0</v>
      </c>
      <c r="J122" s="228">
        <v>0</v>
      </c>
      <c r="K122" s="228">
        <v>0</v>
      </c>
      <c r="L122" s="228">
        <v>0</v>
      </c>
      <c r="M122" s="228">
        <v>0</v>
      </c>
      <c r="N122" s="228">
        <v>0</v>
      </c>
      <c r="O122" s="228">
        <v>0</v>
      </c>
      <c r="P122" s="228">
        <v>0</v>
      </c>
      <c r="Q122" s="228">
        <v>0</v>
      </c>
      <c r="R122" s="228">
        <v>0</v>
      </c>
      <c r="S122" s="228">
        <v>0</v>
      </c>
      <c r="T122" s="228">
        <v>0</v>
      </c>
      <c r="U122" s="228">
        <v>0</v>
      </c>
      <c r="V122" s="228">
        <v>0</v>
      </c>
      <c r="W122" s="228">
        <v>0</v>
      </c>
      <c r="X122" s="228">
        <v>0</v>
      </c>
      <c r="Y122" s="228">
        <v>0</v>
      </c>
      <c r="Z122" s="228">
        <v>0</v>
      </c>
      <c r="AA122" s="228">
        <v>0</v>
      </c>
      <c r="AB122" s="228">
        <v>0</v>
      </c>
      <c r="AC122" s="228">
        <v>0</v>
      </c>
      <c r="AD122" s="228">
        <v>0</v>
      </c>
      <c r="AE122" s="228">
        <v>0</v>
      </c>
      <c r="AF122" s="228">
        <v>0</v>
      </c>
      <c r="AG122" s="228">
        <v>0</v>
      </c>
      <c r="AH122" s="228">
        <v>0</v>
      </c>
      <c r="AI122" s="228">
        <v>0</v>
      </c>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c r="CJ122" s="12"/>
      <c r="CK122" s="12"/>
      <c r="CL122" s="12"/>
      <c r="CM122" s="12"/>
      <c r="CN122" s="12"/>
      <c r="CO122" s="12"/>
      <c r="CP122" s="12"/>
      <c r="CQ122" s="12"/>
      <c r="CR122" s="12"/>
      <c r="CS122" s="12"/>
      <c r="CT122" s="12"/>
      <c r="CU122" s="12"/>
      <c r="CV122" s="12"/>
      <c r="CW122" s="12"/>
      <c r="CX122" s="12"/>
      <c r="CY122" s="12"/>
      <c r="CZ122" s="12"/>
      <c r="DA122" s="12"/>
      <c r="DB122" s="12"/>
      <c r="DC122" s="12"/>
      <c r="DD122" s="12"/>
      <c r="DE122" s="12"/>
      <c r="DF122" s="12"/>
      <c r="DG122" s="12"/>
      <c r="DH122" s="12"/>
      <c r="DI122" s="12"/>
      <c r="DJ122" s="12"/>
      <c r="DK122" s="12"/>
      <c r="DL122" s="12"/>
      <c r="DM122" s="12"/>
      <c r="DN122" s="12"/>
      <c r="DO122" s="12"/>
      <c r="DP122" s="12"/>
      <c r="DQ122" s="12"/>
      <c r="DR122" s="12"/>
      <c r="DS122" s="12"/>
      <c r="DT122" s="12"/>
      <c r="DU122" s="12"/>
      <c r="DV122" s="12"/>
      <c r="DW122" s="12"/>
      <c r="DX122" s="12"/>
      <c r="DY122" s="12"/>
      <c r="DZ122" s="12"/>
      <c r="EA122" s="12"/>
      <c r="EB122" s="12"/>
      <c r="EC122" s="12"/>
      <c r="ED122" s="12"/>
      <c r="EE122" s="12"/>
      <c r="EF122" s="12"/>
      <c r="EG122" s="12"/>
      <c r="EH122" s="12"/>
      <c r="EI122" s="12"/>
      <c r="EJ122" s="12"/>
      <c r="EK122" s="12"/>
      <c r="EL122" s="12"/>
    </row>
    <row r="123" spans="1:142" s="76" customFormat="1">
      <c r="A123" s="105"/>
      <c r="B123" s="105" t="s">
        <v>253</v>
      </c>
      <c r="C123" s="89"/>
      <c r="D123" s="105"/>
      <c r="E123" s="291">
        <f>F73</f>
        <v>0</v>
      </c>
      <c r="F123" s="108" t="s">
        <v>425</v>
      </c>
      <c r="G123" s="108"/>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c r="CJ123" s="12"/>
      <c r="CK123" s="12"/>
      <c r="CL123" s="12"/>
      <c r="CM123" s="12"/>
      <c r="CN123" s="12"/>
      <c r="CO123" s="12"/>
      <c r="CP123" s="12"/>
      <c r="CQ123" s="12"/>
      <c r="CR123" s="12"/>
      <c r="CS123" s="12"/>
      <c r="CT123" s="12"/>
      <c r="CU123" s="12"/>
      <c r="CV123" s="12"/>
      <c r="CW123" s="12"/>
      <c r="CX123" s="12"/>
      <c r="CY123" s="12"/>
      <c r="CZ123" s="12"/>
      <c r="DA123" s="12"/>
      <c r="DB123" s="12"/>
      <c r="DC123" s="12"/>
      <c r="DD123" s="12"/>
      <c r="DE123" s="12"/>
      <c r="DF123" s="12"/>
      <c r="DG123" s="12"/>
      <c r="DH123" s="12"/>
      <c r="DI123" s="12"/>
      <c r="DJ123" s="12"/>
      <c r="DK123" s="12"/>
      <c r="DL123" s="12"/>
      <c r="DM123" s="12"/>
      <c r="DN123" s="12"/>
      <c r="DO123" s="12"/>
      <c r="DP123" s="12"/>
      <c r="DQ123" s="12"/>
      <c r="DR123" s="12"/>
      <c r="DS123" s="12"/>
      <c r="DT123" s="12"/>
      <c r="DU123" s="12"/>
      <c r="DV123" s="12"/>
      <c r="DW123" s="12"/>
      <c r="DX123" s="12"/>
      <c r="DY123" s="12"/>
      <c r="DZ123" s="12"/>
      <c r="EA123" s="12"/>
      <c r="EB123" s="12"/>
      <c r="EC123" s="12"/>
      <c r="ED123" s="12"/>
      <c r="EE123" s="12"/>
      <c r="EF123" s="12"/>
      <c r="EG123" s="12"/>
      <c r="EH123" s="12"/>
      <c r="EI123" s="12"/>
      <c r="EJ123" s="12"/>
      <c r="EK123" s="12"/>
      <c r="EL123" s="12"/>
    </row>
    <row r="124" spans="1:142" s="76" customFormat="1">
      <c r="A124" s="105"/>
      <c r="B124" s="105"/>
      <c r="C124" s="89"/>
      <c r="D124" s="105"/>
      <c r="E124" s="108"/>
      <c r="F124" s="108"/>
      <c r="G124" s="108"/>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c r="CJ124" s="12"/>
      <c r="CK124" s="12"/>
      <c r="CL124" s="12"/>
      <c r="CM124" s="12"/>
      <c r="CN124" s="12"/>
      <c r="CO124" s="12"/>
      <c r="CP124" s="12"/>
      <c r="CQ124" s="12"/>
      <c r="CR124" s="12"/>
      <c r="CS124" s="12"/>
      <c r="CT124" s="12"/>
      <c r="CU124" s="12"/>
      <c r="CV124" s="12"/>
      <c r="CW124" s="12"/>
      <c r="CX124" s="12"/>
      <c r="CY124" s="12"/>
      <c r="CZ124" s="12"/>
      <c r="DA124" s="12"/>
      <c r="DB124" s="12"/>
      <c r="DC124" s="12"/>
      <c r="DD124" s="12"/>
      <c r="DE124" s="12"/>
      <c r="DF124" s="12"/>
      <c r="DG124" s="12"/>
      <c r="DH124" s="12"/>
      <c r="DI124" s="12"/>
      <c r="DJ124" s="12"/>
      <c r="DK124" s="12"/>
      <c r="DL124" s="12"/>
      <c r="DM124" s="12"/>
      <c r="DN124" s="12"/>
      <c r="DO124" s="12"/>
      <c r="DP124" s="12"/>
      <c r="DQ124" s="12"/>
      <c r="DR124" s="12"/>
      <c r="DS124" s="12"/>
      <c r="DT124" s="12"/>
      <c r="DU124" s="12"/>
      <c r="DV124" s="12"/>
      <c r="DW124" s="12"/>
      <c r="DX124" s="12"/>
      <c r="DY124" s="12"/>
      <c r="DZ124" s="12"/>
      <c r="EA124" s="12"/>
      <c r="EB124" s="12"/>
      <c r="EC124" s="12"/>
      <c r="ED124" s="12"/>
      <c r="EE124" s="12"/>
      <c r="EF124" s="12"/>
      <c r="EG124" s="12"/>
      <c r="EH124" s="12"/>
      <c r="EI124" s="12"/>
      <c r="EJ124" s="12"/>
      <c r="EK124" s="12"/>
      <c r="EL124" s="12"/>
    </row>
    <row r="125" spans="1:142" s="76" customFormat="1">
      <c r="B125" s="362" t="s">
        <v>82</v>
      </c>
      <c r="C125" s="66"/>
      <c r="D125" s="105"/>
      <c r="E125" s="108"/>
      <c r="F125" s="108"/>
      <c r="G125" s="108"/>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c r="CJ125" s="12"/>
      <c r="CK125" s="12"/>
      <c r="CL125" s="12"/>
      <c r="CM125" s="12"/>
      <c r="CN125" s="12"/>
      <c r="CO125" s="12"/>
      <c r="CP125" s="12"/>
      <c r="CQ125" s="12"/>
      <c r="CR125" s="12"/>
      <c r="CS125" s="12"/>
      <c r="CT125" s="12"/>
      <c r="CU125" s="12"/>
      <c r="CV125" s="12"/>
      <c r="CW125" s="12"/>
      <c r="CX125" s="12"/>
      <c r="CY125" s="12"/>
      <c r="CZ125" s="12"/>
      <c r="DA125" s="12"/>
      <c r="DB125" s="12"/>
      <c r="DC125" s="12"/>
      <c r="DD125" s="12"/>
      <c r="DE125" s="12"/>
      <c r="DF125" s="12"/>
      <c r="DG125" s="12"/>
      <c r="DH125" s="12"/>
      <c r="DI125" s="12"/>
      <c r="DJ125" s="12"/>
      <c r="DK125" s="12"/>
      <c r="DL125" s="12"/>
      <c r="DM125" s="12"/>
      <c r="DN125" s="12"/>
      <c r="DO125" s="12"/>
      <c r="DP125" s="12"/>
      <c r="DQ125" s="12"/>
      <c r="DR125" s="12"/>
      <c r="DS125" s="12"/>
      <c r="DT125" s="12"/>
      <c r="DU125" s="12"/>
      <c r="DV125" s="12"/>
      <c r="DW125" s="12"/>
      <c r="DX125" s="12"/>
      <c r="DY125" s="12"/>
      <c r="DZ125" s="12"/>
      <c r="EA125" s="12"/>
      <c r="EB125" s="12"/>
      <c r="EC125" s="12"/>
      <c r="ED125" s="12"/>
      <c r="EE125" s="12"/>
      <c r="EF125" s="12"/>
      <c r="EG125" s="12"/>
      <c r="EH125" s="12"/>
      <c r="EI125" s="12"/>
      <c r="EJ125" s="12"/>
      <c r="EK125" s="12"/>
      <c r="EL125" s="12"/>
    </row>
    <row r="126" spans="1:142" s="76" customFormat="1">
      <c r="A126" s="39"/>
      <c r="B126" s="38" t="s">
        <v>647</v>
      </c>
      <c r="C126" s="168"/>
      <c r="D126" s="38"/>
      <c r="E126" s="830">
        <v>1998</v>
      </c>
      <c r="F126" s="831">
        <f t="shared" ref="F126:AL126" si="23">E126+1</f>
        <v>1999</v>
      </c>
      <c r="G126" s="831">
        <f t="shared" si="23"/>
        <v>2000</v>
      </c>
      <c r="H126" s="831">
        <f t="shared" si="23"/>
        <v>2001</v>
      </c>
      <c r="I126" s="831">
        <f t="shared" si="23"/>
        <v>2002</v>
      </c>
      <c r="J126" s="831">
        <f t="shared" si="23"/>
        <v>2003</v>
      </c>
      <c r="K126" s="831">
        <f t="shared" si="23"/>
        <v>2004</v>
      </c>
      <c r="L126" s="831">
        <f t="shared" si="23"/>
        <v>2005</v>
      </c>
      <c r="M126" s="831">
        <f t="shared" si="23"/>
        <v>2006</v>
      </c>
      <c r="N126" s="831">
        <f t="shared" si="23"/>
        <v>2007</v>
      </c>
      <c r="O126" s="831">
        <f t="shared" si="23"/>
        <v>2008</v>
      </c>
      <c r="P126" s="831">
        <f t="shared" si="23"/>
        <v>2009</v>
      </c>
      <c r="Q126" s="831">
        <f t="shared" si="23"/>
        <v>2010</v>
      </c>
      <c r="R126" s="831">
        <f t="shared" si="23"/>
        <v>2011</v>
      </c>
      <c r="S126" s="831">
        <f t="shared" si="23"/>
        <v>2012</v>
      </c>
      <c r="T126" s="831">
        <f t="shared" si="23"/>
        <v>2013</v>
      </c>
      <c r="U126" s="831">
        <f t="shared" si="23"/>
        <v>2014</v>
      </c>
      <c r="V126" s="831">
        <f t="shared" si="23"/>
        <v>2015</v>
      </c>
      <c r="W126" s="831">
        <f t="shared" si="23"/>
        <v>2016</v>
      </c>
      <c r="X126" s="831">
        <f t="shared" si="23"/>
        <v>2017</v>
      </c>
      <c r="Y126" s="831">
        <f t="shared" si="23"/>
        <v>2018</v>
      </c>
      <c r="Z126" s="831">
        <f t="shared" si="23"/>
        <v>2019</v>
      </c>
      <c r="AA126" s="831">
        <f t="shared" si="23"/>
        <v>2020</v>
      </c>
      <c r="AB126" s="831">
        <f t="shared" si="23"/>
        <v>2021</v>
      </c>
      <c r="AC126" s="831">
        <f t="shared" si="23"/>
        <v>2022</v>
      </c>
      <c r="AD126" s="831">
        <f t="shared" si="23"/>
        <v>2023</v>
      </c>
      <c r="AE126" s="831">
        <f t="shared" si="23"/>
        <v>2024</v>
      </c>
      <c r="AF126" s="831">
        <f t="shared" si="23"/>
        <v>2025</v>
      </c>
      <c r="AG126" s="831">
        <f t="shared" si="23"/>
        <v>2026</v>
      </c>
      <c r="AH126" s="831">
        <f t="shared" si="23"/>
        <v>2027</v>
      </c>
      <c r="AI126" s="831">
        <f t="shared" si="23"/>
        <v>2028</v>
      </c>
      <c r="AJ126" s="831">
        <f t="shared" si="23"/>
        <v>2029</v>
      </c>
      <c r="AK126" s="831">
        <f t="shared" si="23"/>
        <v>2030</v>
      </c>
      <c r="AL126" s="832">
        <f t="shared" si="23"/>
        <v>2031</v>
      </c>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c r="CJ126" s="12"/>
      <c r="CK126" s="12"/>
      <c r="CL126" s="12"/>
      <c r="CM126" s="12"/>
      <c r="CN126" s="12"/>
      <c r="CO126" s="12"/>
      <c r="CP126" s="12"/>
      <c r="CQ126" s="12"/>
      <c r="CR126" s="12"/>
      <c r="CS126" s="12"/>
      <c r="CT126" s="12"/>
      <c r="CU126" s="12"/>
      <c r="CV126" s="12"/>
      <c r="CW126" s="12"/>
      <c r="CX126" s="12"/>
      <c r="CY126" s="12"/>
      <c r="CZ126" s="12"/>
      <c r="DA126" s="12"/>
      <c r="DB126" s="12"/>
      <c r="DC126" s="12"/>
      <c r="DD126" s="12"/>
      <c r="DE126" s="12"/>
      <c r="DF126" s="12"/>
      <c r="DG126" s="12"/>
      <c r="DH126" s="12"/>
      <c r="DI126" s="12"/>
      <c r="DJ126" s="12"/>
      <c r="DK126" s="12"/>
      <c r="DL126" s="12"/>
      <c r="DM126" s="12"/>
      <c r="DN126" s="12"/>
      <c r="DO126" s="12"/>
      <c r="DP126" s="12"/>
      <c r="DQ126" s="12"/>
      <c r="DR126" s="12"/>
      <c r="DS126" s="12"/>
      <c r="DT126" s="12"/>
      <c r="DU126" s="12"/>
      <c r="DV126" s="12"/>
      <c r="DW126" s="12"/>
      <c r="DX126" s="12"/>
      <c r="DY126" s="12"/>
      <c r="DZ126" s="12"/>
      <c r="EA126" s="12"/>
      <c r="EB126" s="12"/>
      <c r="EC126" s="12"/>
      <c r="ED126" s="12"/>
      <c r="EE126" s="12"/>
      <c r="EF126" s="12"/>
      <c r="EG126" s="12"/>
      <c r="EH126" s="12"/>
      <c r="EI126" s="12"/>
      <c r="EJ126" s="12"/>
      <c r="EK126" s="12"/>
      <c r="EL126" s="12"/>
    </row>
    <row r="127" spans="1:142" s="76" customFormat="1">
      <c r="A127" s="108"/>
      <c r="B127" s="105" t="s">
        <v>374</v>
      </c>
      <c r="C127" s="89"/>
      <c r="D127" s="105"/>
      <c r="E127" s="130"/>
      <c r="F127" s="130"/>
      <c r="G127" s="130"/>
      <c r="H127" s="130"/>
      <c r="I127" s="130"/>
      <c r="J127" s="130"/>
      <c r="K127" s="130"/>
      <c r="L127" s="130"/>
      <c r="M127" s="130"/>
      <c r="N127" s="130"/>
      <c r="O127" s="130"/>
      <c r="P127" s="130"/>
      <c r="Q127" s="130"/>
      <c r="R127" s="130"/>
      <c r="S127" s="130"/>
      <c r="T127" s="130"/>
      <c r="U127" s="130"/>
      <c r="V127" s="130"/>
      <c r="W127" s="130"/>
      <c r="X127" s="130"/>
      <c r="Y127" s="130"/>
      <c r="Z127" s="130"/>
      <c r="AA127" s="130"/>
      <c r="AB127" s="130"/>
      <c r="AC127" s="130"/>
      <c r="AD127" s="130"/>
      <c r="AE127" s="130"/>
      <c r="AF127" s="130"/>
      <c r="AG127" s="130"/>
      <c r="AH127" s="130"/>
      <c r="AI127" s="130"/>
      <c r="AJ127" s="130"/>
      <c r="AK127" s="130"/>
      <c r="AL127" s="130"/>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2"/>
      <c r="CL127" s="12"/>
      <c r="CM127" s="12"/>
      <c r="CN127" s="12"/>
      <c r="CO127" s="12"/>
      <c r="CP127" s="12"/>
      <c r="CQ127" s="12"/>
      <c r="CR127" s="12"/>
      <c r="CS127" s="12"/>
      <c r="CT127" s="12"/>
      <c r="CU127" s="12"/>
      <c r="CV127" s="12"/>
      <c r="CW127" s="12"/>
      <c r="CX127" s="12"/>
      <c r="CY127" s="12"/>
      <c r="CZ127" s="12"/>
      <c r="DA127" s="12"/>
      <c r="DB127" s="12"/>
      <c r="DC127" s="12"/>
      <c r="DD127" s="12"/>
      <c r="DE127" s="12"/>
      <c r="DF127" s="12"/>
      <c r="DG127" s="12"/>
      <c r="DH127" s="12"/>
      <c r="DI127" s="12"/>
      <c r="DJ127" s="12"/>
      <c r="DK127" s="12"/>
      <c r="DL127" s="12"/>
      <c r="DM127" s="12"/>
      <c r="DN127" s="12"/>
      <c r="DO127" s="12"/>
      <c r="DP127" s="12"/>
      <c r="DQ127" s="12"/>
      <c r="DR127" s="12"/>
      <c r="DS127" s="12"/>
      <c r="DT127" s="12"/>
      <c r="DU127" s="12"/>
      <c r="DV127" s="12"/>
      <c r="DW127" s="12"/>
      <c r="DX127" s="12"/>
      <c r="DY127" s="12"/>
      <c r="DZ127" s="12"/>
      <c r="EA127" s="12"/>
      <c r="EB127" s="12"/>
      <c r="EC127" s="12"/>
      <c r="ED127" s="12"/>
      <c r="EE127" s="12"/>
      <c r="EF127" s="12"/>
      <c r="EG127" s="12"/>
      <c r="EH127" s="12"/>
      <c r="EI127" s="12"/>
      <c r="EJ127" s="12"/>
      <c r="EK127" s="12"/>
      <c r="EL127" s="12"/>
    </row>
    <row r="128" spans="1:142" s="76" customFormat="1">
      <c r="A128" s="108"/>
      <c r="B128" s="105" t="s">
        <v>157</v>
      </c>
      <c r="C128" s="89"/>
      <c r="D128" s="105"/>
      <c r="E128" s="130"/>
      <c r="F128" s="130"/>
      <c r="G128" s="130"/>
      <c r="H128" s="130"/>
      <c r="I128" s="130"/>
      <c r="J128" s="130"/>
      <c r="K128" s="130"/>
      <c r="L128" s="130"/>
      <c r="M128" s="130"/>
      <c r="N128" s="130"/>
      <c r="O128" s="130"/>
      <c r="P128" s="130"/>
      <c r="Q128" s="130"/>
      <c r="R128" s="130"/>
      <c r="S128" s="130"/>
      <c r="T128" s="130"/>
      <c r="U128" s="130"/>
      <c r="V128" s="130"/>
      <c r="W128" s="130"/>
      <c r="X128" s="130"/>
      <c r="Y128" s="130"/>
      <c r="Z128" s="130"/>
      <c r="AA128" s="130"/>
      <c r="AB128" s="130"/>
      <c r="AC128" s="130"/>
      <c r="AD128" s="130"/>
      <c r="AE128" s="130"/>
      <c r="AF128" s="130"/>
      <c r="AG128" s="130"/>
      <c r="AH128" s="130"/>
      <c r="AI128" s="130"/>
      <c r="AJ128" s="130"/>
      <c r="AK128" s="130"/>
      <c r="AL128" s="130"/>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2"/>
      <c r="CJ128" s="12"/>
      <c r="CK128" s="12"/>
      <c r="CL128" s="12"/>
      <c r="CM128" s="12"/>
      <c r="CN128" s="12"/>
      <c r="CO128" s="12"/>
      <c r="CP128" s="12"/>
      <c r="CQ128" s="12"/>
      <c r="CR128" s="12"/>
      <c r="CS128" s="12"/>
      <c r="CT128" s="12"/>
      <c r="CU128" s="12"/>
      <c r="CV128" s="12"/>
      <c r="CW128" s="12"/>
      <c r="CX128" s="12"/>
      <c r="CY128" s="12"/>
      <c r="CZ128" s="12"/>
      <c r="DA128" s="12"/>
      <c r="DB128" s="12"/>
      <c r="DC128" s="12"/>
      <c r="DD128" s="12"/>
      <c r="DE128" s="12"/>
      <c r="DF128" s="12"/>
      <c r="DG128" s="12"/>
      <c r="DH128" s="12"/>
      <c r="DI128" s="12"/>
      <c r="DJ128" s="12"/>
      <c r="DK128" s="12"/>
      <c r="DL128" s="12"/>
      <c r="DM128" s="12"/>
      <c r="DN128" s="12"/>
      <c r="DO128" s="12"/>
      <c r="DP128" s="12"/>
      <c r="DQ128" s="12"/>
      <c r="DR128" s="12"/>
      <c r="DS128" s="12"/>
      <c r="DT128" s="12"/>
      <c r="DU128" s="12"/>
      <c r="DV128" s="12"/>
      <c r="DW128" s="12"/>
      <c r="DX128" s="12"/>
      <c r="DY128" s="12"/>
      <c r="DZ128" s="12"/>
      <c r="EA128" s="12"/>
      <c r="EB128" s="12"/>
      <c r="EC128" s="12"/>
      <c r="ED128" s="12"/>
      <c r="EE128" s="12"/>
      <c r="EF128" s="12"/>
      <c r="EG128" s="12"/>
      <c r="EH128" s="12"/>
      <c r="EI128" s="12"/>
      <c r="EJ128" s="12"/>
      <c r="EK128" s="12"/>
      <c r="EL128" s="12"/>
    </row>
    <row r="129" spans="1:142" s="76" customFormat="1">
      <c r="A129" s="108"/>
      <c r="B129" s="105" t="s">
        <v>782</v>
      </c>
      <c r="C129" s="89"/>
      <c r="D129" s="105"/>
      <c r="E129" s="114">
        <v>1.5299999999999999E-2</v>
      </c>
      <c r="F129" s="114">
        <v>2.4E-2</v>
      </c>
      <c r="G129" s="114">
        <v>2.3E-2</v>
      </c>
      <c r="H129" s="114">
        <v>2.5999999999999999E-2</v>
      </c>
      <c r="I129" s="114">
        <v>2.5999999999999999E-2</v>
      </c>
      <c r="J129" s="114">
        <v>2.5000000000000001E-2</v>
      </c>
      <c r="K129" s="114">
        <v>2.5000000000000001E-2</v>
      </c>
      <c r="L129" s="114">
        <v>2.5000000000000001E-2</v>
      </c>
      <c r="M129" s="114">
        <v>2.5000000000000001E-2</v>
      </c>
      <c r="N129" s="114">
        <v>2.5000000000000001E-2</v>
      </c>
      <c r="O129" s="114">
        <v>2.5000000000000001E-2</v>
      </c>
      <c r="P129" s="114">
        <v>2.5000000000000001E-2</v>
      </c>
      <c r="Q129" s="114">
        <v>2.5000000000000001E-2</v>
      </c>
      <c r="R129" s="114">
        <v>2.5000000000000001E-2</v>
      </c>
      <c r="S129" s="114">
        <v>2.5000000000000001E-2</v>
      </c>
      <c r="T129" s="114">
        <v>2.5000000000000001E-2</v>
      </c>
      <c r="U129" s="114">
        <v>2.5000000000000001E-2</v>
      </c>
      <c r="V129" s="114">
        <v>2.5000000000000001E-2</v>
      </c>
      <c r="W129" s="114">
        <v>2.5000000000000001E-2</v>
      </c>
      <c r="X129" s="114">
        <v>2.5000000000000001E-2</v>
      </c>
      <c r="Y129" s="114">
        <v>2.5000000000000001E-2</v>
      </c>
      <c r="Z129" s="114">
        <v>2.5000000000000001E-2</v>
      </c>
      <c r="AA129" s="114">
        <v>2.5000000000000001E-2</v>
      </c>
      <c r="AB129" s="114">
        <v>2.5000000000000001E-2</v>
      </c>
      <c r="AC129" s="114">
        <v>2.5000000000000001E-2</v>
      </c>
      <c r="AD129" s="114">
        <v>2.5000000000000001E-2</v>
      </c>
      <c r="AE129" s="114">
        <v>2.5000000000000001E-2</v>
      </c>
      <c r="AF129" s="114">
        <v>2.5000000000000001E-2</v>
      </c>
      <c r="AG129" s="114">
        <v>2.5000000000000001E-2</v>
      </c>
      <c r="AH129" s="114">
        <v>2.5000000000000001E-2</v>
      </c>
      <c r="AI129" s="114">
        <v>2.5000000000000001E-2</v>
      </c>
      <c r="AJ129" s="114">
        <v>2.5000000000000001E-2</v>
      </c>
      <c r="AK129" s="114">
        <v>2.5000000000000001E-2</v>
      </c>
      <c r="AL129" s="114">
        <v>2.5000000000000001E-2</v>
      </c>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c r="CJ129" s="12"/>
      <c r="CK129" s="12"/>
      <c r="CL129" s="12"/>
      <c r="CM129" s="12"/>
      <c r="CN129" s="12"/>
      <c r="CO129" s="12"/>
      <c r="CP129" s="12"/>
      <c r="CQ129" s="12"/>
      <c r="CR129" s="12"/>
      <c r="CS129" s="12"/>
      <c r="CT129" s="12"/>
      <c r="CU129" s="12"/>
      <c r="CV129" s="12"/>
      <c r="CW129" s="12"/>
      <c r="CX129" s="12"/>
      <c r="CY129" s="12"/>
      <c r="CZ129" s="12"/>
      <c r="DA129" s="12"/>
      <c r="DB129" s="12"/>
      <c r="DC129" s="12"/>
      <c r="DD129" s="12"/>
      <c r="DE129" s="12"/>
      <c r="DF129" s="12"/>
      <c r="DG129" s="12"/>
      <c r="DH129" s="12"/>
      <c r="DI129" s="12"/>
      <c r="DJ129" s="12"/>
      <c r="DK129" s="12"/>
      <c r="DL129" s="12"/>
      <c r="DM129" s="12"/>
      <c r="DN129" s="12"/>
      <c r="DO129" s="12"/>
      <c r="DP129" s="12"/>
      <c r="DQ129" s="12"/>
      <c r="DR129" s="12"/>
      <c r="DS129" s="12"/>
      <c r="DT129" s="12"/>
      <c r="DU129" s="12"/>
      <c r="DV129" s="12"/>
      <c r="DW129" s="12"/>
      <c r="DX129" s="12"/>
      <c r="DY129" s="12"/>
      <c r="DZ129" s="12"/>
      <c r="EA129" s="12"/>
      <c r="EB129" s="12"/>
      <c r="EC129" s="12"/>
      <c r="ED129" s="12"/>
      <c r="EE129" s="12"/>
      <c r="EF129" s="12"/>
      <c r="EG129" s="12"/>
      <c r="EH129" s="12"/>
      <c r="EI129" s="12"/>
      <c r="EJ129" s="12"/>
      <c r="EK129" s="12"/>
      <c r="EL129" s="12"/>
    </row>
    <row r="130" spans="1:142" s="76" customFormat="1">
      <c r="A130" s="108"/>
      <c r="B130" s="105" t="s">
        <v>783</v>
      </c>
      <c r="C130" s="89"/>
      <c r="D130" s="105"/>
      <c r="E130" s="114">
        <v>8.8000000000000005E-3</v>
      </c>
      <c r="F130" s="114">
        <v>1.6299999999999999E-2</v>
      </c>
      <c r="G130" s="114">
        <v>1.7999999999999999E-2</v>
      </c>
      <c r="H130" s="114">
        <v>2.1000000000000001E-2</v>
      </c>
      <c r="I130" s="114">
        <v>2.1000000000000001E-2</v>
      </c>
      <c r="J130" s="114">
        <v>2.1000000000000001E-2</v>
      </c>
      <c r="K130" s="114">
        <v>0.02</v>
      </c>
      <c r="L130" s="114">
        <v>0.02</v>
      </c>
      <c r="M130" s="114">
        <v>2.1999999999999999E-2</v>
      </c>
      <c r="N130" s="114">
        <v>2.1999999999999999E-2</v>
      </c>
      <c r="O130" s="114">
        <v>2.1999999999999999E-2</v>
      </c>
      <c r="P130" s="114">
        <v>2.1999999999999999E-2</v>
      </c>
      <c r="Q130" s="114">
        <v>2.1999999999999999E-2</v>
      </c>
      <c r="R130" s="114">
        <v>2.1999999999999999E-2</v>
      </c>
      <c r="S130" s="114">
        <v>2.1999999999999999E-2</v>
      </c>
      <c r="T130" s="114">
        <v>2.1999999999999999E-2</v>
      </c>
      <c r="U130" s="114">
        <v>2.1999999999999999E-2</v>
      </c>
      <c r="V130" s="114">
        <v>2.1999999999999999E-2</v>
      </c>
      <c r="W130" s="114">
        <v>2.1999999999999999E-2</v>
      </c>
      <c r="X130" s="114">
        <v>2.1999999999999999E-2</v>
      </c>
      <c r="Y130" s="114">
        <v>2.1999999999999999E-2</v>
      </c>
      <c r="Z130" s="114">
        <v>2.1999999999999999E-2</v>
      </c>
      <c r="AA130" s="114">
        <v>2.1999999999999999E-2</v>
      </c>
      <c r="AB130" s="114">
        <v>2.1999999999999999E-2</v>
      </c>
      <c r="AC130" s="114">
        <v>2.1999999999999999E-2</v>
      </c>
      <c r="AD130" s="114">
        <v>2.1999999999999999E-2</v>
      </c>
      <c r="AE130" s="114">
        <v>2.1999999999999999E-2</v>
      </c>
      <c r="AF130" s="114">
        <v>2.1999999999999999E-2</v>
      </c>
      <c r="AG130" s="114">
        <v>2.1999999999999999E-2</v>
      </c>
      <c r="AH130" s="114">
        <v>2.1999999999999999E-2</v>
      </c>
      <c r="AI130" s="114">
        <v>2.1999999999999999E-2</v>
      </c>
      <c r="AJ130" s="114">
        <v>2.1999999999999999E-2</v>
      </c>
      <c r="AK130" s="114">
        <v>2.1999999999999999E-2</v>
      </c>
      <c r="AL130" s="114">
        <v>2.1999999999999999E-2</v>
      </c>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2"/>
      <c r="CJ130" s="12"/>
      <c r="CK130" s="12"/>
      <c r="CL130" s="12"/>
      <c r="CM130" s="12"/>
      <c r="CN130" s="12"/>
      <c r="CO130" s="12"/>
      <c r="CP130" s="12"/>
      <c r="CQ130" s="12"/>
      <c r="CR130" s="12"/>
      <c r="CS130" s="12"/>
      <c r="CT130" s="12"/>
      <c r="CU130" s="12"/>
      <c r="CV130" s="12"/>
      <c r="CW130" s="12"/>
      <c r="CX130" s="12"/>
      <c r="CY130" s="12"/>
      <c r="CZ130" s="12"/>
      <c r="DA130" s="12"/>
      <c r="DB130" s="12"/>
      <c r="DC130" s="12"/>
      <c r="DD130" s="12"/>
      <c r="DE130" s="12"/>
      <c r="DF130" s="12"/>
      <c r="DG130" s="12"/>
      <c r="DH130" s="12"/>
      <c r="DI130" s="12"/>
      <c r="DJ130" s="12"/>
      <c r="DK130" s="12"/>
      <c r="DL130" s="12"/>
      <c r="DM130" s="12"/>
      <c r="DN130" s="12"/>
      <c r="DO130" s="12"/>
      <c r="DP130" s="12"/>
      <c r="DQ130" s="12"/>
      <c r="DR130" s="12"/>
      <c r="DS130" s="12"/>
      <c r="DT130" s="12"/>
      <c r="DU130" s="12"/>
      <c r="DV130" s="12"/>
      <c r="DW130" s="12"/>
      <c r="DX130" s="12"/>
      <c r="DY130" s="12"/>
      <c r="DZ130" s="12"/>
      <c r="EA130" s="12"/>
      <c r="EB130" s="12"/>
      <c r="EC130" s="12"/>
      <c r="ED130" s="12"/>
      <c r="EE130" s="12"/>
      <c r="EF130" s="12"/>
      <c r="EG130" s="12"/>
      <c r="EH130" s="12"/>
      <c r="EI130" s="12"/>
      <c r="EJ130" s="12"/>
      <c r="EK130" s="12"/>
      <c r="EL130" s="12"/>
    </row>
    <row r="131" spans="1:142" s="76" customFormat="1">
      <c r="A131" s="108"/>
      <c r="B131" s="105" t="s">
        <v>372</v>
      </c>
      <c r="C131" s="89"/>
      <c r="D131" s="105"/>
      <c r="E131" s="304">
        <f t="shared" ref="E131:AL131" si="24">IF($D$133=1,E129,E127)</f>
        <v>1.5299999999999999E-2</v>
      </c>
      <c r="F131" s="304">
        <f t="shared" si="24"/>
        <v>2.4E-2</v>
      </c>
      <c r="G131" s="304">
        <f t="shared" si="24"/>
        <v>2.3E-2</v>
      </c>
      <c r="H131" s="304">
        <f t="shared" si="24"/>
        <v>2.5999999999999999E-2</v>
      </c>
      <c r="I131" s="304">
        <f t="shared" si="24"/>
        <v>2.5999999999999999E-2</v>
      </c>
      <c r="J131" s="304">
        <f t="shared" si="24"/>
        <v>2.5000000000000001E-2</v>
      </c>
      <c r="K131" s="304">
        <f t="shared" si="24"/>
        <v>2.5000000000000001E-2</v>
      </c>
      <c r="L131" s="304">
        <f t="shared" si="24"/>
        <v>2.5000000000000001E-2</v>
      </c>
      <c r="M131" s="304">
        <f t="shared" si="24"/>
        <v>2.5000000000000001E-2</v>
      </c>
      <c r="N131" s="304">
        <f t="shared" si="24"/>
        <v>2.5000000000000001E-2</v>
      </c>
      <c r="O131" s="304">
        <f t="shared" si="24"/>
        <v>2.5000000000000001E-2</v>
      </c>
      <c r="P131" s="304">
        <f t="shared" si="24"/>
        <v>2.5000000000000001E-2</v>
      </c>
      <c r="Q131" s="304">
        <f t="shared" si="24"/>
        <v>2.5000000000000001E-2</v>
      </c>
      <c r="R131" s="304">
        <f t="shared" si="24"/>
        <v>2.5000000000000001E-2</v>
      </c>
      <c r="S131" s="304">
        <f t="shared" si="24"/>
        <v>2.5000000000000001E-2</v>
      </c>
      <c r="T131" s="304">
        <f t="shared" si="24"/>
        <v>2.5000000000000001E-2</v>
      </c>
      <c r="U131" s="304">
        <f t="shared" si="24"/>
        <v>2.5000000000000001E-2</v>
      </c>
      <c r="V131" s="304">
        <f t="shared" si="24"/>
        <v>2.5000000000000001E-2</v>
      </c>
      <c r="W131" s="304">
        <f t="shared" si="24"/>
        <v>2.5000000000000001E-2</v>
      </c>
      <c r="X131" s="304">
        <f t="shared" si="24"/>
        <v>2.5000000000000001E-2</v>
      </c>
      <c r="Y131" s="304">
        <f t="shared" si="24"/>
        <v>2.5000000000000001E-2</v>
      </c>
      <c r="Z131" s="304">
        <f t="shared" si="24"/>
        <v>2.5000000000000001E-2</v>
      </c>
      <c r="AA131" s="304">
        <f t="shared" si="24"/>
        <v>2.5000000000000001E-2</v>
      </c>
      <c r="AB131" s="304">
        <f t="shared" si="24"/>
        <v>2.5000000000000001E-2</v>
      </c>
      <c r="AC131" s="304">
        <f t="shared" si="24"/>
        <v>2.5000000000000001E-2</v>
      </c>
      <c r="AD131" s="304">
        <f t="shared" si="24"/>
        <v>2.5000000000000001E-2</v>
      </c>
      <c r="AE131" s="304">
        <f t="shared" si="24"/>
        <v>2.5000000000000001E-2</v>
      </c>
      <c r="AF131" s="304">
        <f t="shared" si="24"/>
        <v>2.5000000000000001E-2</v>
      </c>
      <c r="AG131" s="304">
        <f t="shared" si="24"/>
        <v>2.5000000000000001E-2</v>
      </c>
      <c r="AH131" s="304">
        <f t="shared" si="24"/>
        <v>2.5000000000000001E-2</v>
      </c>
      <c r="AI131" s="304">
        <f t="shared" si="24"/>
        <v>2.5000000000000001E-2</v>
      </c>
      <c r="AJ131" s="304">
        <f t="shared" si="24"/>
        <v>2.5000000000000001E-2</v>
      </c>
      <c r="AK131" s="304">
        <f t="shared" si="24"/>
        <v>2.5000000000000001E-2</v>
      </c>
      <c r="AL131" s="304">
        <f t="shared" si="24"/>
        <v>2.5000000000000001E-2</v>
      </c>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c r="CJ131" s="12"/>
      <c r="CK131" s="12"/>
      <c r="CL131" s="12"/>
      <c r="CM131" s="12"/>
      <c r="CN131" s="12"/>
      <c r="CO131" s="12"/>
      <c r="CP131" s="12"/>
      <c r="CQ131" s="12"/>
      <c r="CR131" s="12"/>
      <c r="CS131" s="12"/>
      <c r="CT131" s="12"/>
      <c r="CU131" s="12"/>
      <c r="CV131" s="12"/>
      <c r="CW131" s="12"/>
      <c r="CX131" s="12"/>
      <c r="CY131" s="12"/>
      <c r="CZ131" s="12"/>
      <c r="DA131" s="12"/>
      <c r="DB131" s="12"/>
      <c r="DC131" s="12"/>
      <c r="DD131" s="12"/>
      <c r="DE131" s="12"/>
      <c r="DF131" s="12"/>
      <c r="DG131" s="12"/>
      <c r="DH131" s="12"/>
      <c r="DI131" s="12"/>
      <c r="DJ131" s="12"/>
      <c r="DK131" s="12"/>
      <c r="DL131" s="12"/>
      <c r="DM131" s="12"/>
      <c r="DN131" s="12"/>
      <c r="DO131" s="12"/>
      <c r="DP131" s="12"/>
      <c r="DQ131" s="12"/>
      <c r="DR131" s="12"/>
      <c r="DS131" s="12"/>
      <c r="DT131" s="12"/>
      <c r="DU131" s="12"/>
      <c r="DV131" s="12"/>
      <c r="DW131" s="12"/>
      <c r="DX131" s="12"/>
      <c r="DY131" s="12"/>
      <c r="DZ131" s="12"/>
      <c r="EA131" s="12"/>
      <c r="EB131" s="12"/>
      <c r="EC131" s="12"/>
      <c r="ED131" s="12"/>
      <c r="EE131" s="12"/>
      <c r="EF131" s="12"/>
      <c r="EG131" s="12"/>
      <c r="EH131" s="12"/>
      <c r="EI131" s="12"/>
      <c r="EJ131" s="12"/>
      <c r="EK131" s="12"/>
      <c r="EL131" s="12"/>
    </row>
    <row r="132" spans="1:142" s="76" customFormat="1">
      <c r="A132" s="108"/>
      <c r="B132" s="105" t="s">
        <v>373</v>
      </c>
      <c r="C132" s="89"/>
      <c r="D132" s="105"/>
      <c r="E132" s="304">
        <f t="shared" ref="E132:AL132" si="25">IF($D$133=1,E130,E128)</f>
        <v>8.8000000000000005E-3</v>
      </c>
      <c r="F132" s="304">
        <f t="shared" si="25"/>
        <v>1.6299999999999999E-2</v>
      </c>
      <c r="G132" s="304">
        <f t="shared" si="25"/>
        <v>1.7999999999999999E-2</v>
      </c>
      <c r="H132" s="304">
        <f t="shared" si="25"/>
        <v>2.1000000000000001E-2</v>
      </c>
      <c r="I132" s="304">
        <f t="shared" si="25"/>
        <v>2.1000000000000001E-2</v>
      </c>
      <c r="J132" s="304">
        <f t="shared" si="25"/>
        <v>2.1000000000000001E-2</v>
      </c>
      <c r="K132" s="304">
        <f t="shared" si="25"/>
        <v>0.02</v>
      </c>
      <c r="L132" s="304">
        <f t="shared" si="25"/>
        <v>0.02</v>
      </c>
      <c r="M132" s="304">
        <f t="shared" si="25"/>
        <v>2.1999999999999999E-2</v>
      </c>
      <c r="N132" s="304">
        <f t="shared" si="25"/>
        <v>2.1999999999999999E-2</v>
      </c>
      <c r="O132" s="304">
        <f t="shared" si="25"/>
        <v>2.1999999999999999E-2</v>
      </c>
      <c r="P132" s="304">
        <f t="shared" si="25"/>
        <v>2.1999999999999999E-2</v>
      </c>
      <c r="Q132" s="304">
        <f t="shared" si="25"/>
        <v>2.1999999999999999E-2</v>
      </c>
      <c r="R132" s="304">
        <f t="shared" si="25"/>
        <v>2.1999999999999999E-2</v>
      </c>
      <c r="S132" s="304">
        <f t="shared" si="25"/>
        <v>2.1999999999999999E-2</v>
      </c>
      <c r="T132" s="304">
        <f t="shared" si="25"/>
        <v>2.1999999999999999E-2</v>
      </c>
      <c r="U132" s="304">
        <f t="shared" si="25"/>
        <v>2.1999999999999999E-2</v>
      </c>
      <c r="V132" s="304">
        <f t="shared" si="25"/>
        <v>2.1999999999999999E-2</v>
      </c>
      <c r="W132" s="304">
        <f t="shared" si="25"/>
        <v>2.1999999999999999E-2</v>
      </c>
      <c r="X132" s="304">
        <f t="shared" si="25"/>
        <v>2.1999999999999999E-2</v>
      </c>
      <c r="Y132" s="304">
        <f t="shared" si="25"/>
        <v>2.1999999999999999E-2</v>
      </c>
      <c r="Z132" s="304">
        <f t="shared" si="25"/>
        <v>2.1999999999999999E-2</v>
      </c>
      <c r="AA132" s="304">
        <f t="shared" si="25"/>
        <v>2.1999999999999999E-2</v>
      </c>
      <c r="AB132" s="304">
        <f t="shared" si="25"/>
        <v>2.1999999999999999E-2</v>
      </c>
      <c r="AC132" s="304">
        <f t="shared" si="25"/>
        <v>2.1999999999999999E-2</v>
      </c>
      <c r="AD132" s="304">
        <f t="shared" si="25"/>
        <v>2.1999999999999999E-2</v>
      </c>
      <c r="AE132" s="304">
        <f t="shared" si="25"/>
        <v>2.1999999999999999E-2</v>
      </c>
      <c r="AF132" s="304">
        <f t="shared" si="25"/>
        <v>2.1999999999999999E-2</v>
      </c>
      <c r="AG132" s="304">
        <f t="shared" si="25"/>
        <v>2.1999999999999999E-2</v>
      </c>
      <c r="AH132" s="304">
        <f t="shared" si="25"/>
        <v>2.1999999999999999E-2</v>
      </c>
      <c r="AI132" s="304">
        <f t="shared" si="25"/>
        <v>2.1999999999999999E-2</v>
      </c>
      <c r="AJ132" s="304">
        <f t="shared" si="25"/>
        <v>2.1999999999999999E-2</v>
      </c>
      <c r="AK132" s="304">
        <f t="shared" si="25"/>
        <v>2.1999999999999999E-2</v>
      </c>
      <c r="AL132" s="304">
        <f t="shared" si="25"/>
        <v>2.1999999999999999E-2</v>
      </c>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2"/>
      <c r="CJ132" s="12"/>
      <c r="CK132" s="12"/>
      <c r="CL132" s="12"/>
      <c r="CM132" s="12"/>
      <c r="CN132" s="12"/>
      <c r="CO132" s="12"/>
      <c r="CP132" s="12"/>
      <c r="CQ132" s="12"/>
      <c r="CR132" s="12"/>
      <c r="CS132" s="12"/>
      <c r="CT132" s="12"/>
      <c r="CU132" s="12"/>
      <c r="CV132" s="12"/>
      <c r="CW132" s="12"/>
      <c r="CX132" s="12"/>
      <c r="CY132" s="12"/>
      <c r="CZ132" s="12"/>
      <c r="DA132" s="12"/>
      <c r="DB132" s="12"/>
      <c r="DC132" s="12"/>
      <c r="DD132" s="12"/>
      <c r="DE132" s="12"/>
      <c r="DF132" s="12"/>
      <c r="DG132" s="12"/>
      <c r="DH132" s="12"/>
      <c r="DI132" s="12"/>
      <c r="DJ132" s="12"/>
      <c r="DK132" s="12"/>
      <c r="DL132" s="12"/>
      <c r="DM132" s="12"/>
      <c r="DN132" s="12"/>
      <c r="DO132" s="12"/>
      <c r="DP132" s="12"/>
      <c r="DQ132" s="12"/>
      <c r="DR132" s="12"/>
      <c r="DS132" s="12"/>
      <c r="DT132" s="12"/>
      <c r="DU132" s="12"/>
      <c r="DV132" s="12"/>
      <c r="DW132" s="12"/>
      <c r="DX132" s="12"/>
      <c r="DY132" s="12"/>
      <c r="DZ132" s="12"/>
      <c r="EA132" s="12"/>
      <c r="EB132" s="12"/>
      <c r="EC132" s="12"/>
      <c r="ED132" s="12"/>
      <c r="EE132" s="12"/>
      <c r="EF132" s="12"/>
      <c r="EG132" s="12"/>
      <c r="EH132" s="12"/>
      <c r="EI132" s="12"/>
      <c r="EJ132" s="12"/>
      <c r="EK132" s="12"/>
      <c r="EL132" s="12"/>
    </row>
    <row r="133" spans="1:142" s="76" customFormat="1">
      <c r="A133" s="50"/>
      <c r="B133" s="105" t="s">
        <v>473</v>
      </c>
      <c r="C133" s="89"/>
      <c r="D133" s="675">
        <v>1</v>
      </c>
      <c r="F133" s="108"/>
      <c r="G133" s="108"/>
      <c r="H133" s="108"/>
      <c r="I133" s="108"/>
      <c r="J133" s="108"/>
      <c r="K133" s="108"/>
      <c r="L133" s="108"/>
      <c r="M133" s="108"/>
      <c r="N133" s="108"/>
      <c r="O133" s="18"/>
      <c r="P133" s="18"/>
      <c r="Q133" s="18"/>
      <c r="R133" s="18"/>
      <c r="S133" s="18"/>
      <c r="T133" s="18"/>
      <c r="U133" s="18"/>
      <c r="V133" s="18"/>
      <c r="W133" s="18"/>
      <c r="X133" s="18"/>
      <c r="Y133" s="18"/>
      <c r="Z133" s="18"/>
      <c r="AA133" s="18"/>
      <c r="AB133" s="18"/>
      <c r="AC133" s="18"/>
      <c r="AD133" s="18"/>
      <c r="AE133" s="18"/>
      <c r="AF133" s="18"/>
      <c r="AG133" s="18"/>
      <c r="AH133" s="18"/>
      <c r="AI133" s="18"/>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2"/>
      <c r="CJ133" s="12"/>
      <c r="CK133" s="12"/>
      <c r="CL133" s="12"/>
      <c r="CM133" s="12"/>
      <c r="CN133" s="12"/>
      <c r="CO133" s="12"/>
      <c r="CP133" s="12"/>
      <c r="CQ133" s="12"/>
      <c r="CR133" s="12"/>
      <c r="CS133" s="12"/>
      <c r="CT133" s="12"/>
      <c r="CU133" s="12"/>
      <c r="CV133" s="12"/>
      <c r="CW133" s="12"/>
      <c r="CX133" s="12"/>
      <c r="CY133" s="12"/>
      <c r="CZ133" s="12"/>
      <c r="DA133" s="12"/>
      <c r="DB133" s="12"/>
      <c r="DC133" s="12"/>
      <c r="DD133" s="12"/>
      <c r="DE133" s="12"/>
      <c r="DF133" s="12"/>
      <c r="DG133" s="12"/>
      <c r="DH133" s="12"/>
      <c r="DI133" s="12"/>
      <c r="DJ133" s="12"/>
      <c r="DK133" s="12"/>
      <c r="DL133" s="12"/>
      <c r="DM133" s="12"/>
      <c r="DN133" s="12"/>
      <c r="DO133" s="12"/>
      <c r="DP133" s="12"/>
      <c r="DQ133" s="12"/>
      <c r="DR133" s="12"/>
      <c r="DS133" s="12"/>
      <c r="DT133" s="12"/>
      <c r="DU133" s="12"/>
      <c r="DV133" s="12"/>
      <c r="DW133" s="12"/>
      <c r="DX133" s="12"/>
      <c r="DY133" s="12"/>
      <c r="DZ133" s="12"/>
      <c r="EA133" s="12"/>
      <c r="EB133" s="12"/>
      <c r="EC133" s="12"/>
      <c r="ED133" s="12"/>
      <c r="EE133" s="12"/>
      <c r="EF133" s="12"/>
      <c r="EG133" s="12"/>
      <c r="EH133" s="12"/>
      <c r="EI133" s="12"/>
      <c r="EJ133" s="12"/>
      <c r="EK133" s="12"/>
      <c r="EL133" s="12"/>
    </row>
    <row r="134" spans="1:142" s="76" customFormat="1">
      <c r="A134" s="50"/>
      <c r="B134" s="105"/>
      <c r="C134" s="89"/>
      <c r="D134" s="444"/>
      <c r="F134" s="108"/>
      <c r="G134" s="108"/>
      <c r="H134" s="108"/>
      <c r="I134" s="108"/>
      <c r="J134" s="108"/>
      <c r="K134" s="108"/>
      <c r="L134" s="108"/>
      <c r="M134" s="108"/>
      <c r="N134" s="108"/>
      <c r="O134" s="18"/>
      <c r="P134" s="18"/>
      <c r="Q134" s="18"/>
      <c r="R134" s="18"/>
      <c r="S134" s="18"/>
      <c r="T134" s="18"/>
      <c r="U134" s="18"/>
      <c r="V134" s="18"/>
      <c r="W134" s="18"/>
      <c r="X134" s="18"/>
      <c r="Y134" s="18"/>
      <c r="Z134" s="18"/>
      <c r="AA134" s="18"/>
      <c r="AB134" s="18"/>
      <c r="AC134" s="18"/>
      <c r="AD134" s="18"/>
      <c r="AE134" s="18"/>
      <c r="AF134" s="18"/>
      <c r="AG134" s="18"/>
      <c r="AH134" s="18"/>
      <c r="AI134" s="18"/>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2"/>
      <c r="CJ134" s="12"/>
      <c r="CK134" s="12"/>
      <c r="CL134" s="12"/>
      <c r="CM134" s="12"/>
      <c r="CN134" s="12"/>
      <c r="CO134" s="12"/>
      <c r="CP134" s="12"/>
      <c r="CQ134" s="12"/>
      <c r="CR134" s="12"/>
      <c r="CS134" s="12"/>
      <c r="CT134" s="12"/>
      <c r="CU134" s="12"/>
      <c r="CV134" s="12"/>
      <c r="CW134" s="12"/>
      <c r="CX134" s="12"/>
      <c r="CY134" s="12"/>
      <c r="CZ134" s="12"/>
      <c r="DA134" s="12"/>
      <c r="DB134" s="12"/>
      <c r="DC134" s="12"/>
      <c r="DD134" s="12"/>
      <c r="DE134" s="12"/>
      <c r="DF134" s="12"/>
      <c r="DG134" s="12"/>
      <c r="DH134" s="12"/>
      <c r="DI134" s="12"/>
      <c r="DJ134" s="12"/>
      <c r="DK134" s="12"/>
      <c r="DL134" s="12"/>
      <c r="DM134" s="12"/>
      <c r="DN134" s="12"/>
      <c r="DO134" s="12"/>
      <c r="DP134" s="12"/>
      <c r="DQ134" s="12"/>
      <c r="DR134" s="12"/>
      <c r="DS134" s="12"/>
      <c r="DT134" s="12"/>
      <c r="DU134" s="12"/>
      <c r="DV134" s="12"/>
      <c r="DW134" s="12"/>
      <c r="DX134" s="12"/>
      <c r="DY134" s="12"/>
      <c r="DZ134" s="12"/>
      <c r="EA134" s="12"/>
      <c r="EB134" s="12"/>
      <c r="EC134" s="12"/>
      <c r="ED134" s="12"/>
      <c r="EE134" s="12"/>
      <c r="EF134" s="12"/>
      <c r="EG134" s="12"/>
      <c r="EH134" s="12"/>
      <c r="EI134" s="12"/>
      <c r="EJ134" s="12"/>
      <c r="EK134" s="12"/>
      <c r="EL134" s="12"/>
    </row>
    <row r="135" spans="1:142" s="76" customFormat="1">
      <c r="A135" s="50"/>
      <c r="B135" s="105"/>
      <c r="C135" s="89"/>
      <c r="D135" s="105"/>
      <c r="E135" s="244">
        <v>1</v>
      </c>
      <c r="F135" s="245">
        <v>2</v>
      </c>
      <c r="G135" s="245">
        <v>3</v>
      </c>
      <c r="H135" s="245">
        <v>4</v>
      </c>
      <c r="I135" s="245">
        <v>5</v>
      </c>
      <c r="J135" s="245">
        <v>6</v>
      </c>
      <c r="K135" s="245">
        <v>7</v>
      </c>
      <c r="L135" s="245">
        <v>8</v>
      </c>
      <c r="M135" s="245">
        <v>9</v>
      </c>
      <c r="N135" s="245">
        <v>10</v>
      </c>
      <c r="O135" s="245">
        <v>11</v>
      </c>
      <c r="P135" s="245">
        <v>12</v>
      </c>
      <c r="Q135" s="245">
        <v>13</v>
      </c>
      <c r="R135" s="245">
        <v>14</v>
      </c>
      <c r="S135" s="245">
        <v>15</v>
      </c>
      <c r="T135" s="245">
        <v>16</v>
      </c>
      <c r="U135" s="245">
        <v>17</v>
      </c>
      <c r="V135" s="245">
        <v>18</v>
      </c>
      <c r="W135" s="245">
        <v>19</v>
      </c>
      <c r="X135" s="245">
        <v>20</v>
      </c>
      <c r="Y135" s="245">
        <v>21</v>
      </c>
      <c r="Z135" s="245">
        <v>22</v>
      </c>
      <c r="AA135" s="245">
        <v>23</v>
      </c>
      <c r="AB135" s="245">
        <v>24</v>
      </c>
      <c r="AC135" s="245">
        <v>25</v>
      </c>
      <c r="AD135" s="245">
        <v>26</v>
      </c>
      <c r="AE135" s="245">
        <v>27</v>
      </c>
      <c r="AF135" s="245">
        <v>28</v>
      </c>
      <c r="AG135" s="245">
        <v>29</v>
      </c>
      <c r="AH135" s="246">
        <v>30</v>
      </c>
      <c r="AI135" s="246">
        <v>31</v>
      </c>
      <c r="AJ135" s="246">
        <v>32</v>
      </c>
      <c r="AK135" s="246">
        <v>33</v>
      </c>
      <c r="AL135" s="246">
        <v>34</v>
      </c>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2"/>
      <c r="CJ135" s="12"/>
      <c r="CK135" s="12"/>
      <c r="CL135" s="12"/>
      <c r="CM135" s="12"/>
      <c r="CN135" s="12"/>
      <c r="CO135" s="12"/>
      <c r="CP135" s="12"/>
      <c r="CQ135" s="12"/>
      <c r="CR135" s="12"/>
      <c r="CS135" s="12"/>
      <c r="CT135" s="12"/>
      <c r="CU135" s="12"/>
      <c r="CV135" s="12"/>
      <c r="CW135" s="12"/>
      <c r="CX135" s="12"/>
      <c r="CY135" s="12"/>
      <c r="CZ135" s="12"/>
      <c r="DA135" s="12"/>
      <c r="DB135" s="12"/>
      <c r="DC135" s="12"/>
      <c r="DD135" s="12"/>
      <c r="DE135" s="12"/>
      <c r="DF135" s="12"/>
      <c r="DG135" s="12"/>
      <c r="DH135" s="12"/>
      <c r="DI135" s="12"/>
      <c r="DJ135" s="12"/>
      <c r="DK135" s="12"/>
      <c r="DL135" s="12"/>
      <c r="DM135" s="12"/>
      <c r="DN135" s="12"/>
      <c r="DO135" s="12"/>
      <c r="DP135" s="12"/>
      <c r="DQ135" s="12"/>
      <c r="DR135" s="12"/>
      <c r="DS135" s="12"/>
      <c r="DT135" s="12"/>
      <c r="DU135" s="12"/>
      <c r="DV135" s="12"/>
      <c r="DW135" s="12"/>
      <c r="DX135" s="12"/>
      <c r="DY135" s="12"/>
      <c r="DZ135" s="12"/>
      <c r="EA135" s="12"/>
      <c r="EB135" s="12"/>
      <c r="EC135" s="12"/>
      <c r="ED135" s="12"/>
      <c r="EE135" s="12"/>
      <c r="EF135" s="12"/>
      <c r="EG135" s="12"/>
      <c r="EH135" s="12"/>
      <c r="EI135" s="12"/>
      <c r="EJ135" s="12"/>
      <c r="EK135" s="12"/>
      <c r="EL135" s="12"/>
    </row>
    <row r="136" spans="1:142" s="76" customFormat="1">
      <c r="A136" s="105"/>
      <c r="B136" s="54" t="s">
        <v>592</v>
      </c>
      <c r="C136" s="100"/>
      <c r="D136" s="118"/>
      <c r="E136" s="247">
        <f>Assum!$H$25</f>
        <v>2002</v>
      </c>
      <c r="F136" s="248">
        <f t="shared" ref="F136:AL136" si="26">E136+1</f>
        <v>2003</v>
      </c>
      <c r="G136" s="248">
        <f t="shared" si="26"/>
        <v>2004</v>
      </c>
      <c r="H136" s="248">
        <f t="shared" si="26"/>
        <v>2005</v>
      </c>
      <c r="I136" s="248">
        <f t="shared" si="26"/>
        <v>2006</v>
      </c>
      <c r="J136" s="248">
        <f t="shared" si="26"/>
        <v>2007</v>
      </c>
      <c r="K136" s="248">
        <f t="shared" si="26"/>
        <v>2008</v>
      </c>
      <c r="L136" s="248">
        <f t="shared" si="26"/>
        <v>2009</v>
      </c>
      <c r="M136" s="248">
        <f t="shared" si="26"/>
        <v>2010</v>
      </c>
      <c r="N136" s="248">
        <f t="shared" si="26"/>
        <v>2011</v>
      </c>
      <c r="O136" s="248">
        <f t="shared" si="26"/>
        <v>2012</v>
      </c>
      <c r="P136" s="248">
        <f t="shared" si="26"/>
        <v>2013</v>
      </c>
      <c r="Q136" s="248">
        <f t="shared" si="26"/>
        <v>2014</v>
      </c>
      <c r="R136" s="248">
        <f t="shared" si="26"/>
        <v>2015</v>
      </c>
      <c r="S136" s="248">
        <f t="shared" si="26"/>
        <v>2016</v>
      </c>
      <c r="T136" s="248">
        <f t="shared" si="26"/>
        <v>2017</v>
      </c>
      <c r="U136" s="248">
        <f t="shared" si="26"/>
        <v>2018</v>
      </c>
      <c r="V136" s="248">
        <f t="shared" si="26"/>
        <v>2019</v>
      </c>
      <c r="W136" s="248">
        <f t="shared" si="26"/>
        <v>2020</v>
      </c>
      <c r="X136" s="248">
        <f t="shared" si="26"/>
        <v>2021</v>
      </c>
      <c r="Y136" s="248">
        <f t="shared" si="26"/>
        <v>2022</v>
      </c>
      <c r="Z136" s="248">
        <f t="shared" si="26"/>
        <v>2023</v>
      </c>
      <c r="AA136" s="248">
        <f t="shared" si="26"/>
        <v>2024</v>
      </c>
      <c r="AB136" s="248">
        <f t="shared" si="26"/>
        <v>2025</v>
      </c>
      <c r="AC136" s="248">
        <f t="shared" si="26"/>
        <v>2026</v>
      </c>
      <c r="AD136" s="248">
        <f t="shared" si="26"/>
        <v>2027</v>
      </c>
      <c r="AE136" s="248">
        <f t="shared" si="26"/>
        <v>2028</v>
      </c>
      <c r="AF136" s="248">
        <f t="shared" si="26"/>
        <v>2029</v>
      </c>
      <c r="AG136" s="248">
        <f t="shared" si="26"/>
        <v>2030</v>
      </c>
      <c r="AH136" s="249">
        <f t="shared" si="26"/>
        <v>2031</v>
      </c>
      <c r="AI136" s="249">
        <f t="shared" si="26"/>
        <v>2032</v>
      </c>
      <c r="AJ136" s="249">
        <f t="shared" si="26"/>
        <v>2033</v>
      </c>
      <c r="AK136" s="249">
        <f t="shared" si="26"/>
        <v>2034</v>
      </c>
      <c r="AL136" s="249">
        <f t="shared" si="26"/>
        <v>2035</v>
      </c>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2"/>
      <c r="CJ136" s="12"/>
      <c r="CK136" s="12"/>
      <c r="CL136" s="12"/>
      <c r="CM136" s="12"/>
      <c r="CN136" s="12"/>
      <c r="CO136" s="12"/>
      <c r="CP136" s="12"/>
      <c r="CQ136" s="12"/>
      <c r="CR136" s="12"/>
      <c r="CS136" s="12"/>
      <c r="CT136" s="12"/>
      <c r="CU136" s="12"/>
      <c r="CV136" s="12"/>
      <c r="CW136" s="12"/>
      <c r="CX136" s="12"/>
      <c r="CY136" s="12"/>
      <c r="CZ136" s="12"/>
      <c r="DA136" s="12"/>
      <c r="DB136" s="12"/>
      <c r="DC136" s="12"/>
      <c r="DD136" s="12"/>
      <c r="DE136" s="12"/>
      <c r="DF136" s="12"/>
      <c r="DG136" s="12"/>
      <c r="DH136" s="12"/>
      <c r="DI136" s="12"/>
      <c r="DJ136" s="12"/>
      <c r="DK136" s="12"/>
      <c r="DL136" s="12"/>
      <c r="DM136" s="12"/>
      <c r="DN136" s="12"/>
      <c r="DO136" s="12"/>
      <c r="DP136" s="12"/>
      <c r="DQ136" s="12"/>
      <c r="DR136" s="12"/>
      <c r="DS136" s="12"/>
      <c r="DT136" s="12"/>
      <c r="DU136" s="12"/>
      <c r="DV136" s="12"/>
      <c r="DW136" s="12"/>
      <c r="DX136" s="12"/>
      <c r="DY136" s="12"/>
      <c r="DZ136" s="12"/>
      <c r="EA136" s="12"/>
      <c r="EB136" s="12"/>
      <c r="EC136" s="12"/>
      <c r="ED136" s="12"/>
      <c r="EE136" s="12"/>
      <c r="EF136" s="12"/>
      <c r="EG136" s="12"/>
      <c r="EH136" s="12"/>
      <c r="EI136" s="12"/>
      <c r="EJ136" s="12"/>
      <c r="EK136" s="12"/>
      <c r="EL136" s="12"/>
    </row>
    <row r="137" spans="1:142" s="76" customFormat="1">
      <c r="A137" s="105"/>
      <c r="B137" s="105" t="s">
        <v>348</v>
      </c>
      <c r="C137" s="89"/>
      <c r="D137" s="105"/>
      <c r="E137" s="1058">
        <v>11</v>
      </c>
      <c r="F137" s="1059">
        <f t="shared" ref="F137:AL137" si="27">E137*(1+HLOOKUP(F$136,INFL,6))</f>
        <v>11.274999999999999</v>
      </c>
      <c r="G137" s="1059">
        <f t="shared" si="27"/>
        <v>11.556874999999998</v>
      </c>
      <c r="H137" s="1059">
        <f t="shared" si="27"/>
        <v>11.845796874999998</v>
      </c>
      <c r="I137" s="1059">
        <f t="shared" si="27"/>
        <v>12.141941796874997</v>
      </c>
      <c r="J137" s="1059">
        <f t="shared" si="27"/>
        <v>12.445490341796871</v>
      </c>
      <c r="K137" s="1059">
        <f t="shared" si="27"/>
        <v>12.756627600341792</v>
      </c>
      <c r="L137" s="1059">
        <f t="shared" si="27"/>
        <v>13.075543290350335</v>
      </c>
      <c r="M137" s="1059">
        <f t="shared" si="27"/>
        <v>13.402431872609093</v>
      </c>
      <c r="N137" s="1059">
        <f t="shared" si="27"/>
        <v>13.737492669424318</v>
      </c>
      <c r="O137" s="1059">
        <f t="shared" si="27"/>
        <v>14.080929986159925</v>
      </c>
      <c r="P137" s="1059">
        <f t="shared" si="27"/>
        <v>14.432953235813921</v>
      </c>
      <c r="Q137" s="1059">
        <f t="shared" si="27"/>
        <v>14.793777066709268</v>
      </c>
      <c r="R137" s="1059">
        <f t="shared" si="27"/>
        <v>15.163621493376999</v>
      </c>
      <c r="S137" s="1059">
        <f t="shared" si="27"/>
        <v>15.542712030711423</v>
      </c>
      <c r="T137" s="1059">
        <f t="shared" si="27"/>
        <v>15.931279831479207</v>
      </c>
      <c r="U137" s="1059">
        <f t="shared" si="27"/>
        <v>16.329561827266186</v>
      </c>
      <c r="V137" s="1059">
        <f t="shared" si="27"/>
        <v>16.73780087294784</v>
      </c>
      <c r="W137" s="1059">
        <f t="shared" si="27"/>
        <v>17.156245894771534</v>
      </c>
      <c r="X137" s="1059">
        <f t="shared" si="27"/>
        <v>17.58515204214082</v>
      </c>
      <c r="Y137" s="1059">
        <f t="shared" si="27"/>
        <v>18.024780843194339</v>
      </c>
      <c r="Z137" s="1059">
        <f t="shared" si="27"/>
        <v>18.475400364274197</v>
      </c>
      <c r="AA137" s="1059">
        <f t="shared" si="27"/>
        <v>18.937285373381052</v>
      </c>
      <c r="AB137" s="1059">
        <f t="shared" si="27"/>
        <v>19.410717507715574</v>
      </c>
      <c r="AC137" s="1059">
        <f t="shared" si="27"/>
        <v>19.895985445408463</v>
      </c>
      <c r="AD137" s="1059">
        <f t="shared" si="27"/>
        <v>20.393385081543673</v>
      </c>
      <c r="AE137" s="1059">
        <f t="shared" si="27"/>
        <v>20.903219708582263</v>
      </c>
      <c r="AF137" s="1059">
        <f t="shared" si="27"/>
        <v>21.425800201296816</v>
      </c>
      <c r="AG137" s="1059">
        <f t="shared" si="27"/>
        <v>21.961445206329234</v>
      </c>
      <c r="AH137" s="1059">
        <f t="shared" si="27"/>
        <v>22.510481336487462</v>
      </c>
      <c r="AI137" s="1059">
        <f t="shared" si="27"/>
        <v>23.073243369899647</v>
      </c>
      <c r="AJ137" s="1059">
        <f t="shared" si="27"/>
        <v>23.650074454147134</v>
      </c>
      <c r="AK137" s="1059">
        <f t="shared" si="27"/>
        <v>24.24132631550081</v>
      </c>
      <c r="AL137" s="1059">
        <f t="shared" si="27"/>
        <v>24.847359473388327</v>
      </c>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2"/>
      <c r="CJ137" s="12"/>
      <c r="CK137" s="12"/>
      <c r="CL137" s="12"/>
      <c r="CM137" s="12"/>
      <c r="CN137" s="12"/>
      <c r="CO137" s="12"/>
      <c r="CP137" s="12"/>
      <c r="CQ137" s="12"/>
      <c r="CR137" s="12"/>
      <c r="CS137" s="12"/>
      <c r="CT137" s="12"/>
      <c r="CU137" s="12"/>
      <c r="CV137" s="12"/>
      <c r="CW137" s="12"/>
      <c r="CX137" s="12"/>
      <c r="CY137" s="12"/>
      <c r="CZ137" s="12"/>
      <c r="DA137" s="12"/>
      <c r="DB137" s="12"/>
      <c r="DC137" s="12"/>
      <c r="DD137" s="12"/>
      <c r="DE137" s="12"/>
      <c r="DF137" s="12"/>
      <c r="DG137" s="12"/>
      <c r="DH137" s="12"/>
      <c r="DI137" s="12"/>
      <c r="DJ137" s="12"/>
      <c r="DK137" s="12"/>
      <c r="DL137" s="12"/>
      <c r="DM137" s="12"/>
      <c r="DN137" s="12"/>
      <c r="DO137" s="12"/>
      <c r="DP137" s="12"/>
      <c r="DQ137" s="12"/>
      <c r="DR137" s="12"/>
      <c r="DS137" s="12"/>
      <c r="DT137" s="12"/>
      <c r="DU137" s="12"/>
      <c r="DV137" s="12"/>
      <c r="DW137" s="12"/>
      <c r="DX137" s="12"/>
      <c r="DY137" s="12"/>
      <c r="DZ137" s="12"/>
      <c r="EA137" s="12"/>
      <c r="EB137" s="12"/>
      <c r="EC137" s="12"/>
      <c r="ED137" s="12"/>
      <c r="EE137" s="12"/>
      <c r="EF137" s="12"/>
      <c r="EG137" s="12"/>
      <c r="EH137" s="12"/>
      <c r="EI137" s="12"/>
      <c r="EJ137" s="12"/>
      <c r="EK137" s="12"/>
      <c r="EL137" s="12"/>
    </row>
    <row r="138" spans="1:142" s="76" customFormat="1">
      <c r="A138" s="105"/>
      <c r="B138" s="105" t="s">
        <v>776</v>
      </c>
      <c r="C138" s="89"/>
      <c r="D138" s="105"/>
      <c r="E138" s="1059">
        <v>0</v>
      </c>
      <c r="F138" s="1059">
        <v>0</v>
      </c>
      <c r="G138" s="1059">
        <v>0</v>
      </c>
      <c r="H138" s="1059">
        <v>0</v>
      </c>
      <c r="I138" s="1059">
        <v>0</v>
      </c>
      <c r="J138" s="1059">
        <f>J142/1000</f>
        <v>9.4781294352552621</v>
      </c>
      <c r="K138" s="1059">
        <f t="shared" ref="K138:X138" si="28">K142/1000</f>
        <v>10.541719401889987</v>
      </c>
      <c r="L138" s="1059">
        <f t="shared" si="28"/>
        <v>11.72466030426086</v>
      </c>
      <c r="M138" s="1059">
        <f t="shared" si="28"/>
        <v>13.040345128676476</v>
      </c>
      <c r="N138" s="1059">
        <f t="shared" si="28"/>
        <v>13.610396968275374</v>
      </c>
      <c r="O138" s="1059">
        <f t="shared" si="28"/>
        <v>14.205368324698677</v>
      </c>
      <c r="P138" s="1059">
        <f t="shared" si="28"/>
        <v>14.826348541538712</v>
      </c>
      <c r="Q138" s="1059">
        <f t="shared" si="28"/>
        <v>15.474474582470911</v>
      </c>
      <c r="R138" s="1059">
        <f t="shared" si="28"/>
        <v>16.150933112940745</v>
      </c>
      <c r="S138" s="1059">
        <f t="shared" si="28"/>
        <v>16.856962672850493</v>
      </c>
      <c r="T138" s="1059">
        <f t="shared" si="28"/>
        <v>17.593855944223876</v>
      </c>
      <c r="U138" s="1059">
        <f t="shared" si="28"/>
        <v>17.593855944223876</v>
      </c>
      <c r="V138" s="1059">
        <f t="shared" si="28"/>
        <v>17.593855944223876</v>
      </c>
      <c r="W138" s="1059">
        <f t="shared" si="28"/>
        <v>17.593855944223876</v>
      </c>
      <c r="X138" s="1059">
        <f t="shared" si="28"/>
        <v>17.593855944223876</v>
      </c>
      <c r="Y138" s="1059">
        <f t="shared" ref="Y138:AL138" si="29">X138*(1+HLOOKUP(Y$136,INFL,6))</f>
        <v>18.033702342829471</v>
      </c>
      <c r="Z138" s="1059">
        <f t="shared" si="29"/>
        <v>18.484544901400206</v>
      </c>
      <c r="AA138" s="1059">
        <f t="shared" si="29"/>
        <v>18.946658523935209</v>
      </c>
      <c r="AB138" s="1059">
        <f t="shared" si="29"/>
        <v>19.420324987033588</v>
      </c>
      <c r="AC138" s="1059">
        <f t="shared" si="29"/>
        <v>19.905833111709427</v>
      </c>
      <c r="AD138" s="1059">
        <f t="shared" si="29"/>
        <v>20.403478939502161</v>
      </c>
      <c r="AE138" s="1059">
        <f t="shared" si="29"/>
        <v>20.913565912989714</v>
      </c>
      <c r="AF138" s="1059">
        <f t="shared" si="29"/>
        <v>21.436405060814455</v>
      </c>
      <c r="AG138" s="1059">
        <f t="shared" si="29"/>
        <v>21.972315187334814</v>
      </c>
      <c r="AH138" s="1059">
        <f t="shared" si="29"/>
        <v>22.521623067018183</v>
      </c>
      <c r="AI138" s="1059">
        <f t="shared" si="29"/>
        <v>23.084663643693634</v>
      </c>
      <c r="AJ138" s="1059">
        <f t="shared" si="29"/>
        <v>23.661780234785972</v>
      </c>
      <c r="AK138" s="1059">
        <f t="shared" si="29"/>
        <v>24.253324740655618</v>
      </c>
      <c r="AL138" s="1059">
        <f t="shared" si="29"/>
        <v>24.859657859172007</v>
      </c>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2"/>
      <c r="CJ138" s="12"/>
      <c r="CK138" s="12"/>
      <c r="CL138" s="12"/>
      <c r="CM138" s="12"/>
      <c r="CN138" s="12"/>
      <c r="CO138" s="12"/>
      <c r="CP138" s="12"/>
      <c r="CQ138" s="12"/>
      <c r="CR138" s="12"/>
      <c r="CS138" s="12"/>
      <c r="CT138" s="12"/>
      <c r="CU138" s="12"/>
      <c r="CV138" s="12"/>
      <c r="CW138" s="12"/>
      <c r="CX138" s="12"/>
      <c r="CY138" s="12"/>
      <c r="CZ138" s="12"/>
      <c r="DA138" s="12"/>
      <c r="DB138" s="12"/>
      <c r="DC138" s="12"/>
      <c r="DD138" s="12"/>
      <c r="DE138" s="12"/>
      <c r="DF138" s="12"/>
      <c r="DG138" s="12"/>
      <c r="DH138" s="12"/>
      <c r="DI138" s="12"/>
      <c r="DJ138" s="12"/>
      <c r="DK138" s="12"/>
      <c r="DL138" s="12"/>
      <c r="DM138" s="12"/>
      <c r="DN138" s="12"/>
      <c r="DO138" s="12"/>
      <c r="DP138" s="12"/>
      <c r="DQ138" s="12"/>
      <c r="DR138" s="12"/>
      <c r="DS138" s="12"/>
      <c r="DT138" s="12"/>
      <c r="DU138" s="12"/>
      <c r="DV138" s="12"/>
      <c r="DW138" s="12"/>
      <c r="DX138" s="12"/>
      <c r="DY138" s="12"/>
      <c r="DZ138" s="12"/>
      <c r="EA138" s="12"/>
      <c r="EB138" s="12"/>
      <c r="EC138" s="12"/>
      <c r="ED138" s="12"/>
      <c r="EE138" s="12"/>
      <c r="EF138" s="12"/>
      <c r="EG138" s="12"/>
      <c r="EH138" s="12"/>
      <c r="EI138" s="12"/>
      <c r="EJ138" s="12"/>
      <c r="EK138" s="12"/>
      <c r="EL138" s="12"/>
    </row>
    <row r="139" spans="1:142" s="285" customFormat="1">
      <c r="A139" s="321"/>
      <c r="B139" s="321"/>
      <c r="C139" s="1604"/>
      <c r="D139" s="321"/>
      <c r="E139" s="1605"/>
      <c r="F139" s="1605"/>
      <c r="G139" s="1605"/>
      <c r="H139" s="1605"/>
      <c r="I139" s="1605"/>
      <c r="J139" s="1605"/>
      <c r="K139" s="1605"/>
      <c r="L139" s="1605"/>
      <c r="M139" s="1605"/>
      <c r="N139" s="1605"/>
      <c r="O139" s="1602"/>
      <c r="P139" s="1605"/>
      <c r="Q139" s="1605"/>
      <c r="R139" s="1605"/>
      <c r="S139" s="1605"/>
      <c r="T139" s="1605"/>
      <c r="U139" s="1605"/>
      <c r="V139" s="1605"/>
      <c r="W139" s="1605"/>
      <c r="X139" s="1605"/>
      <c r="Y139" s="1605"/>
      <c r="Z139" s="1605"/>
      <c r="AA139" s="1605"/>
      <c r="AB139" s="1605"/>
      <c r="AC139" s="1605"/>
      <c r="AD139" s="1605"/>
      <c r="AE139" s="1605"/>
      <c r="AF139" s="1605"/>
      <c r="AG139" s="1605"/>
      <c r="AH139" s="1605"/>
      <c r="AI139" s="1605"/>
      <c r="AJ139" s="1605"/>
      <c r="AK139" s="1605"/>
      <c r="AL139" s="1605"/>
      <c r="AM139" s="617"/>
      <c r="AN139" s="617"/>
      <c r="AO139" s="617"/>
      <c r="AP139" s="617"/>
      <c r="AQ139" s="617"/>
      <c r="AR139" s="617"/>
      <c r="AS139" s="617"/>
      <c r="AT139" s="617"/>
      <c r="AU139" s="617"/>
      <c r="AV139" s="617"/>
      <c r="AW139" s="617"/>
      <c r="AX139" s="617"/>
      <c r="AY139" s="617"/>
      <c r="AZ139" s="617"/>
      <c r="BA139" s="617"/>
      <c r="BB139" s="617"/>
      <c r="BC139" s="617"/>
      <c r="BD139" s="617"/>
      <c r="BE139" s="617"/>
      <c r="BF139" s="617"/>
      <c r="BG139" s="617"/>
      <c r="BH139" s="617"/>
      <c r="BI139" s="617"/>
      <c r="BJ139" s="617"/>
      <c r="BK139" s="617"/>
      <c r="BL139" s="617"/>
      <c r="BM139" s="617"/>
      <c r="BN139" s="617"/>
      <c r="BO139" s="617"/>
      <c r="BP139" s="617"/>
      <c r="BQ139" s="617"/>
      <c r="BR139" s="617"/>
      <c r="BS139" s="617"/>
      <c r="BT139" s="617"/>
      <c r="BU139" s="617"/>
      <c r="BV139" s="617"/>
      <c r="BW139" s="617"/>
      <c r="BX139" s="617"/>
      <c r="BY139" s="617"/>
      <c r="BZ139" s="617"/>
      <c r="CA139" s="617"/>
      <c r="CB139" s="617"/>
      <c r="CC139" s="617"/>
      <c r="CD139" s="617"/>
      <c r="CE139" s="617"/>
      <c r="CF139" s="617"/>
      <c r="CG139" s="617"/>
      <c r="CH139" s="617"/>
      <c r="CI139" s="617"/>
      <c r="CJ139" s="617"/>
      <c r="CK139" s="617"/>
      <c r="CL139" s="617"/>
      <c r="CM139" s="617"/>
      <c r="CN139" s="617"/>
      <c r="CO139" s="617"/>
      <c r="CP139" s="617"/>
      <c r="CQ139" s="617"/>
      <c r="CR139" s="617"/>
      <c r="CS139" s="617"/>
      <c r="CT139" s="617"/>
      <c r="CU139" s="617"/>
      <c r="CV139" s="617"/>
      <c r="CW139" s="617"/>
      <c r="CX139" s="617"/>
      <c r="CY139" s="617"/>
      <c r="CZ139" s="617"/>
      <c r="DA139" s="617"/>
      <c r="DB139" s="617"/>
      <c r="DC139" s="617"/>
      <c r="DD139" s="617"/>
      <c r="DE139" s="617"/>
      <c r="DF139" s="617"/>
      <c r="DG139" s="617"/>
      <c r="DH139" s="617"/>
      <c r="DI139" s="617"/>
      <c r="DJ139" s="617"/>
      <c r="DK139" s="617"/>
      <c r="DL139" s="617"/>
      <c r="DM139" s="617"/>
      <c r="DN139" s="617"/>
      <c r="DO139" s="617"/>
      <c r="DP139" s="617"/>
      <c r="DQ139" s="617"/>
      <c r="DR139" s="617"/>
      <c r="DS139" s="617"/>
      <c r="DT139" s="617"/>
      <c r="DU139" s="617"/>
      <c r="DV139" s="617"/>
      <c r="DW139" s="617"/>
      <c r="DX139" s="617"/>
      <c r="DY139" s="617"/>
      <c r="DZ139" s="617"/>
      <c r="EA139" s="617"/>
      <c r="EB139" s="617"/>
      <c r="EC139" s="617"/>
      <c r="ED139" s="617"/>
      <c r="EE139" s="617"/>
      <c r="EF139" s="617"/>
      <c r="EG139" s="617"/>
      <c r="EH139" s="617"/>
      <c r="EI139" s="617"/>
      <c r="EJ139" s="617"/>
      <c r="EK139" s="617"/>
      <c r="EL139" s="617"/>
    </row>
    <row r="140" spans="1:142" s="584" customFormat="1">
      <c r="A140" s="1606"/>
      <c r="B140" s="647" t="s">
        <v>853</v>
      </c>
      <c r="C140" s="863" t="s">
        <v>854</v>
      </c>
      <c r="D140" s="1607"/>
      <c r="E140" s="647" t="s">
        <v>855</v>
      </c>
      <c r="F140" s="647"/>
      <c r="G140" s="647"/>
      <c r="H140" s="647"/>
      <c r="I140" s="647"/>
      <c r="J140" s="647"/>
      <c r="K140" s="647"/>
      <c r="L140" s="647"/>
      <c r="M140" s="647"/>
      <c r="N140" s="647"/>
      <c r="O140" s="647"/>
      <c r="P140" s="647"/>
      <c r="Q140" s="647"/>
      <c r="R140" s="647"/>
      <c r="S140" s="647"/>
      <c r="T140" s="647"/>
      <c r="U140" s="647"/>
      <c r="V140" s="647"/>
      <c r="W140" s="647"/>
      <c r="X140" s="647"/>
      <c r="Y140" s="1608"/>
      <c r="Z140" s="1608"/>
      <c r="AA140" s="1608"/>
      <c r="AB140" s="1608"/>
      <c r="AC140" s="1608"/>
      <c r="AD140" s="1608"/>
      <c r="AE140" s="1608"/>
      <c r="AF140" s="1608"/>
      <c r="AG140" s="1608"/>
      <c r="AH140" s="1608"/>
      <c r="AI140" s="1608"/>
      <c r="AJ140" s="1608"/>
      <c r="AK140" s="1608"/>
      <c r="AL140" s="1608"/>
      <c r="AM140" s="1609"/>
      <c r="AN140" s="1609"/>
      <c r="AO140" s="1609"/>
      <c r="AP140" s="1609"/>
      <c r="AQ140" s="1609"/>
      <c r="AR140" s="1609"/>
      <c r="AS140" s="1609"/>
      <c r="AT140" s="1609"/>
      <c r="AU140" s="1609"/>
      <c r="AV140" s="1609"/>
      <c r="AW140" s="1609"/>
      <c r="AX140" s="1609"/>
      <c r="AY140" s="1609"/>
      <c r="AZ140" s="1609"/>
      <c r="BA140" s="1609"/>
      <c r="BB140" s="1609"/>
      <c r="BC140" s="1609"/>
      <c r="BD140" s="1609"/>
      <c r="BE140" s="1609"/>
      <c r="BF140" s="1609"/>
      <c r="BG140" s="1609"/>
      <c r="BH140" s="1609"/>
      <c r="BI140" s="1609"/>
      <c r="BJ140" s="1609"/>
      <c r="BK140" s="1609"/>
      <c r="BL140" s="1609"/>
      <c r="BM140" s="1609"/>
      <c r="BN140" s="1609"/>
      <c r="BO140" s="1609"/>
      <c r="BP140" s="1609"/>
      <c r="BQ140" s="1609"/>
      <c r="BR140" s="1609"/>
      <c r="BS140" s="1609"/>
      <c r="BT140" s="1609"/>
      <c r="BU140" s="1609"/>
      <c r="BV140" s="1609"/>
      <c r="BW140" s="1609"/>
      <c r="BX140" s="1609"/>
      <c r="BY140" s="1609"/>
      <c r="BZ140" s="1609"/>
      <c r="CA140" s="1609"/>
      <c r="CB140" s="1609"/>
      <c r="CC140" s="1609"/>
      <c r="CD140" s="1609"/>
      <c r="CE140" s="1609"/>
      <c r="CF140" s="1609"/>
      <c r="CG140" s="1609"/>
      <c r="CH140" s="1609"/>
      <c r="CI140" s="1609"/>
      <c r="CJ140" s="1609"/>
      <c r="CK140" s="1609"/>
      <c r="CL140" s="1609"/>
      <c r="CM140" s="1609"/>
      <c r="CN140" s="1609"/>
      <c r="CO140" s="1609"/>
      <c r="CP140" s="1609"/>
      <c r="CQ140" s="1609"/>
      <c r="CR140" s="1609"/>
      <c r="CS140" s="1609"/>
      <c r="CT140" s="1609"/>
      <c r="CU140" s="1609"/>
      <c r="CV140" s="1609"/>
      <c r="CW140" s="1609"/>
      <c r="CX140" s="1609"/>
      <c r="CY140" s="1609"/>
      <c r="CZ140" s="1609"/>
      <c r="DA140" s="1609"/>
      <c r="DB140" s="1609"/>
      <c r="DC140" s="1609"/>
      <c r="DD140" s="1609"/>
      <c r="DE140" s="1609"/>
      <c r="DF140" s="1609"/>
      <c r="DG140" s="1609"/>
      <c r="DH140" s="1609"/>
      <c r="DI140" s="1609"/>
      <c r="DJ140" s="1609"/>
      <c r="DK140" s="1609"/>
      <c r="DL140" s="1609"/>
      <c r="DM140" s="1609"/>
      <c r="DN140" s="1609"/>
      <c r="DO140" s="1609"/>
      <c r="DP140" s="1609"/>
      <c r="DQ140" s="1609"/>
      <c r="DR140" s="1609"/>
      <c r="DS140" s="1609"/>
      <c r="DT140" s="1609"/>
      <c r="DU140" s="1609"/>
      <c r="DV140" s="1609"/>
      <c r="DW140" s="1609"/>
      <c r="DX140" s="1609"/>
      <c r="DY140" s="1609"/>
      <c r="DZ140" s="1609"/>
      <c r="EA140" s="1609"/>
      <c r="EB140" s="1609"/>
      <c r="EC140" s="1609"/>
      <c r="ED140" s="1609"/>
      <c r="EE140" s="1609"/>
      <c r="EF140" s="1609"/>
      <c r="EG140" s="1609"/>
      <c r="EH140" s="1609"/>
      <c r="EI140" s="1609"/>
      <c r="EJ140" s="1609"/>
      <c r="EK140" s="1609"/>
      <c r="EL140" s="1609"/>
    </row>
    <row r="141" spans="1:142" s="584" customFormat="1">
      <c r="A141" s="1606"/>
      <c r="B141" s="646" t="s">
        <v>856</v>
      </c>
      <c r="C141" s="1610">
        <v>0.05</v>
      </c>
      <c r="D141" s="1611"/>
      <c r="E141" s="646">
        <v>9123</v>
      </c>
      <c r="F141" s="646">
        <v>7175</v>
      </c>
      <c r="G141" s="646">
        <v>5227</v>
      </c>
      <c r="H141" s="646">
        <v>5813.5487271065085</v>
      </c>
      <c r="I141" s="646">
        <v>6465.9171230996189</v>
      </c>
      <c r="J141" s="646">
        <v>7191.4911537348326</v>
      </c>
      <c r="K141" s="646">
        <v>7998.4856022178792</v>
      </c>
      <c r="L141" s="646">
        <v>8896.0370751011069</v>
      </c>
      <c r="M141" s="646">
        <v>9894.307444852946</v>
      </c>
      <c r="N141" s="646">
        <v>10326.83189913999</v>
      </c>
      <c r="O141" s="646">
        <v>10778.263932820439</v>
      </c>
      <c r="P141" s="646">
        <v>11249.430080798789</v>
      </c>
      <c r="Q141" s="646">
        <v>11741.193009518867</v>
      </c>
      <c r="R141" s="646">
        <v>12254.453096435085</v>
      </c>
      <c r="S141" s="646">
        <v>12790.150078529474</v>
      </c>
      <c r="T141" s="646">
        <v>13349.26477289276</v>
      </c>
      <c r="U141" s="646">
        <v>13349.26477289276</v>
      </c>
      <c r="V141" s="646">
        <v>13349.26477289276</v>
      </c>
      <c r="W141" s="646">
        <v>13349.26477289276</v>
      </c>
      <c r="X141" s="646">
        <v>13349.26477289276</v>
      </c>
      <c r="Y141" s="1608"/>
      <c r="Z141" s="1608"/>
      <c r="AA141" s="1608"/>
      <c r="AB141" s="1608"/>
      <c r="AC141" s="1608"/>
      <c r="AD141" s="1608"/>
      <c r="AE141" s="1608"/>
      <c r="AF141" s="1608"/>
      <c r="AG141" s="1608"/>
      <c r="AH141" s="1608"/>
      <c r="AI141" s="1608"/>
      <c r="AJ141" s="1608"/>
      <c r="AK141" s="1608"/>
      <c r="AL141" s="1608"/>
      <c r="AM141" s="1609"/>
      <c r="AN141" s="1609"/>
      <c r="AO141" s="1609"/>
      <c r="AP141" s="1609"/>
      <c r="AQ141" s="1609"/>
      <c r="AR141" s="1609"/>
      <c r="AS141" s="1609"/>
      <c r="AT141" s="1609"/>
      <c r="AU141" s="1609"/>
      <c r="AV141" s="1609"/>
      <c r="AW141" s="1609"/>
      <c r="AX141" s="1609"/>
      <c r="AY141" s="1609"/>
      <c r="AZ141" s="1609"/>
      <c r="BA141" s="1609"/>
      <c r="BB141" s="1609"/>
      <c r="BC141" s="1609"/>
      <c r="BD141" s="1609"/>
      <c r="BE141" s="1609"/>
      <c r="BF141" s="1609"/>
      <c r="BG141" s="1609"/>
      <c r="BH141" s="1609"/>
      <c r="BI141" s="1609"/>
      <c r="BJ141" s="1609"/>
      <c r="BK141" s="1609"/>
      <c r="BL141" s="1609"/>
      <c r="BM141" s="1609"/>
      <c r="BN141" s="1609"/>
      <c r="BO141" s="1609"/>
      <c r="BP141" s="1609"/>
      <c r="BQ141" s="1609"/>
      <c r="BR141" s="1609"/>
      <c r="BS141" s="1609"/>
      <c r="BT141" s="1609"/>
      <c r="BU141" s="1609"/>
      <c r="BV141" s="1609"/>
      <c r="BW141" s="1609"/>
      <c r="BX141" s="1609"/>
      <c r="BY141" s="1609"/>
      <c r="BZ141" s="1609"/>
      <c r="CA141" s="1609"/>
      <c r="CB141" s="1609"/>
      <c r="CC141" s="1609"/>
      <c r="CD141" s="1609"/>
      <c r="CE141" s="1609"/>
      <c r="CF141" s="1609"/>
      <c r="CG141" s="1609"/>
      <c r="CH141" s="1609"/>
      <c r="CI141" s="1609"/>
      <c r="CJ141" s="1609"/>
      <c r="CK141" s="1609"/>
      <c r="CL141" s="1609"/>
      <c r="CM141" s="1609"/>
      <c r="CN141" s="1609"/>
      <c r="CO141" s="1609"/>
      <c r="CP141" s="1609"/>
      <c r="CQ141" s="1609"/>
      <c r="CR141" s="1609"/>
      <c r="CS141" s="1609"/>
      <c r="CT141" s="1609"/>
      <c r="CU141" s="1609"/>
      <c r="CV141" s="1609"/>
      <c r="CW141" s="1609"/>
      <c r="CX141" s="1609"/>
      <c r="CY141" s="1609"/>
      <c r="CZ141" s="1609"/>
      <c r="DA141" s="1609"/>
      <c r="DB141" s="1609"/>
      <c r="DC141" s="1609"/>
      <c r="DD141" s="1609"/>
      <c r="DE141" s="1609"/>
      <c r="DF141" s="1609"/>
      <c r="DG141" s="1609"/>
      <c r="DH141" s="1609"/>
      <c r="DI141" s="1609"/>
      <c r="DJ141" s="1609"/>
      <c r="DK141" s="1609"/>
      <c r="DL141" s="1609"/>
      <c r="DM141" s="1609"/>
      <c r="DN141" s="1609"/>
      <c r="DO141" s="1609"/>
      <c r="DP141" s="1609"/>
      <c r="DQ141" s="1609"/>
      <c r="DR141" s="1609"/>
      <c r="DS141" s="1609"/>
      <c r="DT141" s="1609"/>
      <c r="DU141" s="1609"/>
      <c r="DV141" s="1609"/>
      <c r="DW141" s="1609"/>
      <c r="DX141" s="1609"/>
      <c r="DY141" s="1609"/>
      <c r="DZ141" s="1609"/>
      <c r="EA141" s="1609"/>
      <c r="EB141" s="1609"/>
      <c r="EC141" s="1609"/>
      <c r="ED141" s="1609"/>
      <c r="EE141" s="1609"/>
      <c r="EF141" s="1609"/>
      <c r="EG141" s="1609"/>
      <c r="EH141" s="1609"/>
      <c r="EI141" s="1609"/>
      <c r="EJ141" s="1609"/>
      <c r="EK141" s="1609"/>
      <c r="EL141" s="1609"/>
    </row>
    <row r="142" spans="1:142" s="593" customFormat="1">
      <c r="A142" s="589"/>
      <c r="B142" s="332" t="s">
        <v>857</v>
      </c>
      <c r="C142" s="1612">
        <v>0.5</v>
      </c>
      <c r="D142" s="1611"/>
      <c r="E142" s="332">
        <v>11005</v>
      </c>
      <c r="F142" s="332">
        <v>8947</v>
      </c>
      <c r="G142" s="332">
        <v>6889</v>
      </c>
      <c r="H142" s="332">
        <v>7662.0503503035652</v>
      </c>
      <c r="I142" s="332">
        <v>8521.8486820419494</v>
      </c>
      <c r="J142" s="332">
        <v>9478.1294352552613</v>
      </c>
      <c r="K142" s="332">
        <v>10541.719401889986</v>
      </c>
      <c r="L142" s="332">
        <v>11724.66030426086</v>
      </c>
      <c r="M142" s="332">
        <v>13040.345128676476</v>
      </c>
      <c r="N142" s="332">
        <v>13610.396968275374</v>
      </c>
      <c r="O142" s="332">
        <v>14205.368324698677</v>
      </c>
      <c r="P142" s="332">
        <v>14826.348541538711</v>
      </c>
      <c r="Q142" s="332">
        <v>15474.474582470912</v>
      </c>
      <c r="R142" s="332">
        <v>16150.933112940746</v>
      </c>
      <c r="S142" s="332">
        <v>16856.962672850492</v>
      </c>
      <c r="T142" s="332">
        <v>17593.855944223877</v>
      </c>
      <c r="U142" s="332">
        <v>17593.855944223877</v>
      </c>
      <c r="V142" s="332">
        <v>17593.855944223877</v>
      </c>
      <c r="W142" s="332">
        <v>17593.855944223877</v>
      </c>
      <c r="X142" s="332">
        <v>17593.855944223877</v>
      </c>
      <c r="Y142" s="592"/>
      <c r="Z142" s="592"/>
      <c r="AA142" s="592"/>
      <c r="AB142" s="592"/>
      <c r="AC142" s="592"/>
      <c r="AD142" s="592"/>
      <c r="AE142" s="592"/>
      <c r="AF142" s="592"/>
      <c r="AG142" s="592"/>
      <c r="AH142" s="592"/>
      <c r="AI142" s="592"/>
      <c r="AJ142" s="592"/>
      <c r="AK142" s="592"/>
      <c r="AL142" s="592"/>
      <c r="AM142" s="592"/>
      <c r="AN142" s="592"/>
      <c r="AO142" s="592"/>
      <c r="AP142" s="592"/>
      <c r="AQ142" s="592"/>
      <c r="AR142" s="592"/>
      <c r="AS142" s="592"/>
      <c r="AT142" s="592"/>
      <c r="AU142" s="592"/>
      <c r="AV142" s="592"/>
      <c r="AW142" s="592"/>
      <c r="AX142" s="592"/>
      <c r="AY142" s="592"/>
      <c r="AZ142" s="592"/>
      <c r="BA142" s="592"/>
      <c r="BB142" s="592"/>
      <c r="BC142" s="592"/>
      <c r="BD142" s="592"/>
      <c r="BE142" s="592"/>
      <c r="BF142" s="592"/>
      <c r="BG142" s="592"/>
      <c r="BH142" s="592"/>
      <c r="BI142" s="592"/>
      <c r="BJ142" s="592"/>
      <c r="BK142" s="592"/>
      <c r="BL142" s="592"/>
      <c r="BM142" s="592"/>
      <c r="BN142" s="592"/>
      <c r="BO142" s="592"/>
      <c r="BP142" s="592"/>
      <c r="BQ142" s="592"/>
      <c r="BR142" s="592"/>
      <c r="BS142" s="592"/>
      <c r="BT142" s="592"/>
      <c r="BU142" s="592"/>
      <c r="BV142" s="592"/>
      <c r="BW142" s="592"/>
      <c r="BX142" s="592"/>
      <c r="BY142" s="592"/>
      <c r="BZ142" s="592"/>
      <c r="CA142" s="592"/>
      <c r="CB142" s="592"/>
      <c r="CC142" s="592"/>
      <c r="CD142" s="592"/>
      <c r="CE142" s="592"/>
      <c r="CF142" s="592"/>
      <c r="CG142" s="592"/>
      <c r="CH142" s="592"/>
      <c r="CI142" s="592"/>
      <c r="CJ142" s="592"/>
      <c r="CK142" s="592"/>
      <c r="CL142" s="592"/>
      <c r="CM142" s="592"/>
      <c r="CN142" s="592"/>
      <c r="CO142" s="592"/>
      <c r="CP142" s="592"/>
      <c r="CQ142" s="592"/>
      <c r="CR142" s="592"/>
      <c r="CS142" s="592"/>
      <c r="CT142" s="592"/>
      <c r="CU142" s="592"/>
      <c r="CV142" s="592"/>
      <c r="CW142" s="592"/>
      <c r="CX142" s="592"/>
      <c r="CY142" s="592"/>
      <c r="CZ142" s="592"/>
      <c r="DA142" s="592"/>
      <c r="DB142" s="592"/>
      <c r="DC142" s="592"/>
      <c r="DD142" s="592"/>
      <c r="DE142" s="592"/>
      <c r="DF142" s="592"/>
      <c r="DG142" s="592"/>
      <c r="DH142" s="592"/>
      <c r="DI142" s="592"/>
      <c r="DJ142" s="592"/>
      <c r="DK142" s="592"/>
      <c r="DL142" s="592"/>
      <c r="DM142" s="592"/>
      <c r="DN142" s="592"/>
      <c r="DO142" s="592"/>
      <c r="DP142" s="592"/>
      <c r="DQ142" s="592"/>
      <c r="DR142" s="592"/>
      <c r="DS142" s="592"/>
      <c r="DT142" s="592"/>
      <c r="DU142" s="592"/>
      <c r="DV142" s="592"/>
      <c r="DW142" s="592"/>
      <c r="DX142" s="592"/>
      <c r="DY142" s="592"/>
      <c r="DZ142" s="592"/>
      <c r="EA142" s="592"/>
      <c r="EB142" s="592"/>
      <c r="EC142" s="592"/>
      <c r="ED142" s="592"/>
      <c r="EE142" s="592"/>
      <c r="EF142" s="592"/>
      <c r="EG142" s="592"/>
      <c r="EH142" s="592"/>
      <c r="EI142" s="592"/>
      <c r="EJ142" s="592"/>
      <c r="EK142" s="592"/>
      <c r="EL142" s="592"/>
    </row>
    <row r="143" spans="1:142" s="593" customFormat="1">
      <c r="A143" s="589"/>
      <c r="B143" s="332" t="s">
        <v>858</v>
      </c>
      <c r="C143" s="1612">
        <v>0.95</v>
      </c>
      <c r="D143" s="1611"/>
      <c r="E143" s="332">
        <v>12887</v>
      </c>
      <c r="F143" s="332">
        <v>10719</v>
      </c>
      <c r="G143" s="332">
        <v>8551</v>
      </c>
      <c r="H143" s="332">
        <v>9510.5519735006219</v>
      </c>
      <c r="I143" s="332">
        <v>10577.780240984281</v>
      </c>
      <c r="J143" s="332">
        <v>11764.767716775692</v>
      </c>
      <c r="K143" s="332">
        <v>13084.953201562095</v>
      </c>
      <c r="L143" s="332">
        <v>14553.283533420616</v>
      </c>
      <c r="M143" s="332">
        <v>16186.382812500005</v>
      </c>
      <c r="N143" s="332">
        <v>16893.962037410758</v>
      </c>
      <c r="O143" s="332">
        <v>17632.472716576915</v>
      </c>
      <c r="P143" s="332">
        <v>18403.267002278633</v>
      </c>
      <c r="Q143" s="332">
        <v>19207.756155422958</v>
      </c>
      <c r="R143" s="332">
        <v>20047.41312944641</v>
      </c>
      <c r="S143" s="332">
        <v>20923.775267171513</v>
      </c>
      <c r="T143" s="332">
        <v>21838.447115554998</v>
      </c>
      <c r="U143" s="332">
        <v>21838.447115554998</v>
      </c>
      <c r="V143" s="332">
        <v>21838.447115554998</v>
      </c>
      <c r="W143" s="332">
        <v>21838.447115554998</v>
      </c>
      <c r="X143" s="332">
        <v>21838.447115554998</v>
      </c>
      <c r="Y143" s="592"/>
      <c r="Z143" s="592"/>
      <c r="AA143" s="592"/>
      <c r="AB143" s="592"/>
      <c r="AC143" s="592"/>
      <c r="AD143" s="592"/>
      <c r="AE143" s="592"/>
      <c r="AF143" s="592"/>
      <c r="AG143" s="592"/>
      <c r="AH143" s="592"/>
      <c r="AI143" s="592"/>
      <c r="AJ143" s="592"/>
      <c r="AK143" s="592"/>
      <c r="AL143" s="592"/>
      <c r="AM143" s="592"/>
      <c r="AN143" s="592"/>
      <c r="AO143" s="592"/>
      <c r="AP143" s="592"/>
      <c r="AQ143" s="592"/>
      <c r="AR143" s="592"/>
      <c r="AS143" s="592"/>
      <c r="AT143" s="592"/>
      <c r="AU143" s="592"/>
      <c r="AV143" s="592"/>
      <c r="AW143" s="592"/>
      <c r="AX143" s="592"/>
      <c r="AY143" s="592"/>
      <c r="AZ143" s="592"/>
      <c r="BA143" s="592"/>
      <c r="BB143" s="592"/>
      <c r="BC143" s="592"/>
      <c r="BD143" s="592"/>
      <c r="BE143" s="592"/>
      <c r="BF143" s="592"/>
      <c r="BG143" s="592"/>
      <c r="BH143" s="592"/>
      <c r="BI143" s="592"/>
      <c r="BJ143" s="592"/>
      <c r="BK143" s="592"/>
      <c r="BL143" s="592"/>
      <c r="BM143" s="592"/>
      <c r="BN143" s="592"/>
      <c r="BO143" s="592"/>
      <c r="BP143" s="592"/>
      <c r="BQ143" s="592"/>
      <c r="BR143" s="592"/>
      <c r="BS143" s="592"/>
      <c r="BT143" s="592"/>
      <c r="BU143" s="592"/>
      <c r="BV143" s="592"/>
      <c r="BW143" s="592"/>
      <c r="BX143" s="592"/>
      <c r="BY143" s="592"/>
      <c r="BZ143" s="592"/>
      <c r="CA143" s="592"/>
      <c r="CB143" s="592"/>
      <c r="CC143" s="592"/>
      <c r="CD143" s="592"/>
      <c r="CE143" s="592"/>
      <c r="CF143" s="592"/>
      <c r="CG143" s="592"/>
      <c r="CH143" s="592"/>
      <c r="CI143" s="592"/>
      <c r="CJ143" s="592"/>
      <c r="CK143" s="592"/>
      <c r="CL143" s="592"/>
      <c r="CM143" s="592"/>
      <c r="CN143" s="592"/>
      <c r="CO143" s="592"/>
      <c r="CP143" s="592"/>
      <c r="CQ143" s="592"/>
      <c r="CR143" s="592"/>
      <c r="CS143" s="592"/>
      <c r="CT143" s="592"/>
      <c r="CU143" s="592"/>
      <c r="CV143" s="592"/>
      <c r="CW143" s="592"/>
      <c r="CX143" s="592"/>
      <c r="CY143" s="592"/>
      <c r="CZ143" s="592"/>
      <c r="DA143" s="592"/>
      <c r="DB143" s="592"/>
      <c r="DC143" s="592"/>
      <c r="DD143" s="592"/>
      <c r="DE143" s="592"/>
      <c r="DF143" s="592"/>
      <c r="DG143" s="592"/>
      <c r="DH143" s="592"/>
      <c r="DI143" s="592"/>
      <c r="DJ143" s="592"/>
      <c r="DK143" s="592"/>
      <c r="DL143" s="592"/>
      <c r="DM143" s="592"/>
      <c r="DN143" s="592"/>
      <c r="DO143" s="592"/>
      <c r="DP143" s="592"/>
      <c r="DQ143" s="592"/>
      <c r="DR143" s="592"/>
      <c r="DS143" s="592"/>
      <c r="DT143" s="592"/>
      <c r="DU143" s="592"/>
      <c r="DV143" s="592"/>
      <c r="DW143" s="592"/>
      <c r="DX143" s="592"/>
      <c r="DY143" s="592"/>
      <c r="DZ143" s="592"/>
      <c r="EA143" s="592"/>
      <c r="EB143" s="592"/>
      <c r="EC143" s="592"/>
      <c r="ED143" s="592"/>
      <c r="EE143" s="592"/>
      <c r="EF143" s="592"/>
      <c r="EG143" s="592"/>
      <c r="EH143" s="592"/>
      <c r="EI143" s="592"/>
      <c r="EJ143" s="592"/>
      <c r="EK143" s="592"/>
      <c r="EL143" s="592"/>
    </row>
    <row r="144" spans="1:142" s="76" customFormat="1">
      <c r="A144" s="105"/>
      <c r="B144"/>
      <c r="C144"/>
      <c r="D144" s="1603"/>
      <c r="E144"/>
      <c r="F144"/>
      <c r="G144"/>
      <c r="H144"/>
      <c r="I144"/>
      <c r="J144"/>
      <c r="K144"/>
      <c r="L144"/>
      <c r="M144"/>
      <c r="N144"/>
      <c r="O144"/>
      <c r="P144"/>
      <c r="Q144"/>
      <c r="R144"/>
      <c r="S144"/>
      <c r="T144"/>
      <c r="U144"/>
      <c r="V144"/>
      <c r="W144"/>
      <c r="X144"/>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2"/>
      <c r="CL144" s="12"/>
      <c r="CM144" s="12"/>
      <c r="CN144" s="12"/>
      <c r="CO144" s="12"/>
      <c r="CP144" s="12"/>
      <c r="CQ144" s="12"/>
      <c r="CR144" s="12"/>
      <c r="CS144" s="12"/>
      <c r="CT144" s="12"/>
      <c r="CU144" s="12"/>
      <c r="CV144" s="12"/>
      <c r="CW144" s="12"/>
      <c r="CX144" s="12"/>
      <c r="CY144" s="12"/>
      <c r="CZ144" s="12"/>
      <c r="DA144" s="12"/>
      <c r="DB144" s="12"/>
      <c r="DC144" s="12"/>
      <c r="DD144" s="12"/>
      <c r="DE144" s="12"/>
      <c r="DF144" s="12"/>
      <c r="DG144" s="12"/>
      <c r="DH144" s="12"/>
      <c r="DI144" s="12"/>
      <c r="DJ144" s="12"/>
      <c r="DK144" s="12"/>
      <c r="DL144" s="12"/>
      <c r="DM144" s="12"/>
      <c r="DN144" s="12"/>
      <c r="DO144" s="12"/>
      <c r="DP144" s="12"/>
      <c r="DQ144" s="12"/>
      <c r="DR144" s="12"/>
      <c r="DS144" s="12"/>
      <c r="DT144" s="12"/>
      <c r="DU144" s="12"/>
      <c r="DV144" s="12"/>
      <c r="DW144" s="12"/>
      <c r="DX144" s="12"/>
      <c r="DY144" s="12"/>
      <c r="DZ144" s="12"/>
      <c r="EA144" s="12"/>
      <c r="EB144" s="12"/>
      <c r="EC144" s="12"/>
      <c r="ED144" s="12"/>
      <c r="EE144" s="12"/>
      <c r="EF144" s="12"/>
      <c r="EG144" s="12"/>
      <c r="EH144" s="12"/>
      <c r="EI144" s="12"/>
      <c r="EJ144" s="12"/>
      <c r="EK144" s="12"/>
      <c r="EL144" s="12"/>
    </row>
    <row r="145" spans="1:142" s="76" customFormat="1">
      <c r="A145" s="105"/>
      <c r="B145" s="285" t="s">
        <v>859</v>
      </c>
      <c r="C145" s="285"/>
      <c r="D145" s="1603"/>
      <c r="E145" s="285"/>
      <c r="F145" s="285"/>
      <c r="G145" s="285"/>
      <c r="H145" s="285"/>
      <c r="I145" s="285"/>
      <c r="J145" s="285"/>
      <c r="K145" s="285"/>
      <c r="L145" s="285"/>
      <c r="M145" s="285"/>
      <c r="N145" s="285"/>
      <c r="O145" s="285"/>
      <c r="P145" s="285"/>
      <c r="Q145" s="285"/>
      <c r="R145" s="285"/>
      <c r="S145" s="285"/>
      <c r="T145" s="285"/>
      <c r="U145" s="285"/>
      <c r="V145" s="285"/>
      <c r="W145" s="285"/>
      <c r="X145" s="285"/>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2"/>
      <c r="CJ145" s="12"/>
      <c r="CK145" s="12"/>
      <c r="CL145" s="12"/>
      <c r="CM145" s="12"/>
      <c r="CN145" s="12"/>
      <c r="CO145" s="12"/>
      <c r="CP145" s="12"/>
      <c r="CQ145" s="12"/>
      <c r="CR145" s="12"/>
      <c r="CS145" s="12"/>
      <c r="CT145" s="12"/>
      <c r="CU145" s="12"/>
      <c r="CV145" s="12"/>
      <c r="CW145" s="12"/>
      <c r="CX145" s="12"/>
      <c r="CY145" s="12"/>
      <c r="CZ145" s="12"/>
      <c r="DA145" s="12"/>
      <c r="DB145" s="12"/>
      <c r="DC145" s="12"/>
      <c r="DD145" s="12"/>
      <c r="DE145" s="12"/>
      <c r="DF145" s="12"/>
      <c r="DG145" s="12"/>
      <c r="DH145" s="12"/>
      <c r="DI145" s="12"/>
      <c r="DJ145" s="12"/>
      <c r="DK145" s="12"/>
      <c r="DL145" s="12"/>
      <c r="DM145" s="12"/>
      <c r="DN145" s="12"/>
      <c r="DO145" s="12"/>
      <c r="DP145" s="12"/>
      <c r="DQ145" s="12"/>
      <c r="DR145" s="12"/>
      <c r="DS145" s="12"/>
      <c r="DT145" s="12"/>
      <c r="DU145" s="12"/>
      <c r="DV145" s="12"/>
      <c r="DW145" s="12"/>
      <c r="DX145" s="12"/>
      <c r="DY145" s="12"/>
      <c r="DZ145" s="12"/>
      <c r="EA145" s="12"/>
      <c r="EB145" s="12"/>
      <c r="EC145" s="12"/>
      <c r="ED145" s="12"/>
      <c r="EE145" s="12"/>
      <c r="EF145" s="12"/>
      <c r="EG145" s="12"/>
      <c r="EH145" s="12"/>
      <c r="EI145" s="12"/>
      <c r="EJ145" s="12"/>
      <c r="EK145" s="12"/>
      <c r="EL145" s="12"/>
    </row>
    <row r="146" spans="1:142" s="76" customFormat="1">
      <c r="A146" s="105"/>
      <c r="B146" s="105"/>
      <c r="C146" s="89"/>
      <c r="D146" s="105"/>
      <c r="E146" s="251"/>
      <c r="F146" s="108"/>
      <c r="G146" s="108"/>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2"/>
      <c r="CJ146" s="12"/>
      <c r="CK146" s="12"/>
      <c r="CL146" s="12"/>
      <c r="CM146" s="12"/>
      <c r="CN146" s="12"/>
      <c r="CO146" s="12"/>
      <c r="CP146" s="12"/>
      <c r="CQ146" s="12"/>
      <c r="CR146" s="12"/>
      <c r="CS146" s="12"/>
      <c r="CT146" s="12"/>
      <c r="CU146" s="12"/>
      <c r="CV146" s="12"/>
      <c r="CW146" s="12"/>
      <c r="CX146" s="12"/>
      <c r="CY146" s="12"/>
      <c r="CZ146" s="12"/>
      <c r="DA146" s="12"/>
      <c r="DB146" s="12"/>
      <c r="DC146" s="12"/>
      <c r="DD146" s="12"/>
      <c r="DE146" s="12"/>
      <c r="DF146" s="12"/>
      <c r="DG146" s="12"/>
      <c r="DH146" s="12"/>
      <c r="DI146" s="12"/>
      <c r="DJ146" s="12"/>
      <c r="DK146" s="12"/>
      <c r="DL146" s="12"/>
      <c r="DM146" s="12"/>
      <c r="DN146" s="12"/>
      <c r="DO146" s="12"/>
      <c r="DP146" s="12"/>
      <c r="DQ146" s="12"/>
      <c r="DR146" s="12"/>
      <c r="DS146" s="12"/>
      <c r="DT146" s="12"/>
      <c r="DU146" s="12"/>
      <c r="DV146" s="12"/>
      <c r="DW146" s="12"/>
      <c r="DX146" s="12"/>
      <c r="DY146" s="12"/>
      <c r="DZ146" s="12"/>
      <c r="EA146" s="12"/>
      <c r="EB146" s="12"/>
      <c r="EC146" s="12"/>
      <c r="ED146" s="12"/>
      <c r="EE146" s="12"/>
      <c r="EF146" s="12"/>
      <c r="EG146" s="12"/>
      <c r="EH146" s="12"/>
      <c r="EI146" s="12"/>
      <c r="EJ146" s="12"/>
      <c r="EK146" s="12"/>
      <c r="EL146" s="12"/>
    </row>
    <row r="147" spans="1:142" s="76" customFormat="1">
      <c r="A147" s="105"/>
      <c r="B147" s="54" t="s">
        <v>288</v>
      </c>
      <c r="C147" s="100"/>
      <c r="D147" s="105"/>
      <c r="E147" s="107" t="s">
        <v>289</v>
      </c>
      <c r="F147" s="121" t="s">
        <v>290</v>
      </c>
      <c r="G147" s="108"/>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c r="CD147" s="12"/>
      <c r="CE147" s="12"/>
      <c r="CF147" s="12"/>
      <c r="CG147" s="12"/>
      <c r="CH147" s="12"/>
      <c r="CI147" s="12"/>
      <c r="CJ147" s="12"/>
      <c r="CK147" s="12"/>
      <c r="CL147" s="12"/>
      <c r="CM147" s="12"/>
      <c r="CN147" s="12"/>
      <c r="CO147" s="12"/>
      <c r="CP147" s="12"/>
      <c r="CQ147" s="12"/>
      <c r="CR147" s="12"/>
      <c r="CS147" s="12"/>
      <c r="CT147" s="12"/>
      <c r="CU147" s="12"/>
      <c r="CV147" s="12"/>
      <c r="CW147" s="12"/>
      <c r="CX147" s="12"/>
      <c r="CY147" s="12"/>
      <c r="CZ147" s="12"/>
      <c r="DA147" s="12"/>
      <c r="DB147" s="12"/>
      <c r="DC147" s="12"/>
      <c r="DD147" s="12"/>
      <c r="DE147" s="12"/>
      <c r="DF147" s="12"/>
      <c r="DG147" s="12"/>
      <c r="DH147" s="12"/>
      <c r="DI147" s="12"/>
      <c r="DJ147" s="12"/>
      <c r="DK147" s="12"/>
      <c r="DL147" s="12"/>
      <c r="DM147" s="12"/>
      <c r="DN147" s="12"/>
      <c r="DO147" s="12"/>
      <c r="DP147" s="12"/>
      <c r="DQ147" s="12"/>
      <c r="DR147" s="12"/>
      <c r="DS147" s="12"/>
      <c r="DT147" s="12"/>
      <c r="DU147" s="12"/>
      <c r="DV147" s="12"/>
      <c r="DW147" s="12"/>
      <c r="DX147" s="12"/>
      <c r="DY147" s="12"/>
      <c r="DZ147" s="12"/>
      <c r="EA147" s="12"/>
      <c r="EB147" s="12"/>
      <c r="EC147" s="12"/>
      <c r="ED147" s="12"/>
      <c r="EE147" s="12"/>
      <c r="EF147" s="12"/>
      <c r="EG147" s="12"/>
      <c r="EH147" s="12"/>
      <c r="EI147" s="12"/>
      <c r="EJ147" s="12"/>
      <c r="EK147" s="12"/>
      <c r="EL147" s="12"/>
    </row>
    <row r="148" spans="1:142" s="76" customFormat="1">
      <c r="A148" s="105"/>
      <c r="B148" s="38" t="s">
        <v>851</v>
      </c>
      <c r="C148" s="89"/>
      <c r="D148" s="105"/>
      <c r="E148" s="114">
        <v>0.03</v>
      </c>
      <c r="F148" s="1597">
        <v>0.75</v>
      </c>
      <c r="G148" s="1618" t="s">
        <v>866</v>
      </c>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c r="CF148" s="12"/>
      <c r="CG148" s="12"/>
      <c r="CH148" s="12"/>
      <c r="CI148" s="12"/>
      <c r="CJ148" s="12"/>
      <c r="CK148" s="12"/>
      <c r="CL148" s="12"/>
      <c r="CM148" s="12"/>
      <c r="CN148" s="12"/>
      <c r="CO148" s="12"/>
      <c r="CP148" s="12"/>
      <c r="CQ148" s="12"/>
      <c r="CR148" s="12"/>
      <c r="CS148" s="12"/>
      <c r="CT148" s="12"/>
      <c r="CU148" s="12"/>
      <c r="CV148" s="12"/>
      <c r="CW148" s="12"/>
      <c r="CX148" s="12"/>
      <c r="CY148" s="12"/>
      <c r="CZ148" s="12"/>
      <c r="DA148" s="12"/>
      <c r="DB148" s="12"/>
      <c r="DC148" s="12"/>
      <c r="DD148" s="12"/>
      <c r="DE148" s="12"/>
      <c r="DF148" s="12"/>
      <c r="DG148" s="12"/>
      <c r="DH148" s="12"/>
      <c r="DI148" s="12"/>
      <c r="DJ148" s="12"/>
      <c r="DK148" s="12"/>
      <c r="DL148" s="12"/>
      <c r="DM148" s="12"/>
      <c r="DN148" s="12"/>
      <c r="DO148" s="12"/>
      <c r="DP148" s="12"/>
      <c r="DQ148" s="12"/>
      <c r="DR148" s="12"/>
      <c r="DS148" s="12"/>
      <c r="DT148" s="12"/>
      <c r="DU148" s="12"/>
      <c r="DV148" s="12"/>
      <c r="DW148" s="12"/>
      <c r="DX148" s="12"/>
      <c r="DY148" s="12"/>
      <c r="DZ148" s="12"/>
      <c r="EA148" s="12"/>
      <c r="EB148" s="12"/>
      <c r="EC148" s="12"/>
      <c r="ED148" s="12"/>
      <c r="EE148" s="12"/>
      <c r="EF148" s="12"/>
      <c r="EG148" s="12"/>
      <c r="EH148" s="12"/>
      <c r="EI148" s="12"/>
      <c r="EJ148" s="12"/>
      <c r="EK148" s="12"/>
      <c r="EL148" s="12"/>
    </row>
    <row r="149" spans="1:142" s="76" customFormat="1">
      <c r="A149" s="105"/>
      <c r="B149" s="38" t="s">
        <v>850</v>
      </c>
      <c r="C149" s="89"/>
      <c r="D149" s="105"/>
      <c r="E149" s="114">
        <v>0.04</v>
      </c>
      <c r="F149" s="1597">
        <v>0.75</v>
      </c>
      <c r="G149" s="1618" t="s">
        <v>866</v>
      </c>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c r="CA149" s="12"/>
      <c r="CB149" s="12"/>
      <c r="CC149" s="12"/>
      <c r="CD149" s="12"/>
      <c r="CE149" s="12"/>
      <c r="CF149" s="12"/>
      <c r="CG149" s="12"/>
      <c r="CH149" s="12"/>
      <c r="CI149" s="12"/>
      <c r="CJ149" s="12"/>
      <c r="CK149" s="12"/>
      <c r="CL149" s="12"/>
      <c r="CM149" s="12"/>
      <c r="CN149" s="12"/>
      <c r="CO149" s="12"/>
      <c r="CP149" s="12"/>
      <c r="CQ149" s="12"/>
      <c r="CR149" s="12"/>
      <c r="CS149" s="12"/>
      <c r="CT149" s="12"/>
      <c r="CU149" s="12"/>
      <c r="CV149" s="12"/>
      <c r="CW149" s="12"/>
      <c r="CX149" s="12"/>
      <c r="CY149" s="12"/>
      <c r="CZ149" s="12"/>
      <c r="DA149" s="12"/>
      <c r="DB149" s="12"/>
      <c r="DC149" s="12"/>
      <c r="DD149" s="12"/>
      <c r="DE149" s="12"/>
      <c r="DF149" s="12"/>
      <c r="DG149" s="12"/>
      <c r="DH149" s="12"/>
      <c r="DI149" s="12"/>
      <c r="DJ149" s="12"/>
      <c r="DK149" s="12"/>
      <c r="DL149" s="12"/>
      <c r="DM149" s="12"/>
      <c r="DN149" s="12"/>
      <c r="DO149" s="12"/>
      <c r="DP149" s="12"/>
      <c r="DQ149" s="12"/>
      <c r="DR149" s="12"/>
      <c r="DS149" s="12"/>
      <c r="DT149" s="12"/>
      <c r="DU149" s="12"/>
      <c r="DV149" s="12"/>
      <c r="DW149" s="12"/>
      <c r="DX149" s="12"/>
      <c r="DY149" s="12"/>
      <c r="DZ149" s="12"/>
      <c r="EA149" s="12"/>
      <c r="EB149" s="12"/>
      <c r="EC149" s="12"/>
      <c r="ED149" s="12"/>
      <c r="EE149" s="12"/>
      <c r="EF149" s="12"/>
      <c r="EG149" s="12"/>
      <c r="EH149" s="12"/>
      <c r="EI149" s="12"/>
      <c r="EJ149" s="12"/>
      <c r="EK149" s="12"/>
      <c r="EL149" s="12"/>
    </row>
    <row r="150" spans="1:142" s="76" customFormat="1">
      <c r="A150" s="105"/>
      <c r="B150" s="105"/>
      <c r="C150" s="89"/>
      <c r="D150" s="105"/>
      <c r="E150" s="251"/>
      <c r="F150" s="108"/>
      <c r="G150" s="108"/>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c r="CA150" s="12"/>
      <c r="CB150" s="12"/>
      <c r="CC150" s="12"/>
      <c r="CD150" s="12"/>
      <c r="CE150" s="12"/>
      <c r="CF150" s="12"/>
      <c r="CG150" s="12"/>
      <c r="CH150" s="12"/>
      <c r="CI150" s="12"/>
      <c r="CJ150" s="12"/>
      <c r="CK150" s="12"/>
      <c r="CL150" s="12"/>
      <c r="CM150" s="12"/>
      <c r="CN150" s="12"/>
      <c r="CO150" s="12"/>
      <c r="CP150" s="12"/>
      <c r="CQ150" s="12"/>
      <c r="CR150" s="12"/>
      <c r="CS150" s="12"/>
      <c r="CT150" s="12"/>
      <c r="CU150" s="12"/>
      <c r="CV150" s="12"/>
      <c r="CW150" s="12"/>
      <c r="CX150" s="12"/>
      <c r="CY150" s="12"/>
      <c r="CZ150" s="12"/>
      <c r="DA150" s="12"/>
      <c r="DB150" s="12"/>
      <c r="DC150" s="12"/>
      <c r="DD150" s="12"/>
      <c r="DE150" s="12"/>
      <c r="DF150" s="12"/>
      <c r="DG150" s="12"/>
      <c r="DH150" s="12"/>
      <c r="DI150" s="12"/>
      <c r="DJ150" s="12"/>
      <c r="DK150" s="12"/>
      <c r="DL150" s="12"/>
      <c r="DM150" s="12"/>
      <c r="DN150" s="12"/>
      <c r="DO150" s="12"/>
      <c r="DP150" s="12"/>
      <c r="DQ150" s="12"/>
      <c r="DR150" s="12"/>
      <c r="DS150" s="12"/>
      <c r="DT150" s="12"/>
      <c r="DU150" s="12"/>
      <c r="DV150" s="12"/>
      <c r="DW150" s="12"/>
      <c r="DX150" s="12"/>
      <c r="DY150" s="12"/>
      <c r="DZ150" s="12"/>
      <c r="EA150" s="12"/>
      <c r="EB150" s="12"/>
      <c r="EC150" s="12"/>
      <c r="ED150" s="12"/>
      <c r="EE150" s="12"/>
      <c r="EF150" s="12"/>
      <c r="EG150" s="12"/>
      <c r="EH150" s="12"/>
      <c r="EI150" s="12"/>
      <c r="EJ150" s="12"/>
      <c r="EK150" s="12"/>
      <c r="EL150" s="12"/>
    </row>
    <row r="151" spans="1:142" s="76" customFormat="1">
      <c r="A151" s="105"/>
      <c r="B151" s="520" t="s">
        <v>660</v>
      </c>
      <c r="C151" s="825"/>
      <c r="D151" s="105"/>
      <c r="E151" s="251"/>
      <c r="F151" s="108"/>
      <c r="G151" s="108"/>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c r="CA151" s="12"/>
      <c r="CB151" s="12"/>
      <c r="CC151" s="12"/>
      <c r="CD151" s="12"/>
      <c r="CE151" s="12"/>
      <c r="CF151" s="12"/>
      <c r="CG151" s="12"/>
      <c r="CH151" s="12"/>
      <c r="CI151" s="12"/>
      <c r="CJ151" s="12"/>
      <c r="CK151" s="12"/>
      <c r="CL151" s="12"/>
      <c r="CM151" s="12"/>
      <c r="CN151" s="12"/>
      <c r="CO151" s="12"/>
      <c r="CP151" s="12"/>
      <c r="CQ151" s="12"/>
      <c r="CR151" s="12"/>
      <c r="CS151" s="12"/>
      <c r="CT151" s="12"/>
      <c r="CU151" s="12"/>
      <c r="CV151" s="12"/>
      <c r="CW151" s="12"/>
      <c r="CX151" s="12"/>
      <c r="CY151" s="12"/>
      <c r="CZ151" s="12"/>
      <c r="DA151" s="12"/>
      <c r="DB151" s="12"/>
      <c r="DC151" s="12"/>
      <c r="DD151" s="12"/>
      <c r="DE151" s="12"/>
      <c r="DF151" s="12"/>
      <c r="DG151" s="12"/>
      <c r="DH151" s="12"/>
      <c r="DI151" s="12"/>
      <c r="DJ151" s="12"/>
      <c r="DK151" s="12"/>
      <c r="DL151" s="12"/>
      <c r="DM151" s="12"/>
      <c r="DN151" s="12"/>
      <c r="DO151" s="12"/>
      <c r="DP151" s="12"/>
      <c r="DQ151" s="12"/>
      <c r="DR151" s="12"/>
      <c r="DS151" s="12"/>
      <c r="DT151" s="12"/>
      <c r="DU151" s="12"/>
      <c r="DV151" s="12"/>
      <c r="DW151" s="12"/>
      <c r="DX151" s="12"/>
      <c r="DY151" s="12"/>
      <c r="DZ151" s="12"/>
      <c r="EA151" s="12"/>
      <c r="EB151" s="12"/>
      <c r="EC151" s="12"/>
      <c r="ED151" s="12"/>
      <c r="EE151" s="12"/>
      <c r="EF151" s="12"/>
      <c r="EG151" s="12"/>
      <c r="EH151" s="12"/>
      <c r="EI151" s="12"/>
      <c r="EJ151" s="12"/>
      <c r="EK151" s="12"/>
      <c r="EL151" s="12"/>
    </row>
    <row r="152" spans="1:142" s="76" customFormat="1">
      <c r="A152" s="105"/>
      <c r="B152" s="105" t="s">
        <v>659</v>
      </c>
      <c r="C152" s="89"/>
      <c r="D152" s="105"/>
      <c r="E152" s="115">
        <v>0</v>
      </c>
      <c r="F152" s="115">
        <f t="shared" ref="F152:AL152" si="30">E152</f>
        <v>0</v>
      </c>
      <c r="G152" s="115">
        <f t="shared" si="30"/>
        <v>0</v>
      </c>
      <c r="H152" s="115">
        <f t="shared" si="30"/>
        <v>0</v>
      </c>
      <c r="I152" s="115">
        <f t="shared" si="30"/>
        <v>0</v>
      </c>
      <c r="J152" s="115">
        <f t="shared" si="30"/>
        <v>0</v>
      </c>
      <c r="K152" s="115">
        <f t="shared" si="30"/>
        <v>0</v>
      </c>
      <c r="L152" s="115">
        <f t="shared" si="30"/>
        <v>0</v>
      </c>
      <c r="M152" s="115">
        <f t="shared" si="30"/>
        <v>0</v>
      </c>
      <c r="N152" s="115">
        <f t="shared" si="30"/>
        <v>0</v>
      </c>
      <c r="O152" s="115">
        <f t="shared" si="30"/>
        <v>0</v>
      </c>
      <c r="P152" s="115">
        <f t="shared" si="30"/>
        <v>0</v>
      </c>
      <c r="Q152" s="115">
        <f t="shared" si="30"/>
        <v>0</v>
      </c>
      <c r="R152" s="115">
        <f t="shared" si="30"/>
        <v>0</v>
      </c>
      <c r="S152" s="115">
        <f t="shared" si="30"/>
        <v>0</v>
      </c>
      <c r="T152" s="1621">
        <f t="shared" si="30"/>
        <v>0</v>
      </c>
      <c r="U152" s="115">
        <f t="shared" si="30"/>
        <v>0</v>
      </c>
      <c r="V152" s="115">
        <f t="shared" si="30"/>
        <v>0</v>
      </c>
      <c r="W152" s="115">
        <f t="shared" si="30"/>
        <v>0</v>
      </c>
      <c r="X152" s="115">
        <f t="shared" si="30"/>
        <v>0</v>
      </c>
      <c r="Y152" s="115">
        <f t="shared" si="30"/>
        <v>0</v>
      </c>
      <c r="Z152" s="115">
        <f t="shared" si="30"/>
        <v>0</v>
      </c>
      <c r="AA152" s="115">
        <f t="shared" si="30"/>
        <v>0</v>
      </c>
      <c r="AB152" s="115">
        <f t="shared" si="30"/>
        <v>0</v>
      </c>
      <c r="AC152" s="115">
        <f t="shared" si="30"/>
        <v>0</v>
      </c>
      <c r="AD152" s="115">
        <f t="shared" si="30"/>
        <v>0</v>
      </c>
      <c r="AE152" s="115">
        <f t="shared" si="30"/>
        <v>0</v>
      </c>
      <c r="AF152" s="115">
        <f t="shared" si="30"/>
        <v>0</v>
      </c>
      <c r="AG152" s="115">
        <f t="shared" si="30"/>
        <v>0</v>
      </c>
      <c r="AH152" s="115">
        <f t="shared" si="30"/>
        <v>0</v>
      </c>
      <c r="AI152" s="115">
        <f t="shared" si="30"/>
        <v>0</v>
      </c>
      <c r="AJ152" s="115">
        <f t="shared" si="30"/>
        <v>0</v>
      </c>
      <c r="AK152" s="115">
        <f t="shared" si="30"/>
        <v>0</v>
      </c>
      <c r="AL152" s="115">
        <f t="shared" si="30"/>
        <v>0</v>
      </c>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12"/>
      <c r="CH152" s="12"/>
      <c r="CI152" s="12"/>
      <c r="CJ152" s="12"/>
      <c r="CK152" s="12"/>
      <c r="CL152" s="12"/>
      <c r="CM152" s="12"/>
      <c r="CN152" s="12"/>
      <c r="CO152" s="12"/>
      <c r="CP152" s="12"/>
      <c r="CQ152" s="12"/>
      <c r="CR152" s="12"/>
      <c r="CS152" s="12"/>
      <c r="CT152" s="12"/>
      <c r="CU152" s="12"/>
      <c r="CV152" s="12"/>
      <c r="CW152" s="12"/>
      <c r="CX152" s="12"/>
      <c r="CY152" s="12"/>
      <c r="CZ152" s="12"/>
      <c r="DA152" s="12"/>
      <c r="DB152" s="12"/>
      <c r="DC152" s="12"/>
      <c r="DD152" s="12"/>
      <c r="DE152" s="12"/>
      <c r="DF152" s="12"/>
      <c r="DG152" s="12"/>
      <c r="DH152" s="12"/>
      <c r="DI152" s="12"/>
      <c r="DJ152" s="12"/>
      <c r="DK152" s="12"/>
      <c r="DL152" s="12"/>
      <c r="DM152" s="12"/>
      <c r="DN152" s="12"/>
      <c r="DO152" s="12"/>
      <c r="DP152" s="12"/>
      <c r="DQ152" s="12"/>
      <c r="DR152" s="12"/>
      <c r="DS152" s="12"/>
      <c r="DT152" s="12"/>
      <c r="DU152" s="12"/>
      <c r="DV152" s="12"/>
      <c r="DW152" s="12"/>
      <c r="DX152" s="12"/>
      <c r="DY152" s="12"/>
      <c r="DZ152" s="12"/>
      <c r="EA152" s="12"/>
      <c r="EB152" s="12"/>
      <c r="EC152" s="12"/>
      <c r="ED152" s="12"/>
      <c r="EE152" s="12"/>
      <c r="EF152" s="12"/>
      <c r="EG152" s="12"/>
      <c r="EH152" s="12"/>
      <c r="EI152" s="12"/>
      <c r="EJ152" s="12"/>
      <c r="EK152" s="12"/>
      <c r="EL152" s="12"/>
    </row>
    <row r="153" spans="1:142" s="78" customFormat="1">
      <c r="A153" s="129"/>
      <c r="G153" s="79"/>
      <c r="H153" s="77"/>
      <c r="I153" s="77"/>
      <c r="J153" s="77"/>
      <c r="K153" s="77"/>
      <c r="L153" s="77"/>
      <c r="M153" s="77"/>
      <c r="N153" s="77"/>
      <c r="O153" s="77"/>
      <c r="P153" s="77"/>
      <c r="Q153" s="77"/>
      <c r="R153" s="77"/>
      <c r="S153" s="77"/>
      <c r="T153" s="1622"/>
      <c r="U153" s="77"/>
      <c r="V153" s="77"/>
      <c r="W153" s="77"/>
      <c r="X153" s="77"/>
      <c r="Y153" s="77"/>
      <c r="Z153" s="77"/>
      <c r="AA153" s="77"/>
      <c r="AB153" s="77"/>
      <c r="AC153" s="77"/>
      <c r="AD153" s="77"/>
      <c r="AE153" s="77"/>
      <c r="AF153" s="77"/>
      <c r="AG153" s="77"/>
      <c r="AH153" s="77"/>
      <c r="AI153" s="77"/>
      <c r="AJ153" s="77"/>
      <c r="AK153" s="77"/>
      <c r="AL153" s="77"/>
      <c r="AM153" s="77"/>
      <c r="AN153" s="77"/>
      <c r="AO153" s="77"/>
      <c r="AP153" s="77"/>
      <c r="AQ153" s="77"/>
      <c r="AR153" s="77"/>
      <c r="AS153" s="77"/>
      <c r="AT153" s="77"/>
      <c r="AU153" s="77"/>
      <c r="AV153" s="77"/>
      <c r="AW153" s="77"/>
      <c r="AX153" s="77"/>
      <c r="AY153" s="77"/>
      <c r="AZ153" s="77"/>
      <c r="BA153" s="77"/>
      <c r="BB153" s="77"/>
      <c r="BC153" s="77"/>
      <c r="BD153" s="77"/>
      <c r="BE153" s="77"/>
      <c r="BF153" s="77"/>
      <c r="BG153" s="77"/>
      <c r="BH153" s="77"/>
      <c r="BI153" s="77"/>
      <c r="BJ153" s="77"/>
      <c r="BK153" s="77"/>
      <c r="BL153" s="77"/>
      <c r="BM153" s="77"/>
      <c r="BN153" s="77"/>
      <c r="BO153" s="77"/>
      <c r="BP153" s="77"/>
      <c r="BQ153" s="77"/>
      <c r="BR153" s="77"/>
      <c r="BS153" s="77"/>
      <c r="BT153" s="77"/>
      <c r="BU153" s="77"/>
      <c r="BV153" s="77"/>
      <c r="BW153" s="77"/>
      <c r="BX153" s="77"/>
      <c r="BY153" s="77"/>
      <c r="BZ153" s="77"/>
      <c r="CA153" s="77"/>
      <c r="CB153" s="77"/>
      <c r="CC153" s="77"/>
      <c r="CD153" s="77"/>
      <c r="CE153" s="77"/>
      <c r="CF153" s="77"/>
      <c r="CG153" s="77"/>
      <c r="CH153" s="77"/>
      <c r="CI153" s="77"/>
      <c r="CJ153" s="77"/>
      <c r="CK153" s="77"/>
      <c r="CL153" s="77"/>
      <c r="CM153" s="77"/>
      <c r="CN153" s="77"/>
      <c r="CO153" s="77"/>
      <c r="CP153" s="77"/>
      <c r="CQ153" s="77"/>
      <c r="CR153" s="77"/>
      <c r="CS153" s="77"/>
      <c r="CT153" s="77"/>
      <c r="CU153" s="77"/>
      <c r="CV153" s="77"/>
      <c r="CW153" s="77"/>
      <c r="CX153" s="77"/>
      <c r="CY153" s="77"/>
      <c r="CZ153" s="77"/>
      <c r="DA153" s="77"/>
      <c r="DB153" s="77"/>
      <c r="DC153" s="77"/>
      <c r="DD153" s="77"/>
      <c r="DE153" s="77"/>
      <c r="DF153" s="77"/>
      <c r="DG153" s="77"/>
      <c r="DH153" s="77"/>
      <c r="DI153" s="77"/>
      <c r="DJ153" s="77"/>
      <c r="DK153" s="77"/>
      <c r="DL153" s="77"/>
      <c r="DM153" s="77"/>
      <c r="DN153" s="77"/>
      <c r="DO153" s="77"/>
      <c r="DP153" s="77"/>
      <c r="DQ153" s="77"/>
      <c r="DR153" s="77"/>
      <c r="DS153" s="77"/>
      <c r="DT153" s="77"/>
      <c r="DU153" s="77"/>
      <c r="DV153" s="77"/>
      <c r="DW153" s="77"/>
      <c r="DX153" s="77"/>
      <c r="DY153" s="77"/>
      <c r="DZ153" s="77"/>
      <c r="EA153" s="77"/>
      <c r="EB153" s="77"/>
      <c r="EC153" s="77"/>
      <c r="ED153" s="77"/>
      <c r="EE153" s="77"/>
      <c r="EF153" s="77"/>
      <c r="EG153" s="77"/>
      <c r="EH153" s="77"/>
      <c r="EI153" s="77"/>
      <c r="EJ153" s="77"/>
      <c r="EK153" s="77"/>
      <c r="EL153" s="77"/>
    </row>
    <row r="154" spans="1:142" s="78" customFormat="1">
      <c r="A154" s="129"/>
      <c r="B154" s="78" t="s">
        <v>867</v>
      </c>
      <c r="E154" s="1632">
        <f>Internal!G41+Internal!G42+Internal!G43+Internal!G53+Internal!G54+Internal!G55+Internal!G57+Internal!G63</f>
        <v>103222.53199999999</v>
      </c>
      <c r="G154" s="79"/>
      <c r="H154" s="77"/>
      <c r="I154" s="77"/>
      <c r="J154" s="77"/>
      <c r="K154" s="77"/>
      <c r="L154" s="77"/>
      <c r="M154" s="77"/>
      <c r="N154" s="77"/>
      <c r="O154" s="77"/>
      <c r="P154" s="77"/>
      <c r="Q154" s="77"/>
      <c r="R154" s="77"/>
      <c r="S154" s="77"/>
      <c r="T154" s="1622"/>
      <c r="U154" s="77"/>
      <c r="V154" s="77"/>
      <c r="W154" s="77"/>
      <c r="X154" s="77"/>
      <c r="Y154" s="77"/>
      <c r="Z154" s="77"/>
      <c r="AA154" s="77"/>
      <c r="AB154" s="77"/>
      <c r="AC154" s="77"/>
      <c r="AD154" s="77"/>
      <c r="AE154" s="77"/>
      <c r="AF154" s="77"/>
      <c r="AG154" s="77"/>
      <c r="AH154" s="77"/>
      <c r="AI154" s="77"/>
      <c r="AJ154" s="77"/>
      <c r="AK154" s="77"/>
      <c r="AL154" s="77"/>
      <c r="AM154" s="77"/>
      <c r="AN154" s="77"/>
      <c r="AO154" s="77"/>
      <c r="AP154" s="77"/>
      <c r="AQ154" s="77"/>
      <c r="AR154" s="77"/>
      <c r="AS154" s="77"/>
      <c r="AT154" s="77"/>
      <c r="AU154" s="77"/>
      <c r="AV154" s="77"/>
      <c r="AW154" s="77"/>
      <c r="AX154" s="77"/>
      <c r="AY154" s="77"/>
      <c r="AZ154" s="77"/>
      <c r="BA154" s="77"/>
      <c r="BB154" s="77"/>
      <c r="BC154" s="77"/>
      <c r="BD154" s="77"/>
      <c r="BE154" s="77"/>
      <c r="BF154" s="77"/>
      <c r="BG154" s="77"/>
      <c r="BH154" s="77"/>
      <c r="BI154" s="77"/>
      <c r="BJ154" s="77"/>
      <c r="BK154" s="77"/>
      <c r="BL154" s="77"/>
      <c r="BM154" s="77"/>
      <c r="BN154" s="77"/>
      <c r="BO154" s="77"/>
      <c r="BP154" s="77"/>
      <c r="BQ154" s="77"/>
      <c r="BR154" s="77"/>
      <c r="BS154" s="77"/>
      <c r="BT154" s="77"/>
      <c r="BU154" s="77"/>
      <c r="BV154" s="77"/>
      <c r="BW154" s="77"/>
      <c r="BX154" s="77"/>
      <c r="BY154" s="77"/>
      <c r="BZ154" s="77"/>
      <c r="CA154" s="77"/>
      <c r="CB154" s="77"/>
      <c r="CC154" s="77"/>
      <c r="CD154" s="77"/>
      <c r="CE154" s="77"/>
      <c r="CF154" s="77"/>
      <c r="CG154" s="77"/>
      <c r="CH154" s="77"/>
      <c r="CI154" s="77"/>
      <c r="CJ154" s="77"/>
      <c r="CK154" s="77"/>
      <c r="CL154" s="77"/>
      <c r="CM154" s="77"/>
      <c r="CN154" s="77"/>
      <c r="CO154" s="77"/>
      <c r="CP154" s="77"/>
      <c r="CQ154" s="77"/>
      <c r="CR154" s="77"/>
      <c r="CS154" s="77"/>
      <c r="CT154" s="77"/>
      <c r="CU154" s="77"/>
      <c r="CV154" s="77"/>
      <c r="CW154" s="77"/>
      <c r="CX154" s="77"/>
      <c r="CY154" s="77"/>
      <c r="CZ154" s="77"/>
      <c r="DA154" s="77"/>
      <c r="DB154" s="77"/>
      <c r="DC154" s="77"/>
      <c r="DD154" s="77"/>
      <c r="DE154" s="77"/>
      <c r="DF154" s="77"/>
      <c r="DG154" s="77"/>
      <c r="DH154" s="77"/>
      <c r="DI154" s="77"/>
      <c r="DJ154" s="77"/>
      <c r="DK154" s="77"/>
      <c r="DL154" s="77"/>
      <c r="DM154" s="77"/>
      <c r="DN154" s="77"/>
      <c r="DO154" s="77"/>
      <c r="DP154" s="77"/>
      <c r="DQ154" s="77"/>
      <c r="DR154" s="77"/>
      <c r="DS154" s="77"/>
      <c r="DT154" s="77"/>
      <c r="DU154" s="77"/>
      <c r="DV154" s="77"/>
      <c r="DW154" s="77"/>
      <c r="DX154" s="77"/>
      <c r="DY154" s="77"/>
      <c r="DZ154" s="77"/>
      <c r="EA154" s="77"/>
      <c r="EB154" s="77"/>
      <c r="EC154" s="77"/>
      <c r="ED154" s="77"/>
      <c r="EE154" s="77"/>
      <c r="EF154" s="77"/>
      <c r="EG154" s="77"/>
      <c r="EH154" s="77"/>
      <c r="EI154" s="77"/>
      <c r="EJ154" s="77"/>
      <c r="EK154" s="77"/>
      <c r="EL154" s="77"/>
    </row>
    <row r="155" spans="1:142" s="78" customFormat="1">
      <c r="A155" s="129"/>
      <c r="B155" s="78" t="s">
        <v>891</v>
      </c>
      <c r="C155" s="1633">
        <v>2.3474999999999999E-2</v>
      </c>
      <c r="D155" s="1634">
        <v>0.02</v>
      </c>
      <c r="F155" s="1619">
        <f>C155</f>
        <v>2.3474999999999999E-2</v>
      </c>
      <c r="G155" s="1619">
        <f>F155*(1+$D$155)</f>
        <v>2.3944500000000001E-2</v>
      </c>
      <c r="H155" s="1619">
        <f t="shared" ref="H155:AL155" si="31">G155*(1+$D$155)</f>
        <v>2.442339E-2</v>
      </c>
      <c r="I155" s="1619">
        <f t="shared" si="31"/>
        <v>2.4911857799999999E-2</v>
      </c>
      <c r="J155" s="1619">
        <f t="shared" si="31"/>
        <v>2.5410094955999999E-2</v>
      </c>
      <c r="K155" s="1619">
        <f t="shared" si="31"/>
        <v>2.591829685512E-2</v>
      </c>
      <c r="L155" s="1619">
        <f t="shared" si="31"/>
        <v>2.6436662792222398E-2</v>
      </c>
      <c r="M155" s="1619">
        <f t="shared" si="31"/>
        <v>2.6965396048066848E-2</v>
      </c>
      <c r="N155" s="1619">
        <f t="shared" si="31"/>
        <v>2.7504703969028186E-2</v>
      </c>
      <c r="O155" s="1619">
        <f t="shared" si="31"/>
        <v>2.8054798048408752E-2</v>
      </c>
      <c r="P155" s="1619">
        <f t="shared" si="31"/>
        <v>2.8615894009376926E-2</v>
      </c>
      <c r="Q155" s="1619">
        <f t="shared" si="31"/>
        <v>2.9188211889564466E-2</v>
      </c>
      <c r="R155" s="1619">
        <f t="shared" si="31"/>
        <v>2.9771976127355756E-2</v>
      </c>
      <c r="S155" s="1619">
        <f t="shared" si="31"/>
        <v>3.0367415649902873E-2</v>
      </c>
      <c r="T155" s="1619">
        <f t="shared" si="31"/>
        <v>3.0974763962900932E-2</v>
      </c>
      <c r="U155" s="1619">
        <f t="shared" si="31"/>
        <v>3.1594259242158952E-2</v>
      </c>
      <c r="V155" s="1619">
        <f t="shared" si="31"/>
        <v>3.2226144427002133E-2</v>
      </c>
      <c r="W155" s="1619">
        <f t="shared" si="31"/>
        <v>3.2870667315542175E-2</v>
      </c>
      <c r="X155" s="1619">
        <f t="shared" si="31"/>
        <v>3.3528080661853019E-2</v>
      </c>
      <c r="Y155" s="1619">
        <f t="shared" si="31"/>
        <v>3.4198642275090077E-2</v>
      </c>
      <c r="Z155" s="1619">
        <f t="shared" si="31"/>
        <v>3.4882615120591882E-2</v>
      </c>
      <c r="AA155" s="1619">
        <f t="shared" si="31"/>
        <v>3.5580267423003721E-2</v>
      </c>
      <c r="AB155" s="1619">
        <f t="shared" si="31"/>
        <v>3.6291872771463798E-2</v>
      </c>
      <c r="AC155" s="1619">
        <f t="shared" si="31"/>
        <v>3.7017710226893076E-2</v>
      </c>
      <c r="AD155" s="1619">
        <f t="shared" si="31"/>
        <v>3.775806443143094E-2</v>
      </c>
      <c r="AE155" s="1619">
        <f t="shared" si="31"/>
        <v>3.8513225720059559E-2</v>
      </c>
      <c r="AF155" s="1619">
        <f t="shared" si="31"/>
        <v>3.9283490234460754E-2</v>
      </c>
      <c r="AG155" s="1619">
        <f t="shared" si="31"/>
        <v>4.0069160039149967E-2</v>
      </c>
      <c r="AH155" s="1619">
        <f t="shared" si="31"/>
        <v>4.0870543239932965E-2</v>
      </c>
      <c r="AI155" s="1619">
        <f t="shared" si="31"/>
        <v>4.1687954104731625E-2</v>
      </c>
      <c r="AJ155" s="1619">
        <f t="shared" si="31"/>
        <v>4.2521713186826259E-2</v>
      </c>
      <c r="AK155" s="1619">
        <f t="shared" si="31"/>
        <v>4.3372147450562781E-2</v>
      </c>
      <c r="AL155" s="1619">
        <f t="shared" si="31"/>
        <v>4.4239590399574036E-2</v>
      </c>
      <c r="AM155" s="77"/>
      <c r="AN155" s="77"/>
      <c r="AO155" s="77"/>
      <c r="AP155" s="77"/>
      <c r="AQ155" s="77"/>
      <c r="AR155" s="77"/>
      <c r="AS155" s="77"/>
      <c r="AT155" s="77"/>
      <c r="AU155" s="77"/>
      <c r="AV155" s="77"/>
      <c r="AW155" s="77"/>
      <c r="AX155" s="77"/>
      <c r="AY155" s="77"/>
      <c r="AZ155" s="77"/>
      <c r="BA155" s="77"/>
      <c r="BB155" s="77"/>
      <c r="BC155" s="77"/>
      <c r="BD155" s="77"/>
      <c r="BE155" s="77"/>
      <c r="BF155" s="77"/>
      <c r="BG155" s="77"/>
      <c r="BH155" s="77"/>
      <c r="BI155" s="77"/>
      <c r="BJ155" s="77"/>
      <c r="BK155" s="77"/>
      <c r="BL155" s="77"/>
      <c r="BM155" s="77"/>
      <c r="BN155" s="77"/>
      <c r="BO155" s="77"/>
      <c r="BP155" s="77"/>
      <c r="BQ155" s="77"/>
      <c r="BR155" s="77"/>
      <c r="BS155" s="77"/>
      <c r="BT155" s="77"/>
      <c r="BU155" s="77"/>
      <c r="BV155" s="77"/>
      <c r="BW155" s="77"/>
      <c r="BX155" s="77"/>
      <c r="BY155" s="77"/>
      <c r="BZ155" s="77"/>
      <c r="CA155" s="77"/>
      <c r="CB155" s="77"/>
      <c r="CC155" s="77"/>
      <c r="CD155" s="77"/>
      <c r="CE155" s="77"/>
      <c r="CF155" s="77"/>
      <c r="CG155" s="77"/>
      <c r="CH155" s="77"/>
      <c r="CI155" s="77"/>
      <c r="CJ155" s="77"/>
      <c r="CK155" s="77"/>
      <c r="CL155" s="77"/>
      <c r="CM155" s="77"/>
      <c r="CN155" s="77"/>
      <c r="CO155" s="77"/>
      <c r="CP155" s="77"/>
      <c r="CQ155" s="77"/>
      <c r="CR155" s="77"/>
      <c r="CS155" s="77"/>
      <c r="CT155" s="77"/>
      <c r="CU155" s="77"/>
      <c r="CV155" s="77"/>
      <c r="CW155" s="77"/>
      <c r="CX155" s="77"/>
      <c r="CY155" s="77"/>
      <c r="CZ155" s="77"/>
      <c r="DA155" s="77"/>
      <c r="DB155" s="77"/>
      <c r="DC155" s="77"/>
      <c r="DD155" s="77"/>
      <c r="DE155" s="77"/>
      <c r="DF155" s="77"/>
      <c r="DG155" s="77"/>
      <c r="DH155" s="77"/>
      <c r="DI155" s="77"/>
      <c r="DJ155" s="77"/>
      <c r="DK155" s="77"/>
      <c r="DL155" s="77"/>
      <c r="DM155" s="77"/>
      <c r="DN155" s="77"/>
      <c r="DO155" s="77"/>
      <c r="DP155" s="77"/>
      <c r="DQ155" s="77"/>
      <c r="DR155" s="77"/>
      <c r="DS155" s="77"/>
      <c r="DT155" s="77"/>
      <c r="DU155" s="77"/>
      <c r="DV155" s="77"/>
      <c r="DW155" s="77"/>
      <c r="DX155" s="77"/>
      <c r="DY155" s="77"/>
      <c r="DZ155" s="77"/>
      <c r="EA155" s="77"/>
      <c r="EB155" s="77"/>
      <c r="EC155" s="77"/>
      <c r="ED155" s="77"/>
      <c r="EE155" s="77"/>
      <c r="EF155" s="77"/>
      <c r="EG155" s="77"/>
      <c r="EH155" s="77"/>
      <c r="EI155" s="77"/>
      <c r="EJ155" s="77"/>
      <c r="EK155" s="77"/>
      <c r="EL155" s="77"/>
    </row>
    <row r="156" spans="1:142" s="78" customFormat="1">
      <c r="A156" s="129"/>
      <c r="B156" s="78" t="s">
        <v>586</v>
      </c>
      <c r="F156" s="78">
        <v>0.97299999999999998</v>
      </c>
      <c r="G156" s="78">
        <v>0.94299999999999995</v>
      </c>
      <c r="H156" s="79">
        <v>0.90900000000000003</v>
      </c>
      <c r="I156" s="77">
        <v>0.872</v>
      </c>
      <c r="J156" s="77">
        <v>0.83</v>
      </c>
      <c r="K156" s="77">
        <v>0.75600000000000001</v>
      </c>
      <c r="L156" s="77">
        <v>0.68200000000000005</v>
      </c>
      <c r="M156" s="77">
        <v>0.60599999999999998</v>
      </c>
      <c r="N156" s="77">
        <v>0.52800000000000002</v>
      </c>
      <c r="O156" s="77">
        <v>0.44700000000000001</v>
      </c>
      <c r="P156" s="77">
        <v>0.36399999999999999</v>
      </c>
      <c r="Q156" s="77">
        <v>0.27900000000000003</v>
      </c>
      <c r="R156" s="77">
        <v>0.26700000000000002</v>
      </c>
      <c r="S156" s="77">
        <v>0.25900000000000001</v>
      </c>
      <c r="T156" s="1622">
        <v>0.25</v>
      </c>
      <c r="U156" s="77">
        <f>T156</f>
        <v>0.25</v>
      </c>
      <c r="V156" s="77">
        <f t="shared" ref="V156:AL156" si="32">U156</f>
        <v>0.25</v>
      </c>
      <c r="W156" s="77">
        <f t="shared" si="32"/>
        <v>0.25</v>
      </c>
      <c r="X156" s="77">
        <f t="shared" si="32"/>
        <v>0.25</v>
      </c>
      <c r="Y156" s="77">
        <f t="shared" si="32"/>
        <v>0.25</v>
      </c>
      <c r="Z156" s="77">
        <f t="shared" si="32"/>
        <v>0.25</v>
      </c>
      <c r="AA156" s="77">
        <f t="shared" si="32"/>
        <v>0.25</v>
      </c>
      <c r="AB156" s="77">
        <f t="shared" si="32"/>
        <v>0.25</v>
      </c>
      <c r="AC156" s="77">
        <f t="shared" si="32"/>
        <v>0.25</v>
      </c>
      <c r="AD156" s="77">
        <f t="shared" si="32"/>
        <v>0.25</v>
      </c>
      <c r="AE156" s="77">
        <f t="shared" si="32"/>
        <v>0.25</v>
      </c>
      <c r="AF156" s="77">
        <f t="shared" si="32"/>
        <v>0.25</v>
      </c>
      <c r="AG156" s="77">
        <f t="shared" si="32"/>
        <v>0.25</v>
      </c>
      <c r="AH156" s="77">
        <f t="shared" si="32"/>
        <v>0.25</v>
      </c>
      <c r="AI156" s="77">
        <f t="shared" si="32"/>
        <v>0.25</v>
      </c>
      <c r="AJ156" s="77">
        <f t="shared" si="32"/>
        <v>0.25</v>
      </c>
      <c r="AK156" s="77">
        <f t="shared" si="32"/>
        <v>0.25</v>
      </c>
      <c r="AL156" s="77">
        <f t="shared" si="32"/>
        <v>0.25</v>
      </c>
      <c r="AM156" s="77"/>
      <c r="AN156" s="77"/>
      <c r="AO156" s="77"/>
      <c r="AP156" s="77"/>
      <c r="AQ156" s="77"/>
      <c r="AR156" s="77"/>
      <c r="AS156" s="77"/>
      <c r="AT156" s="77"/>
      <c r="AU156" s="77"/>
      <c r="AV156" s="77"/>
      <c r="AW156" s="77"/>
      <c r="AX156" s="77"/>
      <c r="AY156" s="77"/>
      <c r="AZ156" s="77"/>
      <c r="BA156" s="77"/>
      <c r="BB156" s="77"/>
      <c r="BC156" s="77"/>
      <c r="BD156" s="77"/>
      <c r="BE156" s="77"/>
      <c r="BF156" s="77"/>
      <c r="BG156" s="77"/>
      <c r="BH156" s="77"/>
      <c r="BI156" s="77"/>
      <c r="BJ156" s="77"/>
      <c r="BK156" s="77"/>
      <c r="BL156" s="77"/>
      <c r="BM156" s="77"/>
      <c r="BN156" s="77"/>
      <c r="BO156" s="77"/>
      <c r="BP156" s="77"/>
      <c r="BQ156" s="77"/>
      <c r="BR156" s="77"/>
      <c r="BS156" s="77"/>
      <c r="BT156" s="77"/>
      <c r="BU156" s="77"/>
      <c r="BV156" s="77"/>
      <c r="BW156" s="77"/>
      <c r="BX156" s="77"/>
      <c r="BY156" s="77"/>
      <c r="BZ156" s="77"/>
      <c r="CA156" s="77"/>
      <c r="CB156" s="77"/>
      <c r="CC156" s="77"/>
      <c r="CD156" s="77"/>
      <c r="CE156" s="77"/>
      <c r="CF156" s="77"/>
      <c r="CG156" s="77"/>
      <c r="CH156" s="77"/>
      <c r="CI156" s="77"/>
      <c r="CJ156" s="77"/>
      <c r="CK156" s="77"/>
      <c r="CL156" s="77"/>
      <c r="CM156" s="77"/>
      <c r="CN156" s="77"/>
      <c r="CO156" s="77"/>
      <c r="CP156" s="77"/>
      <c r="CQ156" s="77"/>
      <c r="CR156" s="77"/>
      <c r="CS156" s="77"/>
      <c r="CT156" s="77"/>
      <c r="CU156" s="77"/>
      <c r="CV156" s="77"/>
      <c r="CW156" s="77"/>
      <c r="CX156" s="77"/>
      <c r="CY156" s="77"/>
      <c r="CZ156" s="77"/>
      <c r="DA156" s="77"/>
      <c r="DB156" s="77"/>
      <c r="DC156" s="77"/>
      <c r="DD156" s="77"/>
      <c r="DE156" s="77"/>
      <c r="DF156" s="77"/>
      <c r="DG156" s="77"/>
      <c r="DH156" s="77"/>
      <c r="DI156" s="77"/>
      <c r="DJ156" s="77"/>
      <c r="DK156" s="77"/>
      <c r="DL156" s="77"/>
      <c r="DM156" s="77"/>
      <c r="DN156" s="77"/>
      <c r="DO156" s="77"/>
      <c r="DP156" s="77"/>
      <c r="DQ156" s="77"/>
      <c r="DR156" s="77"/>
      <c r="DS156" s="77"/>
      <c r="DT156" s="77"/>
      <c r="DU156" s="77"/>
      <c r="DV156" s="77"/>
      <c r="DW156" s="77"/>
      <c r="DX156" s="77"/>
      <c r="DY156" s="77"/>
      <c r="DZ156" s="77"/>
      <c r="EA156" s="77"/>
      <c r="EB156" s="77"/>
      <c r="EC156" s="77"/>
      <c r="ED156" s="77"/>
      <c r="EE156" s="77"/>
      <c r="EF156" s="77"/>
      <c r="EG156" s="77"/>
      <c r="EH156" s="77"/>
      <c r="EI156" s="77"/>
      <c r="EJ156" s="77"/>
      <c r="EK156" s="77"/>
      <c r="EL156" s="77"/>
    </row>
    <row r="157" spans="1:142" s="78" customFormat="1">
      <c r="A157" s="129"/>
      <c r="B157" s="78" t="s">
        <v>869</v>
      </c>
      <c r="E157" s="115"/>
      <c r="F157" s="115">
        <v>5.0000000000000001E-3</v>
      </c>
      <c r="G157" s="115">
        <f>F157</f>
        <v>5.0000000000000001E-3</v>
      </c>
      <c r="H157" s="115">
        <f>G157</f>
        <v>5.0000000000000001E-3</v>
      </c>
      <c r="I157" s="115">
        <f>H157</f>
        <v>5.0000000000000001E-3</v>
      </c>
      <c r="J157" s="115">
        <f>I157</f>
        <v>5.0000000000000001E-3</v>
      </c>
      <c r="K157" s="115">
        <v>0</v>
      </c>
      <c r="L157" s="115">
        <f>K157</f>
        <v>0</v>
      </c>
      <c r="M157" s="115">
        <f t="shared" ref="M157:AL157" si="33">L157</f>
        <v>0</v>
      </c>
      <c r="N157" s="115">
        <f t="shared" si="33"/>
        <v>0</v>
      </c>
      <c r="O157" s="115">
        <f t="shared" si="33"/>
        <v>0</v>
      </c>
      <c r="P157" s="115">
        <f t="shared" si="33"/>
        <v>0</v>
      </c>
      <c r="Q157" s="115">
        <f t="shared" si="33"/>
        <v>0</v>
      </c>
      <c r="R157" s="115">
        <f t="shared" si="33"/>
        <v>0</v>
      </c>
      <c r="S157" s="115">
        <f t="shared" si="33"/>
        <v>0</v>
      </c>
      <c r="T157" s="115">
        <f t="shared" si="33"/>
        <v>0</v>
      </c>
      <c r="U157" s="115">
        <f t="shared" si="33"/>
        <v>0</v>
      </c>
      <c r="V157" s="115">
        <f t="shared" si="33"/>
        <v>0</v>
      </c>
      <c r="W157" s="115">
        <f t="shared" si="33"/>
        <v>0</v>
      </c>
      <c r="X157" s="115">
        <f t="shared" si="33"/>
        <v>0</v>
      </c>
      <c r="Y157" s="115">
        <f t="shared" si="33"/>
        <v>0</v>
      </c>
      <c r="Z157" s="115">
        <f t="shared" si="33"/>
        <v>0</v>
      </c>
      <c r="AA157" s="115">
        <f t="shared" si="33"/>
        <v>0</v>
      </c>
      <c r="AB157" s="115">
        <f t="shared" si="33"/>
        <v>0</v>
      </c>
      <c r="AC157" s="115">
        <f t="shared" si="33"/>
        <v>0</v>
      </c>
      <c r="AD157" s="115">
        <f t="shared" si="33"/>
        <v>0</v>
      </c>
      <c r="AE157" s="115">
        <f t="shared" si="33"/>
        <v>0</v>
      </c>
      <c r="AF157" s="115">
        <f t="shared" si="33"/>
        <v>0</v>
      </c>
      <c r="AG157" s="115">
        <f t="shared" si="33"/>
        <v>0</v>
      </c>
      <c r="AH157" s="115">
        <f t="shared" si="33"/>
        <v>0</v>
      </c>
      <c r="AI157" s="115">
        <f t="shared" si="33"/>
        <v>0</v>
      </c>
      <c r="AJ157" s="115">
        <f t="shared" si="33"/>
        <v>0</v>
      </c>
      <c r="AK157" s="115">
        <f t="shared" si="33"/>
        <v>0</v>
      </c>
      <c r="AL157" s="115">
        <f t="shared" si="33"/>
        <v>0</v>
      </c>
      <c r="AM157" s="77"/>
      <c r="AN157" s="77"/>
      <c r="AO157" s="77"/>
      <c r="AP157" s="77"/>
      <c r="AQ157" s="77"/>
      <c r="AR157" s="77"/>
      <c r="AS157" s="77"/>
      <c r="AT157" s="77"/>
      <c r="AU157" s="77"/>
      <c r="AV157" s="77"/>
      <c r="AW157" s="77"/>
      <c r="AX157" s="77"/>
      <c r="AY157" s="77"/>
      <c r="AZ157" s="77"/>
      <c r="BA157" s="77"/>
      <c r="BB157" s="77"/>
      <c r="BC157" s="77"/>
      <c r="BD157" s="77"/>
      <c r="BE157" s="77"/>
      <c r="BF157" s="77"/>
      <c r="BG157" s="77"/>
      <c r="BH157" s="77"/>
      <c r="BI157" s="77"/>
      <c r="BJ157" s="77"/>
      <c r="BK157" s="77"/>
      <c r="BL157" s="77"/>
      <c r="BM157" s="77"/>
      <c r="BN157" s="77"/>
      <c r="BO157" s="77"/>
      <c r="BP157" s="77"/>
      <c r="BQ157" s="77"/>
      <c r="BR157" s="77"/>
      <c r="BS157" s="77"/>
      <c r="BT157" s="77"/>
      <c r="BU157" s="77"/>
      <c r="BV157" s="77"/>
      <c r="BW157" s="77"/>
      <c r="BX157" s="77"/>
      <c r="BY157" s="77"/>
      <c r="BZ157" s="77"/>
      <c r="CA157" s="77"/>
      <c r="CB157" s="77"/>
      <c r="CC157" s="77"/>
      <c r="CD157" s="77"/>
      <c r="CE157" s="77"/>
      <c r="CF157" s="77"/>
      <c r="CG157" s="77"/>
      <c r="CH157" s="77"/>
      <c r="CI157" s="77"/>
      <c r="CJ157" s="77"/>
      <c r="CK157" s="77"/>
      <c r="CL157" s="77"/>
      <c r="CM157" s="77"/>
      <c r="CN157" s="77"/>
      <c r="CO157" s="77"/>
      <c r="CP157" s="77"/>
      <c r="CQ157" s="77"/>
      <c r="CR157" s="77"/>
      <c r="CS157" s="77"/>
      <c r="CT157" s="77"/>
      <c r="CU157" s="77"/>
      <c r="CV157" s="77"/>
      <c r="CW157" s="77"/>
      <c r="CX157" s="77"/>
      <c r="CY157" s="77"/>
      <c r="CZ157" s="77"/>
      <c r="DA157" s="77"/>
      <c r="DB157" s="77"/>
      <c r="DC157" s="77"/>
      <c r="DD157" s="77"/>
      <c r="DE157" s="77"/>
      <c r="DF157" s="77"/>
      <c r="DG157" s="77"/>
      <c r="DH157" s="77"/>
      <c r="DI157" s="77"/>
      <c r="DJ157" s="77"/>
      <c r="DK157" s="77"/>
      <c r="DL157" s="77"/>
      <c r="DM157" s="77"/>
      <c r="DN157" s="77"/>
      <c r="DO157" s="77"/>
      <c r="DP157" s="77"/>
      <c r="DQ157" s="77"/>
      <c r="DR157" s="77"/>
      <c r="DS157" s="77"/>
      <c r="DT157" s="77"/>
      <c r="DU157" s="77"/>
      <c r="DV157" s="77"/>
      <c r="DW157" s="77"/>
      <c r="DX157" s="77"/>
      <c r="DY157" s="77"/>
      <c r="DZ157" s="77"/>
      <c r="EA157" s="77"/>
      <c r="EB157" s="77"/>
      <c r="EC157" s="77"/>
      <c r="ED157" s="77"/>
      <c r="EE157" s="77"/>
      <c r="EF157" s="77"/>
      <c r="EG157" s="77"/>
      <c r="EH157" s="77"/>
      <c r="EI157" s="77"/>
      <c r="EJ157" s="77"/>
      <c r="EK157" s="77"/>
      <c r="EL157" s="77"/>
    </row>
    <row r="158" spans="1:142" s="1598" customFormat="1">
      <c r="A158" s="129"/>
      <c r="B158" s="1598" t="s">
        <v>45</v>
      </c>
      <c r="E158" s="1599">
        <v>0</v>
      </c>
      <c r="F158" s="1620">
        <f>(F155-F157)*F156*$E$154</f>
        <v>1855.5462991750996</v>
      </c>
      <c r="G158" s="1620">
        <f t="shared" ref="G158:AL158" si="34">(G155-G157)*G156*$E$154</f>
        <v>1844.0357997979818</v>
      </c>
      <c r="H158" s="1620">
        <f t="shared" si="34"/>
        <v>1822.4827297035431</v>
      </c>
      <c r="I158" s="1620">
        <f t="shared" si="34"/>
        <v>1792.2672744356355</v>
      </c>
      <c r="J158" s="1620">
        <f t="shared" si="34"/>
        <v>1748.628794166561</v>
      </c>
      <c r="K158" s="1620">
        <f t="shared" si="34"/>
        <v>2022.5662832439214</v>
      </c>
      <c r="L158" s="1620">
        <f t="shared" si="34"/>
        <v>1861.082022851589</v>
      </c>
      <c r="M158" s="1620">
        <f t="shared" si="34"/>
        <v>1686.7624926173376</v>
      </c>
      <c r="N158" s="1620">
        <f t="shared" si="34"/>
        <v>1499.0475379933885</v>
      </c>
      <c r="O158" s="1620">
        <f t="shared" si="34"/>
        <v>1294.4616183195183</v>
      </c>
      <c r="P158" s="1620">
        <f t="shared" si="34"/>
        <v>1075.1850327733123</v>
      </c>
      <c r="Q158" s="1620">
        <f t="shared" si="34"/>
        <v>840.59383688634432</v>
      </c>
      <c r="R158" s="1620">
        <f t="shared" si="34"/>
        <v>820.5280485219605</v>
      </c>
      <c r="S158" s="1620">
        <f t="shared" si="34"/>
        <v>811.8617972229647</v>
      </c>
      <c r="T158" s="1620">
        <f t="shared" si="34"/>
        <v>799.32339108824704</v>
      </c>
      <c r="U158" s="1620">
        <f t="shared" si="34"/>
        <v>815.30985891001194</v>
      </c>
      <c r="V158" s="1620">
        <f t="shared" si="34"/>
        <v>831.6160560882123</v>
      </c>
      <c r="W158" s="1620">
        <f t="shared" si="34"/>
        <v>848.24837720997652</v>
      </c>
      <c r="X158" s="1620">
        <f t="shared" si="34"/>
        <v>865.21334475417598</v>
      </c>
      <c r="Y158" s="1620">
        <f t="shared" si="34"/>
        <v>882.51761164925949</v>
      </c>
      <c r="Z158" s="1620">
        <f t="shared" si="34"/>
        <v>900.16796388224475</v>
      </c>
      <c r="AA158" s="1620">
        <f t="shared" si="34"/>
        <v>918.17132315988977</v>
      </c>
      <c r="AB158" s="1620">
        <f t="shared" si="34"/>
        <v>936.53474962308758</v>
      </c>
      <c r="AC158" s="1620">
        <f t="shared" si="34"/>
        <v>955.26544461554943</v>
      </c>
      <c r="AD158" s="1620">
        <f t="shared" si="34"/>
        <v>974.3707535078604</v>
      </c>
      <c r="AE158" s="1620">
        <f t="shared" si="34"/>
        <v>993.85816857801763</v>
      </c>
      <c r="AF158" s="1620">
        <f t="shared" si="34"/>
        <v>1013.735331949578</v>
      </c>
      <c r="AG158" s="1620">
        <f t="shared" si="34"/>
        <v>1034.0100385885696</v>
      </c>
      <c r="AH158" s="1620">
        <f t="shared" si="34"/>
        <v>1054.6902393603409</v>
      </c>
      <c r="AI158" s="1620">
        <f t="shared" si="34"/>
        <v>1075.7840441475478</v>
      </c>
      <c r="AJ158" s="1620">
        <f t="shared" si="34"/>
        <v>1097.2997250304988</v>
      </c>
      <c r="AK158" s="1620">
        <f t="shared" si="34"/>
        <v>1119.2457195311088</v>
      </c>
      <c r="AL158" s="1620">
        <f t="shared" si="34"/>
        <v>1141.6306339217308</v>
      </c>
      <c r="AM158" s="77"/>
      <c r="AN158" s="77"/>
      <c r="AO158" s="77"/>
      <c r="AP158" s="77"/>
      <c r="AQ158" s="77"/>
      <c r="AR158" s="77"/>
      <c r="AS158" s="77"/>
      <c r="AT158" s="77"/>
      <c r="AU158" s="77"/>
      <c r="AV158" s="77"/>
      <c r="AW158" s="77"/>
      <c r="AX158" s="77"/>
      <c r="AY158" s="77"/>
      <c r="AZ158" s="77"/>
      <c r="BA158" s="77"/>
      <c r="BB158" s="77"/>
      <c r="BC158" s="77"/>
      <c r="BD158" s="77"/>
      <c r="BE158" s="77"/>
      <c r="BF158" s="77"/>
      <c r="BG158" s="77"/>
      <c r="BH158" s="77"/>
      <c r="BI158" s="77"/>
      <c r="BJ158" s="77"/>
      <c r="BK158" s="77"/>
      <c r="BL158" s="77"/>
      <c r="BM158" s="77"/>
      <c r="BN158" s="77"/>
      <c r="BO158" s="77"/>
      <c r="BP158" s="77"/>
      <c r="BQ158" s="77"/>
      <c r="BR158" s="77"/>
      <c r="BS158" s="77"/>
      <c r="BT158" s="77"/>
      <c r="BU158" s="77"/>
      <c r="BV158" s="77"/>
      <c r="BW158" s="77"/>
      <c r="BX158" s="77"/>
      <c r="BY158" s="77"/>
      <c r="BZ158" s="77"/>
      <c r="CA158" s="77"/>
      <c r="CB158" s="77"/>
      <c r="CC158" s="77"/>
      <c r="CD158" s="77"/>
      <c r="CE158" s="77"/>
      <c r="CF158" s="77"/>
      <c r="CG158" s="77"/>
      <c r="CH158" s="77"/>
      <c r="CI158" s="77"/>
      <c r="CJ158" s="77"/>
      <c r="CK158" s="77"/>
      <c r="CL158" s="77"/>
      <c r="CM158" s="77"/>
      <c r="CN158" s="77"/>
      <c r="CO158" s="77"/>
      <c r="CP158" s="77"/>
      <c r="CQ158" s="77"/>
      <c r="CR158" s="77"/>
      <c r="CS158" s="77"/>
      <c r="CT158" s="77"/>
      <c r="CU158" s="77"/>
      <c r="CV158" s="77"/>
      <c r="CW158" s="77"/>
      <c r="CX158" s="77"/>
      <c r="CY158" s="77"/>
      <c r="CZ158" s="77"/>
      <c r="DA158" s="77"/>
      <c r="DB158" s="77"/>
      <c r="DC158" s="77"/>
      <c r="DD158" s="77"/>
      <c r="DE158" s="77"/>
      <c r="DF158" s="77"/>
      <c r="DG158" s="77"/>
      <c r="DH158" s="77"/>
      <c r="DI158" s="77"/>
      <c r="DJ158" s="77"/>
      <c r="DK158" s="77"/>
      <c r="DL158" s="77"/>
      <c r="DM158" s="77"/>
      <c r="DN158" s="77"/>
      <c r="DO158" s="77"/>
      <c r="DP158" s="77"/>
      <c r="DQ158" s="77"/>
      <c r="DR158" s="77"/>
      <c r="DS158" s="77"/>
      <c r="DT158" s="77"/>
      <c r="DU158" s="77"/>
      <c r="DV158" s="77"/>
      <c r="DW158" s="77"/>
      <c r="DX158" s="77"/>
      <c r="DY158" s="77"/>
      <c r="DZ158" s="77"/>
      <c r="EA158" s="77"/>
      <c r="EB158" s="77"/>
      <c r="EC158" s="77"/>
      <c r="ED158" s="77"/>
      <c r="EE158" s="77"/>
      <c r="EF158" s="77"/>
      <c r="EG158" s="77"/>
      <c r="EH158" s="77"/>
      <c r="EI158" s="77"/>
      <c r="EJ158" s="77"/>
      <c r="EK158" s="77"/>
      <c r="EL158" s="77"/>
    </row>
    <row r="159" spans="1:142" s="1598" customFormat="1">
      <c r="A159" s="129"/>
      <c r="B159" s="1598" t="s">
        <v>852</v>
      </c>
      <c r="E159" s="1598" t="s">
        <v>868</v>
      </c>
      <c r="G159" s="169"/>
      <c r="H159" s="77"/>
      <c r="I159" s="77"/>
      <c r="J159" s="77"/>
      <c r="K159" s="77"/>
      <c r="L159" s="77"/>
      <c r="M159" s="77"/>
      <c r="N159" s="77"/>
      <c r="O159" s="77"/>
      <c r="P159" s="77"/>
      <c r="Q159" s="77"/>
      <c r="R159" s="77"/>
      <c r="S159" s="77"/>
      <c r="T159" s="77"/>
      <c r="U159" s="77"/>
      <c r="V159" s="77"/>
      <c r="W159" s="77"/>
      <c r="X159" s="77"/>
      <c r="Y159" s="77"/>
      <c r="Z159" s="77"/>
      <c r="AA159" s="77"/>
      <c r="AB159" s="77"/>
      <c r="AC159" s="77"/>
      <c r="AD159" s="77"/>
      <c r="AE159" s="77"/>
      <c r="AF159" s="77"/>
      <c r="AG159" s="77"/>
      <c r="AH159" s="77"/>
      <c r="AI159" s="77"/>
      <c r="AJ159" s="77"/>
      <c r="AK159" s="77"/>
      <c r="AL159" s="77"/>
      <c r="AM159" s="77"/>
      <c r="AN159" s="77"/>
      <c r="AO159" s="77"/>
      <c r="AP159" s="77"/>
      <c r="AQ159" s="77"/>
      <c r="AR159" s="77"/>
      <c r="AS159" s="77"/>
      <c r="AT159" s="77"/>
      <c r="AU159" s="77"/>
      <c r="AV159" s="77"/>
      <c r="AW159" s="77"/>
      <c r="AX159" s="77"/>
      <c r="AY159" s="77"/>
      <c r="AZ159" s="77"/>
      <c r="BA159" s="77"/>
      <c r="BB159" s="77"/>
      <c r="BC159" s="77"/>
      <c r="BD159" s="77"/>
      <c r="BE159" s="77"/>
      <c r="BF159" s="77"/>
      <c r="BG159" s="77"/>
      <c r="BH159" s="77"/>
      <c r="BI159" s="77"/>
      <c r="BJ159" s="77"/>
      <c r="BK159" s="77"/>
      <c r="BL159" s="77"/>
      <c r="BM159" s="77"/>
      <c r="BN159" s="77"/>
      <c r="BO159" s="77"/>
      <c r="BP159" s="77"/>
      <c r="BQ159" s="77"/>
      <c r="BR159" s="77"/>
      <c r="BS159" s="77"/>
      <c r="BT159" s="77"/>
      <c r="BU159" s="77"/>
      <c r="BV159" s="77"/>
      <c r="BW159" s="77"/>
      <c r="BX159" s="77"/>
      <c r="BY159" s="77"/>
      <c r="BZ159" s="77"/>
      <c r="CA159" s="77"/>
      <c r="CB159" s="77"/>
      <c r="CC159" s="77"/>
      <c r="CD159" s="77"/>
      <c r="CE159" s="77"/>
      <c r="CF159" s="77"/>
      <c r="CG159" s="77"/>
      <c r="CH159" s="77"/>
      <c r="CI159" s="77"/>
      <c r="CJ159" s="77"/>
      <c r="CK159" s="77"/>
      <c r="CL159" s="77"/>
      <c r="CM159" s="77"/>
      <c r="CN159" s="77"/>
      <c r="CO159" s="77"/>
      <c r="CP159" s="77"/>
      <c r="CQ159" s="77"/>
      <c r="CR159" s="77"/>
      <c r="CS159" s="77"/>
      <c r="CT159" s="77"/>
      <c r="CU159" s="77"/>
      <c r="CV159" s="77"/>
      <c r="CW159" s="77"/>
      <c r="CX159" s="77"/>
      <c r="CY159" s="77"/>
      <c r="CZ159" s="77"/>
      <c r="DA159" s="77"/>
      <c r="DB159" s="77"/>
      <c r="DC159" s="77"/>
      <c r="DD159" s="77"/>
      <c r="DE159" s="77"/>
      <c r="DF159" s="77"/>
      <c r="DG159" s="77"/>
      <c r="DH159" s="77"/>
      <c r="DI159" s="77"/>
      <c r="DJ159" s="77"/>
      <c r="DK159" s="77"/>
      <c r="DL159" s="77"/>
      <c r="DM159" s="77"/>
      <c r="DN159" s="77"/>
      <c r="DO159" s="77"/>
      <c r="DP159" s="77"/>
      <c r="DQ159" s="77"/>
      <c r="DR159" s="77"/>
      <c r="DS159" s="77"/>
      <c r="DT159" s="77"/>
      <c r="DU159" s="77"/>
      <c r="DV159" s="77"/>
      <c r="DW159" s="77"/>
      <c r="DX159" s="77"/>
      <c r="DY159" s="77"/>
      <c r="DZ159" s="77"/>
      <c r="EA159" s="77"/>
      <c r="EB159" s="77"/>
      <c r="EC159" s="77"/>
      <c r="ED159" s="77"/>
      <c r="EE159" s="77"/>
      <c r="EF159" s="77"/>
      <c r="EG159" s="77"/>
      <c r="EH159" s="77"/>
      <c r="EI159" s="77"/>
      <c r="EJ159" s="77"/>
      <c r="EK159" s="77"/>
      <c r="EL159" s="77"/>
    </row>
    <row r="161" spans="1:142" s="76" customFormat="1">
      <c r="A161" s="105"/>
      <c r="B161" s="54" t="s">
        <v>593</v>
      </c>
      <c r="C161" s="100"/>
      <c r="D161" s="118"/>
      <c r="E161" s="54"/>
      <c r="F161" s="105"/>
      <c r="G161" s="105"/>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c r="CF161" s="12"/>
      <c r="CG161" s="12"/>
      <c r="CH161" s="12"/>
      <c r="CI161" s="12"/>
      <c r="CJ161" s="12"/>
      <c r="CK161" s="12"/>
      <c r="CL161" s="12"/>
      <c r="CM161" s="12"/>
      <c r="CN161" s="12"/>
      <c r="CO161" s="12"/>
      <c r="CP161" s="12"/>
      <c r="CQ161" s="12"/>
      <c r="CR161" s="12"/>
      <c r="CS161" s="12"/>
      <c r="CT161" s="12"/>
      <c r="CU161" s="12"/>
      <c r="CV161" s="12"/>
      <c r="CW161" s="12"/>
      <c r="CX161" s="12"/>
      <c r="CY161" s="12"/>
      <c r="CZ161" s="12"/>
      <c r="DA161" s="12"/>
      <c r="DB161" s="12"/>
      <c r="DC161" s="12"/>
      <c r="DD161" s="12"/>
      <c r="DE161" s="12"/>
      <c r="DF161" s="12"/>
      <c r="DG161" s="12"/>
      <c r="DH161" s="12"/>
      <c r="DI161" s="12"/>
      <c r="DJ161" s="12"/>
      <c r="DK161" s="12"/>
      <c r="DL161" s="12"/>
      <c r="DM161" s="12"/>
      <c r="DN161" s="12"/>
      <c r="DO161" s="12"/>
      <c r="DP161" s="12"/>
      <c r="DQ161" s="12"/>
      <c r="DR161" s="12"/>
      <c r="DS161" s="12"/>
      <c r="DT161" s="12"/>
      <c r="DU161" s="12"/>
      <c r="DV161" s="12"/>
      <c r="DW161" s="12"/>
      <c r="DX161" s="12"/>
      <c r="DY161" s="12"/>
      <c r="DZ161" s="12"/>
      <c r="EA161" s="12"/>
      <c r="EB161" s="12"/>
      <c r="EC161" s="12"/>
      <c r="ED161" s="12"/>
      <c r="EE161" s="12"/>
      <c r="EF161" s="12"/>
      <c r="EG161" s="12"/>
      <c r="EH161" s="12"/>
      <c r="EI161" s="12"/>
      <c r="EJ161" s="12"/>
      <c r="EK161" s="12"/>
      <c r="EL161" s="12"/>
    </row>
    <row r="162" spans="1:142" s="76" customFormat="1">
      <c r="A162" s="105"/>
      <c r="B162" s="521" t="s">
        <v>697</v>
      </c>
      <c r="C162" s="100"/>
      <c r="D162" s="118"/>
      <c r="E162" s="848">
        <v>1000</v>
      </c>
      <c r="F162" s="38" t="s">
        <v>698</v>
      </c>
      <c r="G162" s="105"/>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2"/>
      <c r="CJ162" s="12"/>
      <c r="CK162" s="12"/>
      <c r="CL162" s="12"/>
      <c r="CM162" s="12"/>
      <c r="CN162" s="12"/>
      <c r="CO162" s="12"/>
      <c r="CP162" s="12"/>
      <c r="CQ162" s="12"/>
      <c r="CR162" s="12"/>
      <c r="CS162" s="12"/>
      <c r="CT162" s="12"/>
      <c r="CU162" s="12"/>
      <c r="CV162" s="12"/>
      <c r="CW162" s="12"/>
      <c r="CX162" s="12"/>
      <c r="CY162" s="12"/>
      <c r="CZ162" s="12"/>
      <c r="DA162" s="12"/>
      <c r="DB162" s="12"/>
      <c r="DC162" s="12"/>
      <c r="DD162" s="12"/>
      <c r="DE162" s="12"/>
      <c r="DF162" s="12"/>
      <c r="DG162" s="12"/>
      <c r="DH162" s="12"/>
      <c r="DI162" s="12"/>
      <c r="DJ162" s="12"/>
      <c r="DK162" s="12"/>
      <c r="DL162" s="12"/>
      <c r="DM162" s="12"/>
      <c r="DN162" s="12"/>
      <c r="DO162" s="12"/>
      <c r="DP162" s="12"/>
      <c r="DQ162" s="12"/>
      <c r="DR162" s="12"/>
      <c r="DS162" s="12"/>
      <c r="DT162" s="12"/>
      <c r="DU162" s="12"/>
      <c r="DV162" s="12"/>
      <c r="DW162" s="12"/>
      <c r="DX162" s="12"/>
      <c r="DY162" s="12"/>
      <c r="DZ162" s="12"/>
      <c r="EA162" s="12"/>
      <c r="EB162" s="12"/>
      <c r="EC162" s="12"/>
      <c r="ED162" s="12"/>
      <c r="EE162" s="12"/>
      <c r="EF162" s="12"/>
      <c r="EG162" s="12"/>
      <c r="EH162" s="12"/>
      <c r="EI162" s="12"/>
      <c r="EJ162" s="12"/>
      <c r="EK162" s="12"/>
      <c r="EL162" s="12"/>
    </row>
    <row r="163" spans="1:142" s="76" customFormat="1">
      <c r="A163" s="105"/>
      <c r="B163" s="108" t="s">
        <v>375</v>
      </c>
      <c r="D163" s="118"/>
      <c r="E163" s="219">
        <f>E162*F31</f>
        <v>129000</v>
      </c>
      <c r="F163" s="108" t="s">
        <v>553</v>
      </c>
      <c r="G163" s="105"/>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2"/>
      <c r="CL163" s="12"/>
      <c r="CM163" s="12"/>
      <c r="CN163" s="12"/>
      <c r="CO163" s="12"/>
      <c r="CP163" s="12"/>
      <c r="CQ163" s="12"/>
      <c r="CR163" s="12"/>
      <c r="CS163" s="12"/>
      <c r="CT163" s="12"/>
      <c r="CU163" s="12"/>
      <c r="CV163" s="12"/>
      <c r="CW163" s="12"/>
      <c r="CX163" s="12"/>
      <c r="CY163" s="12"/>
      <c r="CZ163" s="12"/>
      <c r="DA163" s="12"/>
      <c r="DB163" s="12"/>
      <c r="DC163" s="12"/>
      <c r="DD163" s="12"/>
      <c r="DE163" s="12"/>
      <c r="DF163" s="12"/>
      <c r="DG163" s="12"/>
      <c r="DH163" s="12"/>
      <c r="DI163" s="12"/>
      <c r="DJ163" s="12"/>
      <c r="DK163" s="12"/>
      <c r="DL163" s="12"/>
      <c r="DM163" s="12"/>
      <c r="DN163" s="12"/>
      <c r="DO163" s="12"/>
      <c r="DP163" s="12"/>
      <c r="DQ163" s="12"/>
      <c r="DR163" s="12"/>
      <c r="DS163" s="12"/>
      <c r="DT163" s="12"/>
      <c r="DU163" s="12"/>
      <c r="DV163" s="12"/>
      <c r="DW163" s="12"/>
      <c r="DX163" s="12"/>
      <c r="DY163" s="12"/>
      <c r="DZ163" s="12"/>
      <c r="EA163" s="12"/>
      <c r="EB163" s="12"/>
      <c r="EC163" s="12"/>
      <c r="ED163" s="12"/>
      <c r="EE163" s="12"/>
      <c r="EF163" s="12"/>
      <c r="EG163" s="12"/>
      <c r="EH163" s="12"/>
      <c r="EI163" s="12"/>
      <c r="EJ163" s="12"/>
      <c r="EK163" s="12"/>
      <c r="EL163" s="12"/>
    </row>
    <row r="164" spans="1:142" s="76" customFormat="1">
      <c r="A164" s="105"/>
      <c r="B164" s="105" t="s">
        <v>376</v>
      </c>
      <c r="C164" s="89"/>
      <c r="D164" s="105"/>
      <c r="E164" s="229">
        <f>CashFlow!F13+CashFlow!F70</f>
        <v>19462.1139</v>
      </c>
      <c r="F164" s="108" t="s">
        <v>406</v>
      </c>
      <c r="G164" s="105"/>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12"/>
      <c r="CI164" s="12"/>
      <c r="CJ164" s="12"/>
      <c r="CK164" s="12"/>
      <c r="CL164" s="12"/>
      <c r="CM164" s="12"/>
      <c r="CN164" s="12"/>
      <c r="CO164" s="12"/>
      <c r="CP164" s="12"/>
      <c r="CQ164" s="12"/>
      <c r="CR164" s="12"/>
      <c r="CS164" s="12"/>
      <c r="CT164" s="12"/>
      <c r="CU164" s="12"/>
      <c r="CV164" s="12"/>
      <c r="CW164" s="12"/>
      <c r="CX164" s="12"/>
      <c r="CY164" s="12"/>
      <c r="CZ164" s="12"/>
      <c r="DA164" s="12"/>
      <c r="DB164" s="12"/>
      <c r="DC164" s="12"/>
      <c r="DD164" s="12"/>
      <c r="DE164" s="12"/>
      <c r="DF164" s="12"/>
      <c r="DG164" s="12"/>
      <c r="DH164" s="12"/>
      <c r="DI164" s="12"/>
      <c r="DJ164" s="12"/>
      <c r="DK164" s="12"/>
      <c r="DL164" s="12"/>
      <c r="DM164" s="12"/>
      <c r="DN164" s="12"/>
      <c r="DO164" s="12"/>
      <c r="DP164" s="12"/>
      <c r="DQ164" s="12"/>
      <c r="DR164" s="12"/>
      <c r="DS164" s="12"/>
      <c r="DT164" s="12"/>
      <c r="DU164" s="12"/>
      <c r="DV164" s="12"/>
      <c r="DW164" s="12"/>
      <c r="DX164" s="12"/>
      <c r="DY164" s="12"/>
      <c r="DZ164" s="12"/>
      <c r="EA164" s="12"/>
      <c r="EB164" s="12"/>
      <c r="EC164" s="12"/>
      <c r="ED164" s="12"/>
      <c r="EE164" s="12"/>
      <c r="EF164" s="12"/>
      <c r="EG164" s="12"/>
      <c r="EH164" s="12"/>
      <c r="EI164" s="12"/>
      <c r="EJ164" s="12"/>
      <c r="EK164" s="12"/>
      <c r="EL164" s="12"/>
    </row>
    <row r="165" spans="1:142" s="76" customFormat="1">
      <c r="A165" s="105"/>
      <c r="B165" s="108"/>
      <c r="C165" s="79"/>
      <c r="D165" s="105"/>
      <c r="F165" s="108"/>
      <c r="G165" s="108"/>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c r="CA165" s="12"/>
      <c r="CB165" s="12"/>
      <c r="CC165" s="12"/>
      <c r="CD165" s="12"/>
      <c r="CE165" s="12"/>
      <c r="CF165" s="12"/>
      <c r="CG165" s="12"/>
      <c r="CH165" s="12"/>
      <c r="CI165" s="12"/>
      <c r="CJ165" s="12"/>
      <c r="CK165" s="12"/>
      <c r="CL165" s="12"/>
      <c r="CM165" s="12"/>
      <c r="CN165" s="12"/>
      <c r="CO165" s="12"/>
      <c r="CP165" s="12"/>
      <c r="CQ165" s="12"/>
      <c r="CR165" s="12"/>
      <c r="CS165" s="12"/>
      <c r="CT165" s="12"/>
      <c r="CU165" s="12"/>
      <c r="CV165" s="12"/>
      <c r="CW165" s="12"/>
      <c r="CX165" s="12"/>
      <c r="CY165" s="12"/>
      <c r="CZ165" s="12"/>
      <c r="DA165" s="12"/>
      <c r="DB165" s="12"/>
      <c r="DC165" s="12"/>
      <c r="DD165" s="12"/>
      <c r="DE165" s="12"/>
      <c r="DF165" s="12"/>
      <c r="DG165" s="12"/>
      <c r="DH165" s="12"/>
      <c r="DI165" s="12"/>
      <c r="DJ165" s="12"/>
      <c r="DK165" s="12"/>
      <c r="DL165" s="12"/>
      <c r="DM165" s="12"/>
      <c r="DN165" s="12"/>
      <c r="DO165" s="12"/>
      <c r="DP165" s="12"/>
      <c r="DQ165" s="12"/>
      <c r="DR165" s="12"/>
      <c r="DS165" s="12"/>
      <c r="DT165" s="12"/>
      <c r="DU165" s="12"/>
      <c r="DV165" s="12"/>
      <c r="DW165" s="12"/>
      <c r="DX165" s="12"/>
      <c r="DY165" s="12"/>
      <c r="DZ165" s="12"/>
      <c r="EA165" s="12"/>
      <c r="EB165" s="12"/>
      <c r="EC165" s="12"/>
      <c r="ED165" s="12"/>
      <c r="EE165" s="12"/>
      <c r="EF165" s="12"/>
      <c r="EG165" s="12"/>
      <c r="EH165" s="12"/>
      <c r="EI165" s="12"/>
      <c r="EJ165" s="12"/>
      <c r="EK165" s="12"/>
      <c r="EL165" s="12"/>
    </row>
    <row r="166" spans="1:142" s="76" customFormat="1">
      <c r="A166" s="105"/>
      <c r="B166" s="54" t="s">
        <v>488</v>
      </c>
      <c r="C166" s="100"/>
      <c r="D166" s="108"/>
      <c r="E166" s="121" t="s">
        <v>378</v>
      </c>
      <c r="F166" s="121" t="s">
        <v>489</v>
      </c>
      <c r="G166" s="108"/>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2"/>
      <c r="CJ166" s="12"/>
      <c r="CK166" s="12"/>
      <c r="CL166" s="12"/>
      <c r="CM166" s="12"/>
      <c r="CN166" s="12"/>
      <c r="CO166" s="12"/>
      <c r="CP166" s="12"/>
      <c r="CQ166" s="12"/>
      <c r="CR166" s="12"/>
      <c r="CS166" s="12"/>
      <c r="CT166" s="12"/>
      <c r="CU166" s="12"/>
      <c r="CV166" s="12"/>
      <c r="CW166" s="12"/>
      <c r="CX166" s="12"/>
      <c r="CY166" s="12"/>
      <c r="CZ166" s="12"/>
      <c r="DA166" s="12"/>
      <c r="DB166" s="12"/>
      <c r="DC166" s="12"/>
      <c r="DD166" s="12"/>
      <c r="DE166" s="12"/>
      <c r="DF166" s="12"/>
      <c r="DG166" s="12"/>
      <c r="DH166" s="12"/>
      <c r="DI166" s="12"/>
      <c r="DJ166" s="12"/>
      <c r="DK166" s="12"/>
      <c r="DL166" s="12"/>
      <c r="DM166" s="12"/>
      <c r="DN166" s="12"/>
      <c r="DO166" s="12"/>
      <c r="DP166" s="12"/>
      <c r="DQ166" s="12"/>
      <c r="DR166" s="12"/>
      <c r="DS166" s="12"/>
      <c r="DT166" s="12"/>
      <c r="DU166" s="12"/>
      <c r="DV166" s="12"/>
      <c r="DW166" s="12"/>
      <c r="DX166" s="12"/>
      <c r="DY166" s="12"/>
      <c r="DZ166" s="12"/>
      <c r="EA166" s="12"/>
      <c r="EB166" s="12"/>
      <c r="EC166" s="12"/>
      <c r="ED166" s="12"/>
      <c r="EE166" s="12"/>
      <c r="EF166" s="12"/>
      <c r="EG166" s="12"/>
      <c r="EH166" s="12"/>
      <c r="EI166" s="12"/>
      <c r="EJ166" s="12"/>
      <c r="EK166" s="12"/>
      <c r="EL166" s="12"/>
    </row>
    <row r="167" spans="1:142" s="76" customFormat="1">
      <c r="A167" s="105"/>
      <c r="B167" s="108" t="s">
        <v>490</v>
      </c>
      <c r="C167" s="79"/>
      <c r="D167" s="60"/>
      <c r="E167" s="1055">
        <f>(+$E$163+E164)*F167/100</f>
        <v>74.231056949999996</v>
      </c>
      <c r="F167" s="1600">
        <v>0.05</v>
      </c>
      <c r="G167" s="108" t="s">
        <v>380</v>
      </c>
      <c r="H167" s="12" t="s">
        <v>121</v>
      </c>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c r="CJ167" s="12"/>
      <c r="CK167" s="12"/>
      <c r="CL167" s="12"/>
      <c r="CM167" s="12"/>
      <c r="CN167" s="12"/>
      <c r="CO167" s="12"/>
      <c r="CP167" s="12"/>
      <c r="CQ167" s="12"/>
      <c r="CR167" s="12"/>
      <c r="CS167" s="12"/>
      <c r="CT167" s="12"/>
      <c r="CU167" s="12"/>
      <c r="CV167" s="12"/>
      <c r="CW167" s="12"/>
      <c r="CX167" s="12"/>
      <c r="CY167" s="12"/>
      <c r="CZ167" s="12"/>
      <c r="DA167" s="12"/>
      <c r="DB167" s="12"/>
      <c r="DC167" s="12"/>
      <c r="DD167" s="12"/>
      <c r="DE167" s="12"/>
      <c r="DF167" s="12"/>
      <c r="DG167" s="12"/>
      <c r="DH167" s="12"/>
      <c r="DI167" s="12"/>
      <c r="DJ167" s="12"/>
      <c r="DK167" s="12"/>
      <c r="DL167" s="12"/>
      <c r="DM167" s="12"/>
      <c r="DN167" s="12"/>
      <c r="DO167" s="12"/>
      <c r="DP167" s="12"/>
      <c r="DQ167" s="12"/>
      <c r="DR167" s="12"/>
      <c r="DS167" s="12"/>
      <c r="DT167" s="12"/>
      <c r="DU167" s="12"/>
      <c r="DV167" s="12"/>
      <c r="DW167" s="12"/>
      <c r="DX167" s="12"/>
      <c r="DY167" s="12"/>
      <c r="DZ167" s="12"/>
      <c r="EA167" s="12"/>
      <c r="EB167" s="12"/>
      <c r="EC167" s="12"/>
      <c r="ED167" s="12"/>
      <c r="EE167" s="12"/>
      <c r="EF167" s="12"/>
      <c r="EG167" s="12"/>
      <c r="EH167" s="12"/>
      <c r="EI167" s="12"/>
      <c r="EJ167" s="12"/>
      <c r="EK167" s="12"/>
      <c r="EL167" s="12"/>
    </row>
    <row r="168" spans="1:142" s="76" customFormat="1">
      <c r="A168" s="105"/>
      <c r="B168" s="108" t="s">
        <v>491</v>
      </c>
      <c r="C168" s="79"/>
      <c r="D168" s="60"/>
      <c r="E168" s="1055">
        <f>$E$163*F168/100</f>
        <v>180.6</v>
      </c>
      <c r="F168" s="1600">
        <v>0.14000000000000001</v>
      </c>
      <c r="G168" s="108" t="s">
        <v>382</v>
      </c>
      <c r="H168" s="12" t="s">
        <v>121</v>
      </c>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2"/>
      <c r="CJ168" s="12"/>
      <c r="CK168" s="12"/>
      <c r="CL168" s="12"/>
      <c r="CM168" s="12"/>
      <c r="CN168" s="12"/>
      <c r="CO168" s="12"/>
      <c r="CP168" s="12"/>
      <c r="CQ168" s="12"/>
      <c r="CR168" s="12"/>
      <c r="CS168" s="12"/>
      <c r="CT168" s="12"/>
      <c r="CU168" s="12"/>
      <c r="CV168" s="12"/>
      <c r="CW168" s="12"/>
      <c r="CX168" s="12"/>
      <c r="CY168" s="12"/>
      <c r="CZ168" s="12"/>
      <c r="DA168" s="12"/>
      <c r="DB168" s="12"/>
      <c r="DC168" s="12"/>
      <c r="DD168" s="12"/>
      <c r="DE168" s="12"/>
      <c r="DF168" s="12"/>
      <c r="DG168" s="12"/>
      <c r="DH168" s="12"/>
      <c r="DI168" s="12"/>
      <c r="DJ168" s="12"/>
      <c r="DK168" s="12"/>
      <c r="DL168" s="12"/>
      <c r="DM168" s="12"/>
      <c r="DN168" s="12"/>
      <c r="DO168" s="12"/>
      <c r="DP168" s="12"/>
      <c r="DQ168" s="12"/>
      <c r="DR168" s="12"/>
      <c r="DS168" s="12"/>
      <c r="DT168" s="12"/>
      <c r="DU168" s="12"/>
      <c r="DV168" s="12"/>
      <c r="DW168" s="12"/>
      <c r="DX168" s="12"/>
      <c r="DY168" s="12"/>
      <c r="DZ168" s="12"/>
      <c r="EA168" s="12"/>
      <c r="EB168" s="12"/>
      <c r="EC168" s="12"/>
      <c r="ED168" s="12"/>
      <c r="EE168" s="12"/>
      <c r="EF168" s="12"/>
      <c r="EG168" s="12"/>
      <c r="EH168" s="12"/>
      <c r="EI168" s="12"/>
      <c r="EJ168" s="12"/>
      <c r="EK168" s="12"/>
      <c r="EL168" s="12"/>
    </row>
    <row r="169" spans="1:142" s="76" customFormat="1">
      <c r="A169" s="105"/>
      <c r="B169" s="108" t="s">
        <v>492</v>
      </c>
      <c r="C169" s="79"/>
      <c r="D169" s="60"/>
      <c r="E169" s="1055">
        <f>E164*F169/100</f>
        <v>7.7848455599999999</v>
      </c>
      <c r="F169" s="1600">
        <v>0.04</v>
      </c>
      <c r="G169" s="108" t="s">
        <v>382</v>
      </c>
      <c r="H169" s="12" t="s">
        <v>121</v>
      </c>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2"/>
      <c r="CJ169" s="12"/>
      <c r="CK169" s="12"/>
      <c r="CL169" s="12"/>
      <c r="CM169" s="12"/>
      <c r="CN169" s="12"/>
      <c r="CO169" s="12"/>
      <c r="CP169" s="12"/>
      <c r="CQ169" s="12"/>
      <c r="CR169" s="12"/>
      <c r="CS169" s="12"/>
      <c r="CT169" s="12"/>
      <c r="CU169" s="12"/>
      <c r="CV169" s="12"/>
      <c r="CW169" s="12"/>
      <c r="CX169" s="12"/>
      <c r="CY169" s="12"/>
      <c r="CZ169" s="12"/>
      <c r="DA169" s="12"/>
      <c r="DB169" s="12"/>
      <c r="DC169" s="12"/>
      <c r="DD169" s="12"/>
      <c r="DE169" s="12"/>
      <c r="DF169" s="12"/>
      <c r="DG169" s="12"/>
      <c r="DH169" s="12"/>
      <c r="DI169" s="12"/>
      <c r="DJ169" s="12"/>
      <c r="DK169" s="12"/>
      <c r="DL169" s="12"/>
      <c r="DM169" s="12"/>
      <c r="DN169" s="12"/>
      <c r="DO169" s="12"/>
      <c r="DP169" s="12"/>
      <c r="DQ169" s="12"/>
      <c r="DR169" s="12"/>
      <c r="DS169" s="12"/>
      <c r="DT169" s="12"/>
      <c r="DU169" s="12"/>
      <c r="DV169" s="12"/>
      <c r="DW169" s="12"/>
      <c r="DX169" s="12"/>
      <c r="DY169" s="12"/>
      <c r="DZ169" s="12"/>
      <c r="EA169" s="12"/>
      <c r="EB169" s="12"/>
      <c r="EC169" s="12"/>
      <c r="ED169" s="12"/>
      <c r="EE169" s="12"/>
      <c r="EF169" s="12"/>
      <c r="EG169" s="12"/>
      <c r="EH169" s="12"/>
      <c r="EI169" s="12"/>
      <c r="EJ169" s="12"/>
      <c r="EK169" s="12"/>
      <c r="EL169" s="12"/>
    </row>
    <row r="170" spans="1:142" s="76" customFormat="1">
      <c r="A170" s="105"/>
      <c r="B170" s="108" t="s">
        <v>487</v>
      </c>
      <c r="C170" s="79"/>
      <c r="D170" s="60"/>
      <c r="E170" s="1055">
        <f>(+$E$163+E164)*F170/100</f>
        <v>59.384845560000002</v>
      </c>
      <c r="F170" s="1600">
        <v>0.04</v>
      </c>
      <c r="G170" s="108" t="s">
        <v>380</v>
      </c>
      <c r="H170" s="12" t="s">
        <v>121</v>
      </c>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c r="BY170" s="12"/>
      <c r="BZ170" s="12"/>
      <c r="CA170" s="12"/>
      <c r="CB170" s="12"/>
      <c r="CC170" s="12"/>
      <c r="CD170" s="12"/>
      <c r="CE170" s="12"/>
      <c r="CF170" s="12"/>
      <c r="CG170" s="12"/>
      <c r="CH170" s="12"/>
      <c r="CI170" s="12"/>
      <c r="CJ170" s="12"/>
      <c r="CK170" s="12"/>
      <c r="CL170" s="12"/>
      <c r="CM170" s="12"/>
      <c r="CN170" s="12"/>
      <c r="CO170" s="12"/>
      <c r="CP170" s="12"/>
      <c r="CQ170" s="12"/>
      <c r="CR170" s="12"/>
      <c r="CS170" s="12"/>
      <c r="CT170" s="12"/>
      <c r="CU170" s="12"/>
      <c r="CV170" s="12"/>
      <c r="CW170" s="12"/>
      <c r="CX170" s="12"/>
      <c r="CY170" s="12"/>
      <c r="CZ170" s="12"/>
      <c r="DA170" s="12"/>
      <c r="DB170" s="12"/>
      <c r="DC170" s="12"/>
      <c r="DD170" s="12"/>
      <c r="DE170" s="12"/>
      <c r="DF170" s="12"/>
      <c r="DG170" s="12"/>
      <c r="DH170" s="12"/>
      <c r="DI170" s="12"/>
      <c r="DJ170" s="12"/>
      <c r="DK170" s="12"/>
      <c r="DL170" s="12"/>
      <c r="DM170" s="12"/>
      <c r="DN170" s="12"/>
      <c r="DO170" s="12"/>
      <c r="DP170" s="12"/>
      <c r="DQ170" s="12"/>
      <c r="DR170" s="12"/>
      <c r="DS170" s="12"/>
      <c r="DT170" s="12"/>
      <c r="DU170" s="12"/>
      <c r="DV170" s="12"/>
      <c r="DW170" s="12"/>
      <c r="DX170" s="12"/>
      <c r="DY170" s="12"/>
      <c r="DZ170" s="12"/>
      <c r="EA170" s="12"/>
      <c r="EB170" s="12"/>
      <c r="EC170" s="12"/>
      <c r="ED170" s="12"/>
      <c r="EE170" s="12"/>
      <c r="EF170" s="12"/>
      <c r="EG170" s="12"/>
      <c r="EH170" s="12"/>
      <c r="EI170" s="12"/>
      <c r="EJ170" s="12"/>
      <c r="EK170" s="12"/>
      <c r="EL170" s="12"/>
    </row>
    <row r="171" spans="1:142" s="76" customFormat="1">
      <c r="A171" s="105"/>
      <c r="B171" s="108" t="s">
        <v>485</v>
      </c>
      <c r="C171" s="79"/>
      <c r="D171" s="60"/>
      <c r="E171" s="1056">
        <f>F171*F30*F21</f>
        <v>6.5359999999999996</v>
      </c>
      <c r="F171" s="1601">
        <v>7.5999999999999998E-2</v>
      </c>
      <c r="G171" s="108" t="s">
        <v>486</v>
      </c>
      <c r="H171" s="12" t="s">
        <v>121</v>
      </c>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2"/>
      <c r="CJ171" s="12"/>
      <c r="CK171" s="12"/>
      <c r="CL171" s="12"/>
      <c r="CM171" s="12"/>
      <c r="CN171" s="12"/>
      <c r="CO171" s="12"/>
      <c r="CP171" s="12"/>
      <c r="CQ171" s="12"/>
      <c r="CR171" s="12"/>
      <c r="CS171" s="12"/>
      <c r="CT171" s="12"/>
      <c r="CU171" s="12"/>
      <c r="CV171" s="12"/>
      <c r="CW171" s="12"/>
      <c r="CX171" s="12"/>
      <c r="CY171" s="12"/>
      <c r="CZ171" s="12"/>
      <c r="DA171" s="12"/>
      <c r="DB171" s="12"/>
      <c r="DC171" s="12"/>
      <c r="DD171" s="12"/>
      <c r="DE171" s="12"/>
      <c r="DF171" s="12"/>
      <c r="DG171" s="12"/>
      <c r="DH171" s="12"/>
      <c r="DI171" s="12"/>
      <c r="DJ171" s="12"/>
      <c r="DK171" s="12"/>
      <c r="DL171" s="12"/>
      <c r="DM171" s="12"/>
      <c r="DN171" s="12"/>
      <c r="DO171" s="12"/>
      <c r="DP171" s="12"/>
      <c r="DQ171" s="12"/>
      <c r="DR171" s="12"/>
      <c r="DS171" s="12"/>
      <c r="DT171" s="12"/>
      <c r="DU171" s="12"/>
      <c r="DV171" s="12"/>
      <c r="DW171" s="12"/>
      <c r="DX171" s="12"/>
      <c r="DY171" s="12"/>
      <c r="DZ171" s="12"/>
      <c r="EA171" s="12"/>
      <c r="EB171" s="12"/>
      <c r="EC171" s="12"/>
      <c r="ED171" s="12"/>
      <c r="EE171" s="12"/>
      <c r="EF171" s="12"/>
      <c r="EG171" s="12"/>
      <c r="EH171" s="12"/>
      <c r="EI171" s="12"/>
      <c r="EJ171" s="12"/>
      <c r="EK171" s="12"/>
      <c r="EL171" s="12"/>
    </row>
    <row r="172" spans="1:142" s="76" customFormat="1">
      <c r="A172" s="105"/>
      <c r="B172" s="60" t="s">
        <v>493</v>
      </c>
      <c r="C172" s="68"/>
      <c r="D172" s="105"/>
      <c r="E172" s="1057">
        <f>SUM(E167:E171)</f>
        <v>328.53674806999999</v>
      </c>
      <c r="F172" s="105"/>
      <c r="G172" s="105"/>
      <c r="H172" s="105"/>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2"/>
      <c r="CJ172" s="12"/>
      <c r="CK172" s="12"/>
      <c r="CL172" s="12"/>
      <c r="CM172" s="12"/>
      <c r="CN172" s="12"/>
      <c r="CO172" s="12"/>
      <c r="CP172" s="12"/>
      <c r="CQ172" s="12"/>
      <c r="CR172" s="12"/>
      <c r="CS172" s="12"/>
      <c r="CT172" s="12"/>
      <c r="CU172" s="12"/>
      <c r="CV172" s="12"/>
      <c r="CW172" s="12"/>
      <c r="CX172" s="12"/>
      <c r="CY172" s="12"/>
      <c r="CZ172" s="12"/>
      <c r="DA172" s="12"/>
      <c r="DB172" s="12"/>
      <c r="DC172" s="12"/>
      <c r="DD172" s="12"/>
      <c r="DE172" s="12"/>
      <c r="DF172" s="12"/>
      <c r="DG172" s="12"/>
      <c r="DH172" s="12"/>
      <c r="DI172" s="12"/>
      <c r="DJ172" s="12"/>
      <c r="DK172" s="12"/>
      <c r="DL172" s="12"/>
      <c r="DM172" s="12"/>
      <c r="DN172" s="12"/>
      <c r="DO172" s="12"/>
      <c r="DP172" s="12"/>
      <c r="DQ172" s="12"/>
      <c r="DR172" s="12"/>
      <c r="DS172" s="12"/>
      <c r="DT172" s="12"/>
      <c r="DU172" s="12"/>
      <c r="DV172" s="12"/>
      <c r="DW172" s="12"/>
      <c r="DX172" s="12"/>
      <c r="DY172" s="12"/>
      <c r="DZ172" s="12"/>
      <c r="EA172" s="12"/>
      <c r="EB172" s="12"/>
      <c r="EC172" s="12"/>
      <c r="ED172" s="12"/>
      <c r="EE172" s="12"/>
      <c r="EF172" s="12"/>
      <c r="EG172" s="12"/>
      <c r="EH172" s="12"/>
      <c r="EI172" s="12"/>
      <c r="EJ172" s="12"/>
      <c r="EK172" s="12"/>
      <c r="EL172" s="12"/>
    </row>
    <row r="173" spans="1:142" s="76" customFormat="1">
      <c r="A173" s="105"/>
      <c r="B173" s="60"/>
      <c r="C173" s="68"/>
      <c r="D173" s="105"/>
      <c r="E173" s="353"/>
      <c r="F173" s="105"/>
      <c r="G173" s="105"/>
      <c r="H173" s="105"/>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2"/>
      <c r="CJ173" s="12"/>
      <c r="CK173" s="12"/>
      <c r="CL173" s="12"/>
      <c r="CM173" s="12"/>
      <c r="CN173" s="12"/>
      <c r="CO173" s="12"/>
      <c r="CP173" s="12"/>
      <c r="CQ173" s="12"/>
      <c r="CR173" s="12"/>
      <c r="CS173" s="12"/>
      <c r="CT173" s="12"/>
      <c r="CU173" s="12"/>
      <c r="CV173" s="12"/>
      <c r="CW173" s="12"/>
      <c r="CX173" s="12"/>
      <c r="CY173" s="12"/>
      <c r="CZ173" s="12"/>
      <c r="DA173" s="12"/>
      <c r="DB173" s="12"/>
      <c r="DC173" s="12"/>
      <c r="DD173" s="12"/>
      <c r="DE173" s="12"/>
      <c r="DF173" s="12"/>
      <c r="DG173" s="12"/>
      <c r="DH173" s="12"/>
      <c r="DI173" s="12"/>
      <c r="DJ173" s="12"/>
      <c r="DK173" s="12"/>
      <c r="DL173" s="12"/>
      <c r="DM173" s="12"/>
      <c r="DN173" s="12"/>
      <c r="DO173" s="12"/>
      <c r="DP173" s="12"/>
      <c r="DQ173" s="12"/>
      <c r="DR173" s="12"/>
      <c r="DS173" s="12"/>
      <c r="DT173" s="12"/>
      <c r="DU173" s="12"/>
      <c r="DV173" s="12"/>
      <c r="DW173" s="12"/>
      <c r="DX173" s="12"/>
      <c r="DY173" s="12"/>
      <c r="DZ173" s="12"/>
      <c r="EA173" s="12"/>
      <c r="EB173" s="12"/>
      <c r="EC173" s="12"/>
      <c r="ED173" s="12"/>
      <c r="EE173" s="12"/>
      <c r="EF173" s="12"/>
      <c r="EG173" s="12"/>
      <c r="EH173" s="12"/>
      <c r="EI173" s="12"/>
      <c r="EJ173" s="12"/>
      <c r="EK173" s="12"/>
      <c r="EL173" s="12"/>
    </row>
    <row r="174" spans="1:142" s="78" customFormat="1">
      <c r="A174" s="89"/>
      <c r="B174" s="555" t="s">
        <v>538</v>
      </c>
      <c r="C174" s="826"/>
      <c r="D174" s="79"/>
      <c r="E174" s="184"/>
      <c r="F174" s="184"/>
      <c r="G174" s="184"/>
      <c r="H174" s="184"/>
      <c r="I174" s="184"/>
      <c r="J174" s="184"/>
      <c r="K174" s="184"/>
      <c r="L174" s="184"/>
      <c r="M174" s="184"/>
      <c r="N174" s="184"/>
      <c r="O174" s="184"/>
      <c r="P174" s="184"/>
      <c r="Q174" s="184"/>
      <c r="R174" s="184"/>
      <c r="S174" s="184"/>
      <c r="T174" s="184"/>
      <c r="U174" s="184"/>
      <c r="V174" s="184"/>
      <c r="W174" s="184"/>
      <c r="X174" s="184"/>
      <c r="Y174" s="184"/>
      <c r="Z174" s="184"/>
      <c r="AA174" s="184"/>
      <c r="AB174" s="184"/>
      <c r="AC174" s="184"/>
      <c r="AD174" s="184"/>
      <c r="AE174" s="184"/>
      <c r="AF174" s="184"/>
      <c r="AG174" s="184"/>
      <c r="AH174" s="184"/>
      <c r="AI174" s="184"/>
      <c r="AJ174" s="77"/>
      <c r="AK174" s="77"/>
      <c r="AL174" s="77"/>
      <c r="AM174" s="77"/>
      <c r="AN174" s="77"/>
      <c r="AO174" s="77"/>
      <c r="AP174" s="77"/>
      <c r="AQ174" s="77"/>
      <c r="AR174" s="77"/>
      <c r="AS174" s="77"/>
      <c r="AT174" s="77"/>
      <c r="AU174" s="77"/>
      <c r="AV174" s="77"/>
      <c r="AW174" s="77"/>
      <c r="AX174" s="77"/>
      <c r="AY174" s="77"/>
      <c r="AZ174" s="77"/>
      <c r="BA174" s="77"/>
      <c r="BB174" s="77"/>
      <c r="BC174" s="77"/>
      <c r="BD174" s="77"/>
      <c r="BE174" s="77"/>
      <c r="BF174" s="77"/>
      <c r="BG174" s="77"/>
      <c r="BH174" s="77"/>
      <c r="BI174" s="77"/>
      <c r="BJ174" s="77"/>
      <c r="BK174" s="77"/>
      <c r="BL174" s="77"/>
      <c r="BM174" s="77"/>
      <c r="BN174" s="77"/>
      <c r="BO174" s="77"/>
      <c r="BP174" s="77"/>
      <c r="BQ174" s="77"/>
      <c r="BR174" s="77"/>
      <c r="BS174" s="77"/>
      <c r="BT174" s="77"/>
      <c r="BU174" s="77"/>
      <c r="BV174" s="77"/>
      <c r="BW174" s="77"/>
      <c r="BX174" s="77"/>
      <c r="BY174" s="77"/>
      <c r="BZ174" s="77"/>
      <c r="CA174" s="77"/>
      <c r="CB174" s="77"/>
      <c r="CC174" s="77"/>
      <c r="CD174" s="77"/>
      <c r="CE174" s="77"/>
      <c r="CF174" s="77"/>
      <c r="CG174" s="77"/>
      <c r="CH174" s="77"/>
      <c r="CI174" s="77"/>
      <c r="CJ174" s="77"/>
      <c r="CK174" s="77"/>
      <c r="CL174" s="77"/>
      <c r="CM174" s="77"/>
      <c r="CN174" s="77"/>
      <c r="CO174" s="77"/>
      <c r="CP174" s="77"/>
      <c r="CQ174" s="77"/>
      <c r="CR174" s="77"/>
      <c r="CS174" s="77"/>
      <c r="CT174" s="77"/>
      <c r="CU174" s="77"/>
      <c r="CV174" s="77"/>
      <c r="CW174" s="77"/>
      <c r="CX174" s="77"/>
      <c r="CY174" s="77"/>
      <c r="CZ174" s="77"/>
      <c r="DA174" s="77"/>
      <c r="DB174" s="77"/>
      <c r="DC174" s="77"/>
      <c r="DD174" s="77"/>
      <c r="DE174" s="77"/>
      <c r="DF174" s="77"/>
      <c r="DG174" s="77"/>
      <c r="DH174" s="77"/>
      <c r="DI174" s="77"/>
      <c r="DJ174" s="77"/>
      <c r="DK174" s="77"/>
      <c r="DL174" s="77"/>
      <c r="DM174" s="77"/>
      <c r="DN174" s="77"/>
      <c r="DO174" s="77"/>
      <c r="DP174" s="77"/>
      <c r="DQ174" s="77"/>
      <c r="DR174" s="77"/>
      <c r="DS174" s="77"/>
      <c r="DT174" s="77"/>
      <c r="DU174" s="77"/>
      <c r="DV174" s="77"/>
      <c r="DW174" s="77"/>
      <c r="DX174" s="77"/>
      <c r="DY174" s="77"/>
      <c r="DZ174" s="77"/>
      <c r="EA174" s="77"/>
      <c r="EB174" s="77"/>
      <c r="EC174" s="77"/>
      <c r="ED174" s="77"/>
      <c r="EE174" s="77"/>
      <c r="EF174" s="77"/>
      <c r="EG174" s="77"/>
      <c r="EH174" s="77"/>
      <c r="EI174" s="77"/>
      <c r="EJ174" s="77"/>
      <c r="EK174" s="77"/>
      <c r="EL174" s="77"/>
    </row>
    <row r="175" spans="1:142" s="76" customFormat="1">
      <c r="A175" s="108"/>
      <c r="B175" s="108" t="s">
        <v>307</v>
      </c>
      <c r="C175" s="79"/>
      <c r="D175" s="108"/>
      <c r="E175" s="230">
        <v>0</v>
      </c>
      <c r="F175" s="230">
        <f t="shared" ref="F175:M175" si="35">E175-($E$175-$N$175)/9</f>
        <v>0</v>
      </c>
      <c r="G175" s="230">
        <f t="shared" si="35"/>
        <v>0</v>
      </c>
      <c r="H175" s="230">
        <f t="shared" si="35"/>
        <v>0</v>
      </c>
      <c r="I175" s="230">
        <f t="shared" si="35"/>
        <v>0</v>
      </c>
      <c r="J175" s="230">
        <f t="shared" si="35"/>
        <v>0</v>
      </c>
      <c r="K175" s="230">
        <f t="shared" si="35"/>
        <v>0</v>
      </c>
      <c r="L175" s="230">
        <f t="shared" si="35"/>
        <v>0</v>
      </c>
      <c r="M175" s="230">
        <f t="shared" si="35"/>
        <v>0</v>
      </c>
      <c r="N175" s="230">
        <v>0</v>
      </c>
      <c r="O175" s="637">
        <f>IF(H23&lt;1,N175*(1-H23),0)</f>
        <v>0</v>
      </c>
      <c r="P175" s="232"/>
      <c r="Q175" s="232"/>
      <c r="R175" s="232"/>
      <c r="S175" s="232"/>
      <c r="T175" s="232"/>
      <c r="U175" s="232"/>
      <c r="V175" s="232"/>
      <c r="W175" s="232"/>
      <c r="X175" s="232"/>
      <c r="Y175" s="232"/>
      <c r="Z175" s="232"/>
      <c r="AA175" s="232"/>
      <c r="AB175" s="232"/>
      <c r="AC175" s="232"/>
      <c r="AD175" s="232"/>
      <c r="AE175" s="232"/>
      <c r="AF175" s="232"/>
      <c r="AG175" s="232"/>
      <c r="AH175" s="232"/>
      <c r="AI175" s="232"/>
      <c r="AJ175" s="232"/>
      <c r="AK175" s="232"/>
      <c r="AL175" s="23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2"/>
      <c r="CJ175" s="12"/>
      <c r="CK175" s="12"/>
      <c r="CL175" s="12"/>
      <c r="CM175" s="12"/>
      <c r="CN175" s="12"/>
      <c r="CO175" s="12"/>
      <c r="CP175" s="12"/>
      <c r="CQ175" s="12"/>
      <c r="CR175" s="12"/>
      <c r="CS175" s="12"/>
      <c r="CT175" s="12"/>
      <c r="CU175" s="12"/>
      <c r="CV175" s="12"/>
      <c r="CW175" s="12"/>
      <c r="CX175" s="12"/>
      <c r="CY175" s="12"/>
      <c r="CZ175" s="12"/>
      <c r="DA175" s="12"/>
      <c r="DB175" s="12"/>
      <c r="DC175" s="12"/>
      <c r="DD175" s="12"/>
      <c r="DE175" s="12"/>
      <c r="DF175" s="12"/>
      <c r="DG175" s="12"/>
      <c r="DH175" s="12"/>
      <c r="DI175" s="12"/>
      <c r="DJ175" s="12"/>
      <c r="DK175" s="12"/>
      <c r="DL175" s="12"/>
      <c r="DM175" s="12"/>
      <c r="DN175" s="12"/>
      <c r="DO175" s="12"/>
      <c r="DP175" s="12"/>
      <c r="DQ175" s="12"/>
      <c r="DR175" s="12"/>
      <c r="DS175" s="12"/>
      <c r="DT175" s="12"/>
      <c r="DU175" s="12"/>
      <c r="DV175" s="12"/>
      <c r="DW175" s="12"/>
      <c r="DX175" s="12"/>
      <c r="DY175" s="12"/>
      <c r="DZ175" s="12"/>
      <c r="EA175" s="12"/>
      <c r="EB175" s="12"/>
      <c r="EC175" s="12"/>
      <c r="ED175" s="12"/>
      <c r="EE175" s="12"/>
      <c r="EF175" s="12"/>
      <c r="EG175" s="12"/>
      <c r="EH175" s="12"/>
      <c r="EI175" s="12"/>
      <c r="EJ175" s="12"/>
      <c r="EK175" s="12"/>
      <c r="EL175" s="12"/>
    </row>
    <row r="176" spans="1:142" s="76" customFormat="1">
      <c r="A176" s="105"/>
      <c r="B176" s="108" t="s">
        <v>308</v>
      </c>
      <c r="C176" s="79"/>
      <c r="D176" s="108"/>
      <c r="E176" s="230">
        <v>15</v>
      </c>
      <c r="F176" s="230">
        <v>14</v>
      </c>
      <c r="G176" s="230">
        <v>13</v>
      </c>
      <c r="H176" s="230">
        <v>13</v>
      </c>
      <c r="I176" s="230">
        <v>13</v>
      </c>
      <c r="J176" s="230">
        <v>0</v>
      </c>
      <c r="K176" s="230">
        <v>0</v>
      </c>
      <c r="L176" s="230">
        <v>0</v>
      </c>
      <c r="M176" s="230">
        <v>0</v>
      </c>
      <c r="N176" s="230">
        <v>0</v>
      </c>
      <c r="O176" s="637">
        <v>0</v>
      </c>
      <c r="P176" s="230">
        <v>0</v>
      </c>
      <c r="Q176" s="230">
        <v>0</v>
      </c>
      <c r="R176" s="230">
        <v>0</v>
      </c>
      <c r="S176" s="230">
        <v>0</v>
      </c>
      <c r="T176" s="230">
        <v>0</v>
      </c>
      <c r="U176" s="230">
        <v>0</v>
      </c>
      <c r="V176" s="230">
        <v>0</v>
      </c>
      <c r="W176" s="230">
        <v>0</v>
      </c>
      <c r="X176" s="230">
        <v>0</v>
      </c>
      <c r="Y176" s="230">
        <v>0</v>
      </c>
      <c r="Z176" s="230">
        <v>0</v>
      </c>
      <c r="AA176" s="230">
        <v>0</v>
      </c>
      <c r="AB176" s="230">
        <v>0</v>
      </c>
      <c r="AC176" s="230">
        <v>0</v>
      </c>
      <c r="AD176" s="230">
        <v>0</v>
      </c>
      <c r="AE176" s="230">
        <v>0</v>
      </c>
      <c r="AF176" s="230">
        <v>0</v>
      </c>
      <c r="AG176" s="230">
        <v>0</v>
      </c>
      <c r="AH176" s="230">
        <v>0</v>
      </c>
      <c r="AI176" s="230">
        <v>0</v>
      </c>
      <c r="AJ176" s="230">
        <v>0</v>
      </c>
      <c r="AK176" s="230">
        <v>0</v>
      </c>
      <c r="AL176" s="230">
        <v>0</v>
      </c>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2"/>
      <c r="CJ176" s="12"/>
      <c r="CK176" s="12"/>
      <c r="CL176" s="12"/>
      <c r="CM176" s="12"/>
      <c r="CN176" s="12"/>
      <c r="CO176" s="12"/>
      <c r="CP176" s="12"/>
      <c r="CQ176" s="12"/>
      <c r="CR176" s="12"/>
      <c r="CS176" s="12"/>
      <c r="CT176" s="12"/>
      <c r="CU176" s="12"/>
      <c r="CV176" s="12"/>
      <c r="CW176" s="12"/>
      <c r="CX176" s="12"/>
      <c r="CY176" s="12"/>
      <c r="CZ176" s="12"/>
      <c r="DA176" s="12"/>
      <c r="DB176" s="12"/>
      <c r="DC176" s="12"/>
      <c r="DD176" s="12"/>
      <c r="DE176" s="12"/>
      <c r="DF176" s="12"/>
      <c r="DG176" s="12"/>
      <c r="DH176" s="12"/>
      <c r="DI176" s="12"/>
      <c r="DJ176" s="12"/>
      <c r="DK176" s="12"/>
      <c r="DL176" s="12"/>
      <c r="DM176" s="12"/>
      <c r="DN176" s="12"/>
      <c r="DO176" s="12"/>
      <c r="DP176" s="12"/>
      <c r="DQ176" s="12"/>
      <c r="DR176" s="12"/>
      <c r="DS176" s="12"/>
      <c r="DT176" s="12"/>
      <c r="DU176" s="12"/>
      <c r="DV176" s="12"/>
      <c r="DW176" s="12"/>
      <c r="DX176" s="12"/>
      <c r="DY176" s="12"/>
      <c r="DZ176" s="12"/>
      <c r="EA176" s="12"/>
      <c r="EB176" s="12"/>
      <c r="EC176" s="12"/>
      <c r="ED176" s="12"/>
      <c r="EE176" s="12"/>
      <c r="EF176" s="12"/>
      <c r="EG176" s="12"/>
      <c r="EH176" s="12"/>
      <c r="EI176" s="12"/>
      <c r="EJ176" s="12"/>
      <c r="EK176" s="12"/>
      <c r="EL176" s="12"/>
    </row>
    <row r="177" spans="1:142" s="76" customFormat="1">
      <c r="A177" s="105"/>
      <c r="B177" s="108" t="s">
        <v>539</v>
      </c>
      <c r="C177" s="79"/>
      <c r="D177" s="108"/>
      <c r="E177" s="233">
        <f t="shared" ref="E177:AL177" si="36">E176+E175</f>
        <v>15</v>
      </c>
      <c r="F177" s="233">
        <f t="shared" si="36"/>
        <v>14</v>
      </c>
      <c r="G177" s="233">
        <f t="shared" si="36"/>
        <v>13</v>
      </c>
      <c r="H177" s="233">
        <f t="shared" si="36"/>
        <v>13</v>
      </c>
      <c r="I177" s="233">
        <f t="shared" si="36"/>
        <v>13</v>
      </c>
      <c r="J177" s="233">
        <f t="shared" si="36"/>
        <v>0</v>
      </c>
      <c r="K177" s="233">
        <f t="shared" si="36"/>
        <v>0</v>
      </c>
      <c r="L177" s="233">
        <f t="shared" si="36"/>
        <v>0</v>
      </c>
      <c r="M177" s="233">
        <f t="shared" si="36"/>
        <v>0</v>
      </c>
      <c r="N177" s="233">
        <f t="shared" si="36"/>
        <v>0</v>
      </c>
      <c r="O177" s="233">
        <f t="shared" si="36"/>
        <v>0</v>
      </c>
      <c r="P177" s="233">
        <f t="shared" si="36"/>
        <v>0</v>
      </c>
      <c r="Q177" s="233">
        <f t="shared" si="36"/>
        <v>0</v>
      </c>
      <c r="R177" s="233">
        <f t="shared" si="36"/>
        <v>0</v>
      </c>
      <c r="S177" s="233">
        <f t="shared" si="36"/>
        <v>0</v>
      </c>
      <c r="T177" s="233">
        <f t="shared" si="36"/>
        <v>0</v>
      </c>
      <c r="U177" s="233">
        <f t="shared" si="36"/>
        <v>0</v>
      </c>
      <c r="V177" s="233">
        <f t="shared" si="36"/>
        <v>0</v>
      </c>
      <c r="W177" s="233">
        <f t="shared" si="36"/>
        <v>0</v>
      </c>
      <c r="X177" s="233">
        <f t="shared" si="36"/>
        <v>0</v>
      </c>
      <c r="Y177" s="233">
        <f t="shared" si="36"/>
        <v>0</v>
      </c>
      <c r="Z177" s="233">
        <f t="shared" si="36"/>
        <v>0</v>
      </c>
      <c r="AA177" s="233">
        <f t="shared" si="36"/>
        <v>0</v>
      </c>
      <c r="AB177" s="233">
        <f t="shared" si="36"/>
        <v>0</v>
      </c>
      <c r="AC177" s="233">
        <f t="shared" si="36"/>
        <v>0</v>
      </c>
      <c r="AD177" s="233">
        <f t="shared" si="36"/>
        <v>0</v>
      </c>
      <c r="AE177" s="233">
        <f t="shared" si="36"/>
        <v>0</v>
      </c>
      <c r="AF177" s="233">
        <f t="shared" si="36"/>
        <v>0</v>
      </c>
      <c r="AG177" s="233">
        <f t="shared" si="36"/>
        <v>0</v>
      </c>
      <c r="AH177" s="233">
        <f t="shared" si="36"/>
        <v>0</v>
      </c>
      <c r="AI177" s="233">
        <f t="shared" si="36"/>
        <v>0</v>
      </c>
      <c r="AJ177" s="233">
        <f t="shared" si="36"/>
        <v>0</v>
      </c>
      <c r="AK177" s="233">
        <f t="shared" si="36"/>
        <v>0</v>
      </c>
      <c r="AL177" s="233">
        <f t="shared" si="36"/>
        <v>0</v>
      </c>
      <c r="AM177" s="120"/>
      <c r="AN177" s="120"/>
      <c r="AO177" s="120"/>
      <c r="AP177" s="120"/>
      <c r="AQ177" s="120"/>
      <c r="AR177" s="120"/>
      <c r="AS177" s="120"/>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12"/>
      <c r="CH177" s="12"/>
      <c r="CI177" s="12"/>
      <c r="CJ177" s="12"/>
      <c r="CK177" s="12"/>
      <c r="CL177" s="12"/>
      <c r="CM177" s="12"/>
      <c r="CN177" s="12"/>
      <c r="CO177" s="12"/>
      <c r="CP177" s="12"/>
      <c r="CQ177" s="12"/>
      <c r="CR177" s="12"/>
      <c r="CS177" s="12"/>
      <c r="CT177" s="12"/>
      <c r="CU177" s="12"/>
      <c r="CV177" s="12"/>
      <c r="CW177" s="12"/>
      <c r="CX177" s="12"/>
      <c r="CY177" s="12"/>
      <c r="CZ177" s="12"/>
      <c r="DA177" s="12"/>
      <c r="DB177" s="12"/>
      <c r="DC177" s="12"/>
      <c r="DD177" s="12"/>
      <c r="DE177" s="12"/>
      <c r="DF177" s="12"/>
      <c r="DG177" s="12"/>
      <c r="DH177" s="12"/>
      <c r="DI177" s="12"/>
      <c r="DJ177" s="12"/>
      <c r="DK177" s="12"/>
      <c r="DL177" s="12"/>
      <c r="DM177" s="12"/>
      <c r="DN177" s="12"/>
      <c r="DO177" s="12"/>
      <c r="DP177" s="12"/>
      <c r="DQ177" s="12"/>
      <c r="DR177" s="12"/>
      <c r="DS177" s="12"/>
      <c r="DT177" s="12"/>
      <c r="DU177" s="12"/>
      <c r="DV177" s="12"/>
      <c r="DW177" s="12"/>
      <c r="DX177" s="12"/>
      <c r="DY177" s="12"/>
      <c r="DZ177" s="12"/>
      <c r="EA177" s="12"/>
      <c r="EB177" s="12"/>
      <c r="EC177" s="12"/>
      <c r="ED177" s="12"/>
      <c r="EE177" s="12"/>
      <c r="EF177" s="12"/>
      <c r="EG177" s="12"/>
      <c r="EH177" s="12"/>
      <c r="EI177" s="12"/>
      <c r="EJ177" s="12"/>
      <c r="EK177" s="12"/>
      <c r="EL177" s="12"/>
    </row>
    <row r="178" spans="1:142" s="78" customFormat="1">
      <c r="A178" s="89"/>
      <c r="B178" s="78" t="s">
        <v>309</v>
      </c>
      <c r="D178" s="1321">
        <v>0.13</v>
      </c>
      <c r="E178" s="441">
        <f>NPV(D178,E196:AI196)</f>
        <v>4151.8275545554243</v>
      </c>
      <c r="F178" s="184"/>
      <c r="G178" s="184"/>
      <c r="H178" s="184"/>
      <c r="I178" s="184"/>
      <c r="J178" s="184"/>
      <c r="K178" s="184"/>
      <c r="L178" s="184"/>
      <c r="M178" s="184"/>
      <c r="N178" s="184"/>
      <c r="O178" s="184"/>
      <c r="P178" s="184"/>
      <c r="Q178" s="184"/>
      <c r="R178" s="184"/>
      <c r="S178" s="184"/>
      <c r="T178" s="184"/>
      <c r="U178" s="184"/>
      <c r="V178" s="184"/>
      <c r="W178" s="184"/>
      <c r="X178" s="184"/>
      <c r="Y178" s="184"/>
      <c r="Z178" s="184"/>
      <c r="AA178" s="184"/>
      <c r="AB178" s="184"/>
      <c r="AC178" s="184"/>
      <c r="AD178" s="184"/>
      <c r="AE178" s="184"/>
      <c r="AF178" s="184"/>
      <c r="AG178" s="184"/>
      <c r="AH178" s="184"/>
      <c r="AI178" s="184"/>
      <c r="AJ178" s="77"/>
      <c r="AK178" s="77"/>
      <c r="AL178" s="77"/>
      <c r="AM178" s="77"/>
      <c r="AN178" s="77"/>
      <c r="AO178" s="77"/>
      <c r="AP178" s="77"/>
      <c r="AQ178" s="77"/>
      <c r="AR178" s="77"/>
      <c r="AS178" s="77"/>
      <c r="AT178" s="77"/>
      <c r="AU178" s="77"/>
      <c r="AV178" s="77"/>
      <c r="AW178" s="77"/>
      <c r="AX178" s="77"/>
      <c r="AY178" s="77"/>
      <c r="AZ178" s="77"/>
      <c r="BA178" s="77"/>
      <c r="BB178" s="77"/>
      <c r="BC178" s="77"/>
      <c r="BD178" s="77"/>
      <c r="BE178" s="77"/>
      <c r="BF178" s="77"/>
      <c r="BG178" s="77"/>
      <c r="BH178" s="77"/>
      <c r="BI178" s="77"/>
      <c r="BJ178" s="77"/>
      <c r="BK178" s="77"/>
      <c r="BL178" s="77"/>
      <c r="BM178" s="77"/>
      <c r="BN178" s="77"/>
      <c r="BO178" s="77"/>
      <c r="BP178" s="77"/>
      <c r="BQ178" s="77"/>
      <c r="BR178" s="77"/>
      <c r="BS178" s="77"/>
      <c r="BT178" s="77"/>
      <c r="BU178" s="77"/>
      <c r="BV178" s="77"/>
      <c r="BW178" s="77"/>
      <c r="BX178" s="77"/>
      <c r="BY178" s="77"/>
      <c r="BZ178" s="77"/>
      <c r="CA178" s="77"/>
      <c r="CB178" s="77"/>
      <c r="CC178" s="77"/>
      <c r="CD178" s="77"/>
      <c r="CE178" s="77"/>
      <c r="CF178" s="77"/>
      <c r="CG178" s="77"/>
      <c r="CH178" s="77"/>
      <c r="CI178" s="77"/>
      <c r="CJ178" s="77"/>
      <c r="CK178" s="77"/>
      <c r="CL178" s="77"/>
      <c r="CM178" s="77"/>
      <c r="CN178" s="77"/>
      <c r="CO178" s="77"/>
      <c r="CP178" s="77"/>
      <c r="CQ178" s="77"/>
      <c r="CR178" s="77"/>
      <c r="CS178" s="77"/>
      <c r="CT178" s="77"/>
      <c r="CU178" s="77"/>
      <c r="CV178" s="77"/>
      <c r="CW178" s="77"/>
      <c r="CX178" s="77"/>
      <c r="CY178" s="77"/>
      <c r="CZ178" s="77"/>
      <c r="DA178" s="77"/>
      <c r="DB178" s="77"/>
      <c r="DC178" s="77"/>
      <c r="DD178" s="77"/>
      <c r="DE178" s="77"/>
      <c r="DF178" s="77"/>
      <c r="DG178" s="77"/>
      <c r="DH178" s="77"/>
      <c r="DI178" s="77"/>
      <c r="DJ178" s="77"/>
      <c r="DK178" s="77"/>
      <c r="DL178" s="77"/>
      <c r="DM178" s="77"/>
      <c r="DN178" s="77"/>
      <c r="DO178" s="77"/>
      <c r="DP178" s="77"/>
      <c r="DQ178" s="77"/>
      <c r="DR178" s="77"/>
      <c r="DS178" s="77"/>
      <c r="DT178" s="77"/>
      <c r="DU178" s="77"/>
      <c r="DV178" s="77"/>
      <c r="DW178" s="77"/>
      <c r="DX178" s="77"/>
      <c r="DY178" s="77"/>
      <c r="DZ178" s="77"/>
      <c r="EA178" s="77"/>
      <c r="EB178" s="77"/>
      <c r="EC178" s="77"/>
      <c r="ED178" s="77"/>
      <c r="EE178" s="77"/>
      <c r="EF178" s="77"/>
      <c r="EG178" s="77"/>
      <c r="EH178" s="77"/>
      <c r="EI178" s="77"/>
      <c r="EJ178" s="77"/>
      <c r="EK178" s="77"/>
      <c r="EL178" s="77"/>
    </row>
    <row r="179" spans="1:142" s="76" customFormat="1">
      <c r="A179" s="105"/>
      <c r="B179" s="78" t="s">
        <v>552</v>
      </c>
      <c r="C179" s="68"/>
      <c r="D179" s="693">
        <v>1</v>
      </c>
      <c r="E179" s="1082"/>
      <c r="F179" s="105"/>
      <c r="G179" s="105"/>
      <c r="H179" s="105"/>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c r="CJ179" s="12"/>
      <c r="CK179" s="12"/>
      <c r="CL179" s="12"/>
      <c r="CM179" s="12"/>
      <c r="CN179" s="12"/>
      <c r="CO179" s="12"/>
      <c r="CP179" s="12"/>
      <c r="CQ179" s="12"/>
      <c r="CR179" s="12"/>
      <c r="CS179" s="12"/>
      <c r="CT179" s="12"/>
      <c r="CU179" s="12"/>
      <c r="CV179" s="12"/>
      <c r="CW179" s="12"/>
      <c r="CX179" s="12"/>
      <c r="CY179" s="12"/>
      <c r="CZ179" s="12"/>
      <c r="DA179" s="12"/>
      <c r="DB179" s="12"/>
      <c r="DC179" s="12"/>
      <c r="DD179" s="12"/>
      <c r="DE179" s="12"/>
      <c r="DF179" s="12"/>
      <c r="DG179" s="12"/>
      <c r="DH179" s="12"/>
      <c r="DI179" s="12"/>
      <c r="DJ179" s="12"/>
      <c r="DK179" s="12"/>
      <c r="DL179" s="12"/>
      <c r="DM179" s="12"/>
      <c r="DN179" s="12"/>
      <c r="DO179" s="12"/>
      <c r="DP179" s="12"/>
      <c r="DQ179" s="12"/>
      <c r="DR179" s="12"/>
      <c r="DS179" s="12"/>
      <c r="DT179" s="12"/>
      <c r="DU179" s="12"/>
      <c r="DV179" s="12"/>
      <c r="DW179" s="12"/>
      <c r="DX179" s="12"/>
      <c r="DY179" s="12"/>
      <c r="DZ179" s="12"/>
      <c r="EA179" s="12"/>
      <c r="EB179" s="12"/>
      <c r="EC179" s="12"/>
      <c r="ED179" s="12"/>
      <c r="EE179" s="12"/>
      <c r="EF179" s="12"/>
      <c r="EG179" s="12"/>
      <c r="EH179" s="12"/>
      <c r="EI179" s="12"/>
      <c r="EJ179" s="12"/>
      <c r="EK179" s="12"/>
      <c r="EL179" s="12"/>
    </row>
    <row r="180" spans="1:142" s="76" customFormat="1">
      <c r="A180" s="105"/>
      <c r="B180" s="78"/>
      <c r="C180" s="68"/>
      <c r="D180" s="105"/>
      <c r="E180" s="353"/>
      <c r="F180" s="105"/>
      <c r="G180" s="105"/>
      <c r="H180" s="105"/>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2"/>
      <c r="CJ180" s="12"/>
      <c r="CK180" s="12"/>
      <c r="CL180" s="12"/>
      <c r="CM180" s="12"/>
      <c r="CN180" s="12"/>
      <c r="CO180" s="12"/>
      <c r="CP180" s="12"/>
      <c r="CQ180" s="12"/>
      <c r="CR180" s="12"/>
      <c r="CS180" s="12"/>
      <c r="CT180" s="12"/>
      <c r="CU180" s="12"/>
      <c r="CV180" s="12"/>
      <c r="CW180" s="12"/>
      <c r="CX180" s="12"/>
      <c r="CY180" s="12"/>
      <c r="CZ180" s="12"/>
      <c r="DA180" s="12"/>
      <c r="DB180" s="12"/>
      <c r="DC180" s="12"/>
      <c r="DD180" s="12"/>
      <c r="DE180" s="12"/>
      <c r="DF180" s="12"/>
      <c r="DG180" s="12"/>
      <c r="DH180" s="12"/>
      <c r="DI180" s="12"/>
      <c r="DJ180" s="12"/>
      <c r="DK180" s="12"/>
      <c r="DL180" s="12"/>
      <c r="DM180" s="12"/>
      <c r="DN180" s="12"/>
      <c r="DO180" s="12"/>
      <c r="DP180" s="12"/>
      <c r="DQ180" s="12"/>
      <c r="DR180" s="12"/>
      <c r="DS180" s="12"/>
      <c r="DT180" s="12"/>
      <c r="DU180" s="12"/>
      <c r="DV180" s="12"/>
      <c r="DW180" s="12"/>
      <c r="DX180" s="12"/>
      <c r="DY180" s="12"/>
      <c r="DZ180" s="12"/>
      <c r="EA180" s="12"/>
      <c r="EB180" s="12"/>
      <c r="EC180" s="12"/>
      <c r="ED180" s="12"/>
      <c r="EE180" s="12"/>
      <c r="EF180" s="12"/>
      <c r="EG180" s="12"/>
      <c r="EH180" s="12"/>
      <c r="EI180" s="12"/>
      <c r="EJ180" s="12"/>
      <c r="EK180" s="12"/>
      <c r="EL180" s="12"/>
    </row>
    <row r="181" spans="1:142" s="76" customFormat="1">
      <c r="A181" s="105"/>
      <c r="B181" s="78"/>
      <c r="C181" s="79"/>
      <c r="D181" s="108"/>
      <c r="E181" s="244">
        <v>1</v>
      </c>
      <c r="F181" s="245">
        <v>2</v>
      </c>
      <c r="G181" s="245">
        <v>3</v>
      </c>
      <c r="H181" s="245">
        <v>4</v>
      </c>
      <c r="I181" s="245">
        <v>5</v>
      </c>
      <c r="J181" s="245">
        <v>6</v>
      </c>
      <c r="K181" s="245">
        <v>7</v>
      </c>
      <c r="L181" s="245">
        <v>8</v>
      </c>
      <c r="M181" s="245">
        <v>9</v>
      </c>
      <c r="N181" s="245">
        <v>10</v>
      </c>
      <c r="O181" s="245">
        <v>11</v>
      </c>
      <c r="P181" s="245">
        <v>12</v>
      </c>
      <c r="Q181" s="245">
        <v>13</v>
      </c>
      <c r="R181" s="245">
        <v>14</v>
      </c>
      <c r="S181" s="245">
        <v>15</v>
      </c>
      <c r="T181" s="245">
        <v>16</v>
      </c>
      <c r="U181" s="245">
        <v>17</v>
      </c>
      <c r="V181" s="245">
        <v>18</v>
      </c>
      <c r="W181" s="245">
        <v>19</v>
      </c>
      <c r="X181" s="245">
        <v>20</v>
      </c>
      <c r="Y181" s="245">
        <v>21</v>
      </c>
      <c r="Z181" s="245">
        <v>22</v>
      </c>
      <c r="AA181" s="245">
        <v>23</v>
      </c>
      <c r="AB181" s="245">
        <v>24</v>
      </c>
      <c r="AC181" s="245">
        <v>25</v>
      </c>
      <c r="AD181" s="245">
        <v>26</v>
      </c>
      <c r="AE181" s="245">
        <v>27</v>
      </c>
      <c r="AF181" s="245">
        <v>28</v>
      </c>
      <c r="AG181" s="245">
        <v>29</v>
      </c>
      <c r="AH181" s="246">
        <v>30</v>
      </c>
      <c r="AI181" s="246">
        <v>31</v>
      </c>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12"/>
      <c r="CI181" s="12"/>
      <c r="CJ181" s="12"/>
      <c r="CK181" s="12"/>
      <c r="CL181" s="12"/>
      <c r="CM181" s="12"/>
      <c r="CN181" s="12"/>
      <c r="CO181" s="12"/>
      <c r="CP181" s="12"/>
      <c r="CQ181" s="12"/>
      <c r="CR181" s="12"/>
      <c r="CS181" s="12"/>
      <c r="CT181" s="12"/>
      <c r="CU181" s="12"/>
      <c r="CV181" s="12"/>
      <c r="CW181" s="12"/>
      <c r="CX181" s="12"/>
      <c r="CY181" s="12"/>
      <c r="CZ181" s="12"/>
      <c r="DA181" s="12"/>
      <c r="DB181" s="12"/>
      <c r="DC181" s="12"/>
      <c r="DD181" s="12"/>
      <c r="DE181" s="12"/>
      <c r="DF181" s="12"/>
      <c r="DG181" s="12"/>
      <c r="DH181" s="12"/>
      <c r="DI181" s="12"/>
      <c r="DJ181" s="12"/>
      <c r="DK181" s="12"/>
      <c r="DL181" s="12"/>
      <c r="DM181" s="12"/>
      <c r="DN181" s="12"/>
      <c r="DO181" s="12"/>
      <c r="DP181" s="12"/>
      <c r="DQ181" s="12"/>
      <c r="DR181" s="12"/>
      <c r="DS181" s="12"/>
      <c r="DT181" s="12"/>
      <c r="DU181" s="12"/>
      <c r="DV181" s="12"/>
      <c r="DW181" s="12"/>
      <c r="DX181" s="12"/>
      <c r="DY181" s="12"/>
      <c r="DZ181" s="12"/>
      <c r="EA181" s="12"/>
      <c r="EB181" s="12"/>
      <c r="EC181" s="12"/>
      <c r="ED181" s="12"/>
      <c r="EE181" s="12"/>
      <c r="EF181" s="12"/>
      <c r="EG181" s="12"/>
      <c r="EH181" s="12"/>
      <c r="EI181" s="12"/>
      <c r="EJ181" s="12"/>
      <c r="EK181" s="12"/>
      <c r="EL181" s="12"/>
    </row>
    <row r="182" spans="1:142" s="78" customFormat="1">
      <c r="A182" s="89"/>
      <c r="B182" s="821" t="s">
        <v>683</v>
      </c>
      <c r="D182" s="79"/>
      <c r="E182" s="247">
        <f>Assum!$H$25</f>
        <v>2002</v>
      </c>
      <c r="F182" s="248">
        <f t="shared" ref="F182:AI182" si="37">E182+1</f>
        <v>2003</v>
      </c>
      <c r="G182" s="248">
        <f t="shared" si="37"/>
        <v>2004</v>
      </c>
      <c r="H182" s="248">
        <f t="shared" si="37"/>
        <v>2005</v>
      </c>
      <c r="I182" s="248">
        <f t="shared" si="37"/>
        <v>2006</v>
      </c>
      <c r="J182" s="248">
        <f t="shared" si="37"/>
        <v>2007</v>
      </c>
      <c r="K182" s="248">
        <f t="shared" si="37"/>
        <v>2008</v>
      </c>
      <c r="L182" s="248">
        <f t="shared" si="37"/>
        <v>2009</v>
      </c>
      <c r="M182" s="248">
        <f t="shared" si="37"/>
        <v>2010</v>
      </c>
      <c r="N182" s="248">
        <f t="shared" si="37"/>
        <v>2011</v>
      </c>
      <c r="O182" s="248">
        <f t="shared" si="37"/>
        <v>2012</v>
      </c>
      <c r="P182" s="248">
        <f t="shared" si="37"/>
        <v>2013</v>
      </c>
      <c r="Q182" s="248">
        <f t="shared" si="37"/>
        <v>2014</v>
      </c>
      <c r="R182" s="248">
        <f t="shared" si="37"/>
        <v>2015</v>
      </c>
      <c r="S182" s="248">
        <f t="shared" si="37"/>
        <v>2016</v>
      </c>
      <c r="T182" s="248">
        <f t="shared" si="37"/>
        <v>2017</v>
      </c>
      <c r="U182" s="248">
        <f t="shared" si="37"/>
        <v>2018</v>
      </c>
      <c r="V182" s="248">
        <f t="shared" si="37"/>
        <v>2019</v>
      </c>
      <c r="W182" s="248">
        <f t="shared" si="37"/>
        <v>2020</v>
      </c>
      <c r="X182" s="248">
        <f t="shared" si="37"/>
        <v>2021</v>
      </c>
      <c r="Y182" s="248">
        <f t="shared" si="37"/>
        <v>2022</v>
      </c>
      <c r="Z182" s="248">
        <f t="shared" si="37"/>
        <v>2023</v>
      </c>
      <c r="AA182" s="248">
        <f t="shared" si="37"/>
        <v>2024</v>
      </c>
      <c r="AB182" s="248">
        <f t="shared" si="37"/>
        <v>2025</v>
      </c>
      <c r="AC182" s="248">
        <f t="shared" si="37"/>
        <v>2026</v>
      </c>
      <c r="AD182" s="248">
        <f t="shared" si="37"/>
        <v>2027</v>
      </c>
      <c r="AE182" s="248">
        <f t="shared" si="37"/>
        <v>2028</v>
      </c>
      <c r="AF182" s="248">
        <f t="shared" si="37"/>
        <v>2029</v>
      </c>
      <c r="AG182" s="248">
        <f t="shared" si="37"/>
        <v>2030</v>
      </c>
      <c r="AH182" s="249">
        <f t="shared" si="37"/>
        <v>2031</v>
      </c>
      <c r="AI182" s="249">
        <f t="shared" si="37"/>
        <v>2032</v>
      </c>
      <c r="AJ182" s="123"/>
      <c r="AK182" s="123"/>
      <c r="AL182" s="123"/>
      <c r="AM182" s="123"/>
      <c r="AN182" s="123"/>
      <c r="AO182" s="123"/>
      <c r="AP182" s="123"/>
      <c r="AQ182" s="123"/>
      <c r="AR182" s="123"/>
      <c r="AS182" s="123"/>
      <c r="AT182" s="123"/>
      <c r="AU182" s="123"/>
      <c r="AV182" s="123"/>
      <c r="AW182" s="123"/>
      <c r="AX182" s="123"/>
      <c r="AY182" s="123"/>
      <c r="AZ182" s="123"/>
      <c r="BA182" s="123"/>
      <c r="BB182" s="123"/>
      <c r="BC182" s="123"/>
      <c r="BD182" s="123"/>
      <c r="BE182" s="77"/>
      <c r="BF182" s="77"/>
      <c r="BG182" s="77"/>
      <c r="BH182" s="77"/>
      <c r="BI182" s="77"/>
      <c r="BJ182" s="77"/>
      <c r="BK182" s="77"/>
      <c r="BL182" s="77"/>
      <c r="BM182" s="77"/>
      <c r="BN182" s="77"/>
      <c r="BO182" s="77"/>
      <c r="BP182" s="77"/>
      <c r="BQ182" s="77"/>
      <c r="BR182" s="77"/>
      <c r="BS182" s="77"/>
      <c r="BT182" s="77"/>
      <c r="BU182" s="77"/>
      <c r="BV182" s="77"/>
      <c r="BW182" s="77"/>
      <c r="BX182" s="77"/>
      <c r="BY182" s="77"/>
      <c r="BZ182" s="77"/>
      <c r="CA182" s="77"/>
      <c r="CB182" s="77"/>
      <c r="CC182" s="77"/>
      <c r="CD182" s="77"/>
      <c r="CE182" s="77"/>
      <c r="CF182" s="77"/>
      <c r="CG182" s="77"/>
      <c r="CH182" s="77"/>
      <c r="CI182" s="77"/>
      <c r="CJ182" s="77"/>
      <c r="CK182" s="77"/>
      <c r="CL182" s="77"/>
      <c r="CM182" s="77"/>
      <c r="CN182" s="77"/>
      <c r="CO182" s="77"/>
      <c r="CP182" s="77"/>
      <c r="CQ182" s="77"/>
      <c r="CR182" s="77"/>
      <c r="CS182" s="77"/>
      <c r="CT182" s="77"/>
      <c r="CU182" s="77"/>
      <c r="CV182" s="77"/>
      <c r="CW182" s="77"/>
      <c r="CX182" s="77"/>
      <c r="CY182" s="77"/>
      <c r="CZ182" s="77"/>
      <c r="DA182" s="77"/>
      <c r="DB182" s="77"/>
      <c r="DC182" s="77"/>
      <c r="DD182" s="77"/>
      <c r="DE182" s="77"/>
      <c r="DF182" s="77"/>
      <c r="DG182" s="77"/>
      <c r="DH182" s="77"/>
      <c r="DI182" s="77"/>
      <c r="DJ182" s="77"/>
      <c r="DK182" s="77"/>
      <c r="DL182" s="77"/>
      <c r="DM182" s="77"/>
      <c r="DN182" s="77"/>
      <c r="DO182" s="77"/>
      <c r="DP182" s="77"/>
      <c r="DQ182" s="77"/>
      <c r="DR182" s="77"/>
      <c r="DS182" s="77"/>
      <c r="DT182" s="77"/>
      <c r="DU182" s="77"/>
      <c r="DV182" s="77"/>
      <c r="DW182" s="77"/>
      <c r="DX182" s="77"/>
      <c r="DY182" s="77"/>
      <c r="DZ182" s="77"/>
      <c r="EA182" s="77"/>
      <c r="EB182" s="77"/>
      <c r="EC182" s="77"/>
      <c r="ED182" s="77"/>
      <c r="EE182" s="77"/>
      <c r="EF182" s="77"/>
      <c r="EG182" s="77"/>
      <c r="EH182" s="77"/>
      <c r="EI182" s="77"/>
      <c r="EJ182" s="77"/>
      <c r="EK182" s="77"/>
      <c r="EL182" s="77"/>
    </row>
    <row r="183" spans="1:142" s="359" customFormat="1">
      <c r="A183" s="184"/>
      <c r="B183" s="285" t="s">
        <v>233</v>
      </c>
      <c r="C183"/>
      <c r="D183" s="184"/>
      <c r="E183" s="184">
        <f t="shared" ref="E183:AI183" si="38">E137*$F$30</f>
        <v>946</v>
      </c>
      <c r="F183" s="184">
        <f t="shared" si="38"/>
        <v>969.64999999999986</v>
      </c>
      <c r="G183" s="184">
        <f t="shared" si="38"/>
        <v>993.89124999999979</v>
      </c>
      <c r="H183" s="184">
        <f t="shared" si="38"/>
        <v>1018.7385312499998</v>
      </c>
      <c r="I183" s="184">
        <f t="shared" si="38"/>
        <v>1044.2069945312498</v>
      </c>
      <c r="J183" s="184">
        <f t="shared" si="38"/>
        <v>1070.3121693945309</v>
      </c>
      <c r="K183" s="184">
        <f t="shared" si="38"/>
        <v>1097.0699736293941</v>
      </c>
      <c r="L183" s="184">
        <f t="shared" si="38"/>
        <v>1124.4967229701288</v>
      </c>
      <c r="M183" s="184">
        <f t="shared" si="38"/>
        <v>1152.6091410443819</v>
      </c>
      <c r="N183" s="184">
        <f t="shared" si="38"/>
        <v>1181.4243695704913</v>
      </c>
      <c r="O183" s="184">
        <f t="shared" si="38"/>
        <v>1210.9599788097535</v>
      </c>
      <c r="P183" s="184">
        <f t="shared" si="38"/>
        <v>1241.2339782799972</v>
      </c>
      <c r="Q183" s="184">
        <f t="shared" si="38"/>
        <v>1272.2648277369969</v>
      </c>
      <c r="R183" s="184">
        <f t="shared" si="38"/>
        <v>1304.0714484304219</v>
      </c>
      <c r="S183" s="184">
        <f t="shared" si="38"/>
        <v>1336.6732346411823</v>
      </c>
      <c r="T183" s="184">
        <f t="shared" si="38"/>
        <v>1370.0900655072119</v>
      </c>
      <c r="U183" s="184">
        <f t="shared" si="38"/>
        <v>1404.3423171448919</v>
      </c>
      <c r="V183" s="184">
        <f t="shared" si="38"/>
        <v>1439.4508750735142</v>
      </c>
      <c r="W183" s="184">
        <f t="shared" si="38"/>
        <v>1475.4371469503519</v>
      </c>
      <c r="X183" s="184">
        <f t="shared" si="38"/>
        <v>1512.3230756241105</v>
      </c>
      <c r="Y183" s="184">
        <f t="shared" si="38"/>
        <v>1550.1311525147132</v>
      </c>
      <c r="Z183" s="184">
        <f t="shared" si="38"/>
        <v>1588.8844313275808</v>
      </c>
      <c r="AA183" s="184">
        <f t="shared" si="38"/>
        <v>1628.6065421107705</v>
      </c>
      <c r="AB183" s="184">
        <f t="shared" si="38"/>
        <v>1669.3217056635394</v>
      </c>
      <c r="AC183" s="184">
        <f t="shared" si="38"/>
        <v>1711.0547483051278</v>
      </c>
      <c r="AD183" s="184">
        <f t="shared" si="38"/>
        <v>1753.8311170127558</v>
      </c>
      <c r="AE183" s="184">
        <f t="shared" si="38"/>
        <v>1797.6768949380746</v>
      </c>
      <c r="AF183" s="184">
        <f t="shared" si="38"/>
        <v>1842.6188173115263</v>
      </c>
      <c r="AG183" s="184">
        <f t="shared" si="38"/>
        <v>1888.6842877443141</v>
      </c>
      <c r="AH183" s="184">
        <f t="shared" si="38"/>
        <v>1935.9013949379219</v>
      </c>
      <c r="AI183" s="184">
        <f t="shared" si="38"/>
        <v>1984.2989298113696</v>
      </c>
      <c r="AJ183" s="184"/>
      <c r="AK183" s="184"/>
      <c r="AL183" s="184"/>
      <c r="AM183" s="184"/>
      <c r="AN183" s="184"/>
      <c r="AO183" s="184"/>
      <c r="AP183" s="184"/>
      <c r="AQ183" s="184"/>
      <c r="AR183" s="184"/>
      <c r="AS183" s="184"/>
      <c r="AT183" s="184"/>
      <c r="AU183" s="184"/>
      <c r="AV183" s="184"/>
      <c r="AW183" s="184"/>
      <c r="AX183" s="184"/>
      <c r="AY183" s="184"/>
      <c r="AZ183" s="184"/>
      <c r="BA183" s="184"/>
      <c r="BB183" s="184"/>
      <c r="BC183" s="184"/>
      <c r="BD183" s="184"/>
      <c r="BE183" s="184"/>
      <c r="BF183" s="184"/>
      <c r="BG183" s="184"/>
      <c r="BH183" s="184"/>
      <c r="BI183" s="184"/>
      <c r="BJ183" s="184"/>
      <c r="BK183" s="184"/>
      <c r="BL183" s="184"/>
      <c r="BM183" s="184"/>
      <c r="BN183" s="184"/>
      <c r="BO183" s="184"/>
      <c r="BP183" s="184"/>
      <c r="BQ183" s="184"/>
      <c r="BR183" s="184"/>
      <c r="BS183" s="184"/>
      <c r="BT183" s="184"/>
      <c r="BU183" s="184"/>
      <c r="BV183" s="184"/>
      <c r="BW183" s="184"/>
      <c r="BX183" s="184"/>
      <c r="BY183" s="184"/>
      <c r="BZ183" s="184"/>
      <c r="CA183" s="184"/>
      <c r="CB183" s="184"/>
      <c r="CC183" s="184"/>
      <c r="CD183" s="184"/>
      <c r="CE183" s="184"/>
      <c r="CF183" s="184"/>
      <c r="CG183" s="184"/>
      <c r="CH183" s="184"/>
      <c r="CI183" s="184"/>
      <c r="CJ183" s="184"/>
      <c r="CK183" s="184"/>
      <c r="CL183" s="184"/>
      <c r="CM183" s="184"/>
      <c r="CN183" s="184"/>
      <c r="CO183" s="184"/>
      <c r="CP183" s="184"/>
      <c r="CQ183" s="184"/>
      <c r="CR183" s="184"/>
      <c r="CS183" s="184"/>
      <c r="CT183" s="184"/>
      <c r="CU183" s="184"/>
      <c r="CV183" s="184"/>
      <c r="CW183" s="184"/>
      <c r="CX183" s="184"/>
      <c r="CY183" s="184"/>
      <c r="CZ183" s="184"/>
      <c r="DA183" s="184"/>
      <c r="DB183" s="184"/>
      <c r="DC183" s="184"/>
      <c r="DD183" s="184"/>
      <c r="DE183" s="184"/>
      <c r="DF183" s="184"/>
      <c r="DG183" s="184"/>
      <c r="DH183" s="184"/>
      <c r="DI183" s="184"/>
      <c r="DJ183" s="184"/>
      <c r="DK183" s="184"/>
      <c r="DL183" s="184"/>
      <c r="DM183" s="184"/>
      <c r="DN183" s="184"/>
      <c r="DO183" s="184"/>
      <c r="DP183" s="184"/>
      <c r="DQ183" s="184"/>
      <c r="DR183" s="184"/>
      <c r="DS183" s="184"/>
      <c r="DT183" s="184"/>
      <c r="DU183" s="184"/>
      <c r="DV183" s="184"/>
      <c r="DW183" s="184"/>
      <c r="DX183" s="184"/>
      <c r="DY183" s="184"/>
      <c r="DZ183" s="184"/>
      <c r="EA183" s="184"/>
      <c r="EB183" s="184"/>
      <c r="EC183" s="184"/>
      <c r="ED183" s="184"/>
      <c r="EE183" s="184"/>
      <c r="EF183" s="184"/>
      <c r="EG183" s="184"/>
      <c r="EH183" s="184"/>
      <c r="EI183" s="184"/>
      <c r="EJ183" s="184"/>
      <c r="EK183" s="184"/>
      <c r="EL183" s="184"/>
    </row>
    <row r="184" spans="1:142" s="359" customFormat="1">
      <c r="A184" s="184"/>
      <c r="B184" s="285" t="s">
        <v>567</v>
      </c>
      <c r="C184"/>
      <c r="D184" s="184"/>
      <c r="E184" s="184">
        <f t="shared" ref="E184:AI184" si="39">E138*$F$30</f>
        <v>0</v>
      </c>
      <c r="F184" s="184">
        <f t="shared" si="39"/>
        <v>0</v>
      </c>
      <c r="G184" s="184">
        <f t="shared" si="39"/>
        <v>0</v>
      </c>
      <c r="H184" s="184">
        <f t="shared" si="39"/>
        <v>0</v>
      </c>
      <c r="I184" s="184">
        <f t="shared" si="39"/>
        <v>0</v>
      </c>
      <c r="J184" s="184">
        <f t="shared" si="39"/>
        <v>815.1191314319525</v>
      </c>
      <c r="K184" s="184">
        <f t="shared" si="39"/>
        <v>906.5878685625388</v>
      </c>
      <c r="L184" s="184">
        <f t="shared" si="39"/>
        <v>1008.320786166434</v>
      </c>
      <c r="M184" s="184">
        <f t="shared" si="39"/>
        <v>1121.4696810661769</v>
      </c>
      <c r="N184" s="184">
        <f t="shared" si="39"/>
        <v>1170.4941392716821</v>
      </c>
      <c r="O184" s="184">
        <f t="shared" si="39"/>
        <v>1221.6616759240862</v>
      </c>
      <c r="P184" s="184">
        <f t="shared" si="39"/>
        <v>1275.0659745723292</v>
      </c>
      <c r="Q184" s="184">
        <f t="shared" si="39"/>
        <v>1330.8048140924984</v>
      </c>
      <c r="R184" s="184">
        <f t="shared" si="39"/>
        <v>1388.980247712904</v>
      </c>
      <c r="S184" s="184">
        <f t="shared" si="39"/>
        <v>1449.6987898651423</v>
      </c>
      <c r="T184" s="184">
        <f t="shared" si="39"/>
        <v>1513.0716112032533</v>
      </c>
      <c r="U184" s="184">
        <f t="shared" si="39"/>
        <v>1513.0716112032533</v>
      </c>
      <c r="V184" s="184">
        <f t="shared" si="39"/>
        <v>1513.0716112032533</v>
      </c>
      <c r="W184" s="184">
        <f t="shared" si="39"/>
        <v>1513.0716112032533</v>
      </c>
      <c r="X184" s="184">
        <f t="shared" si="39"/>
        <v>1513.0716112032533</v>
      </c>
      <c r="Y184" s="184">
        <f t="shared" si="39"/>
        <v>1550.8984014833345</v>
      </c>
      <c r="Z184" s="184">
        <f t="shared" si="39"/>
        <v>1589.6708615204177</v>
      </c>
      <c r="AA184" s="184">
        <f t="shared" si="39"/>
        <v>1629.4126330584279</v>
      </c>
      <c r="AB184" s="184">
        <f t="shared" si="39"/>
        <v>1670.1479488848886</v>
      </c>
      <c r="AC184" s="184">
        <f t="shared" si="39"/>
        <v>1711.9016476070108</v>
      </c>
      <c r="AD184" s="184">
        <f t="shared" si="39"/>
        <v>1754.6991887971858</v>
      </c>
      <c r="AE184" s="184">
        <f t="shared" si="39"/>
        <v>1798.5666685171154</v>
      </c>
      <c r="AF184" s="184">
        <f t="shared" si="39"/>
        <v>1843.5308352300431</v>
      </c>
      <c r="AG184" s="184">
        <f t="shared" si="39"/>
        <v>1889.6191061107941</v>
      </c>
      <c r="AH184" s="184">
        <f t="shared" si="39"/>
        <v>1936.8595837635637</v>
      </c>
      <c r="AI184" s="184">
        <f t="shared" si="39"/>
        <v>1985.2810733576525</v>
      </c>
      <c r="AJ184" s="184"/>
      <c r="AK184" s="184"/>
      <c r="AL184" s="184"/>
      <c r="AM184" s="184"/>
      <c r="AN184" s="184"/>
      <c r="AO184" s="184"/>
      <c r="AP184" s="184"/>
      <c r="AQ184" s="184"/>
      <c r="AR184" s="184"/>
      <c r="AS184" s="184"/>
      <c r="AT184" s="184"/>
      <c r="AU184" s="184"/>
      <c r="AV184" s="184"/>
      <c r="AW184" s="184"/>
      <c r="AX184" s="184"/>
      <c r="AY184" s="184"/>
      <c r="AZ184" s="184"/>
      <c r="BA184" s="184"/>
      <c r="BB184" s="184"/>
      <c r="BC184" s="184"/>
      <c r="BD184" s="184"/>
      <c r="BE184" s="184"/>
      <c r="BF184" s="184"/>
      <c r="BG184" s="184"/>
      <c r="BH184" s="184"/>
      <c r="BI184" s="184"/>
      <c r="BJ184" s="184"/>
      <c r="BK184" s="184"/>
      <c r="BL184" s="184"/>
      <c r="BM184" s="184"/>
      <c r="BN184" s="184"/>
      <c r="BO184" s="184"/>
      <c r="BP184" s="184"/>
      <c r="BQ184" s="184"/>
      <c r="BR184" s="184"/>
      <c r="BS184" s="184"/>
      <c r="BT184" s="184"/>
      <c r="BU184" s="184"/>
      <c r="BV184" s="184"/>
      <c r="BW184" s="184"/>
      <c r="BX184" s="184"/>
      <c r="BY184" s="184"/>
      <c r="BZ184" s="184"/>
      <c r="CA184" s="184"/>
      <c r="CB184" s="184"/>
      <c r="CC184" s="184"/>
      <c r="CD184" s="184"/>
      <c r="CE184" s="184"/>
      <c r="CF184" s="184"/>
      <c r="CG184" s="184"/>
      <c r="CH184" s="184"/>
      <c r="CI184" s="184"/>
      <c r="CJ184" s="184"/>
      <c r="CK184" s="184"/>
      <c r="CL184" s="184"/>
      <c r="CM184" s="184"/>
      <c r="CN184" s="184"/>
      <c r="CO184" s="184"/>
      <c r="CP184" s="184"/>
      <c r="CQ184" s="184"/>
      <c r="CR184" s="184"/>
      <c r="CS184" s="184"/>
      <c r="CT184" s="184"/>
      <c r="CU184" s="184"/>
      <c r="CV184" s="184"/>
      <c r="CW184" s="184"/>
      <c r="CX184" s="184"/>
      <c r="CY184" s="184"/>
      <c r="CZ184" s="184"/>
      <c r="DA184" s="184"/>
      <c r="DB184" s="184"/>
      <c r="DC184" s="184"/>
      <c r="DD184" s="184"/>
      <c r="DE184" s="184"/>
      <c r="DF184" s="184"/>
      <c r="DG184" s="184"/>
      <c r="DH184" s="184"/>
      <c r="DI184" s="184"/>
      <c r="DJ184" s="184"/>
      <c r="DK184" s="184"/>
      <c r="DL184" s="184"/>
      <c r="DM184" s="184"/>
      <c r="DN184" s="184"/>
      <c r="DO184" s="184"/>
      <c r="DP184" s="184"/>
      <c r="DQ184" s="184"/>
      <c r="DR184" s="184"/>
      <c r="DS184" s="184"/>
      <c r="DT184" s="184"/>
      <c r="DU184" s="184"/>
      <c r="DV184" s="184"/>
      <c r="DW184" s="184"/>
      <c r="DX184" s="184"/>
      <c r="DY184" s="184"/>
      <c r="DZ184" s="184"/>
      <c r="EA184" s="184"/>
      <c r="EB184" s="184"/>
      <c r="EC184" s="184"/>
      <c r="ED184" s="184"/>
      <c r="EE184" s="184"/>
      <c r="EF184" s="184"/>
      <c r="EG184" s="184"/>
      <c r="EH184" s="184"/>
      <c r="EI184" s="184"/>
      <c r="EJ184" s="184"/>
      <c r="EK184" s="184"/>
      <c r="EL184" s="184"/>
    </row>
    <row r="185" spans="1:142" s="359" customFormat="1">
      <c r="A185" s="184"/>
      <c r="B185" s="285" t="s">
        <v>568</v>
      </c>
      <c r="C185"/>
      <c r="D185" s="184"/>
      <c r="E185" s="184">
        <f t="shared" ref="E185:AI185" si="40">$E$142/1000*$F$30*E111</f>
        <v>22.241105000000001</v>
      </c>
      <c r="F185" s="184">
        <f t="shared" si="40"/>
        <v>22.241105000000001</v>
      </c>
      <c r="G185" s="184">
        <f t="shared" si="40"/>
        <v>22.241105000000001</v>
      </c>
      <c r="H185" s="184">
        <f t="shared" si="40"/>
        <v>22.241105000000001</v>
      </c>
      <c r="I185" s="184">
        <f t="shared" si="40"/>
        <v>22.241105000000001</v>
      </c>
      <c r="J185" s="184">
        <f t="shared" si="40"/>
        <v>22.241105000000001</v>
      </c>
      <c r="K185" s="184">
        <f t="shared" si="40"/>
        <v>22.241105000000001</v>
      </c>
      <c r="L185" s="184">
        <f t="shared" si="40"/>
        <v>22.241105000000001</v>
      </c>
      <c r="M185" s="184">
        <f t="shared" si="40"/>
        <v>22.241105000000001</v>
      </c>
      <c r="N185" s="184">
        <f t="shared" si="40"/>
        <v>22.241105000000001</v>
      </c>
      <c r="O185" s="184">
        <f t="shared" si="40"/>
        <v>22.241105000000001</v>
      </c>
      <c r="P185" s="184">
        <f t="shared" si="40"/>
        <v>22.241105000000001</v>
      </c>
      <c r="Q185" s="184">
        <f t="shared" si="40"/>
        <v>22.241105000000001</v>
      </c>
      <c r="R185" s="184">
        <f t="shared" si="40"/>
        <v>22.241105000000001</v>
      </c>
      <c r="S185" s="184">
        <f t="shared" si="40"/>
        <v>22.241105000000001</v>
      </c>
      <c r="T185" s="184">
        <f t="shared" si="40"/>
        <v>22.241105000000001</v>
      </c>
      <c r="U185" s="184">
        <f t="shared" si="40"/>
        <v>22.241105000000001</v>
      </c>
      <c r="V185" s="184">
        <f t="shared" si="40"/>
        <v>22.241105000000001</v>
      </c>
      <c r="W185" s="184">
        <f t="shared" si="40"/>
        <v>22.241105000000001</v>
      </c>
      <c r="X185" s="184">
        <f t="shared" si="40"/>
        <v>22.241105000000001</v>
      </c>
      <c r="Y185" s="184">
        <f t="shared" si="40"/>
        <v>22.241105000000001</v>
      </c>
      <c r="Z185" s="184">
        <f t="shared" si="40"/>
        <v>22.241105000000001</v>
      </c>
      <c r="AA185" s="184">
        <f t="shared" si="40"/>
        <v>22.241105000000001</v>
      </c>
      <c r="AB185" s="184">
        <f t="shared" si="40"/>
        <v>22.241105000000001</v>
      </c>
      <c r="AC185" s="184">
        <f t="shared" si="40"/>
        <v>22.241105000000001</v>
      </c>
      <c r="AD185" s="184">
        <f t="shared" si="40"/>
        <v>22.241105000000001</v>
      </c>
      <c r="AE185" s="184">
        <f t="shared" si="40"/>
        <v>22.241105000000001</v>
      </c>
      <c r="AF185" s="184">
        <f t="shared" si="40"/>
        <v>22.241105000000001</v>
      </c>
      <c r="AG185" s="184">
        <f t="shared" si="40"/>
        <v>22.241105000000001</v>
      </c>
      <c r="AH185" s="184">
        <f t="shared" si="40"/>
        <v>22.241105000000001</v>
      </c>
      <c r="AI185" s="184">
        <f t="shared" si="40"/>
        <v>22.241105000000001</v>
      </c>
      <c r="AJ185" s="184"/>
      <c r="AK185" s="184"/>
      <c r="AL185" s="184"/>
      <c r="AM185" s="184"/>
      <c r="AN185" s="184"/>
      <c r="AO185" s="184"/>
      <c r="AP185" s="184"/>
      <c r="AQ185" s="184"/>
      <c r="AR185" s="184"/>
      <c r="AS185" s="184"/>
      <c r="AT185" s="184"/>
      <c r="AU185" s="184"/>
      <c r="AV185" s="184"/>
      <c r="AW185" s="184"/>
      <c r="AX185" s="184"/>
      <c r="AY185" s="184"/>
      <c r="AZ185" s="184"/>
      <c r="BA185" s="184"/>
      <c r="BB185" s="184"/>
      <c r="BC185" s="184"/>
      <c r="BD185" s="184"/>
      <c r="BE185" s="184"/>
      <c r="BF185" s="184"/>
      <c r="BG185" s="184"/>
      <c r="BH185" s="184"/>
      <c r="BI185" s="184"/>
      <c r="BJ185" s="184"/>
      <c r="BK185" s="184"/>
      <c r="BL185" s="184"/>
      <c r="BM185" s="184"/>
      <c r="BN185" s="184"/>
      <c r="BO185" s="184"/>
      <c r="BP185" s="184"/>
      <c r="BQ185" s="184"/>
      <c r="BR185" s="184"/>
      <c r="BS185" s="184"/>
      <c r="BT185" s="184"/>
      <c r="BU185" s="184"/>
      <c r="BV185" s="184"/>
      <c r="BW185" s="184"/>
      <c r="BX185" s="184"/>
      <c r="BY185" s="184"/>
      <c r="BZ185" s="184"/>
      <c r="CA185" s="184"/>
      <c r="CB185" s="184"/>
      <c r="CC185" s="184"/>
      <c r="CD185" s="184"/>
      <c r="CE185" s="184"/>
      <c r="CF185" s="184"/>
      <c r="CG185" s="184"/>
      <c r="CH185" s="184"/>
      <c r="CI185" s="184"/>
      <c r="CJ185" s="184"/>
      <c r="CK185" s="184"/>
      <c r="CL185" s="184"/>
      <c r="CM185" s="184"/>
      <c r="CN185" s="184"/>
      <c r="CO185" s="184"/>
      <c r="CP185" s="184"/>
      <c r="CQ185" s="184"/>
      <c r="CR185" s="184"/>
      <c r="CS185" s="184"/>
      <c r="CT185" s="184"/>
      <c r="CU185" s="184"/>
      <c r="CV185" s="184"/>
      <c r="CW185" s="184"/>
      <c r="CX185" s="184"/>
      <c r="CY185" s="184"/>
      <c r="CZ185" s="184"/>
      <c r="DA185" s="184"/>
      <c r="DB185" s="184"/>
      <c r="DC185" s="184"/>
      <c r="DD185" s="184"/>
      <c r="DE185" s="184"/>
      <c r="DF185" s="184"/>
      <c r="DG185" s="184"/>
      <c r="DH185" s="184"/>
      <c r="DI185" s="184"/>
      <c r="DJ185" s="184"/>
      <c r="DK185" s="184"/>
      <c r="DL185" s="184"/>
      <c r="DM185" s="184"/>
      <c r="DN185" s="184"/>
      <c r="DO185" s="184"/>
      <c r="DP185" s="184"/>
      <c r="DQ185" s="184"/>
      <c r="DR185" s="184"/>
      <c r="DS185" s="184"/>
      <c r="DT185" s="184"/>
      <c r="DU185" s="184"/>
      <c r="DV185" s="184"/>
      <c r="DW185" s="184"/>
      <c r="DX185" s="184"/>
      <c r="DY185" s="184"/>
      <c r="DZ185" s="184"/>
      <c r="EA185" s="184"/>
      <c r="EB185" s="184"/>
      <c r="EC185" s="184"/>
      <c r="ED185" s="184"/>
      <c r="EE185" s="184"/>
      <c r="EF185" s="184"/>
      <c r="EG185" s="184"/>
      <c r="EH185" s="184"/>
      <c r="EI185" s="184"/>
      <c r="EJ185" s="184"/>
      <c r="EK185" s="184"/>
      <c r="EL185" s="184"/>
    </row>
    <row r="186" spans="1:142" s="359" customFormat="1">
      <c r="A186" s="184"/>
      <c r="B186" s="285" t="s">
        <v>47</v>
      </c>
      <c r="C186"/>
      <c r="D186" s="184"/>
      <c r="E186" s="184">
        <f>$E$148*CashFlow!E13+Assum!$F$148</f>
        <v>330.453060075</v>
      </c>
      <c r="F186" s="184">
        <f>$E$148*CashFlow!F13+Assum!$F$148</f>
        <v>331.37145299999997</v>
      </c>
      <c r="G186" s="184">
        <f>$E$148*CashFlow!G13+Assum!$F$148</f>
        <v>331.37145299999997</v>
      </c>
      <c r="H186" s="184">
        <f>$E$148*CashFlow!H13+Assum!$F$148</f>
        <v>331.37145299999997</v>
      </c>
      <c r="I186" s="184">
        <f>$E$148*CashFlow!I13+Assum!$F$148</f>
        <v>331.37145299999997</v>
      </c>
      <c r="J186" s="184">
        <f>$E$148*CashFlow!J13+Assum!$F$148</f>
        <v>331.37145299999997</v>
      </c>
      <c r="K186" s="184">
        <f>$E$148*CashFlow!K13+Assum!$F$148</f>
        <v>331.37145299999997</v>
      </c>
      <c r="L186" s="184">
        <f>$E$148*CashFlow!L13+Assum!$F$148</f>
        <v>331.37145299999997</v>
      </c>
      <c r="M186" s="184">
        <f>$E$148*CashFlow!M13+Assum!$F$148</f>
        <v>331.37145299999997</v>
      </c>
      <c r="N186" s="184">
        <f>$E$148*CashFlow!N13+Assum!$F$148</f>
        <v>331.37145299999997</v>
      </c>
      <c r="O186" s="184">
        <f>$E$148*CashFlow!O13+Assum!$F$148</f>
        <v>331.37145299999997</v>
      </c>
      <c r="P186" s="184">
        <f>$E$148*CashFlow!P13+Assum!$F$148</f>
        <v>331.37145299999997</v>
      </c>
      <c r="Q186" s="184">
        <f>$E$148*CashFlow!Q13+Assum!$F$148</f>
        <v>331.37145299999997</v>
      </c>
      <c r="R186" s="184">
        <f>$E$148*CashFlow!R13+Assum!$F$148</f>
        <v>331.37145299999997</v>
      </c>
      <c r="S186" s="184">
        <f>$E$148*CashFlow!S13+Assum!$F$148</f>
        <v>331.37145299999997</v>
      </c>
      <c r="T186" s="184">
        <f>$E$149*CashFlow!T13+Assum!$F$149</f>
        <v>441.57860399999998</v>
      </c>
      <c r="U186" s="184">
        <f>$E$149*CashFlow!U13+Assum!$F$149</f>
        <v>441.57860399999998</v>
      </c>
      <c r="V186" s="184">
        <f>$E$149*CashFlow!V13+Assum!$F$149</f>
        <v>441.57860399999998</v>
      </c>
      <c r="W186" s="184">
        <f>$E$149*CashFlow!W13+Assum!$F$149</f>
        <v>441.57860399999998</v>
      </c>
      <c r="X186" s="184">
        <f>$E$149*CashFlow!X13+Assum!$F$149</f>
        <v>441.57860399999998</v>
      </c>
      <c r="Y186" s="184">
        <f>$E$149*CashFlow!Y13+Assum!$F$149</f>
        <v>1.9745238999999957</v>
      </c>
      <c r="Z186" s="184">
        <f>$E$149*CashFlow!Z13+Assum!$F$149</f>
        <v>0.75</v>
      </c>
      <c r="AA186" s="184">
        <f>$E$149*CashFlow!AA13+Assum!$F$149</f>
        <v>0.75</v>
      </c>
      <c r="AB186" s="184">
        <f>$E$149*CashFlow!AB13+Assum!$F$149</f>
        <v>0.75</v>
      </c>
      <c r="AC186" s="184">
        <f>$E$149*CashFlow!AC13+Assum!$F$149</f>
        <v>0.75</v>
      </c>
      <c r="AD186" s="184">
        <f>$E$149*CashFlow!AD13+Assum!$F$149</f>
        <v>0.75</v>
      </c>
      <c r="AE186" s="184">
        <f>$E$149*CashFlow!AE13+Assum!$F$149</f>
        <v>0.75</v>
      </c>
      <c r="AF186" s="184">
        <f>$E$149*CashFlow!AF13+Assum!$F$149</f>
        <v>0.75</v>
      </c>
      <c r="AG186" s="184">
        <f>$E$149*CashFlow!AG13+Assum!$F$149</f>
        <v>0.75</v>
      </c>
      <c r="AH186" s="184">
        <f>$E$149*CashFlow!AH13+Assum!$F$149</f>
        <v>0.75</v>
      </c>
      <c r="AI186" s="184">
        <f>$E$149*CashFlow!AI13+Assum!$F$149</f>
        <v>0.75</v>
      </c>
      <c r="AJ186" s="184"/>
      <c r="AK186" s="184"/>
      <c r="AL186" s="184"/>
      <c r="AM186" s="184"/>
      <c r="AN186" s="184"/>
      <c r="AO186" s="184"/>
      <c r="AP186" s="184"/>
      <c r="AQ186" s="184"/>
      <c r="AR186" s="184"/>
      <c r="AS186" s="184"/>
      <c r="AT186" s="184"/>
      <c r="AU186" s="184"/>
      <c r="AV186" s="184"/>
      <c r="AW186" s="184"/>
      <c r="AX186" s="184"/>
      <c r="AY186" s="184"/>
      <c r="AZ186" s="184"/>
      <c r="BA186" s="184"/>
      <c r="BB186" s="184"/>
      <c r="BC186" s="184"/>
      <c r="BD186" s="184"/>
      <c r="BE186" s="184"/>
      <c r="BF186" s="184"/>
      <c r="BG186" s="184"/>
      <c r="BH186" s="184"/>
      <c r="BI186" s="184"/>
      <c r="BJ186" s="184"/>
      <c r="BK186" s="184"/>
      <c r="BL186" s="184"/>
      <c r="BM186" s="184"/>
      <c r="BN186" s="184"/>
      <c r="BO186" s="184"/>
      <c r="BP186" s="184"/>
      <c r="BQ186" s="184"/>
      <c r="BR186" s="184"/>
      <c r="BS186" s="184"/>
      <c r="BT186" s="184"/>
      <c r="BU186" s="184"/>
      <c r="BV186" s="184"/>
      <c r="BW186" s="184"/>
      <c r="BX186" s="184"/>
      <c r="BY186" s="184"/>
      <c r="BZ186" s="184"/>
      <c r="CA186" s="184"/>
      <c r="CB186" s="184"/>
      <c r="CC186" s="184"/>
      <c r="CD186" s="184"/>
      <c r="CE186" s="184"/>
      <c r="CF186" s="184"/>
      <c r="CG186" s="184"/>
      <c r="CH186" s="184"/>
      <c r="CI186" s="184"/>
      <c r="CJ186" s="184"/>
      <c r="CK186" s="184"/>
      <c r="CL186" s="184"/>
      <c r="CM186" s="184"/>
      <c r="CN186" s="184"/>
      <c r="CO186" s="184"/>
      <c r="CP186" s="184"/>
      <c r="CQ186" s="184"/>
      <c r="CR186" s="184"/>
      <c r="CS186" s="184"/>
      <c r="CT186" s="184"/>
      <c r="CU186" s="184"/>
      <c r="CV186" s="184"/>
      <c r="CW186" s="184"/>
      <c r="CX186" s="184"/>
      <c r="CY186" s="184"/>
      <c r="CZ186" s="184"/>
      <c r="DA186" s="184"/>
      <c r="DB186" s="184"/>
      <c r="DC186" s="184"/>
      <c r="DD186" s="184"/>
      <c r="DE186" s="184"/>
      <c r="DF186" s="184"/>
      <c r="DG186" s="184"/>
      <c r="DH186" s="184"/>
      <c r="DI186" s="184"/>
      <c r="DJ186" s="184"/>
      <c r="DK186" s="184"/>
      <c r="DL186" s="184"/>
      <c r="DM186" s="184"/>
      <c r="DN186" s="184"/>
      <c r="DO186" s="184"/>
      <c r="DP186" s="184"/>
      <c r="DQ186" s="184"/>
      <c r="DR186" s="184"/>
      <c r="DS186" s="184"/>
      <c r="DT186" s="184"/>
      <c r="DU186" s="184"/>
      <c r="DV186" s="184"/>
      <c r="DW186" s="184"/>
      <c r="DX186" s="184"/>
      <c r="DY186" s="184"/>
      <c r="DZ186" s="184"/>
      <c r="EA186" s="184"/>
      <c r="EB186" s="184"/>
      <c r="EC186" s="184"/>
      <c r="ED186" s="184"/>
      <c r="EE186" s="184"/>
      <c r="EF186" s="184"/>
      <c r="EG186" s="184"/>
      <c r="EH186" s="184"/>
      <c r="EI186" s="184"/>
      <c r="EJ186" s="184"/>
      <c r="EK186" s="184"/>
      <c r="EL186" s="184"/>
    </row>
    <row r="187" spans="1:142" s="359" customFormat="1">
      <c r="A187" s="184"/>
      <c r="B187" s="285" t="s">
        <v>661</v>
      </c>
      <c r="C187"/>
      <c r="D187" s="184"/>
      <c r="E187" s="184">
        <f>E152*CashFlow!E11</f>
        <v>0</v>
      </c>
      <c r="F187" s="184">
        <f>F152*CashFlow!F11</f>
        <v>0</v>
      </c>
      <c r="G187" s="184">
        <f>G152*CashFlow!G11</f>
        <v>0</v>
      </c>
      <c r="H187" s="184">
        <f>H152*CashFlow!H11</f>
        <v>0</v>
      </c>
      <c r="I187" s="184">
        <f>I152*CashFlow!I11</f>
        <v>0</v>
      </c>
      <c r="J187" s="184">
        <f>J152*CashFlow!J11</f>
        <v>0</v>
      </c>
      <c r="K187" s="184">
        <f>K152*CashFlow!K11</f>
        <v>0</v>
      </c>
      <c r="L187" s="184">
        <f>L152*CashFlow!L11</f>
        <v>0</v>
      </c>
      <c r="M187" s="184">
        <f>M152*CashFlow!M11</f>
        <v>0</v>
      </c>
      <c r="N187" s="184">
        <f>N152*CashFlow!N11</f>
        <v>0</v>
      </c>
      <c r="O187" s="184">
        <f>O152*CashFlow!O11</f>
        <v>0</v>
      </c>
      <c r="P187" s="184">
        <f>P152*CashFlow!P11</f>
        <v>0</v>
      </c>
      <c r="Q187" s="184">
        <f>Q152*CashFlow!Q11</f>
        <v>0</v>
      </c>
      <c r="R187" s="184">
        <f>R152*CashFlow!R11</f>
        <v>0</v>
      </c>
      <c r="S187" s="184">
        <f>S152*CashFlow!S11</f>
        <v>0</v>
      </c>
      <c r="T187" s="184">
        <f>T152*CashFlow!T11</f>
        <v>0</v>
      </c>
      <c r="U187" s="184">
        <f>U152*CashFlow!U11</f>
        <v>0</v>
      </c>
      <c r="V187" s="184">
        <f>V152*CashFlow!V11</f>
        <v>0</v>
      </c>
      <c r="W187" s="184">
        <f>W152*CashFlow!W11</f>
        <v>0</v>
      </c>
      <c r="X187" s="184">
        <f>X152*CashFlow!X11</f>
        <v>0</v>
      </c>
      <c r="Y187" s="184">
        <f>Y152*CashFlow!Y11</f>
        <v>0</v>
      </c>
      <c r="Z187" s="184">
        <f>Z152*CashFlow!Z11</f>
        <v>0</v>
      </c>
      <c r="AA187" s="184">
        <f>AA152*CashFlow!AA11</f>
        <v>0</v>
      </c>
      <c r="AB187" s="184">
        <f>AB152*CashFlow!AB11</f>
        <v>0</v>
      </c>
      <c r="AC187" s="184">
        <f>AC152*CashFlow!AC11</f>
        <v>0</v>
      </c>
      <c r="AD187" s="184">
        <f>AD152*CashFlow!AD11</f>
        <v>0</v>
      </c>
      <c r="AE187" s="184">
        <f>AE152*CashFlow!AE11</f>
        <v>0</v>
      </c>
      <c r="AF187" s="184">
        <f>AF152*CashFlow!AF11</f>
        <v>0</v>
      </c>
      <c r="AG187" s="184">
        <f>AG152*CashFlow!AG11</f>
        <v>0</v>
      </c>
      <c r="AH187" s="184">
        <f>AH152*CashFlow!AH11</f>
        <v>0</v>
      </c>
      <c r="AI187" s="184">
        <f>AI152*CashFlow!AI11</f>
        <v>0</v>
      </c>
      <c r="AJ187" s="184"/>
      <c r="AK187" s="184"/>
      <c r="AL187" s="184"/>
      <c r="AM187" s="184"/>
      <c r="AN187" s="184"/>
      <c r="AO187" s="184"/>
      <c r="AP187" s="184"/>
      <c r="AQ187" s="184"/>
      <c r="AR187" s="184"/>
      <c r="AS187" s="184"/>
      <c r="AT187" s="184"/>
      <c r="AU187" s="184"/>
      <c r="AV187" s="184"/>
      <c r="AW187" s="184"/>
      <c r="AX187" s="184"/>
      <c r="AY187" s="184"/>
      <c r="AZ187" s="184"/>
      <c r="BA187" s="184"/>
      <c r="BB187" s="184"/>
      <c r="BC187" s="184"/>
      <c r="BD187" s="184"/>
      <c r="BE187" s="184"/>
      <c r="BF187" s="184"/>
      <c r="BG187" s="184"/>
      <c r="BH187" s="184"/>
      <c r="BI187" s="184"/>
      <c r="BJ187" s="184"/>
      <c r="BK187" s="184"/>
      <c r="BL187" s="184"/>
      <c r="BM187" s="184"/>
      <c r="BN187" s="184"/>
      <c r="BO187" s="184"/>
      <c r="BP187" s="184"/>
      <c r="BQ187" s="184"/>
      <c r="BR187" s="184"/>
      <c r="BS187" s="184"/>
      <c r="BT187" s="184"/>
      <c r="BU187" s="184"/>
      <c r="BV187" s="184"/>
      <c r="BW187" s="184"/>
      <c r="BX187" s="184"/>
      <c r="BY187" s="184"/>
      <c r="BZ187" s="184"/>
      <c r="CA187" s="184"/>
      <c r="CB187" s="184"/>
      <c r="CC187" s="184"/>
      <c r="CD187" s="184"/>
      <c r="CE187" s="184"/>
      <c r="CF187" s="184"/>
      <c r="CG187" s="184"/>
      <c r="CH187" s="184"/>
      <c r="CI187" s="184"/>
      <c r="CJ187" s="184"/>
      <c r="CK187" s="184"/>
      <c r="CL187" s="184"/>
      <c r="CM187" s="184"/>
      <c r="CN187" s="184"/>
      <c r="CO187" s="184"/>
      <c r="CP187" s="184"/>
      <c r="CQ187" s="184"/>
      <c r="CR187" s="184"/>
      <c r="CS187" s="184"/>
      <c r="CT187" s="184"/>
      <c r="CU187" s="184"/>
      <c r="CV187" s="184"/>
      <c r="CW187" s="184"/>
      <c r="CX187" s="184"/>
      <c r="CY187" s="184"/>
      <c r="CZ187" s="184"/>
      <c r="DA187" s="184"/>
      <c r="DB187" s="184"/>
      <c r="DC187" s="184"/>
      <c r="DD187" s="184"/>
      <c r="DE187" s="184"/>
      <c r="DF187" s="184"/>
      <c r="DG187" s="184"/>
      <c r="DH187" s="184"/>
      <c r="DI187" s="184"/>
      <c r="DJ187" s="184"/>
      <c r="DK187" s="184"/>
      <c r="DL187" s="184"/>
      <c r="DM187" s="184"/>
      <c r="DN187" s="184"/>
      <c r="DO187" s="184"/>
      <c r="DP187" s="184"/>
      <c r="DQ187" s="184"/>
      <c r="DR187" s="184"/>
      <c r="DS187" s="184"/>
      <c r="DT187" s="184"/>
      <c r="DU187" s="184"/>
      <c r="DV187" s="184"/>
      <c r="DW187" s="184"/>
      <c r="DX187" s="184"/>
      <c r="DY187" s="184"/>
      <c r="DZ187" s="184"/>
      <c r="EA187" s="184"/>
      <c r="EB187" s="184"/>
      <c r="EC187" s="184"/>
      <c r="ED187" s="184"/>
      <c r="EE187" s="184"/>
      <c r="EF187" s="184"/>
      <c r="EG187" s="184"/>
      <c r="EH187" s="184"/>
      <c r="EI187" s="184"/>
      <c r="EJ187" s="184"/>
      <c r="EK187" s="184"/>
      <c r="EL187" s="184"/>
    </row>
    <row r="188" spans="1:142" s="359" customFormat="1">
      <c r="A188" s="184"/>
      <c r="B188" s="285" t="s">
        <v>46</v>
      </c>
      <c r="C188"/>
      <c r="D188" s="184"/>
      <c r="E188" s="184">
        <f>E158</f>
        <v>0</v>
      </c>
      <c r="F188" s="184">
        <f t="shared" ref="F188:AI188" si="41">F158</f>
        <v>1855.5462991750996</v>
      </c>
      <c r="G188" s="184">
        <f t="shared" si="41"/>
        <v>1844.0357997979818</v>
      </c>
      <c r="H188" s="184">
        <f t="shared" si="41"/>
        <v>1822.4827297035431</v>
      </c>
      <c r="I188" s="184">
        <f t="shared" si="41"/>
        <v>1792.2672744356355</v>
      </c>
      <c r="J188" s="184">
        <f t="shared" si="41"/>
        <v>1748.628794166561</v>
      </c>
      <c r="K188" s="184">
        <f t="shared" si="41"/>
        <v>2022.5662832439214</v>
      </c>
      <c r="L188" s="184">
        <f t="shared" si="41"/>
        <v>1861.082022851589</v>
      </c>
      <c r="M188" s="184">
        <f t="shared" si="41"/>
        <v>1686.7624926173376</v>
      </c>
      <c r="N188" s="184">
        <f t="shared" si="41"/>
        <v>1499.0475379933885</v>
      </c>
      <c r="O188" s="184">
        <f t="shared" si="41"/>
        <v>1294.4616183195183</v>
      </c>
      <c r="P188" s="184">
        <f t="shared" si="41"/>
        <v>1075.1850327733123</v>
      </c>
      <c r="Q188" s="184">
        <f t="shared" si="41"/>
        <v>840.59383688634432</v>
      </c>
      <c r="R188" s="184">
        <f t="shared" si="41"/>
        <v>820.5280485219605</v>
      </c>
      <c r="S188" s="184">
        <f t="shared" si="41"/>
        <v>811.8617972229647</v>
      </c>
      <c r="T188" s="184">
        <f t="shared" si="41"/>
        <v>799.32339108824704</v>
      </c>
      <c r="U188" s="184">
        <f t="shared" si="41"/>
        <v>815.30985891001194</v>
      </c>
      <c r="V188" s="184">
        <f t="shared" si="41"/>
        <v>831.6160560882123</v>
      </c>
      <c r="W188" s="184">
        <f t="shared" si="41"/>
        <v>848.24837720997652</v>
      </c>
      <c r="X188" s="184">
        <f t="shared" si="41"/>
        <v>865.21334475417598</v>
      </c>
      <c r="Y188" s="184">
        <f t="shared" si="41"/>
        <v>882.51761164925949</v>
      </c>
      <c r="Z188" s="184">
        <f t="shared" si="41"/>
        <v>900.16796388224475</v>
      </c>
      <c r="AA188" s="184">
        <f t="shared" si="41"/>
        <v>918.17132315988977</v>
      </c>
      <c r="AB188" s="184">
        <f t="shared" si="41"/>
        <v>936.53474962308758</v>
      </c>
      <c r="AC188" s="184">
        <f t="shared" si="41"/>
        <v>955.26544461554943</v>
      </c>
      <c r="AD188" s="184">
        <f t="shared" si="41"/>
        <v>974.3707535078604</v>
      </c>
      <c r="AE188" s="184">
        <f t="shared" si="41"/>
        <v>993.85816857801763</v>
      </c>
      <c r="AF188" s="184">
        <f t="shared" si="41"/>
        <v>1013.735331949578</v>
      </c>
      <c r="AG188" s="184">
        <f t="shared" si="41"/>
        <v>1034.0100385885696</v>
      </c>
      <c r="AH188" s="184">
        <f t="shared" si="41"/>
        <v>1054.6902393603409</v>
      </c>
      <c r="AI188" s="184">
        <f t="shared" si="41"/>
        <v>1075.7840441475478</v>
      </c>
      <c r="AJ188" s="184"/>
      <c r="AK188" s="184"/>
      <c r="AL188" s="184"/>
      <c r="AM188" s="184"/>
      <c r="AN188" s="184"/>
      <c r="AO188" s="184"/>
      <c r="AP188" s="184"/>
      <c r="AQ188" s="184"/>
      <c r="AR188" s="184"/>
      <c r="AS188" s="184"/>
      <c r="AT188" s="184"/>
      <c r="AU188" s="184"/>
      <c r="AV188" s="184"/>
      <c r="AW188" s="184"/>
      <c r="AX188" s="184"/>
      <c r="AY188" s="184"/>
      <c r="AZ188" s="184"/>
      <c r="BA188" s="184"/>
      <c r="BB188" s="184"/>
      <c r="BC188" s="184"/>
      <c r="BD188" s="184"/>
      <c r="BE188" s="184"/>
      <c r="BF188" s="184"/>
      <c r="BG188" s="184"/>
      <c r="BH188" s="184"/>
      <c r="BI188" s="184"/>
      <c r="BJ188" s="184"/>
      <c r="BK188" s="184"/>
      <c r="BL188" s="184"/>
      <c r="BM188" s="184"/>
      <c r="BN188" s="184"/>
      <c r="BO188" s="184"/>
      <c r="BP188" s="184"/>
      <c r="BQ188" s="184"/>
      <c r="BR188" s="184"/>
      <c r="BS188" s="184"/>
      <c r="BT188" s="184"/>
      <c r="BU188" s="184"/>
      <c r="BV188" s="184"/>
      <c r="BW188" s="184"/>
      <c r="BX188" s="184"/>
      <c r="BY188" s="184"/>
      <c r="BZ188" s="184"/>
      <c r="CA188" s="184"/>
      <c r="CB188" s="184"/>
      <c r="CC188" s="184"/>
      <c r="CD188" s="184"/>
      <c r="CE188" s="184"/>
      <c r="CF188" s="184"/>
      <c r="CG188" s="184"/>
      <c r="CH188" s="184"/>
      <c r="CI188" s="184"/>
      <c r="CJ188" s="184"/>
      <c r="CK188" s="184"/>
      <c r="CL188" s="184"/>
      <c r="CM188" s="184"/>
      <c r="CN188" s="184"/>
      <c r="CO188" s="184"/>
      <c r="CP188" s="184"/>
      <c r="CQ188" s="184"/>
      <c r="CR188" s="184"/>
      <c r="CS188" s="184"/>
      <c r="CT188" s="184"/>
      <c r="CU188" s="184"/>
      <c r="CV188" s="184"/>
      <c r="CW188" s="184"/>
      <c r="CX188" s="184"/>
      <c r="CY188" s="184"/>
      <c r="CZ188" s="184"/>
      <c r="DA188" s="184"/>
      <c r="DB188" s="184"/>
      <c r="DC188" s="184"/>
      <c r="DD188" s="184"/>
      <c r="DE188" s="184"/>
      <c r="DF188" s="184"/>
      <c r="DG188" s="184"/>
      <c r="DH188" s="184"/>
      <c r="DI188" s="184"/>
      <c r="DJ188" s="184"/>
      <c r="DK188" s="184"/>
      <c r="DL188" s="184"/>
      <c r="DM188" s="184"/>
      <c r="DN188" s="184"/>
      <c r="DO188" s="184"/>
      <c r="DP188" s="184"/>
      <c r="DQ188" s="184"/>
      <c r="DR188" s="184"/>
      <c r="DS188" s="184"/>
      <c r="DT188" s="184"/>
      <c r="DU188" s="184"/>
      <c r="DV188" s="184"/>
      <c r="DW188" s="184"/>
      <c r="DX188" s="184"/>
      <c r="DY188" s="184"/>
      <c r="DZ188" s="184"/>
      <c r="EA188" s="184"/>
      <c r="EB188" s="184"/>
      <c r="EC188" s="184"/>
      <c r="ED188" s="184"/>
      <c r="EE188" s="184"/>
      <c r="EF188" s="184"/>
      <c r="EG188" s="184"/>
      <c r="EH188" s="184"/>
      <c r="EI188" s="184"/>
      <c r="EJ188" s="184"/>
      <c r="EK188" s="184"/>
      <c r="EL188" s="184"/>
    </row>
    <row r="189" spans="1:142" s="359" customFormat="1">
      <c r="A189" s="184"/>
      <c r="B189" s="285" t="s">
        <v>569</v>
      </c>
      <c r="C189"/>
      <c r="D189" s="184"/>
      <c r="E189" s="184">
        <f>E172</f>
        <v>328.53674806999999</v>
      </c>
      <c r="F189" s="184">
        <f>E172*(1+HLOOKUP(E182,INFL,6))</f>
        <v>337.07870351982001</v>
      </c>
      <c r="G189" s="184">
        <f t="shared" ref="G189:AI189" si="42">F189*(1+HLOOKUP(F182,INFL,6))</f>
        <v>345.50567110781549</v>
      </c>
      <c r="H189" s="184">
        <f t="shared" si="42"/>
        <v>354.14331288551085</v>
      </c>
      <c r="I189" s="184">
        <f t="shared" si="42"/>
        <v>362.9968957076486</v>
      </c>
      <c r="J189" s="184">
        <f t="shared" si="42"/>
        <v>372.07181810033978</v>
      </c>
      <c r="K189" s="184">
        <f t="shared" si="42"/>
        <v>381.37361355284827</v>
      </c>
      <c r="L189" s="184">
        <f t="shared" si="42"/>
        <v>390.90795389166942</v>
      </c>
      <c r="M189" s="184">
        <f t="shared" si="42"/>
        <v>400.6806527389611</v>
      </c>
      <c r="N189" s="184">
        <f t="shared" si="42"/>
        <v>410.69766905743506</v>
      </c>
      <c r="O189" s="184">
        <f t="shared" si="42"/>
        <v>420.9651107838709</v>
      </c>
      <c r="P189" s="184">
        <f t="shared" si="42"/>
        <v>431.48923855346766</v>
      </c>
      <c r="Q189" s="184">
        <f t="shared" si="42"/>
        <v>442.27646951730429</v>
      </c>
      <c r="R189" s="184">
        <f t="shared" si="42"/>
        <v>453.33338125523687</v>
      </c>
      <c r="S189" s="184">
        <f t="shared" si="42"/>
        <v>464.66671578661777</v>
      </c>
      <c r="T189" s="184">
        <f t="shared" si="42"/>
        <v>476.28338368128317</v>
      </c>
      <c r="U189" s="184">
        <f t="shared" si="42"/>
        <v>488.19046827331522</v>
      </c>
      <c r="V189" s="184">
        <f t="shared" si="42"/>
        <v>500.39522998014803</v>
      </c>
      <c r="W189" s="184">
        <f t="shared" si="42"/>
        <v>512.90511072965171</v>
      </c>
      <c r="X189" s="184">
        <f t="shared" si="42"/>
        <v>525.72773849789291</v>
      </c>
      <c r="Y189" s="184">
        <f t="shared" si="42"/>
        <v>538.87093196034016</v>
      </c>
      <c r="Z189" s="184">
        <f t="shared" si="42"/>
        <v>552.34270525934858</v>
      </c>
      <c r="AA189" s="184">
        <f t="shared" si="42"/>
        <v>566.15127289083227</v>
      </c>
      <c r="AB189" s="184">
        <f t="shared" si="42"/>
        <v>580.305054713103</v>
      </c>
      <c r="AC189" s="184">
        <f t="shared" si="42"/>
        <v>594.81268108093047</v>
      </c>
      <c r="AD189" s="184">
        <f t="shared" si="42"/>
        <v>609.68299810795372</v>
      </c>
      <c r="AE189" s="184">
        <f t="shared" si="42"/>
        <v>624.92507306065249</v>
      </c>
      <c r="AF189" s="184">
        <f t="shared" si="42"/>
        <v>640.54819988716872</v>
      </c>
      <c r="AG189" s="184">
        <f t="shared" si="42"/>
        <v>656.56190488434788</v>
      </c>
      <c r="AH189" s="184">
        <f t="shared" si="42"/>
        <v>672.97595250645657</v>
      </c>
      <c r="AI189" s="184">
        <f t="shared" si="42"/>
        <v>689.80035131911791</v>
      </c>
      <c r="AJ189" s="184"/>
      <c r="AK189" s="184"/>
      <c r="AL189" s="184"/>
      <c r="AM189" s="184"/>
      <c r="AN189" s="184"/>
      <c r="AO189" s="184"/>
      <c r="AP189" s="184"/>
      <c r="AQ189" s="184"/>
      <c r="AR189" s="184"/>
      <c r="AS189" s="184"/>
      <c r="AT189" s="184"/>
      <c r="AU189" s="184"/>
      <c r="AV189" s="184"/>
      <c r="AW189" s="184"/>
      <c r="AX189" s="184"/>
      <c r="AY189" s="184"/>
      <c r="AZ189" s="184"/>
      <c r="BA189" s="184"/>
      <c r="BB189" s="184"/>
      <c r="BC189" s="184"/>
      <c r="BD189" s="184"/>
      <c r="BE189" s="184"/>
      <c r="BF189" s="184"/>
      <c r="BG189" s="184"/>
      <c r="BH189" s="184"/>
      <c r="BI189" s="184"/>
      <c r="BJ189" s="184"/>
      <c r="BK189" s="184"/>
      <c r="BL189" s="184"/>
      <c r="BM189" s="184"/>
      <c r="BN189" s="184"/>
      <c r="BO189" s="184"/>
      <c r="BP189" s="184"/>
      <c r="BQ189" s="184"/>
      <c r="BR189" s="184"/>
      <c r="BS189" s="184"/>
      <c r="BT189" s="184"/>
      <c r="BU189" s="184"/>
      <c r="BV189" s="184"/>
      <c r="BW189" s="184"/>
      <c r="BX189" s="184"/>
      <c r="BY189" s="184"/>
      <c r="BZ189" s="184"/>
      <c r="CA189" s="184"/>
      <c r="CB189" s="184"/>
      <c r="CC189" s="184"/>
      <c r="CD189" s="184"/>
      <c r="CE189" s="184"/>
      <c r="CF189" s="184"/>
      <c r="CG189" s="184"/>
      <c r="CH189" s="184"/>
      <c r="CI189" s="184"/>
      <c r="CJ189" s="184"/>
      <c r="CK189" s="184"/>
      <c r="CL189" s="184"/>
      <c r="CM189" s="184"/>
      <c r="CN189" s="184"/>
      <c r="CO189" s="184"/>
      <c r="CP189" s="184"/>
      <c r="CQ189" s="184"/>
      <c r="CR189" s="184"/>
      <c r="CS189" s="184"/>
      <c r="CT189" s="184"/>
      <c r="CU189" s="184"/>
      <c r="CV189" s="184"/>
      <c r="CW189" s="184"/>
      <c r="CX189" s="184"/>
      <c r="CY189" s="184"/>
      <c r="CZ189" s="184"/>
      <c r="DA189" s="184"/>
      <c r="DB189" s="184"/>
      <c r="DC189" s="184"/>
      <c r="DD189" s="184"/>
      <c r="DE189" s="184"/>
      <c r="DF189" s="184"/>
      <c r="DG189" s="184"/>
      <c r="DH189" s="184"/>
      <c r="DI189" s="184"/>
      <c r="DJ189" s="184"/>
      <c r="DK189" s="184"/>
      <c r="DL189" s="184"/>
      <c r="DM189" s="184"/>
      <c r="DN189" s="184"/>
      <c r="DO189" s="184"/>
      <c r="DP189" s="184"/>
      <c r="DQ189" s="184"/>
      <c r="DR189" s="184"/>
      <c r="DS189" s="184"/>
      <c r="DT189" s="184"/>
      <c r="DU189" s="184"/>
      <c r="DV189" s="184"/>
      <c r="DW189" s="184"/>
      <c r="DX189" s="184"/>
      <c r="DY189" s="184"/>
      <c r="DZ189" s="184"/>
      <c r="EA189" s="184"/>
      <c r="EB189" s="184"/>
      <c r="EC189" s="184"/>
      <c r="ED189" s="184"/>
      <c r="EE189" s="184"/>
      <c r="EF189" s="184"/>
      <c r="EG189" s="184"/>
      <c r="EH189" s="184"/>
      <c r="EI189" s="184"/>
      <c r="EJ189" s="184"/>
      <c r="EK189" s="184"/>
      <c r="EL189" s="184"/>
    </row>
    <row r="190" spans="1:142" s="359" customFormat="1">
      <c r="A190" s="184"/>
      <c r="B190" s="285" t="s">
        <v>570</v>
      </c>
      <c r="C190"/>
      <c r="D190" s="184"/>
      <c r="E190" s="273">
        <f>E145</f>
        <v>0</v>
      </c>
      <c r="F190" s="184">
        <f>E145*(1+HLOOKUP(E182,INFL,6))</f>
        <v>0</v>
      </c>
      <c r="G190" s="184">
        <f t="shared" ref="G190:AI190" si="43">F190*(1+HLOOKUP(F182,INFL,6))</f>
        <v>0</v>
      </c>
      <c r="H190" s="184">
        <f t="shared" si="43"/>
        <v>0</v>
      </c>
      <c r="I190" s="184">
        <f t="shared" si="43"/>
        <v>0</v>
      </c>
      <c r="J190" s="184">
        <f t="shared" si="43"/>
        <v>0</v>
      </c>
      <c r="K190" s="184">
        <f t="shared" si="43"/>
        <v>0</v>
      </c>
      <c r="L190" s="184">
        <f t="shared" si="43"/>
        <v>0</v>
      </c>
      <c r="M190" s="184">
        <f t="shared" si="43"/>
        <v>0</v>
      </c>
      <c r="N190" s="184">
        <f t="shared" si="43"/>
        <v>0</v>
      </c>
      <c r="O190" s="184">
        <f t="shared" si="43"/>
        <v>0</v>
      </c>
      <c r="P190" s="184">
        <f t="shared" si="43"/>
        <v>0</v>
      </c>
      <c r="Q190" s="184">
        <f t="shared" si="43"/>
        <v>0</v>
      </c>
      <c r="R190" s="184">
        <f t="shared" si="43"/>
        <v>0</v>
      </c>
      <c r="S190" s="184">
        <f t="shared" si="43"/>
        <v>0</v>
      </c>
      <c r="T190" s="184">
        <f t="shared" si="43"/>
        <v>0</v>
      </c>
      <c r="U190" s="184">
        <f t="shared" si="43"/>
        <v>0</v>
      </c>
      <c r="V190" s="184">
        <f t="shared" si="43"/>
        <v>0</v>
      </c>
      <c r="W190" s="184">
        <f t="shared" si="43"/>
        <v>0</v>
      </c>
      <c r="X190" s="184">
        <f t="shared" si="43"/>
        <v>0</v>
      </c>
      <c r="Y190" s="184">
        <f t="shared" si="43"/>
        <v>0</v>
      </c>
      <c r="Z190" s="184">
        <f t="shared" si="43"/>
        <v>0</v>
      </c>
      <c r="AA190" s="184">
        <f t="shared" si="43"/>
        <v>0</v>
      </c>
      <c r="AB190" s="184">
        <f t="shared" si="43"/>
        <v>0</v>
      </c>
      <c r="AC190" s="184">
        <f t="shared" si="43"/>
        <v>0</v>
      </c>
      <c r="AD190" s="184">
        <f t="shared" si="43"/>
        <v>0</v>
      </c>
      <c r="AE190" s="184">
        <f t="shared" si="43"/>
        <v>0</v>
      </c>
      <c r="AF190" s="184">
        <f t="shared" si="43"/>
        <v>0</v>
      </c>
      <c r="AG190" s="184">
        <f t="shared" si="43"/>
        <v>0</v>
      </c>
      <c r="AH190" s="184">
        <f t="shared" si="43"/>
        <v>0</v>
      </c>
      <c r="AI190" s="184">
        <f t="shared" si="43"/>
        <v>0</v>
      </c>
      <c r="AJ190" s="184"/>
      <c r="AK190" s="184"/>
      <c r="AL190" s="184"/>
      <c r="AM190" s="184"/>
      <c r="AN190" s="184"/>
      <c r="AO190" s="184"/>
      <c r="AP190" s="184"/>
      <c r="AQ190" s="184"/>
      <c r="AR190" s="184"/>
      <c r="AS190" s="184"/>
      <c r="AT190" s="184"/>
      <c r="AU190" s="184"/>
      <c r="AV190" s="184"/>
      <c r="AW190" s="184"/>
      <c r="AX190" s="184"/>
      <c r="AY190" s="184"/>
      <c r="AZ190" s="184"/>
      <c r="BA190" s="184"/>
      <c r="BB190" s="184"/>
      <c r="BC190" s="184"/>
      <c r="BD190" s="184"/>
      <c r="BE190" s="184"/>
      <c r="BF190" s="184"/>
      <c r="BG190" s="184"/>
      <c r="BH190" s="184"/>
      <c r="BI190" s="184"/>
      <c r="BJ190" s="184"/>
      <c r="BK190" s="184"/>
      <c r="BL190" s="184"/>
      <c r="BM190" s="184"/>
      <c r="BN190" s="184"/>
      <c r="BO190" s="184"/>
      <c r="BP190" s="184"/>
      <c r="BQ190" s="184"/>
      <c r="BR190" s="184"/>
      <c r="BS190" s="184"/>
      <c r="BT190" s="184"/>
      <c r="BU190" s="184"/>
      <c r="BV190" s="184"/>
      <c r="BW190" s="184"/>
      <c r="BX190" s="184"/>
      <c r="BY190" s="184"/>
      <c r="BZ190" s="184"/>
      <c r="CA190" s="184"/>
      <c r="CB190" s="184"/>
      <c r="CC190" s="184"/>
      <c r="CD190" s="184"/>
      <c r="CE190" s="184"/>
      <c r="CF190" s="184"/>
      <c r="CG190" s="184"/>
      <c r="CH190" s="184"/>
      <c r="CI190" s="184"/>
      <c r="CJ190" s="184"/>
      <c r="CK190" s="184"/>
      <c r="CL190" s="184"/>
      <c r="CM190" s="184"/>
      <c r="CN190" s="184"/>
      <c r="CO190" s="184"/>
      <c r="CP190" s="184"/>
      <c r="CQ190" s="184"/>
      <c r="CR190" s="184"/>
      <c r="CS190" s="184"/>
      <c r="CT190" s="184"/>
      <c r="CU190" s="184"/>
      <c r="CV190" s="184"/>
      <c r="CW190" s="184"/>
      <c r="CX190" s="184"/>
      <c r="CY190" s="184"/>
      <c r="CZ190" s="184"/>
      <c r="DA190" s="184"/>
      <c r="DB190" s="184"/>
      <c r="DC190" s="184"/>
      <c r="DD190" s="184"/>
      <c r="DE190" s="184"/>
      <c r="DF190" s="184"/>
      <c r="DG190" s="184"/>
      <c r="DH190" s="184"/>
      <c r="DI190" s="184"/>
      <c r="DJ190" s="184"/>
      <c r="DK190" s="184"/>
      <c r="DL190" s="184"/>
      <c r="DM190" s="184"/>
      <c r="DN190" s="184"/>
      <c r="DO190" s="184"/>
      <c r="DP190" s="184"/>
      <c r="DQ190" s="184"/>
      <c r="DR190" s="184"/>
      <c r="DS190" s="184"/>
      <c r="DT190" s="184"/>
      <c r="DU190" s="184"/>
      <c r="DV190" s="184"/>
      <c r="DW190" s="184"/>
      <c r="DX190" s="184"/>
      <c r="DY190" s="184"/>
      <c r="DZ190" s="184"/>
      <c r="EA190" s="184"/>
      <c r="EB190" s="184"/>
      <c r="EC190" s="184"/>
      <c r="ED190" s="184"/>
      <c r="EE190" s="184"/>
      <c r="EF190" s="184"/>
      <c r="EG190" s="184"/>
      <c r="EH190" s="184"/>
      <c r="EI190" s="184"/>
      <c r="EJ190" s="184"/>
      <c r="EK190" s="184"/>
      <c r="EL190" s="184"/>
    </row>
    <row r="191" spans="1:142" s="359" customFormat="1">
      <c r="A191" s="184"/>
      <c r="B191" s="285" t="s">
        <v>114</v>
      </c>
      <c r="C191"/>
      <c r="D191" s="184"/>
      <c r="E191" s="848">
        <v>35</v>
      </c>
      <c r="F191" s="184">
        <f t="shared" ref="F191:AI191" si="44">IF(F181&lt;=$E$242,E191*(1+HLOOKUP(E182,INFL,6)),0)</f>
        <v>35.910000000000004</v>
      </c>
      <c r="G191" s="184">
        <f t="shared" si="44"/>
        <v>36.807749999999999</v>
      </c>
      <c r="H191" s="184">
        <f t="shared" si="44"/>
        <v>37.727943749999994</v>
      </c>
      <c r="I191" s="184">
        <f t="shared" si="44"/>
        <v>38.671142343749992</v>
      </c>
      <c r="J191" s="184">
        <f t="shared" si="44"/>
        <v>39.637920902343737</v>
      </c>
      <c r="K191" s="184">
        <f t="shared" si="44"/>
        <v>40.628868924902328</v>
      </c>
      <c r="L191" s="184">
        <f t="shared" si="44"/>
        <v>41.644590648024881</v>
      </c>
      <c r="M191" s="184">
        <f t="shared" si="44"/>
        <v>42.685705414225502</v>
      </c>
      <c r="N191" s="184">
        <f t="shared" si="44"/>
        <v>43.752848049581139</v>
      </c>
      <c r="O191" s="184">
        <f t="shared" si="44"/>
        <v>44.846669250820661</v>
      </c>
      <c r="P191" s="184">
        <f t="shared" si="44"/>
        <v>45.967835982091174</v>
      </c>
      <c r="Q191" s="184">
        <f t="shared" si="44"/>
        <v>47.117031881643449</v>
      </c>
      <c r="R191" s="184">
        <f t="shared" si="44"/>
        <v>48.294957678684533</v>
      </c>
      <c r="S191" s="184">
        <f t="shared" si="44"/>
        <v>49.502331620651638</v>
      </c>
      <c r="T191" s="184">
        <f t="shared" si="44"/>
        <v>50.739889911167928</v>
      </c>
      <c r="U191" s="184">
        <f t="shared" si="44"/>
        <v>52.008387158947123</v>
      </c>
      <c r="V191" s="184">
        <f t="shared" si="44"/>
        <v>53.308596837920796</v>
      </c>
      <c r="W191" s="184">
        <f t="shared" si="44"/>
        <v>0</v>
      </c>
      <c r="X191" s="184">
        <f t="shared" si="44"/>
        <v>0</v>
      </c>
      <c r="Y191" s="184">
        <f t="shared" si="44"/>
        <v>0</v>
      </c>
      <c r="Z191" s="184">
        <f t="shared" si="44"/>
        <v>0</v>
      </c>
      <c r="AA191" s="184">
        <f t="shared" si="44"/>
        <v>0</v>
      </c>
      <c r="AB191" s="184">
        <f t="shared" si="44"/>
        <v>0</v>
      </c>
      <c r="AC191" s="184">
        <f t="shared" si="44"/>
        <v>0</v>
      </c>
      <c r="AD191" s="184">
        <f t="shared" si="44"/>
        <v>0</v>
      </c>
      <c r="AE191" s="184">
        <f t="shared" si="44"/>
        <v>0</v>
      </c>
      <c r="AF191" s="184">
        <f t="shared" si="44"/>
        <v>0</v>
      </c>
      <c r="AG191" s="184">
        <f t="shared" si="44"/>
        <v>0</v>
      </c>
      <c r="AH191" s="184">
        <f t="shared" si="44"/>
        <v>0</v>
      </c>
      <c r="AI191" s="184">
        <f t="shared" si="44"/>
        <v>0</v>
      </c>
      <c r="AJ191" s="184"/>
      <c r="AK191" s="184"/>
      <c r="AL191" s="184"/>
      <c r="AM191" s="184"/>
      <c r="AN191" s="184"/>
      <c r="AO191" s="184"/>
      <c r="AP191" s="184"/>
      <c r="AQ191" s="184"/>
      <c r="AR191" s="184"/>
      <c r="AS191" s="184"/>
      <c r="AT191" s="184"/>
      <c r="AU191" s="184"/>
      <c r="AV191" s="184"/>
      <c r="AW191" s="184"/>
      <c r="AX191" s="184"/>
      <c r="AY191" s="184"/>
      <c r="AZ191" s="184"/>
      <c r="BA191" s="184"/>
      <c r="BB191" s="184"/>
      <c r="BC191" s="184"/>
      <c r="BD191" s="184"/>
      <c r="BE191" s="184"/>
      <c r="BF191" s="184"/>
      <c r="BG191" s="184"/>
      <c r="BH191" s="184"/>
      <c r="BI191" s="184"/>
      <c r="BJ191" s="184"/>
      <c r="BK191" s="184"/>
      <c r="BL191" s="184"/>
      <c r="BM191" s="184"/>
      <c r="BN191" s="184"/>
      <c r="BO191" s="184"/>
      <c r="BP191" s="184"/>
      <c r="BQ191" s="184"/>
      <c r="BR191" s="184"/>
      <c r="BS191" s="184"/>
      <c r="BT191" s="184"/>
      <c r="BU191" s="184"/>
      <c r="BV191" s="184"/>
      <c r="BW191" s="184"/>
      <c r="BX191" s="184"/>
      <c r="BY191" s="184"/>
      <c r="BZ191" s="184"/>
      <c r="CA191" s="184"/>
      <c r="CB191" s="184"/>
      <c r="CC191" s="184"/>
      <c r="CD191" s="184"/>
      <c r="CE191" s="184"/>
      <c r="CF191" s="184"/>
      <c r="CG191" s="184"/>
      <c r="CH191" s="184"/>
      <c r="CI191" s="184"/>
      <c r="CJ191" s="184"/>
      <c r="CK191" s="184"/>
      <c r="CL191" s="184"/>
      <c r="CM191" s="184"/>
      <c r="CN191" s="184"/>
      <c r="CO191" s="184"/>
      <c r="CP191" s="184"/>
      <c r="CQ191" s="184"/>
      <c r="CR191" s="184"/>
      <c r="CS191" s="184"/>
      <c r="CT191" s="184"/>
      <c r="CU191" s="184"/>
      <c r="CV191" s="184"/>
      <c r="CW191" s="184"/>
      <c r="CX191" s="184"/>
      <c r="CY191" s="184"/>
      <c r="CZ191" s="184"/>
      <c r="DA191" s="184"/>
      <c r="DB191" s="184"/>
      <c r="DC191" s="184"/>
      <c r="DD191" s="184"/>
      <c r="DE191" s="184"/>
      <c r="DF191" s="184"/>
      <c r="DG191" s="184"/>
      <c r="DH191" s="184"/>
      <c r="DI191" s="184"/>
      <c r="DJ191" s="184"/>
      <c r="DK191" s="184"/>
      <c r="DL191" s="184"/>
      <c r="DM191" s="184"/>
      <c r="DN191" s="184"/>
      <c r="DO191" s="184"/>
      <c r="DP191" s="184"/>
      <c r="DQ191" s="184"/>
      <c r="DR191" s="184"/>
      <c r="DS191" s="184"/>
      <c r="DT191" s="184"/>
      <c r="DU191" s="184"/>
      <c r="DV191" s="184"/>
      <c r="DW191" s="184"/>
      <c r="DX191" s="184"/>
      <c r="DY191" s="184"/>
      <c r="DZ191" s="184"/>
      <c r="EA191" s="184"/>
      <c r="EB191" s="184"/>
      <c r="EC191" s="184"/>
      <c r="ED191" s="184"/>
      <c r="EE191" s="184"/>
      <c r="EF191" s="184"/>
      <c r="EG191" s="184"/>
      <c r="EH191" s="184"/>
      <c r="EI191" s="184"/>
      <c r="EJ191" s="184"/>
      <c r="EK191" s="184"/>
      <c r="EL191" s="184"/>
    </row>
    <row r="192" spans="1:142" s="359" customFormat="1">
      <c r="A192" s="184"/>
      <c r="B192" s="285" t="s">
        <v>745</v>
      </c>
      <c r="C192"/>
      <c r="D192" s="184"/>
      <c r="E192" s="848">
        <v>0</v>
      </c>
      <c r="F192" s="184">
        <f t="shared" ref="F192:AI192" si="45">IF(F$181&lt;=$E$287,E192*(1+HLOOKUP(E$182,INFL,6)),0)</f>
        <v>0</v>
      </c>
      <c r="G192" s="184">
        <f t="shared" si="45"/>
        <v>0</v>
      </c>
      <c r="H192" s="184">
        <f t="shared" si="45"/>
        <v>0</v>
      </c>
      <c r="I192" s="184">
        <f t="shared" si="45"/>
        <v>0</v>
      </c>
      <c r="J192" s="184">
        <f t="shared" si="45"/>
        <v>0</v>
      </c>
      <c r="K192" s="184">
        <f t="shared" si="45"/>
        <v>0</v>
      </c>
      <c r="L192" s="184">
        <f t="shared" si="45"/>
        <v>0</v>
      </c>
      <c r="M192" s="184">
        <f t="shared" si="45"/>
        <v>0</v>
      </c>
      <c r="N192" s="184">
        <f t="shared" si="45"/>
        <v>0</v>
      </c>
      <c r="O192" s="184">
        <f t="shared" si="45"/>
        <v>0</v>
      </c>
      <c r="P192" s="184">
        <f t="shared" si="45"/>
        <v>0</v>
      </c>
      <c r="Q192" s="184">
        <f t="shared" si="45"/>
        <v>0</v>
      </c>
      <c r="R192" s="184">
        <f t="shared" si="45"/>
        <v>0</v>
      </c>
      <c r="S192" s="184">
        <f t="shared" si="45"/>
        <v>0</v>
      </c>
      <c r="T192" s="184">
        <f t="shared" si="45"/>
        <v>0</v>
      </c>
      <c r="U192" s="184">
        <f t="shared" si="45"/>
        <v>0</v>
      </c>
      <c r="V192" s="184">
        <f t="shared" si="45"/>
        <v>0</v>
      </c>
      <c r="W192" s="184">
        <f t="shared" si="45"/>
        <v>0</v>
      </c>
      <c r="X192" s="184">
        <f t="shared" si="45"/>
        <v>0</v>
      </c>
      <c r="Y192" s="184">
        <f t="shared" si="45"/>
        <v>0</v>
      </c>
      <c r="Z192" s="184">
        <f t="shared" si="45"/>
        <v>0</v>
      </c>
      <c r="AA192" s="184">
        <f t="shared" si="45"/>
        <v>0</v>
      </c>
      <c r="AB192" s="184">
        <f t="shared" si="45"/>
        <v>0</v>
      </c>
      <c r="AC192" s="184">
        <f t="shared" si="45"/>
        <v>0</v>
      </c>
      <c r="AD192" s="184">
        <f t="shared" si="45"/>
        <v>0</v>
      </c>
      <c r="AE192" s="184">
        <f t="shared" si="45"/>
        <v>0</v>
      </c>
      <c r="AF192" s="184">
        <f t="shared" si="45"/>
        <v>0</v>
      </c>
      <c r="AG192" s="184">
        <f t="shared" si="45"/>
        <v>0</v>
      </c>
      <c r="AH192" s="184">
        <f t="shared" si="45"/>
        <v>0</v>
      </c>
      <c r="AI192" s="184">
        <f t="shared" si="45"/>
        <v>0</v>
      </c>
      <c r="AJ192" s="184"/>
      <c r="AK192" s="184"/>
      <c r="AL192" s="184"/>
      <c r="AM192" s="184"/>
      <c r="AN192" s="184"/>
      <c r="AO192" s="184"/>
      <c r="AP192" s="184"/>
      <c r="AQ192" s="184"/>
      <c r="AR192" s="184"/>
      <c r="AS192" s="184"/>
      <c r="AT192" s="184"/>
      <c r="AU192" s="184"/>
      <c r="AV192" s="184"/>
      <c r="AW192" s="184"/>
      <c r="AX192" s="184"/>
      <c r="AY192" s="184"/>
      <c r="AZ192" s="184"/>
      <c r="BA192" s="184"/>
      <c r="BB192" s="184"/>
      <c r="BC192" s="184"/>
      <c r="BD192" s="184"/>
      <c r="BE192" s="184"/>
      <c r="BF192" s="184"/>
      <c r="BG192" s="184"/>
      <c r="BH192" s="184"/>
      <c r="BI192" s="184"/>
      <c r="BJ192" s="184"/>
      <c r="BK192" s="184"/>
      <c r="BL192" s="184"/>
      <c r="BM192" s="184"/>
      <c r="BN192" s="184"/>
      <c r="BO192" s="184"/>
      <c r="BP192" s="184"/>
      <c r="BQ192" s="184"/>
      <c r="BR192" s="184"/>
      <c r="BS192" s="184"/>
      <c r="BT192" s="184"/>
      <c r="BU192" s="184"/>
      <c r="BV192" s="184"/>
      <c r="BW192" s="184"/>
      <c r="BX192" s="184"/>
      <c r="BY192" s="184"/>
      <c r="BZ192" s="184"/>
      <c r="CA192" s="184"/>
      <c r="CB192" s="184"/>
      <c r="CC192" s="184"/>
      <c r="CD192" s="184"/>
      <c r="CE192" s="184"/>
      <c r="CF192" s="184"/>
      <c r="CG192" s="184"/>
      <c r="CH192" s="184"/>
      <c r="CI192" s="184"/>
      <c r="CJ192" s="184"/>
      <c r="CK192" s="184"/>
      <c r="CL192" s="184"/>
      <c r="CM192" s="184"/>
      <c r="CN192" s="184"/>
      <c r="CO192" s="184"/>
      <c r="CP192" s="184"/>
      <c r="CQ192" s="184"/>
      <c r="CR192" s="184"/>
      <c r="CS192" s="184"/>
      <c r="CT192" s="184"/>
      <c r="CU192" s="184"/>
      <c r="CV192" s="184"/>
      <c r="CW192" s="184"/>
      <c r="CX192" s="184"/>
      <c r="CY192" s="184"/>
      <c r="CZ192" s="184"/>
      <c r="DA192" s="184"/>
      <c r="DB192" s="184"/>
      <c r="DC192" s="184"/>
      <c r="DD192" s="184"/>
      <c r="DE192" s="184"/>
      <c r="DF192" s="184"/>
      <c r="DG192" s="184"/>
      <c r="DH192" s="184"/>
      <c r="DI192" s="184"/>
      <c r="DJ192" s="184"/>
      <c r="DK192" s="184"/>
      <c r="DL192" s="184"/>
      <c r="DM192" s="184"/>
      <c r="DN192" s="184"/>
      <c r="DO192" s="184"/>
      <c r="DP192" s="184"/>
      <c r="DQ192" s="184"/>
      <c r="DR192" s="184"/>
      <c r="DS192" s="184"/>
      <c r="DT192" s="184"/>
      <c r="DU192" s="184"/>
      <c r="DV192" s="184"/>
      <c r="DW192" s="184"/>
      <c r="DX192" s="184"/>
      <c r="DY192" s="184"/>
      <c r="DZ192" s="184"/>
      <c r="EA192" s="184"/>
      <c r="EB192" s="184"/>
      <c r="EC192" s="184"/>
      <c r="ED192" s="184"/>
      <c r="EE192" s="184"/>
      <c r="EF192" s="184"/>
      <c r="EG192" s="184"/>
      <c r="EH192" s="184"/>
      <c r="EI192" s="184"/>
      <c r="EJ192" s="184"/>
      <c r="EK192" s="184"/>
      <c r="EL192" s="184"/>
    </row>
    <row r="193" spans="1:142" s="227" customFormat="1">
      <c r="A193" s="184"/>
      <c r="B193" s="285" t="s">
        <v>810</v>
      </c>
      <c r="C193"/>
      <c r="D193" s="184"/>
      <c r="E193" s="611">
        <v>40</v>
      </c>
      <c r="F193" s="184">
        <f t="shared" ref="F193:AI193" si="46">IF(F$181&lt;=$E$242,E193*(1+HLOOKUP(E$182,INFL,6)),0)</f>
        <v>41.04</v>
      </c>
      <c r="G193" s="184">
        <f t="shared" si="46"/>
        <v>42.065999999999995</v>
      </c>
      <c r="H193" s="184">
        <f t="shared" si="46"/>
        <v>43.11764999999999</v>
      </c>
      <c r="I193" s="184">
        <f t="shared" si="46"/>
        <v>44.195591249999985</v>
      </c>
      <c r="J193" s="184">
        <f t="shared" si="46"/>
        <v>45.30048103124998</v>
      </c>
      <c r="K193" s="184">
        <f t="shared" si="46"/>
        <v>46.432993057031226</v>
      </c>
      <c r="L193" s="184">
        <f t="shared" si="46"/>
        <v>47.593817883457</v>
      </c>
      <c r="M193" s="184">
        <f t="shared" si="46"/>
        <v>48.783663330543419</v>
      </c>
      <c r="N193" s="184">
        <f t="shared" si="46"/>
        <v>50.003254913806998</v>
      </c>
      <c r="O193" s="184">
        <f t="shared" si="46"/>
        <v>51.253336286652171</v>
      </c>
      <c r="P193" s="184">
        <f t="shared" si="46"/>
        <v>52.534669693818472</v>
      </c>
      <c r="Q193" s="184">
        <f t="shared" si="46"/>
        <v>53.84803643616393</v>
      </c>
      <c r="R193" s="184">
        <f t="shared" si="46"/>
        <v>55.194237347068025</v>
      </c>
      <c r="S193" s="184">
        <f t="shared" si="46"/>
        <v>56.574093280744719</v>
      </c>
      <c r="T193" s="184">
        <f t="shared" si="46"/>
        <v>57.988445612763336</v>
      </c>
      <c r="U193" s="184">
        <f t="shared" si="46"/>
        <v>59.438156753082417</v>
      </c>
      <c r="V193" s="184">
        <f t="shared" si="46"/>
        <v>60.924110671909474</v>
      </c>
      <c r="W193" s="184">
        <f t="shared" si="46"/>
        <v>0</v>
      </c>
      <c r="X193" s="184">
        <f t="shared" si="46"/>
        <v>0</v>
      </c>
      <c r="Y193" s="184">
        <f t="shared" si="46"/>
        <v>0</v>
      </c>
      <c r="Z193" s="184">
        <f t="shared" si="46"/>
        <v>0</v>
      </c>
      <c r="AA193" s="184">
        <f t="shared" si="46"/>
        <v>0</v>
      </c>
      <c r="AB193" s="184">
        <f t="shared" si="46"/>
        <v>0</v>
      </c>
      <c r="AC193" s="184">
        <f t="shared" si="46"/>
        <v>0</v>
      </c>
      <c r="AD193" s="184">
        <f t="shared" si="46"/>
        <v>0</v>
      </c>
      <c r="AE193" s="184">
        <f t="shared" si="46"/>
        <v>0</v>
      </c>
      <c r="AF193" s="184">
        <f t="shared" si="46"/>
        <v>0</v>
      </c>
      <c r="AG193" s="184">
        <f t="shared" si="46"/>
        <v>0</v>
      </c>
      <c r="AH193" s="184">
        <f t="shared" si="46"/>
        <v>0</v>
      </c>
      <c r="AI193" s="184">
        <f t="shared" si="46"/>
        <v>0</v>
      </c>
      <c r="AJ193" s="226"/>
      <c r="AK193" s="226"/>
      <c r="AL193" s="226"/>
      <c r="AM193" s="226"/>
      <c r="AN193" s="226"/>
      <c r="AO193" s="226"/>
      <c r="AP193" s="226"/>
      <c r="AQ193" s="226"/>
      <c r="AR193" s="226"/>
      <c r="AS193" s="226"/>
      <c r="AT193" s="226"/>
      <c r="AU193" s="226"/>
      <c r="AV193" s="226"/>
      <c r="AW193" s="226"/>
      <c r="AX193" s="226"/>
      <c r="AY193" s="226"/>
      <c r="AZ193" s="226"/>
      <c r="BA193" s="226"/>
      <c r="BB193" s="226"/>
      <c r="BC193" s="226"/>
      <c r="BD193" s="226"/>
      <c r="BE193" s="226"/>
      <c r="BF193" s="226"/>
      <c r="BG193" s="226"/>
      <c r="BH193" s="226"/>
      <c r="BI193" s="226"/>
      <c r="BJ193" s="226"/>
      <c r="BK193" s="226"/>
      <c r="BL193" s="226"/>
      <c r="BM193" s="226"/>
      <c r="BN193" s="226"/>
      <c r="BO193" s="226"/>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226"/>
      <c r="CT193" s="226"/>
      <c r="CU193" s="226"/>
      <c r="CV193" s="226"/>
      <c r="CW193" s="226"/>
      <c r="CX193" s="226"/>
      <c r="CY193" s="226"/>
      <c r="CZ193" s="226"/>
      <c r="DA193" s="226"/>
      <c r="DB193" s="226"/>
      <c r="DC193" s="226"/>
      <c r="DD193" s="226"/>
      <c r="DE193" s="226"/>
      <c r="DF193" s="226"/>
      <c r="DG193" s="226"/>
      <c r="DH193" s="226"/>
      <c r="DI193" s="226"/>
      <c r="DJ193" s="226"/>
      <c r="DK193" s="226"/>
      <c r="DL193" s="226"/>
      <c r="DM193" s="226"/>
      <c r="DN193" s="226"/>
      <c r="DO193" s="226"/>
      <c r="DP193" s="226"/>
      <c r="DQ193" s="226"/>
      <c r="DR193" s="226"/>
      <c r="DS193" s="226"/>
      <c r="DT193" s="226"/>
      <c r="DU193" s="226"/>
      <c r="DV193" s="226"/>
      <c r="DW193" s="226"/>
      <c r="DX193" s="226"/>
      <c r="DY193" s="226"/>
      <c r="DZ193" s="226"/>
      <c r="EA193" s="226"/>
      <c r="EB193" s="226"/>
      <c r="EC193" s="226"/>
      <c r="ED193" s="226"/>
      <c r="EE193" s="226"/>
      <c r="EF193" s="226"/>
      <c r="EG193" s="226"/>
      <c r="EH193" s="226"/>
      <c r="EI193" s="226"/>
      <c r="EJ193" s="226"/>
      <c r="EK193" s="226"/>
      <c r="EL193" s="226"/>
    </row>
    <row r="194" spans="1:142" s="227" customFormat="1">
      <c r="A194" s="226"/>
      <c r="B194" s="285" t="s">
        <v>291</v>
      </c>
      <c r="C194"/>
      <c r="D194" s="226"/>
      <c r="E194" s="225">
        <v>0</v>
      </c>
      <c r="F194" s="225">
        <v>0</v>
      </c>
      <c r="G194" s="225">
        <v>0</v>
      </c>
      <c r="H194" s="225">
        <f t="shared" ref="H194:AI194" si="47">G194</f>
        <v>0</v>
      </c>
      <c r="I194" s="225">
        <f t="shared" si="47"/>
        <v>0</v>
      </c>
      <c r="J194" s="225">
        <f t="shared" si="47"/>
        <v>0</v>
      </c>
      <c r="K194" s="225">
        <f t="shared" si="47"/>
        <v>0</v>
      </c>
      <c r="L194" s="225">
        <f t="shared" si="47"/>
        <v>0</v>
      </c>
      <c r="M194" s="225">
        <f t="shared" si="47"/>
        <v>0</v>
      </c>
      <c r="N194" s="225">
        <f t="shared" si="47"/>
        <v>0</v>
      </c>
      <c r="O194" s="225">
        <f t="shared" si="47"/>
        <v>0</v>
      </c>
      <c r="P194" s="225">
        <f t="shared" si="47"/>
        <v>0</v>
      </c>
      <c r="Q194" s="225">
        <f t="shared" si="47"/>
        <v>0</v>
      </c>
      <c r="R194" s="225">
        <f t="shared" si="47"/>
        <v>0</v>
      </c>
      <c r="S194" s="225">
        <f t="shared" si="47"/>
        <v>0</v>
      </c>
      <c r="T194" s="225">
        <f t="shared" si="47"/>
        <v>0</v>
      </c>
      <c r="U194" s="225">
        <f t="shared" si="47"/>
        <v>0</v>
      </c>
      <c r="V194" s="225">
        <f t="shared" si="47"/>
        <v>0</v>
      </c>
      <c r="W194" s="225">
        <f t="shared" si="47"/>
        <v>0</v>
      </c>
      <c r="X194" s="225">
        <f t="shared" si="47"/>
        <v>0</v>
      </c>
      <c r="Y194" s="225">
        <f t="shared" si="47"/>
        <v>0</v>
      </c>
      <c r="Z194" s="225">
        <f t="shared" si="47"/>
        <v>0</v>
      </c>
      <c r="AA194" s="225">
        <f t="shared" si="47"/>
        <v>0</v>
      </c>
      <c r="AB194" s="225">
        <f t="shared" si="47"/>
        <v>0</v>
      </c>
      <c r="AC194" s="225">
        <f t="shared" si="47"/>
        <v>0</v>
      </c>
      <c r="AD194" s="225">
        <f t="shared" si="47"/>
        <v>0</v>
      </c>
      <c r="AE194" s="225">
        <f t="shared" si="47"/>
        <v>0</v>
      </c>
      <c r="AF194" s="225">
        <f t="shared" si="47"/>
        <v>0</v>
      </c>
      <c r="AG194" s="225">
        <f t="shared" si="47"/>
        <v>0</v>
      </c>
      <c r="AH194" s="225">
        <f t="shared" si="47"/>
        <v>0</v>
      </c>
      <c r="AI194" s="225">
        <f t="shared" si="47"/>
        <v>0</v>
      </c>
      <c r="AJ194" s="226"/>
      <c r="AK194" s="226"/>
      <c r="AL194" s="226"/>
      <c r="AM194" s="226"/>
      <c r="AN194" s="226"/>
      <c r="AO194" s="226"/>
      <c r="AP194" s="226"/>
      <c r="AQ194" s="226"/>
      <c r="AR194" s="226"/>
      <c r="AS194" s="226"/>
      <c r="AT194" s="226"/>
      <c r="AU194" s="226"/>
      <c r="AV194" s="226"/>
      <c r="AW194" s="226"/>
      <c r="AX194" s="226"/>
      <c r="AY194" s="226"/>
      <c r="AZ194" s="226"/>
      <c r="BA194" s="226"/>
      <c r="BB194" s="226"/>
      <c r="BC194" s="226"/>
      <c r="BD194" s="226"/>
      <c r="BE194" s="226"/>
      <c r="BF194" s="226"/>
      <c r="BG194" s="226"/>
      <c r="BH194" s="226"/>
      <c r="BI194" s="226"/>
      <c r="BJ194" s="226"/>
      <c r="BK194" s="226"/>
      <c r="BL194" s="226"/>
      <c r="BM194" s="226"/>
      <c r="BN194" s="226"/>
      <c r="BO194" s="226"/>
      <c r="BP194" s="226"/>
      <c r="BQ194" s="226"/>
      <c r="BR194" s="226"/>
      <c r="BS194" s="226"/>
      <c r="BT194" s="226"/>
      <c r="BU194" s="226"/>
      <c r="BV194" s="226"/>
      <c r="BW194" s="226"/>
      <c r="BX194" s="226"/>
      <c r="BY194" s="226"/>
      <c r="BZ194" s="226"/>
      <c r="CA194" s="226"/>
      <c r="CB194" s="226"/>
      <c r="CC194" s="226"/>
      <c r="CD194" s="226"/>
      <c r="CE194" s="226"/>
      <c r="CF194" s="226"/>
      <c r="CG194" s="226"/>
      <c r="CH194" s="226"/>
      <c r="CI194" s="226"/>
      <c r="CJ194" s="226"/>
      <c r="CK194" s="226"/>
      <c r="CL194" s="226"/>
      <c r="CM194" s="226"/>
      <c r="CN194" s="226"/>
      <c r="CO194" s="226"/>
      <c r="CP194" s="226"/>
      <c r="CQ194" s="226"/>
      <c r="CR194" s="226"/>
      <c r="CS194" s="226"/>
      <c r="CT194" s="226"/>
      <c r="CU194" s="226"/>
      <c r="CV194" s="226"/>
      <c r="CW194" s="226"/>
      <c r="CX194" s="226"/>
      <c r="CY194" s="226"/>
      <c r="CZ194" s="226"/>
      <c r="DA194" s="226"/>
      <c r="DB194" s="226"/>
      <c r="DC194" s="226"/>
      <c r="DD194" s="226"/>
      <c r="DE194" s="226"/>
      <c r="DF194" s="226"/>
      <c r="DG194" s="226"/>
      <c r="DH194" s="226"/>
      <c r="DI194" s="226"/>
      <c r="DJ194" s="226"/>
      <c r="DK194" s="226"/>
      <c r="DL194" s="226"/>
      <c r="DM194" s="226"/>
      <c r="DN194" s="226"/>
      <c r="DO194" s="226"/>
      <c r="DP194" s="226"/>
      <c r="DQ194" s="226"/>
      <c r="DR194" s="226"/>
      <c r="DS194" s="226"/>
      <c r="DT194" s="226"/>
      <c r="DU194" s="226"/>
      <c r="DV194" s="226"/>
      <c r="DW194" s="226"/>
      <c r="DX194" s="226"/>
      <c r="DY194" s="226"/>
      <c r="DZ194" s="226"/>
      <c r="EA194" s="226"/>
      <c r="EB194" s="226"/>
      <c r="EC194" s="226"/>
      <c r="ED194" s="226"/>
      <c r="EE194" s="226"/>
      <c r="EF194" s="226"/>
      <c r="EG194" s="226"/>
      <c r="EH194" s="226"/>
      <c r="EI194" s="226"/>
      <c r="EJ194" s="226"/>
      <c r="EK194" s="226"/>
      <c r="EL194" s="226"/>
    </row>
    <row r="195" spans="1:142" s="227" customFormat="1">
      <c r="A195" s="226"/>
      <c r="B195" s="285" t="s">
        <v>150</v>
      </c>
      <c r="C195"/>
      <c r="D195" s="226"/>
      <c r="E195" s="225">
        <v>0</v>
      </c>
      <c r="F195" s="225">
        <v>0</v>
      </c>
      <c r="G195" s="225">
        <v>0</v>
      </c>
      <c r="H195" s="225">
        <v>0</v>
      </c>
      <c r="I195" s="225">
        <v>0</v>
      </c>
      <c r="J195" s="225">
        <v>0</v>
      </c>
      <c r="K195" s="225">
        <v>0</v>
      </c>
      <c r="L195" s="225">
        <v>0</v>
      </c>
      <c r="M195" s="225">
        <v>0</v>
      </c>
      <c r="N195" s="225">
        <v>0</v>
      </c>
      <c r="O195" s="225">
        <v>0</v>
      </c>
      <c r="P195" s="225">
        <v>0</v>
      </c>
      <c r="Q195" s="225">
        <v>0</v>
      </c>
      <c r="R195" s="225">
        <v>0</v>
      </c>
      <c r="S195" s="225">
        <v>0</v>
      </c>
      <c r="T195" s="225">
        <v>0</v>
      </c>
      <c r="U195" s="225">
        <v>0</v>
      </c>
      <c r="V195" s="225">
        <v>0</v>
      </c>
      <c r="W195" s="225">
        <v>0</v>
      </c>
      <c r="X195" s="225">
        <v>0</v>
      </c>
      <c r="Y195" s="225">
        <v>0</v>
      </c>
      <c r="Z195" s="225">
        <v>0</v>
      </c>
      <c r="AA195" s="225">
        <v>0</v>
      </c>
      <c r="AB195" s="225">
        <v>0</v>
      </c>
      <c r="AC195" s="225">
        <v>0</v>
      </c>
      <c r="AD195" s="225">
        <v>0</v>
      </c>
      <c r="AE195" s="225">
        <v>0</v>
      </c>
      <c r="AF195" s="225">
        <v>0</v>
      </c>
      <c r="AG195" s="225">
        <v>0</v>
      </c>
      <c r="AH195" s="225">
        <v>0</v>
      </c>
      <c r="AI195" s="225">
        <v>0</v>
      </c>
      <c r="AJ195" s="226"/>
      <c r="AK195" s="226"/>
      <c r="AL195" s="226"/>
      <c r="AM195" s="226"/>
      <c r="AN195" s="226"/>
      <c r="AO195" s="226"/>
      <c r="AP195" s="226"/>
      <c r="AQ195" s="226"/>
      <c r="AR195" s="226"/>
      <c r="AS195" s="226"/>
      <c r="AT195" s="226"/>
      <c r="AU195" s="226"/>
      <c r="AV195" s="226"/>
      <c r="AW195" s="226"/>
      <c r="AX195" s="226"/>
      <c r="AY195" s="226"/>
      <c r="AZ195" s="226"/>
      <c r="BA195" s="226"/>
      <c r="BB195" s="226"/>
      <c r="BC195" s="226"/>
      <c r="BD195" s="226"/>
      <c r="BE195" s="226"/>
      <c r="BF195" s="226"/>
      <c r="BG195" s="226"/>
      <c r="BH195" s="226"/>
      <c r="BI195" s="226"/>
      <c r="BJ195" s="226"/>
      <c r="BK195" s="226"/>
      <c r="BL195" s="226"/>
      <c r="BM195" s="226"/>
      <c r="BN195" s="226"/>
      <c r="BO195" s="226"/>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226"/>
      <c r="CT195" s="226"/>
      <c r="CU195" s="226"/>
      <c r="CV195" s="226"/>
      <c r="CW195" s="226"/>
      <c r="CX195" s="226"/>
      <c r="CY195" s="226"/>
      <c r="CZ195" s="226"/>
      <c r="DA195" s="226"/>
      <c r="DB195" s="226"/>
      <c r="DC195" s="226"/>
      <c r="DD195" s="226"/>
      <c r="DE195" s="226"/>
      <c r="DF195" s="226"/>
      <c r="DG195" s="226"/>
      <c r="DH195" s="226"/>
      <c r="DI195" s="226"/>
      <c r="DJ195" s="226"/>
      <c r="DK195" s="226"/>
      <c r="DL195" s="226"/>
      <c r="DM195" s="226"/>
      <c r="DN195" s="226"/>
      <c r="DO195" s="226"/>
      <c r="DP195" s="226"/>
      <c r="DQ195" s="226"/>
      <c r="DR195" s="226"/>
      <c r="DS195" s="226"/>
      <c r="DT195" s="226"/>
      <c r="DU195" s="226"/>
      <c r="DV195" s="226"/>
      <c r="DW195" s="226"/>
      <c r="DX195" s="226"/>
      <c r="DY195" s="226"/>
      <c r="DZ195" s="226"/>
      <c r="EA195" s="226"/>
      <c r="EB195" s="226"/>
      <c r="EC195" s="226"/>
      <c r="ED195" s="226"/>
      <c r="EE195" s="226"/>
      <c r="EF195" s="226"/>
      <c r="EG195" s="226"/>
      <c r="EH195" s="226"/>
      <c r="EI195" s="226"/>
      <c r="EJ195" s="226"/>
      <c r="EK195" s="226"/>
      <c r="EL195" s="226"/>
    </row>
    <row r="196" spans="1:142" s="359" customFormat="1">
      <c r="A196" s="184"/>
      <c r="B196" s="285" t="s">
        <v>566</v>
      </c>
      <c r="C196"/>
      <c r="E196" s="184">
        <f>E177*$F$30</f>
        <v>1290</v>
      </c>
      <c r="F196" s="184">
        <f t="shared" ref="F196:AI196" si="48">F177*$F$30</f>
        <v>1204</v>
      </c>
      <c r="G196" s="184">
        <f t="shared" si="48"/>
        <v>1118</v>
      </c>
      <c r="H196" s="184">
        <f t="shared" si="48"/>
        <v>1118</v>
      </c>
      <c r="I196" s="184">
        <f t="shared" si="48"/>
        <v>1118</v>
      </c>
      <c r="J196" s="184">
        <f t="shared" si="48"/>
        <v>0</v>
      </c>
      <c r="K196" s="184">
        <f t="shared" si="48"/>
        <v>0</v>
      </c>
      <c r="L196" s="184">
        <f t="shared" si="48"/>
        <v>0</v>
      </c>
      <c r="M196" s="184">
        <f t="shared" si="48"/>
        <v>0</v>
      </c>
      <c r="N196" s="184">
        <f t="shared" si="48"/>
        <v>0</v>
      </c>
      <c r="O196" s="184">
        <f t="shared" si="48"/>
        <v>0</v>
      </c>
      <c r="P196" s="184">
        <f t="shared" si="48"/>
        <v>0</v>
      </c>
      <c r="Q196" s="184">
        <f t="shared" si="48"/>
        <v>0</v>
      </c>
      <c r="R196" s="184">
        <f t="shared" si="48"/>
        <v>0</v>
      </c>
      <c r="S196" s="184">
        <f t="shared" si="48"/>
        <v>0</v>
      </c>
      <c r="T196" s="184">
        <f t="shared" si="48"/>
        <v>0</v>
      </c>
      <c r="U196" s="184">
        <f t="shared" si="48"/>
        <v>0</v>
      </c>
      <c r="V196" s="184">
        <f t="shared" si="48"/>
        <v>0</v>
      </c>
      <c r="W196" s="184">
        <f t="shared" si="48"/>
        <v>0</v>
      </c>
      <c r="X196" s="184">
        <f t="shared" si="48"/>
        <v>0</v>
      </c>
      <c r="Y196" s="184">
        <f t="shared" si="48"/>
        <v>0</v>
      </c>
      <c r="Z196" s="184">
        <f t="shared" si="48"/>
        <v>0</v>
      </c>
      <c r="AA196" s="184">
        <f t="shared" si="48"/>
        <v>0</v>
      </c>
      <c r="AB196" s="184">
        <f t="shared" si="48"/>
        <v>0</v>
      </c>
      <c r="AC196" s="184">
        <f t="shared" si="48"/>
        <v>0</v>
      </c>
      <c r="AD196" s="184">
        <f t="shared" si="48"/>
        <v>0</v>
      </c>
      <c r="AE196" s="184">
        <f t="shared" si="48"/>
        <v>0</v>
      </c>
      <c r="AF196" s="184">
        <f t="shared" si="48"/>
        <v>0</v>
      </c>
      <c r="AG196" s="184">
        <f t="shared" si="48"/>
        <v>0</v>
      </c>
      <c r="AH196" s="184">
        <f t="shared" si="48"/>
        <v>0</v>
      </c>
      <c r="AI196" s="184">
        <f t="shared" si="48"/>
        <v>0</v>
      </c>
      <c r="AJ196" s="184"/>
      <c r="AK196" s="184"/>
      <c r="AL196" s="184"/>
      <c r="AM196" s="184"/>
      <c r="AN196" s="184"/>
      <c r="AO196" s="184"/>
      <c r="AP196" s="184"/>
      <c r="AQ196" s="184"/>
      <c r="AR196" s="184"/>
      <c r="AS196" s="184"/>
      <c r="AT196" s="184"/>
      <c r="AU196" s="184"/>
      <c r="AV196" s="184"/>
      <c r="AW196" s="184"/>
      <c r="AX196" s="184"/>
      <c r="AY196" s="184"/>
      <c r="AZ196" s="184"/>
      <c r="BA196" s="184"/>
      <c r="BB196" s="184"/>
      <c r="BC196" s="184"/>
      <c r="BD196" s="184"/>
      <c r="BE196" s="184"/>
      <c r="BF196" s="184"/>
      <c r="BG196" s="184"/>
      <c r="BH196" s="184"/>
      <c r="BI196" s="184"/>
      <c r="BJ196" s="184"/>
      <c r="BK196" s="184"/>
      <c r="BL196" s="184"/>
      <c r="BM196" s="184"/>
      <c r="BN196" s="184"/>
      <c r="BO196" s="184"/>
      <c r="BP196" s="184"/>
      <c r="BQ196" s="184"/>
      <c r="BR196" s="184"/>
      <c r="BS196" s="184"/>
      <c r="BT196" s="184"/>
      <c r="BU196" s="184"/>
      <c r="BV196" s="184"/>
      <c r="BW196" s="184"/>
      <c r="BX196" s="184"/>
      <c r="BY196" s="184"/>
      <c r="BZ196" s="184"/>
      <c r="CA196" s="184"/>
      <c r="CB196" s="184"/>
      <c r="CC196" s="184"/>
      <c r="CD196" s="184"/>
      <c r="CE196" s="184"/>
      <c r="CF196" s="184"/>
      <c r="CG196" s="184"/>
      <c r="CH196" s="184"/>
      <c r="CI196" s="184"/>
      <c r="CJ196" s="184"/>
      <c r="CK196" s="184"/>
      <c r="CL196" s="184"/>
      <c r="CM196" s="184"/>
      <c r="CN196" s="184"/>
      <c r="CO196" s="184"/>
      <c r="CP196" s="184"/>
      <c r="CQ196" s="184"/>
      <c r="CR196" s="184"/>
      <c r="CS196" s="184"/>
      <c r="CT196" s="184"/>
      <c r="CU196" s="184"/>
      <c r="CV196" s="184"/>
      <c r="CW196" s="184"/>
      <c r="CX196" s="184"/>
      <c r="CY196" s="184"/>
      <c r="CZ196" s="184"/>
      <c r="DA196" s="184"/>
      <c r="DB196" s="184"/>
      <c r="DC196" s="184"/>
      <c r="DD196" s="184"/>
      <c r="DE196" s="184"/>
      <c r="DF196" s="184"/>
      <c r="DG196" s="184"/>
      <c r="DH196" s="184"/>
      <c r="DI196" s="184"/>
      <c r="DJ196" s="184"/>
      <c r="DK196" s="184"/>
      <c r="DL196" s="184"/>
      <c r="DM196" s="184"/>
      <c r="DN196" s="184"/>
      <c r="DO196" s="184"/>
      <c r="DP196" s="184"/>
      <c r="DQ196" s="184"/>
      <c r="DR196" s="184"/>
      <c r="DS196" s="184"/>
      <c r="DT196" s="184"/>
      <c r="DU196" s="184"/>
      <c r="DV196" s="184"/>
      <c r="DW196" s="184"/>
      <c r="DX196" s="184"/>
      <c r="DY196" s="184"/>
      <c r="DZ196" s="184"/>
      <c r="EA196" s="184"/>
      <c r="EB196" s="184"/>
      <c r="EC196" s="184"/>
      <c r="ED196" s="184"/>
      <c r="EE196" s="184"/>
      <c r="EF196" s="184"/>
      <c r="EG196" s="184"/>
      <c r="EH196" s="184"/>
      <c r="EI196" s="184"/>
      <c r="EJ196" s="184"/>
      <c r="EK196" s="184"/>
      <c r="EL196" s="184"/>
    </row>
    <row r="197" spans="1:142" s="78" customFormat="1">
      <c r="A197" s="89"/>
      <c r="B197" s="285" t="s">
        <v>689</v>
      </c>
      <c r="C197"/>
      <c r="D197" s="79"/>
      <c r="E197" s="848">
        <v>250</v>
      </c>
      <c r="F197" s="184">
        <f t="shared" ref="F197:AI197" si="49">E197*(1+HLOOKUP(E182,INFL,6))</f>
        <v>256.5</v>
      </c>
      <c r="G197" s="184">
        <f t="shared" si="49"/>
        <v>262.91249999999997</v>
      </c>
      <c r="H197" s="184">
        <f t="shared" si="49"/>
        <v>269.48531249999996</v>
      </c>
      <c r="I197" s="184">
        <f t="shared" si="49"/>
        <v>276.22244531249993</v>
      </c>
      <c r="J197" s="184">
        <f t="shared" si="49"/>
        <v>283.12800644531239</v>
      </c>
      <c r="K197" s="184">
        <f t="shared" si="49"/>
        <v>290.20620660644516</v>
      </c>
      <c r="L197" s="184">
        <f t="shared" si="49"/>
        <v>297.46136177160628</v>
      </c>
      <c r="M197" s="184">
        <f t="shared" si="49"/>
        <v>304.89789581589639</v>
      </c>
      <c r="N197" s="184">
        <f t="shared" si="49"/>
        <v>312.52034321129378</v>
      </c>
      <c r="O197" s="184">
        <f t="shared" si="49"/>
        <v>320.33335179157609</v>
      </c>
      <c r="P197" s="184">
        <f t="shared" si="49"/>
        <v>328.34168558636549</v>
      </c>
      <c r="Q197" s="184">
        <f t="shared" si="49"/>
        <v>336.55022772602462</v>
      </c>
      <c r="R197" s="184">
        <f t="shared" si="49"/>
        <v>344.96398341917518</v>
      </c>
      <c r="S197" s="184">
        <f t="shared" si="49"/>
        <v>353.58808300465455</v>
      </c>
      <c r="T197" s="184">
        <f t="shared" si="49"/>
        <v>362.4277850797709</v>
      </c>
      <c r="U197" s="184">
        <f t="shared" si="49"/>
        <v>371.48847970676513</v>
      </c>
      <c r="V197" s="184">
        <f t="shared" si="49"/>
        <v>380.77569169943422</v>
      </c>
      <c r="W197" s="184">
        <f t="shared" si="49"/>
        <v>390.29508399192002</v>
      </c>
      <c r="X197" s="184">
        <f t="shared" si="49"/>
        <v>400.05246109171799</v>
      </c>
      <c r="Y197" s="184">
        <f t="shared" si="49"/>
        <v>410.05377261901089</v>
      </c>
      <c r="Z197" s="184">
        <f t="shared" si="49"/>
        <v>420.30511693448614</v>
      </c>
      <c r="AA197" s="184">
        <f t="shared" si="49"/>
        <v>430.81274485784826</v>
      </c>
      <c r="AB197" s="184">
        <f t="shared" si="49"/>
        <v>441.58306347929442</v>
      </c>
      <c r="AC197" s="184">
        <f t="shared" si="49"/>
        <v>452.62264006627674</v>
      </c>
      <c r="AD197" s="184">
        <f t="shared" si="49"/>
        <v>463.93820606793361</v>
      </c>
      <c r="AE197" s="184">
        <f t="shared" si="49"/>
        <v>475.53666121963192</v>
      </c>
      <c r="AF197" s="184">
        <f t="shared" si="49"/>
        <v>487.42507775012268</v>
      </c>
      <c r="AG197" s="184">
        <f t="shared" si="49"/>
        <v>499.61070469387573</v>
      </c>
      <c r="AH197" s="184">
        <f t="shared" si="49"/>
        <v>512.10097231122256</v>
      </c>
      <c r="AI197" s="184">
        <f t="shared" si="49"/>
        <v>524.90349661900314</v>
      </c>
      <c r="AJ197" s="77"/>
      <c r="AK197" s="77"/>
      <c r="AL197" s="77"/>
      <c r="AM197" s="77"/>
      <c r="AN197" s="77"/>
      <c r="AO197" s="77"/>
      <c r="AP197" s="77"/>
      <c r="AQ197" s="77"/>
      <c r="AR197" s="77"/>
      <c r="AS197" s="77"/>
      <c r="AT197" s="77"/>
      <c r="AU197" s="77"/>
      <c r="AV197" s="77"/>
      <c r="AW197" s="77"/>
      <c r="AX197" s="77"/>
      <c r="AY197" s="77"/>
      <c r="AZ197" s="77"/>
      <c r="BA197" s="77"/>
      <c r="BB197" s="77"/>
      <c r="BC197" s="77"/>
      <c r="BD197" s="77"/>
      <c r="BE197" s="77"/>
      <c r="BF197" s="77"/>
      <c r="BG197" s="77"/>
      <c r="BH197" s="77"/>
      <c r="BI197" s="77"/>
      <c r="BJ197" s="77"/>
      <c r="BK197" s="77"/>
      <c r="BL197" s="77"/>
      <c r="BM197" s="77"/>
      <c r="BN197" s="77"/>
      <c r="BO197" s="77"/>
      <c r="BP197" s="77"/>
      <c r="BQ197" s="77"/>
      <c r="BR197" s="77"/>
      <c r="BS197" s="77"/>
      <c r="BT197" s="77"/>
      <c r="BU197" s="77"/>
      <c r="BV197" s="77"/>
      <c r="BW197" s="77"/>
      <c r="BX197" s="77"/>
      <c r="BY197" s="77"/>
      <c r="BZ197" s="77"/>
      <c r="CA197" s="77"/>
      <c r="CB197" s="77"/>
      <c r="CC197" s="77"/>
      <c r="CD197" s="77"/>
      <c r="CE197" s="77"/>
      <c r="CF197" s="77"/>
      <c r="CG197" s="77"/>
      <c r="CH197" s="77"/>
      <c r="CI197" s="77"/>
      <c r="CJ197" s="77"/>
      <c r="CK197" s="77"/>
      <c r="CL197" s="77"/>
      <c r="CM197" s="77"/>
      <c r="CN197" s="77"/>
      <c r="CO197" s="77"/>
      <c r="CP197" s="77"/>
      <c r="CQ197" s="77"/>
      <c r="CR197" s="77"/>
      <c r="CS197" s="77"/>
      <c r="CT197" s="77"/>
      <c r="CU197" s="77"/>
      <c r="CV197" s="77"/>
      <c r="CW197" s="77"/>
      <c r="CX197" s="77"/>
      <c r="CY197" s="77"/>
      <c r="CZ197" s="77"/>
      <c r="DA197" s="77"/>
      <c r="DB197" s="77"/>
      <c r="DC197" s="77"/>
      <c r="DD197" s="77"/>
      <c r="DE197" s="77"/>
      <c r="DF197" s="77"/>
      <c r="DG197" s="77"/>
      <c r="DH197" s="77"/>
      <c r="DI197" s="77"/>
      <c r="DJ197" s="77"/>
      <c r="DK197" s="77"/>
      <c r="DL197" s="77"/>
      <c r="DM197" s="77"/>
      <c r="DN197" s="77"/>
      <c r="DO197" s="77"/>
      <c r="DP197" s="77"/>
      <c r="DQ197" s="77"/>
      <c r="DR197" s="77"/>
      <c r="DS197" s="77"/>
      <c r="DT197" s="77"/>
      <c r="DU197" s="77"/>
      <c r="DV197" s="77"/>
      <c r="DW197" s="77"/>
      <c r="DX197" s="77"/>
      <c r="DY197" s="77"/>
      <c r="DZ197" s="77"/>
      <c r="EA197" s="77"/>
      <c r="EB197" s="77"/>
      <c r="EC197" s="77"/>
      <c r="ED197" s="77"/>
      <c r="EE197" s="77"/>
      <c r="EF197" s="77"/>
      <c r="EG197" s="77"/>
      <c r="EH197" s="77"/>
      <c r="EI197" s="77"/>
      <c r="EJ197" s="77"/>
      <c r="EK197" s="77"/>
      <c r="EL197" s="77"/>
    </row>
    <row r="198" spans="1:142" s="78" customFormat="1">
      <c r="A198" s="89"/>
      <c r="B198" s="79"/>
      <c r="C198" s="79"/>
      <c r="D198" s="79"/>
      <c r="E198" s="77"/>
      <c r="F198" s="124"/>
      <c r="G198" s="79"/>
      <c r="H198" s="82"/>
      <c r="I198" s="82"/>
      <c r="J198" s="82"/>
      <c r="K198" s="82"/>
      <c r="L198" s="82"/>
      <c r="M198" s="82"/>
      <c r="N198" s="82"/>
      <c r="O198" s="82"/>
      <c r="P198" s="82"/>
      <c r="Q198" s="82"/>
      <c r="R198" s="82"/>
      <c r="S198" s="82"/>
      <c r="T198" s="82"/>
      <c r="U198" s="82"/>
      <c r="V198" s="82"/>
      <c r="W198" s="82"/>
      <c r="X198" s="82"/>
      <c r="Y198" s="82"/>
      <c r="Z198" s="82"/>
      <c r="AA198" s="82"/>
      <c r="AB198" s="82"/>
      <c r="AC198" s="82"/>
      <c r="AD198" s="82"/>
      <c r="AE198" s="82"/>
      <c r="AF198" s="82"/>
      <c r="AG198" s="82"/>
      <c r="AH198" s="82"/>
      <c r="AI198" s="77"/>
      <c r="AJ198" s="77"/>
      <c r="AK198" s="77"/>
      <c r="AL198" s="77"/>
      <c r="AM198" s="77"/>
      <c r="AN198" s="77"/>
      <c r="AO198" s="77"/>
      <c r="AP198" s="77"/>
      <c r="AQ198" s="77"/>
      <c r="AR198" s="77"/>
      <c r="AS198" s="77"/>
      <c r="AT198" s="77"/>
      <c r="AU198" s="77"/>
      <c r="AV198" s="77"/>
      <c r="AW198" s="77"/>
      <c r="AX198" s="77"/>
      <c r="AY198" s="77"/>
      <c r="AZ198" s="77"/>
      <c r="BA198" s="77"/>
      <c r="BB198" s="77"/>
      <c r="BC198" s="77"/>
      <c r="BD198" s="77"/>
      <c r="BE198" s="77"/>
      <c r="BF198" s="77"/>
      <c r="BG198" s="77"/>
      <c r="BH198" s="77"/>
      <c r="BI198" s="77"/>
      <c r="BJ198" s="77"/>
      <c r="BK198" s="77"/>
      <c r="BL198" s="77"/>
      <c r="BM198" s="77"/>
      <c r="BN198" s="77"/>
      <c r="BO198" s="77"/>
      <c r="BP198" s="77"/>
      <c r="BQ198" s="77"/>
      <c r="BR198" s="77"/>
      <c r="BS198" s="77"/>
      <c r="BT198" s="77"/>
      <c r="BU198" s="77"/>
      <c r="BV198" s="77"/>
      <c r="BW198" s="77"/>
      <c r="BX198" s="77"/>
      <c r="BY198" s="77"/>
      <c r="BZ198" s="77"/>
      <c r="CA198" s="77"/>
      <c r="CB198" s="77"/>
      <c r="CC198" s="77"/>
      <c r="CD198" s="77"/>
      <c r="CE198" s="77"/>
      <c r="CF198" s="77"/>
      <c r="CG198" s="77"/>
      <c r="CH198" s="77"/>
      <c r="CI198" s="77"/>
      <c r="CJ198" s="77"/>
      <c r="CK198" s="77"/>
      <c r="CL198" s="77"/>
      <c r="CM198" s="77"/>
      <c r="CN198" s="77"/>
      <c r="CO198" s="77"/>
      <c r="CP198" s="77"/>
      <c r="CQ198" s="77"/>
      <c r="CR198" s="77"/>
      <c r="CS198" s="77"/>
      <c r="CT198" s="77"/>
      <c r="CU198" s="77"/>
      <c r="CV198" s="77"/>
      <c r="CW198" s="77"/>
      <c r="CX198" s="77"/>
      <c r="CY198" s="77"/>
      <c r="CZ198" s="77"/>
      <c r="DA198" s="77"/>
      <c r="DB198" s="77"/>
      <c r="DC198" s="77"/>
      <c r="DD198" s="77"/>
      <c r="DE198" s="77"/>
      <c r="DF198" s="77"/>
      <c r="DG198" s="77"/>
      <c r="DH198" s="77"/>
      <c r="DI198" s="77"/>
      <c r="DJ198" s="77"/>
      <c r="DK198" s="77"/>
      <c r="DL198" s="77"/>
      <c r="DM198" s="77"/>
      <c r="DN198" s="77"/>
      <c r="DO198" s="77"/>
      <c r="DP198" s="77"/>
      <c r="DQ198" s="77"/>
      <c r="DR198" s="77"/>
      <c r="DS198" s="77"/>
      <c r="DT198" s="77"/>
      <c r="DU198" s="77"/>
      <c r="DV198" s="77"/>
      <c r="DW198" s="77"/>
      <c r="DX198" s="77"/>
      <c r="DY198" s="77"/>
      <c r="DZ198" s="77"/>
      <c r="EA198" s="77"/>
      <c r="EB198" s="77"/>
      <c r="EC198" s="77"/>
      <c r="ED198" s="77"/>
      <c r="EE198" s="77"/>
      <c r="EF198" s="77"/>
      <c r="EG198" s="77"/>
      <c r="EH198" s="77"/>
      <c r="EI198" s="77"/>
      <c r="EJ198" s="77"/>
      <c r="EK198" s="77"/>
      <c r="EL198" s="77"/>
    </row>
    <row r="199" spans="1:142" s="76" customFormat="1">
      <c r="B199" s="649" t="s">
        <v>824</v>
      </c>
      <c r="C199" s="814"/>
      <c r="D199" s="105"/>
      <c r="E199" s="108"/>
      <c r="F199" s="108"/>
      <c r="G199" s="108"/>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12"/>
      <c r="CH199" s="12"/>
      <c r="CI199" s="12"/>
      <c r="CJ199" s="12"/>
      <c r="CK199" s="12"/>
      <c r="CL199" s="12"/>
      <c r="CM199" s="12"/>
      <c r="CN199" s="12"/>
      <c r="CO199" s="12"/>
      <c r="CP199" s="12"/>
      <c r="CQ199" s="12"/>
      <c r="CR199" s="12"/>
      <c r="CS199" s="12"/>
      <c r="CT199" s="12"/>
      <c r="CU199" s="12"/>
      <c r="CV199" s="12"/>
      <c r="CW199" s="12"/>
      <c r="CX199" s="12"/>
      <c r="CY199" s="12"/>
      <c r="CZ199" s="12"/>
      <c r="DA199" s="12"/>
      <c r="DB199" s="12"/>
      <c r="DC199" s="12"/>
      <c r="DD199" s="12"/>
      <c r="DE199" s="12"/>
      <c r="DF199" s="12"/>
      <c r="DG199" s="12"/>
      <c r="DH199" s="12"/>
      <c r="DI199" s="12"/>
      <c r="DJ199" s="12"/>
      <c r="DK199" s="12"/>
      <c r="DL199" s="12"/>
      <c r="DM199" s="12"/>
      <c r="DN199" s="12"/>
      <c r="DO199" s="12"/>
      <c r="DP199" s="12"/>
      <c r="DQ199" s="12"/>
      <c r="DR199" s="12"/>
      <c r="DS199" s="12"/>
      <c r="DT199" s="12"/>
      <c r="DU199" s="12"/>
      <c r="DV199" s="12"/>
      <c r="DW199" s="12"/>
      <c r="DX199" s="12"/>
      <c r="DY199" s="12"/>
      <c r="DZ199" s="12"/>
      <c r="EA199" s="12"/>
      <c r="EB199" s="12"/>
      <c r="EC199" s="12"/>
      <c r="ED199" s="12"/>
      <c r="EE199" s="12"/>
      <c r="EF199" s="12"/>
      <c r="EG199" s="12"/>
      <c r="EH199" s="12"/>
      <c r="EI199" s="12"/>
      <c r="EJ199" s="12"/>
      <c r="EK199" s="12"/>
      <c r="EL199" s="12"/>
    </row>
    <row r="200" spans="1:142" s="76" customFormat="1">
      <c r="A200" s="52"/>
      <c r="B200" s="105"/>
      <c r="C200" s="89"/>
      <c r="D200" s="105"/>
      <c r="E200" s="108"/>
      <c r="F200" s="108"/>
      <c r="G200" s="108"/>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2"/>
      <c r="CL200" s="12"/>
      <c r="CM200" s="12"/>
      <c r="CN200" s="12"/>
      <c r="CO200" s="12"/>
      <c r="CP200" s="12"/>
      <c r="CQ200" s="12"/>
      <c r="CR200" s="12"/>
      <c r="CS200" s="12"/>
      <c r="CT200" s="12"/>
      <c r="CU200" s="12"/>
      <c r="CV200" s="12"/>
      <c r="CW200" s="12"/>
      <c r="CX200" s="12"/>
      <c r="CY200" s="12"/>
      <c r="CZ200" s="12"/>
      <c r="DA200" s="12"/>
      <c r="DB200" s="12"/>
      <c r="DC200" s="12"/>
      <c r="DD200" s="12"/>
      <c r="DE200" s="12"/>
      <c r="DF200" s="12"/>
      <c r="DG200" s="12"/>
      <c r="DH200" s="12"/>
      <c r="DI200" s="12"/>
      <c r="DJ200" s="12"/>
      <c r="DK200" s="12"/>
      <c r="DL200" s="12"/>
      <c r="DM200" s="12"/>
      <c r="DN200" s="12"/>
      <c r="DO200" s="12"/>
      <c r="DP200" s="12"/>
      <c r="DQ200" s="12"/>
      <c r="DR200" s="12"/>
      <c r="DS200" s="12"/>
      <c r="DT200" s="12"/>
      <c r="DU200" s="12"/>
      <c r="DV200" s="12"/>
      <c r="DW200" s="12"/>
      <c r="DX200" s="12"/>
      <c r="DY200" s="12"/>
      <c r="DZ200" s="12"/>
      <c r="EA200" s="12"/>
      <c r="EB200" s="12"/>
      <c r="EC200" s="12"/>
      <c r="ED200" s="12"/>
      <c r="EE200" s="12"/>
      <c r="EF200" s="12"/>
      <c r="EG200" s="12"/>
      <c r="EH200" s="12"/>
      <c r="EI200" s="12"/>
      <c r="EJ200" s="12"/>
      <c r="EK200" s="12"/>
      <c r="EL200" s="12"/>
    </row>
    <row r="201" spans="1:142" s="76" customFormat="1">
      <c r="A201" s="52"/>
      <c r="B201" s="54" t="s">
        <v>292</v>
      </c>
      <c r="C201" s="100"/>
      <c r="D201" s="105"/>
      <c r="E201" s="107" t="s">
        <v>240</v>
      </c>
      <c r="F201" s="107" t="s">
        <v>580</v>
      </c>
      <c r="G201" s="107" t="s">
        <v>48</v>
      </c>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c r="CF201" s="12"/>
      <c r="CG201" s="12"/>
      <c r="CH201" s="12"/>
      <c r="CI201" s="12"/>
      <c r="CJ201" s="12"/>
      <c r="CK201" s="12"/>
      <c r="CL201" s="12"/>
      <c r="CM201" s="12"/>
      <c r="CN201" s="12"/>
      <c r="CO201" s="12"/>
      <c r="CP201" s="12"/>
      <c r="CQ201" s="12"/>
      <c r="CR201" s="12"/>
      <c r="CS201" s="12"/>
      <c r="CT201" s="12"/>
      <c r="CU201" s="12"/>
      <c r="CV201" s="12"/>
      <c r="CW201" s="12"/>
      <c r="CX201" s="12"/>
      <c r="CY201" s="12"/>
      <c r="CZ201" s="12"/>
      <c r="DA201" s="12"/>
      <c r="DB201" s="12"/>
      <c r="DC201" s="12"/>
      <c r="DD201" s="12"/>
      <c r="DE201" s="12"/>
      <c r="DF201" s="12"/>
      <c r="DG201" s="12"/>
      <c r="DH201" s="12"/>
      <c r="DI201" s="12"/>
      <c r="DJ201" s="12"/>
      <c r="DK201" s="12"/>
      <c r="DL201" s="12"/>
      <c r="DM201" s="12"/>
      <c r="DN201" s="12"/>
      <c r="DO201" s="12"/>
      <c r="DP201" s="12"/>
      <c r="DQ201" s="12"/>
      <c r="DR201" s="12"/>
      <c r="DS201" s="12"/>
      <c r="DT201" s="12"/>
      <c r="DU201" s="12"/>
      <c r="DV201" s="12"/>
      <c r="DW201" s="12"/>
      <c r="DX201" s="12"/>
      <c r="DY201" s="12"/>
      <c r="DZ201" s="12"/>
      <c r="EA201" s="12"/>
      <c r="EB201" s="12"/>
      <c r="EC201" s="12"/>
      <c r="ED201" s="12"/>
      <c r="EE201" s="12"/>
      <c r="EF201" s="12"/>
      <c r="EG201" s="12"/>
      <c r="EH201" s="12"/>
      <c r="EI201" s="12"/>
      <c r="EJ201" s="12"/>
      <c r="EK201" s="12"/>
      <c r="EL201" s="12"/>
    </row>
    <row r="202" spans="1:142" s="76" customFormat="1">
      <c r="A202" s="52"/>
      <c r="B202" s="40" t="s">
        <v>77</v>
      </c>
      <c r="C202" s="85"/>
      <c r="D202" s="40"/>
      <c r="E202" s="304">
        <f>F202+(1-F202)*G202</f>
        <v>0.39549999999999996</v>
      </c>
      <c r="F202" s="115">
        <v>0.35</v>
      </c>
      <c r="G202" s="115">
        <v>7.0000000000000007E-2</v>
      </c>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2"/>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2"/>
      <c r="DJ202" s="12"/>
      <c r="DK202" s="12"/>
      <c r="DL202" s="12"/>
      <c r="DM202" s="12"/>
      <c r="DN202" s="12"/>
      <c r="DO202" s="12"/>
      <c r="DP202" s="12"/>
      <c r="DQ202" s="12"/>
      <c r="DR202" s="12"/>
      <c r="DS202" s="12"/>
      <c r="DT202" s="12"/>
      <c r="DU202" s="12"/>
      <c r="DV202" s="12"/>
      <c r="DW202" s="12"/>
      <c r="DX202" s="12"/>
      <c r="DY202" s="12"/>
      <c r="DZ202" s="12"/>
      <c r="EA202" s="12"/>
      <c r="EB202" s="12"/>
      <c r="EC202" s="12"/>
      <c r="ED202" s="12"/>
      <c r="EE202" s="12"/>
      <c r="EF202" s="12"/>
      <c r="EG202" s="12"/>
      <c r="EH202" s="12"/>
      <c r="EI202" s="12"/>
      <c r="EJ202" s="12"/>
      <c r="EK202" s="12"/>
      <c r="EL202" s="12"/>
    </row>
    <row r="203" spans="1:142" s="76" customFormat="1">
      <c r="A203" s="52"/>
      <c r="B203" s="40" t="s">
        <v>78</v>
      </c>
      <c r="C203" s="85"/>
      <c r="D203" s="40"/>
      <c r="E203" s="304">
        <f>F203+(1-F203)*G203</f>
        <v>0.39549999999999996</v>
      </c>
      <c r="F203" s="115">
        <v>0.35</v>
      </c>
      <c r="G203" s="115">
        <f>G202</f>
        <v>7.0000000000000007E-2</v>
      </c>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2"/>
      <c r="CL203" s="12"/>
      <c r="CM203" s="12"/>
      <c r="CN203" s="12"/>
      <c r="CO203" s="12"/>
      <c r="CP203" s="12"/>
      <c r="CQ203" s="12"/>
      <c r="CR203" s="12"/>
      <c r="CS203" s="12"/>
      <c r="CT203" s="12"/>
      <c r="CU203" s="12"/>
      <c r="CV203" s="12"/>
      <c r="CW203" s="12"/>
      <c r="CX203" s="12"/>
      <c r="CY203" s="12"/>
      <c r="CZ203" s="12"/>
      <c r="DA203" s="12"/>
      <c r="DB203" s="12"/>
      <c r="DC203" s="12"/>
      <c r="DD203" s="12"/>
      <c r="DE203" s="12"/>
      <c r="DF203" s="12"/>
      <c r="DG203" s="12"/>
      <c r="DH203" s="12"/>
      <c r="DI203" s="12"/>
      <c r="DJ203" s="12"/>
      <c r="DK203" s="12"/>
      <c r="DL203" s="12"/>
      <c r="DM203" s="12"/>
      <c r="DN203" s="12"/>
      <c r="DO203" s="12"/>
      <c r="DP203" s="12"/>
      <c r="DQ203" s="12"/>
      <c r="DR203" s="12"/>
      <c r="DS203" s="12"/>
      <c r="DT203" s="12"/>
      <c r="DU203" s="12"/>
      <c r="DV203" s="12"/>
      <c r="DW203" s="12"/>
      <c r="DX203" s="12"/>
      <c r="DY203" s="12"/>
      <c r="DZ203" s="12"/>
      <c r="EA203" s="12"/>
      <c r="EB203" s="12"/>
      <c r="EC203" s="12"/>
      <c r="ED203" s="12"/>
      <c r="EE203" s="12"/>
      <c r="EF203" s="12"/>
      <c r="EG203" s="12"/>
      <c r="EH203" s="12"/>
      <c r="EI203" s="12"/>
      <c r="EJ203" s="12"/>
      <c r="EK203" s="12"/>
      <c r="EL203" s="12"/>
    </row>
    <row r="204" spans="1:142" s="76" customFormat="1">
      <c r="A204" s="52"/>
      <c r="B204" s="54"/>
      <c r="C204" s="100"/>
      <c r="D204" s="105"/>
      <c r="E204" s="108"/>
      <c r="F204" s="108"/>
      <c r="G204" s="108"/>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2"/>
      <c r="CJ204" s="12"/>
      <c r="CK204" s="12"/>
      <c r="CL204" s="12"/>
      <c r="CM204" s="12"/>
      <c r="CN204" s="12"/>
      <c r="CO204" s="12"/>
      <c r="CP204" s="12"/>
      <c r="CQ204" s="12"/>
      <c r="CR204" s="12"/>
      <c r="CS204" s="12"/>
      <c r="CT204" s="12"/>
      <c r="CU204" s="12"/>
      <c r="CV204" s="12"/>
      <c r="CW204" s="12"/>
      <c r="CX204" s="12"/>
      <c r="CY204" s="12"/>
      <c r="CZ204" s="12"/>
      <c r="DA204" s="12"/>
      <c r="DB204" s="12"/>
      <c r="DC204" s="12"/>
      <c r="DD204" s="12"/>
      <c r="DE204" s="12"/>
      <c r="DF204" s="12"/>
      <c r="DG204" s="12"/>
      <c r="DH204" s="12"/>
      <c r="DI204" s="12"/>
      <c r="DJ204" s="12"/>
      <c r="DK204" s="12"/>
      <c r="DL204" s="12"/>
      <c r="DM204" s="12"/>
      <c r="DN204" s="12"/>
      <c r="DO204" s="12"/>
      <c r="DP204" s="12"/>
      <c r="DQ204" s="12"/>
      <c r="DR204" s="12"/>
      <c r="DS204" s="12"/>
      <c r="DT204" s="12"/>
      <c r="DU204" s="12"/>
      <c r="DV204" s="12"/>
      <c r="DW204" s="12"/>
      <c r="DX204" s="12"/>
      <c r="DY204" s="12"/>
      <c r="DZ204" s="12"/>
      <c r="EA204" s="12"/>
      <c r="EB204" s="12"/>
      <c r="EC204" s="12"/>
      <c r="ED204" s="12"/>
      <c r="EE204" s="12"/>
      <c r="EF204" s="12"/>
      <c r="EG204" s="12"/>
      <c r="EH204" s="12"/>
      <c r="EI204" s="12"/>
      <c r="EJ204" s="12"/>
      <c r="EK204" s="12"/>
      <c r="EL204" s="12"/>
    </row>
    <row r="205" spans="1:142" s="76" customFormat="1">
      <c r="A205" s="52"/>
      <c r="C205" s="100"/>
      <c r="D205" s="105"/>
      <c r="E205" s="244">
        <v>1</v>
      </c>
      <c r="F205" s="245">
        <v>2</v>
      </c>
      <c r="G205" s="245">
        <v>3</v>
      </c>
      <c r="H205" s="245">
        <v>4</v>
      </c>
      <c r="I205" s="245">
        <v>5</v>
      </c>
      <c r="J205" s="245">
        <v>6</v>
      </c>
      <c r="K205" s="245">
        <v>7</v>
      </c>
      <c r="L205" s="245">
        <v>8</v>
      </c>
      <c r="M205" s="245">
        <v>9</v>
      </c>
      <c r="N205" s="245">
        <v>10</v>
      </c>
      <c r="O205" s="246">
        <v>11</v>
      </c>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12"/>
      <c r="CI205" s="12"/>
      <c r="CJ205" s="12"/>
      <c r="CK205" s="12"/>
      <c r="CL205" s="12"/>
      <c r="CM205" s="12"/>
      <c r="CN205" s="12"/>
      <c r="CO205" s="12"/>
      <c r="CP205" s="12"/>
      <c r="CQ205" s="12"/>
      <c r="CR205" s="12"/>
      <c r="CS205" s="12"/>
      <c r="CT205" s="12"/>
      <c r="CU205" s="12"/>
      <c r="CV205" s="12"/>
      <c r="CW205" s="12"/>
      <c r="CX205" s="12"/>
      <c r="CY205" s="12"/>
      <c r="CZ205" s="12"/>
      <c r="DA205" s="12"/>
      <c r="DB205" s="12"/>
      <c r="DC205" s="12"/>
      <c r="DD205" s="12"/>
      <c r="DE205" s="12"/>
      <c r="DF205" s="12"/>
      <c r="DG205" s="12"/>
      <c r="DH205" s="12"/>
      <c r="DI205" s="12"/>
      <c r="DJ205" s="12"/>
      <c r="DK205" s="12"/>
      <c r="DL205" s="12"/>
      <c r="DM205" s="12"/>
      <c r="DN205" s="12"/>
      <c r="DO205" s="12"/>
      <c r="DP205" s="12"/>
      <c r="DQ205" s="12"/>
      <c r="DR205" s="12"/>
      <c r="DS205" s="12"/>
      <c r="DT205" s="12"/>
      <c r="DU205" s="12"/>
      <c r="DV205" s="12"/>
      <c r="DW205" s="12"/>
      <c r="DX205" s="12"/>
      <c r="DY205" s="12"/>
      <c r="DZ205" s="12"/>
      <c r="EA205" s="12"/>
      <c r="EB205" s="12"/>
      <c r="EC205" s="12"/>
      <c r="ED205" s="12"/>
      <c r="EE205" s="12"/>
      <c r="EF205" s="12"/>
      <c r="EG205" s="12"/>
      <c r="EH205" s="12"/>
      <c r="EI205" s="12"/>
      <c r="EJ205" s="12"/>
      <c r="EK205" s="12"/>
      <c r="EL205" s="12"/>
    </row>
    <row r="206" spans="1:142" s="76" customFormat="1">
      <c r="A206" s="52"/>
      <c r="B206" s="54" t="s">
        <v>827</v>
      </c>
      <c r="C206" s="108"/>
      <c r="D206"/>
      <c r="E206" s="247">
        <f>Assum!$H$25</f>
        <v>2002</v>
      </c>
      <c r="F206" s="248">
        <f t="shared" ref="F206:O206" si="50">E206+1</f>
        <v>2003</v>
      </c>
      <c r="G206" s="248">
        <f t="shared" si="50"/>
        <v>2004</v>
      </c>
      <c r="H206" s="248">
        <f t="shared" si="50"/>
        <v>2005</v>
      </c>
      <c r="I206" s="248">
        <f t="shared" si="50"/>
        <v>2006</v>
      </c>
      <c r="J206" s="248">
        <f t="shared" si="50"/>
        <v>2007</v>
      </c>
      <c r="K206" s="248">
        <f t="shared" si="50"/>
        <v>2008</v>
      </c>
      <c r="L206" s="248">
        <f t="shared" si="50"/>
        <v>2009</v>
      </c>
      <c r="M206" s="248">
        <f t="shared" si="50"/>
        <v>2010</v>
      </c>
      <c r="N206" s="248">
        <f t="shared" si="50"/>
        <v>2011</v>
      </c>
      <c r="O206" s="249">
        <f t="shared" si="50"/>
        <v>2012</v>
      </c>
      <c r="P206"/>
      <c r="Q206"/>
      <c r="S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12"/>
      <c r="CI206" s="12"/>
      <c r="CJ206" s="12"/>
      <c r="CK206" s="12"/>
      <c r="CL206" s="12"/>
      <c r="CM206" s="12"/>
      <c r="CN206" s="12"/>
      <c r="CO206" s="12"/>
      <c r="CP206" s="12"/>
      <c r="CQ206" s="12"/>
      <c r="CR206" s="12"/>
      <c r="CS206" s="12"/>
      <c r="CT206" s="12"/>
      <c r="CU206" s="12"/>
      <c r="CV206" s="12"/>
      <c r="CW206" s="12"/>
      <c r="CX206" s="12"/>
      <c r="CY206" s="12"/>
      <c r="CZ206" s="12"/>
      <c r="DA206" s="12"/>
      <c r="DB206" s="12"/>
      <c r="DC206" s="12"/>
      <c r="DD206" s="12"/>
      <c r="DE206" s="12"/>
      <c r="DF206" s="12"/>
      <c r="DG206" s="12"/>
      <c r="DH206" s="12"/>
      <c r="DI206" s="12"/>
      <c r="DJ206" s="12"/>
      <c r="DK206" s="12"/>
      <c r="DL206" s="12"/>
      <c r="DM206" s="12"/>
      <c r="DN206" s="12"/>
      <c r="DO206" s="12"/>
      <c r="DP206" s="12"/>
      <c r="DQ206" s="12"/>
      <c r="DR206" s="12"/>
      <c r="DS206" s="12"/>
      <c r="DT206" s="12"/>
      <c r="DU206" s="12"/>
      <c r="DV206" s="12"/>
      <c r="DW206" s="12"/>
      <c r="DX206" s="12"/>
      <c r="DY206" s="12"/>
      <c r="DZ206" s="12"/>
      <c r="EA206" s="12"/>
      <c r="EB206" s="12"/>
      <c r="EC206" s="12"/>
      <c r="ED206" s="12"/>
      <c r="EE206" s="12"/>
      <c r="EF206" s="12"/>
      <c r="EG206" s="12"/>
      <c r="EH206" s="12"/>
      <c r="EI206" s="12"/>
      <c r="EJ206" s="12"/>
      <c r="EK206" s="12"/>
      <c r="EL206" s="12"/>
    </row>
    <row r="207" spans="1:142" s="76" customFormat="1">
      <c r="A207" s="52"/>
      <c r="B207" s="117" t="s">
        <v>328</v>
      </c>
      <c r="C207" s="1190"/>
      <c r="E207" s="302">
        <v>0.05</v>
      </c>
      <c r="F207" s="303">
        <v>0.38</v>
      </c>
      <c r="G207" s="303">
        <v>0.22800000000000001</v>
      </c>
      <c r="H207" s="303">
        <v>0.1368</v>
      </c>
      <c r="I207" s="303">
        <v>0.1094</v>
      </c>
      <c r="J207" s="303">
        <v>9.5799999999999996E-2</v>
      </c>
      <c r="K207" s="125">
        <v>0</v>
      </c>
      <c r="L207" s="119">
        <v>0</v>
      </c>
      <c r="M207" s="119">
        <v>0</v>
      </c>
      <c r="N207" s="119">
        <v>0</v>
      </c>
      <c r="O207" s="119">
        <v>0</v>
      </c>
      <c r="P207" s="119"/>
      <c r="Q207" s="119"/>
      <c r="R207" s="119"/>
      <c r="S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2"/>
      <c r="CL207" s="12"/>
      <c r="CM207" s="12"/>
      <c r="CN207" s="12"/>
      <c r="CO207" s="12"/>
      <c r="CP207" s="12"/>
      <c r="CQ207" s="12"/>
      <c r="CR207" s="12"/>
      <c r="CS207" s="12"/>
      <c r="CT207" s="12"/>
      <c r="CU207" s="12"/>
      <c r="CV207" s="12"/>
      <c r="CW207" s="12"/>
      <c r="CX207" s="12"/>
      <c r="CY207" s="12"/>
      <c r="CZ207" s="12"/>
      <c r="DA207" s="12"/>
      <c r="DB207" s="12"/>
      <c r="DC207" s="12"/>
      <c r="DD207" s="12"/>
      <c r="DE207" s="12"/>
      <c r="DF207" s="12"/>
      <c r="DG207" s="12"/>
      <c r="DH207" s="12"/>
      <c r="DI207" s="12"/>
      <c r="DJ207" s="12"/>
      <c r="DK207" s="12"/>
      <c r="DL207" s="12"/>
      <c r="DM207" s="12"/>
      <c r="DN207" s="12"/>
      <c r="DO207" s="12"/>
      <c r="DP207" s="12"/>
      <c r="DQ207" s="12"/>
      <c r="DR207" s="12"/>
      <c r="DS207" s="12"/>
      <c r="DT207" s="12"/>
      <c r="DU207" s="12"/>
      <c r="DV207" s="12"/>
      <c r="DW207" s="12"/>
      <c r="DX207" s="12"/>
      <c r="DY207" s="12"/>
      <c r="DZ207" s="12"/>
      <c r="EA207" s="12"/>
      <c r="EB207" s="12"/>
      <c r="EC207" s="12"/>
      <c r="ED207" s="12"/>
      <c r="EE207" s="12"/>
      <c r="EF207" s="12"/>
      <c r="EG207" s="12"/>
      <c r="EH207" s="12"/>
      <c r="EI207" s="12"/>
      <c r="EJ207" s="12"/>
      <c r="EK207" s="12"/>
      <c r="EL207" s="12"/>
    </row>
    <row r="208" spans="1:142" s="76" customFormat="1">
      <c r="A208" s="52"/>
      <c r="B208" s="521" t="s">
        <v>327</v>
      </c>
      <c r="C208" s="1190"/>
      <c r="D208" s="302"/>
      <c r="E208" s="302">
        <v>0.2</v>
      </c>
      <c r="F208" s="303">
        <v>0.32</v>
      </c>
      <c r="G208" s="303">
        <v>0.192</v>
      </c>
      <c r="H208" s="303">
        <v>0.1152</v>
      </c>
      <c r="I208" s="303">
        <v>0.1152</v>
      </c>
      <c r="J208" s="303">
        <v>5.7599999999999998E-2</v>
      </c>
      <c r="K208" s="119">
        <v>0</v>
      </c>
      <c r="L208" s="119">
        <v>0</v>
      </c>
      <c r="M208" s="119">
        <v>0</v>
      </c>
      <c r="N208" s="119">
        <v>0</v>
      </c>
      <c r="O208" s="119">
        <v>0</v>
      </c>
      <c r="P208" s="119"/>
      <c r="Q208" s="119"/>
      <c r="S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2"/>
      <c r="CL208" s="12"/>
      <c r="CM208" s="12"/>
      <c r="CN208" s="12"/>
      <c r="CO208" s="12"/>
      <c r="CP208" s="12"/>
      <c r="CQ208" s="12"/>
      <c r="CR208" s="12"/>
      <c r="CS208" s="12"/>
      <c r="CT208" s="12"/>
      <c r="CU208" s="12"/>
      <c r="CV208" s="12"/>
      <c r="CW208" s="12"/>
      <c r="CX208" s="12"/>
      <c r="CY208" s="12"/>
      <c r="CZ208" s="12"/>
      <c r="DA208" s="12"/>
      <c r="DB208" s="12"/>
      <c r="DC208" s="12"/>
      <c r="DD208" s="12"/>
      <c r="DE208" s="12"/>
      <c r="DF208" s="12"/>
      <c r="DG208" s="12"/>
      <c r="DH208" s="12"/>
      <c r="DI208" s="12"/>
      <c r="DJ208" s="12"/>
      <c r="DK208" s="12"/>
      <c r="DL208" s="12"/>
      <c r="DM208" s="12"/>
      <c r="DN208" s="12"/>
      <c r="DO208" s="12"/>
      <c r="DP208" s="12"/>
      <c r="DQ208" s="12"/>
      <c r="DR208" s="12"/>
      <c r="DS208" s="12"/>
      <c r="DT208" s="12"/>
      <c r="DU208" s="12"/>
      <c r="DV208" s="12"/>
      <c r="DW208" s="12"/>
      <c r="DX208" s="12"/>
      <c r="DY208" s="12"/>
      <c r="DZ208" s="12"/>
      <c r="EA208" s="12"/>
      <c r="EB208" s="12"/>
      <c r="EC208" s="12"/>
      <c r="ED208" s="12"/>
      <c r="EE208" s="12"/>
      <c r="EF208" s="12"/>
      <c r="EG208" s="12"/>
      <c r="EH208" s="12"/>
      <c r="EI208" s="12"/>
      <c r="EJ208" s="12"/>
      <c r="EK208" s="12"/>
      <c r="EL208" s="12"/>
    </row>
    <row r="209" spans="1:142" s="76" customFormat="1">
      <c r="A209" s="105"/>
      <c r="C209" s="85"/>
      <c r="D209" s="40"/>
      <c r="P209" s="51"/>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2"/>
      <c r="CL209" s="12"/>
      <c r="CM209" s="12"/>
      <c r="CN209" s="12"/>
      <c r="CO209" s="12"/>
      <c r="CP209" s="12"/>
      <c r="CQ209" s="12"/>
      <c r="CR209" s="12"/>
      <c r="CS209" s="12"/>
      <c r="CT209" s="12"/>
      <c r="CU209" s="12"/>
      <c r="CV209" s="12"/>
      <c r="CW209" s="12"/>
      <c r="CX209" s="12"/>
      <c r="CY209" s="12"/>
      <c r="CZ209" s="12"/>
      <c r="DA209" s="12"/>
      <c r="DB209" s="12"/>
      <c r="DC209" s="12"/>
      <c r="DD209" s="12"/>
      <c r="DE209" s="12"/>
      <c r="DF209" s="12"/>
      <c r="DG209" s="12"/>
      <c r="DH209" s="12"/>
      <c r="DI209" s="12"/>
      <c r="DJ209" s="12"/>
      <c r="DK209" s="12"/>
      <c r="DL209" s="12"/>
      <c r="DM209" s="12"/>
      <c r="DN209" s="12"/>
      <c r="DO209" s="12"/>
      <c r="DP209" s="12"/>
      <c r="DQ209" s="12"/>
      <c r="DR209" s="12"/>
      <c r="DS209" s="12"/>
      <c r="DT209" s="12"/>
      <c r="DU209" s="12"/>
      <c r="DV209" s="12"/>
      <c r="DW209" s="12"/>
      <c r="DX209" s="12"/>
      <c r="DY209" s="12"/>
      <c r="DZ209" s="12"/>
      <c r="EA209" s="12"/>
      <c r="EB209" s="12"/>
      <c r="EC209" s="12"/>
      <c r="ED209" s="12"/>
      <c r="EE209" s="12"/>
      <c r="EF209" s="12"/>
      <c r="EG209" s="12"/>
      <c r="EH209" s="12"/>
      <c r="EI209" s="12"/>
      <c r="EJ209" s="12"/>
      <c r="EK209" s="12"/>
      <c r="EL209" s="12"/>
    </row>
    <row r="210" spans="1:142" s="76" customFormat="1">
      <c r="A210" s="105"/>
      <c r="P210" s="51"/>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2"/>
      <c r="CL210" s="12"/>
      <c r="CM210" s="12"/>
      <c r="CN210" s="12"/>
      <c r="CO210" s="12"/>
      <c r="CP210" s="12"/>
      <c r="CQ210" s="12"/>
      <c r="CR210" s="12"/>
      <c r="CS210" s="12"/>
      <c r="CT210" s="12"/>
      <c r="CU210" s="12"/>
      <c r="CV210" s="12"/>
      <c r="CW210" s="12"/>
      <c r="CX210" s="12"/>
      <c r="CY210" s="12"/>
      <c r="CZ210" s="12"/>
      <c r="DA210" s="12"/>
      <c r="DB210" s="12"/>
      <c r="DC210" s="12"/>
      <c r="DD210" s="12"/>
      <c r="DE210" s="12"/>
      <c r="DF210" s="12"/>
      <c r="DG210" s="12"/>
      <c r="DH210" s="12"/>
      <c r="DI210" s="12"/>
      <c r="DJ210" s="12"/>
      <c r="DK210" s="12"/>
      <c r="DL210" s="12"/>
      <c r="DM210" s="12"/>
      <c r="DN210" s="12"/>
      <c r="DO210" s="12"/>
      <c r="DP210" s="12"/>
      <c r="DQ210" s="12"/>
      <c r="DR210" s="12"/>
      <c r="DS210" s="12"/>
      <c r="DT210" s="12"/>
      <c r="DU210" s="12"/>
      <c r="DV210" s="12"/>
      <c r="DW210" s="12"/>
      <c r="DX210" s="12"/>
      <c r="DY210" s="12"/>
      <c r="DZ210" s="12"/>
      <c r="EA210" s="12"/>
      <c r="EB210" s="12"/>
      <c r="EC210" s="12"/>
      <c r="ED210" s="12"/>
      <c r="EE210" s="12"/>
      <c r="EF210" s="12"/>
      <c r="EG210" s="12"/>
      <c r="EH210" s="12"/>
      <c r="EI210" s="12"/>
      <c r="EJ210" s="12"/>
      <c r="EK210" s="12"/>
      <c r="EL210" s="12"/>
    </row>
    <row r="211" spans="1:142" s="76" customFormat="1">
      <c r="A211" s="105"/>
      <c r="B211" s="54" t="s">
        <v>826</v>
      </c>
      <c r="C211" s="241"/>
      <c r="D211" s="428"/>
      <c r="E211" s="431"/>
      <c r="F211" s="431"/>
      <c r="P211" s="51"/>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2"/>
      <c r="CL211" s="12"/>
      <c r="CM211" s="12"/>
      <c r="CN211" s="12"/>
      <c r="CO211" s="12"/>
      <c r="CP211" s="12"/>
      <c r="CQ211" s="12"/>
      <c r="CR211" s="12"/>
      <c r="CS211" s="12"/>
      <c r="CT211" s="12"/>
      <c r="CU211" s="12"/>
      <c r="CV211" s="12"/>
      <c r="CW211" s="12"/>
      <c r="CX211" s="12"/>
      <c r="CY211" s="12"/>
      <c r="CZ211" s="12"/>
      <c r="DA211" s="12"/>
      <c r="DB211" s="12"/>
      <c r="DC211" s="12"/>
      <c r="DD211" s="12"/>
      <c r="DE211" s="12"/>
      <c r="DF211" s="12"/>
      <c r="DG211" s="12"/>
      <c r="DH211" s="12"/>
      <c r="DI211" s="12"/>
      <c r="DJ211" s="12"/>
      <c r="DK211" s="12"/>
      <c r="DL211" s="12"/>
      <c r="DM211" s="12"/>
      <c r="DN211" s="12"/>
      <c r="DO211" s="12"/>
      <c r="DP211" s="12"/>
      <c r="DQ211" s="12"/>
      <c r="DR211" s="12"/>
      <c r="DS211" s="12"/>
      <c r="DT211" s="12"/>
      <c r="DU211" s="12"/>
      <c r="DV211" s="12"/>
      <c r="DW211" s="12"/>
      <c r="DX211" s="12"/>
      <c r="DY211" s="12"/>
      <c r="DZ211" s="12"/>
      <c r="EA211" s="12"/>
      <c r="EB211" s="12"/>
      <c r="EC211" s="12"/>
      <c r="ED211" s="12"/>
      <c r="EE211" s="12"/>
      <c r="EF211" s="12"/>
      <c r="EG211" s="12"/>
      <c r="EH211" s="12"/>
      <c r="EI211" s="12"/>
      <c r="EJ211" s="12"/>
      <c r="EK211" s="12"/>
      <c r="EL211" s="12"/>
    </row>
    <row r="212" spans="1:142" s="76" customFormat="1">
      <c r="A212" s="105"/>
      <c r="B212" t="s">
        <v>579</v>
      </c>
      <c r="D212" s="1569">
        <v>0.95</v>
      </c>
      <c r="E212" s="885" t="str">
        <f>IF(H24=0.25,"MACRS MIDQ","MACRS HALFYR")</f>
        <v>MACRS HALFYR</v>
      </c>
      <c r="F212" s="59">
        <f ca="1">Income!$E$8*D212</f>
        <v>122454.15911046657</v>
      </c>
      <c r="P212" s="51"/>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2"/>
      <c r="CL212" s="12"/>
      <c r="CM212" s="12"/>
      <c r="CN212" s="12"/>
      <c r="CO212" s="12"/>
      <c r="CP212" s="12"/>
      <c r="CQ212" s="12"/>
      <c r="CR212" s="12"/>
      <c r="CS212" s="12"/>
      <c r="CT212" s="12"/>
      <c r="CU212" s="12"/>
      <c r="CV212" s="12"/>
      <c r="CW212" s="12"/>
      <c r="CX212" s="12"/>
      <c r="CY212" s="12"/>
      <c r="CZ212" s="12"/>
      <c r="DA212" s="12"/>
      <c r="DB212" s="12"/>
      <c r="DC212" s="12"/>
      <c r="DD212" s="12"/>
      <c r="DE212" s="12"/>
      <c r="DF212" s="12"/>
      <c r="DG212" s="12"/>
      <c r="DH212" s="12"/>
      <c r="DI212" s="12"/>
      <c r="DJ212" s="12"/>
      <c r="DK212" s="12"/>
      <c r="DL212" s="12"/>
      <c r="DM212" s="12"/>
      <c r="DN212" s="12"/>
      <c r="DO212" s="12"/>
      <c r="DP212" s="12"/>
      <c r="DQ212" s="12"/>
      <c r="DR212" s="12"/>
      <c r="DS212" s="12"/>
      <c r="DT212" s="12"/>
      <c r="DU212" s="12"/>
      <c r="DV212" s="12"/>
      <c r="DW212" s="12"/>
      <c r="DX212" s="12"/>
      <c r="DY212" s="12"/>
      <c r="DZ212" s="12"/>
      <c r="EA212" s="12"/>
      <c r="EB212" s="12"/>
      <c r="EC212" s="12"/>
      <c r="ED212" s="12"/>
      <c r="EE212" s="12"/>
      <c r="EF212" s="12"/>
      <c r="EG212" s="12"/>
      <c r="EH212" s="12"/>
      <c r="EI212" s="12"/>
      <c r="EJ212" s="12"/>
      <c r="EK212" s="12"/>
      <c r="EL212" s="12"/>
    </row>
    <row r="213" spans="1:142" s="76" customFormat="1">
      <c r="A213" s="105"/>
      <c r="B213" t="s">
        <v>825</v>
      </c>
      <c r="D213" s="1569">
        <v>0</v>
      </c>
      <c r="E213" s="1568">
        <v>10</v>
      </c>
      <c r="F213" s="59">
        <f ca="1">Income!$E$8*D213</f>
        <v>0</v>
      </c>
      <c r="P213" s="51"/>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2"/>
      <c r="DJ213" s="12"/>
      <c r="DK213" s="12"/>
      <c r="DL213" s="12"/>
      <c r="DM213" s="12"/>
      <c r="DN213" s="12"/>
      <c r="DO213" s="12"/>
      <c r="DP213" s="12"/>
      <c r="DQ213" s="12"/>
      <c r="DR213" s="12"/>
      <c r="DS213" s="12"/>
      <c r="DT213" s="12"/>
      <c r="DU213" s="12"/>
      <c r="DV213" s="12"/>
      <c r="DW213" s="12"/>
      <c r="DX213" s="12"/>
      <c r="DY213" s="12"/>
      <c r="DZ213" s="12"/>
      <c r="EA213" s="12"/>
      <c r="EB213" s="12"/>
      <c r="EC213" s="12"/>
      <c r="ED213" s="12"/>
      <c r="EE213" s="12"/>
      <c r="EF213" s="12"/>
      <c r="EG213" s="12"/>
      <c r="EH213" s="12"/>
      <c r="EI213" s="12"/>
      <c r="EJ213" s="12"/>
      <c r="EK213" s="12"/>
      <c r="EL213" s="12"/>
    </row>
    <row r="214" spans="1:142" s="76" customFormat="1">
      <c r="A214" s="105"/>
      <c r="B214" t="s">
        <v>818</v>
      </c>
      <c r="D214" s="1569">
        <v>0.03</v>
      </c>
      <c r="E214" s="885">
        <f>ROUNDDOWN(C235,0)</f>
        <v>18</v>
      </c>
      <c r="F214" s="59">
        <f ca="1">Income!$E$8*D214</f>
        <v>3866.9734455936809</v>
      </c>
      <c r="P214" s="51"/>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c r="CH214" s="12"/>
      <c r="CI214" s="12"/>
      <c r="CJ214" s="12"/>
      <c r="CK214" s="12"/>
      <c r="CL214" s="12"/>
      <c r="CM214" s="12"/>
      <c r="CN214" s="12"/>
      <c r="CO214" s="12"/>
      <c r="CP214" s="12"/>
      <c r="CQ214" s="12"/>
      <c r="CR214" s="12"/>
      <c r="CS214" s="12"/>
      <c r="CT214" s="12"/>
      <c r="CU214" s="12"/>
      <c r="CV214" s="12"/>
      <c r="CW214" s="12"/>
      <c r="CX214" s="12"/>
      <c r="CY214" s="12"/>
      <c r="CZ214" s="12"/>
      <c r="DA214" s="12"/>
      <c r="DB214" s="12"/>
      <c r="DC214" s="12"/>
      <c r="DD214" s="12"/>
      <c r="DE214" s="12"/>
      <c r="DF214" s="12"/>
      <c r="DG214" s="12"/>
      <c r="DH214" s="12"/>
      <c r="DI214" s="12"/>
      <c r="DJ214" s="12"/>
      <c r="DK214" s="12"/>
      <c r="DL214" s="12"/>
      <c r="DM214" s="12"/>
      <c r="DN214" s="12"/>
      <c r="DO214" s="12"/>
      <c r="DP214" s="12"/>
      <c r="DQ214" s="12"/>
      <c r="DR214" s="12"/>
      <c r="DS214" s="12"/>
      <c r="DT214" s="12"/>
      <c r="DU214" s="12"/>
      <c r="DV214" s="12"/>
      <c r="DW214" s="12"/>
      <c r="DX214" s="12"/>
      <c r="DY214" s="12"/>
      <c r="DZ214" s="12"/>
      <c r="EA214" s="12"/>
      <c r="EB214" s="12"/>
      <c r="EC214" s="12"/>
      <c r="ED214" s="12"/>
      <c r="EE214" s="12"/>
      <c r="EF214" s="12"/>
      <c r="EG214" s="12"/>
      <c r="EH214" s="12"/>
      <c r="EI214" s="12"/>
      <c r="EJ214" s="12"/>
      <c r="EK214" s="12"/>
      <c r="EL214" s="12"/>
    </row>
    <row r="215" spans="1:142" s="76" customFormat="1">
      <c r="A215" s="105"/>
      <c r="B215" t="s">
        <v>819</v>
      </c>
      <c r="D215" s="1569">
        <v>0.02</v>
      </c>
      <c r="E215" s="885">
        <f>F22</f>
        <v>20</v>
      </c>
      <c r="F215" s="59">
        <f ca="1">Income!$E$8*D215</f>
        <v>2577.9822970624541</v>
      </c>
      <c r="P215" s="51"/>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2"/>
      <c r="CL215" s="12"/>
      <c r="CM215" s="12"/>
      <c r="CN215" s="12"/>
      <c r="CO215" s="12"/>
      <c r="CP215" s="12"/>
      <c r="CQ215" s="12"/>
      <c r="CR215" s="12"/>
      <c r="CS215" s="12"/>
      <c r="CT215" s="12"/>
      <c r="CU215" s="12"/>
      <c r="CV215" s="12"/>
      <c r="CW215" s="12"/>
      <c r="CX215" s="12"/>
      <c r="CY215" s="12"/>
      <c r="CZ215" s="12"/>
      <c r="DA215" s="12"/>
      <c r="DB215" s="12"/>
      <c r="DC215" s="12"/>
      <c r="DD215" s="12"/>
      <c r="DE215" s="12"/>
      <c r="DF215" s="12"/>
      <c r="DG215" s="12"/>
      <c r="DH215" s="12"/>
      <c r="DI215" s="12"/>
      <c r="DJ215" s="12"/>
      <c r="DK215" s="12"/>
      <c r="DL215" s="12"/>
      <c r="DM215" s="12"/>
      <c r="DN215" s="12"/>
      <c r="DO215" s="12"/>
      <c r="DP215" s="12"/>
      <c r="DQ215" s="12"/>
      <c r="DR215" s="12"/>
      <c r="DS215" s="12"/>
      <c r="DT215" s="12"/>
      <c r="DU215" s="12"/>
      <c r="DV215" s="12"/>
      <c r="DW215" s="12"/>
      <c r="DX215" s="12"/>
      <c r="DY215" s="12"/>
      <c r="DZ215" s="12"/>
      <c r="EA215" s="12"/>
      <c r="EB215" s="12"/>
      <c r="EC215" s="12"/>
      <c r="ED215" s="12"/>
      <c r="EE215" s="12"/>
      <c r="EF215" s="12"/>
      <c r="EG215" s="12"/>
      <c r="EH215" s="12"/>
      <c r="EI215" s="12"/>
      <c r="EJ215" s="12"/>
      <c r="EK215" s="12"/>
      <c r="EL215" s="12"/>
    </row>
    <row r="216" spans="1:142" s="76" customFormat="1" ht="13.5" thickBot="1">
      <c r="A216" s="105"/>
      <c r="B216" s="1566" t="s">
        <v>583</v>
      </c>
      <c r="D216" s="1567">
        <f>SUM(D212:D215)</f>
        <v>1</v>
      </c>
      <c r="E216" s="558"/>
      <c r="F216" s="911">
        <f ca="1">SUM(F212:F215)</f>
        <v>128899.11485312271</v>
      </c>
      <c r="P216" s="51"/>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c r="CH216" s="12"/>
      <c r="CI216" s="12"/>
      <c r="CJ216" s="12"/>
      <c r="CK216" s="12"/>
      <c r="CL216" s="12"/>
      <c r="CM216" s="12"/>
      <c r="CN216" s="12"/>
      <c r="CO216" s="12"/>
      <c r="CP216" s="12"/>
      <c r="CQ216" s="12"/>
      <c r="CR216" s="12"/>
      <c r="CS216" s="12"/>
      <c r="CT216" s="12"/>
      <c r="CU216" s="12"/>
      <c r="CV216" s="12"/>
      <c r="CW216" s="12"/>
      <c r="CX216" s="12"/>
      <c r="CY216" s="12"/>
      <c r="CZ216" s="12"/>
      <c r="DA216" s="12"/>
      <c r="DB216" s="12"/>
      <c r="DC216" s="12"/>
      <c r="DD216" s="12"/>
      <c r="DE216" s="12"/>
      <c r="DF216" s="12"/>
      <c r="DG216" s="12"/>
      <c r="DH216" s="12"/>
      <c r="DI216" s="12"/>
      <c r="DJ216" s="12"/>
      <c r="DK216" s="12"/>
      <c r="DL216" s="12"/>
      <c r="DM216" s="12"/>
      <c r="DN216" s="12"/>
      <c r="DO216" s="12"/>
      <c r="DP216" s="12"/>
      <c r="DQ216" s="12"/>
      <c r="DR216" s="12"/>
      <c r="DS216" s="12"/>
      <c r="DT216" s="12"/>
      <c r="DU216" s="12"/>
      <c r="DV216" s="12"/>
      <c r="DW216" s="12"/>
      <c r="DX216" s="12"/>
      <c r="DY216" s="12"/>
      <c r="DZ216" s="12"/>
      <c r="EA216" s="12"/>
      <c r="EB216" s="12"/>
      <c r="EC216" s="12"/>
      <c r="ED216" s="12"/>
      <c r="EE216" s="12"/>
      <c r="EF216" s="12"/>
      <c r="EG216" s="12"/>
      <c r="EH216" s="12"/>
      <c r="EI216" s="12"/>
      <c r="EJ216" s="12"/>
      <c r="EK216" s="12"/>
      <c r="EL216" s="12"/>
    </row>
    <row r="217" spans="1:142" s="76" customFormat="1">
      <c r="A217" s="105"/>
      <c r="C217" s="85"/>
      <c r="D217" s="40"/>
      <c r="P217" s="51"/>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2"/>
      <c r="CL217" s="12"/>
      <c r="CM217" s="12"/>
      <c r="CN217" s="12"/>
      <c r="CO217" s="12"/>
      <c r="CP217" s="12"/>
      <c r="CQ217" s="12"/>
      <c r="CR217" s="12"/>
      <c r="CS217" s="12"/>
      <c r="CT217" s="12"/>
      <c r="CU217" s="12"/>
      <c r="CV217" s="12"/>
      <c r="CW217" s="12"/>
      <c r="CX217" s="12"/>
      <c r="CY217" s="12"/>
      <c r="CZ217" s="12"/>
      <c r="DA217" s="12"/>
      <c r="DB217" s="12"/>
      <c r="DC217" s="12"/>
      <c r="DD217" s="12"/>
      <c r="DE217" s="12"/>
      <c r="DF217" s="12"/>
      <c r="DG217" s="12"/>
      <c r="DH217" s="12"/>
      <c r="DI217" s="12"/>
      <c r="DJ217" s="12"/>
      <c r="DK217" s="12"/>
      <c r="DL217" s="12"/>
      <c r="DM217" s="12"/>
      <c r="DN217" s="12"/>
      <c r="DO217" s="12"/>
      <c r="DP217" s="12"/>
      <c r="DQ217" s="12"/>
      <c r="DR217" s="12"/>
      <c r="DS217" s="12"/>
      <c r="DT217" s="12"/>
      <c r="DU217" s="12"/>
      <c r="DV217" s="12"/>
      <c r="DW217" s="12"/>
      <c r="DX217" s="12"/>
      <c r="DY217" s="12"/>
      <c r="DZ217" s="12"/>
      <c r="EA217" s="12"/>
      <c r="EB217" s="12"/>
      <c r="EC217" s="12"/>
      <c r="ED217" s="12"/>
      <c r="EE217" s="12"/>
      <c r="EF217" s="12"/>
      <c r="EG217" s="12"/>
      <c r="EH217" s="12"/>
      <c r="EI217" s="12"/>
      <c r="EJ217" s="12"/>
      <c r="EK217" s="12"/>
      <c r="EL217" s="12"/>
    </row>
    <row r="218" spans="1:142" s="76" customFormat="1">
      <c r="A218" s="105"/>
      <c r="C218" s="85"/>
      <c r="D218" s="40"/>
      <c r="P218" s="51"/>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2"/>
      <c r="CL218" s="12"/>
      <c r="CM218" s="12"/>
      <c r="CN218" s="12"/>
      <c r="CO218" s="12"/>
      <c r="CP218" s="12"/>
      <c r="CQ218" s="12"/>
      <c r="CR218" s="12"/>
      <c r="CS218" s="12"/>
      <c r="CT218" s="12"/>
      <c r="CU218" s="12"/>
      <c r="CV218" s="12"/>
      <c r="CW218" s="12"/>
      <c r="CX218" s="12"/>
      <c r="CY218" s="12"/>
      <c r="CZ218" s="12"/>
      <c r="DA218" s="12"/>
      <c r="DB218" s="12"/>
      <c r="DC218" s="12"/>
      <c r="DD218" s="12"/>
      <c r="DE218" s="12"/>
      <c r="DF218" s="12"/>
      <c r="DG218" s="12"/>
      <c r="DH218" s="12"/>
      <c r="DI218" s="12"/>
      <c r="DJ218" s="12"/>
      <c r="DK218" s="12"/>
      <c r="DL218" s="12"/>
      <c r="DM218" s="12"/>
      <c r="DN218" s="12"/>
      <c r="DO218" s="12"/>
      <c r="DP218" s="12"/>
      <c r="DQ218" s="12"/>
      <c r="DR218" s="12"/>
      <c r="DS218" s="12"/>
      <c r="DT218" s="12"/>
      <c r="DU218" s="12"/>
      <c r="DV218" s="12"/>
      <c r="DW218" s="12"/>
      <c r="DX218" s="12"/>
      <c r="DY218" s="12"/>
      <c r="DZ218" s="12"/>
      <c r="EA218" s="12"/>
      <c r="EB218" s="12"/>
      <c r="EC218" s="12"/>
      <c r="ED218" s="12"/>
      <c r="EE218" s="12"/>
      <c r="EF218" s="12"/>
      <c r="EG218" s="12"/>
      <c r="EH218" s="12"/>
      <c r="EI218" s="12"/>
      <c r="EJ218" s="12"/>
      <c r="EK218" s="12"/>
      <c r="EL218" s="12"/>
    </row>
    <row r="219" spans="1:142" s="76" customFormat="1">
      <c r="A219" s="105"/>
      <c r="B219" s="555" t="s">
        <v>95</v>
      </c>
      <c r="C219" s="85"/>
      <c r="D219" s="40"/>
      <c r="P219" s="51"/>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c r="CJ219" s="12"/>
      <c r="CK219" s="12"/>
      <c r="CL219" s="12"/>
      <c r="CM219" s="12"/>
      <c r="CN219" s="12"/>
      <c r="CO219" s="12"/>
      <c r="CP219" s="12"/>
      <c r="CQ219" s="12"/>
      <c r="CR219" s="12"/>
      <c r="CS219" s="12"/>
      <c r="CT219" s="12"/>
      <c r="CU219" s="12"/>
      <c r="CV219" s="12"/>
      <c r="CW219" s="12"/>
      <c r="CX219" s="12"/>
      <c r="CY219" s="12"/>
      <c r="CZ219" s="12"/>
      <c r="DA219" s="12"/>
      <c r="DB219" s="12"/>
      <c r="DC219" s="12"/>
      <c r="DD219" s="12"/>
      <c r="DE219" s="12"/>
      <c r="DF219" s="12"/>
      <c r="DG219" s="12"/>
      <c r="DH219" s="12"/>
      <c r="DI219" s="12"/>
      <c r="DJ219" s="12"/>
      <c r="DK219" s="12"/>
      <c r="DL219" s="12"/>
      <c r="DM219" s="12"/>
      <c r="DN219" s="12"/>
      <c r="DO219" s="12"/>
      <c r="DP219" s="12"/>
      <c r="DQ219" s="12"/>
      <c r="DR219" s="12"/>
      <c r="DS219" s="12"/>
      <c r="DT219" s="12"/>
      <c r="DU219" s="12"/>
      <c r="DV219" s="12"/>
      <c r="DW219" s="12"/>
      <c r="DX219" s="12"/>
      <c r="DY219" s="12"/>
      <c r="DZ219" s="12"/>
      <c r="EA219" s="12"/>
      <c r="EB219" s="12"/>
      <c r="EC219" s="12"/>
      <c r="ED219" s="12"/>
      <c r="EE219" s="12"/>
      <c r="EF219" s="12"/>
      <c r="EG219" s="12"/>
      <c r="EH219" s="12"/>
      <c r="EI219" s="12"/>
      <c r="EJ219" s="12"/>
      <c r="EK219" s="12"/>
      <c r="EL219" s="12"/>
    </row>
    <row r="220" spans="1:142" s="78" customFormat="1">
      <c r="A220" s="89"/>
      <c r="B220" s="1185" t="s">
        <v>76</v>
      </c>
      <c r="C220" s="74"/>
      <c r="D220" s="85"/>
      <c r="E220" s="1054">
        <v>1.4999999999999999E-2</v>
      </c>
      <c r="G220" s="79"/>
      <c r="H220" s="79"/>
      <c r="I220" s="79"/>
      <c r="J220" s="79"/>
      <c r="K220" s="79"/>
      <c r="L220" s="79"/>
      <c r="M220" s="79"/>
      <c r="N220" s="79"/>
      <c r="O220" s="79"/>
      <c r="P220" s="126"/>
      <c r="Q220" s="77"/>
      <c r="R220" s="77"/>
      <c r="S220" s="77"/>
      <c r="T220" s="77"/>
      <c r="U220" s="77"/>
      <c r="V220" s="77"/>
      <c r="W220" s="77"/>
      <c r="X220" s="77"/>
      <c r="Y220" s="77"/>
      <c r="Z220" s="77"/>
      <c r="AA220" s="77"/>
      <c r="AB220" s="77"/>
      <c r="AC220" s="77"/>
      <c r="AD220" s="77"/>
      <c r="AE220" s="77"/>
      <c r="AF220" s="77"/>
      <c r="AG220" s="77"/>
      <c r="AH220" s="77"/>
      <c r="AI220" s="77"/>
      <c r="AJ220" s="77"/>
      <c r="AK220" s="77"/>
      <c r="AL220" s="77"/>
      <c r="AM220" s="77"/>
      <c r="AN220" s="77"/>
      <c r="AO220" s="77"/>
      <c r="AP220" s="77"/>
      <c r="AQ220" s="77"/>
      <c r="AR220" s="77"/>
      <c r="AS220" s="77"/>
      <c r="AT220" s="77"/>
      <c r="AU220" s="77"/>
      <c r="AV220" s="77"/>
      <c r="AW220" s="77"/>
      <c r="AX220" s="77"/>
      <c r="AY220" s="77"/>
      <c r="AZ220" s="77"/>
      <c r="BA220" s="77"/>
      <c r="BB220" s="77"/>
      <c r="BC220" s="77"/>
      <c r="BD220" s="77"/>
      <c r="BE220" s="77"/>
      <c r="BF220" s="77"/>
      <c r="BG220" s="77"/>
      <c r="BH220" s="77"/>
      <c r="BI220" s="77"/>
      <c r="BJ220" s="77"/>
      <c r="BK220" s="77"/>
      <c r="BL220" s="77"/>
      <c r="BM220" s="77"/>
      <c r="BN220" s="77"/>
      <c r="BO220" s="77"/>
      <c r="BP220" s="77"/>
      <c r="BQ220" s="77"/>
      <c r="BR220" s="77"/>
      <c r="BS220" s="77"/>
      <c r="BT220" s="77"/>
      <c r="BU220" s="77"/>
      <c r="BV220" s="77"/>
      <c r="BW220" s="77"/>
      <c r="BX220" s="77"/>
      <c r="BY220" s="77"/>
      <c r="BZ220" s="77"/>
      <c r="CA220" s="77"/>
      <c r="CB220" s="77"/>
      <c r="CC220" s="77"/>
      <c r="CD220" s="77"/>
      <c r="CE220" s="77"/>
      <c r="CF220" s="77"/>
      <c r="CG220" s="77"/>
      <c r="CH220" s="77"/>
      <c r="CI220" s="77"/>
      <c r="CJ220" s="77"/>
      <c r="CK220" s="77"/>
      <c r="CL220" s="77"/>
      <c r="CM220" s="77"/>
      <c r="CN220" s="77"/>
      <c r="CO220" s="77"/>
      <c r="CP220" s="77"/>
      <c r="CQ220" s="77"/>
      <c r="CR220" s="77"/>
      <c r="CS220" s="77"/>
      <c r="CT220" s="77"/>
      <c r="CU220" s="77"/>
      <c r="CV220" s="77"/>
      <c r="CW220" s="77"/>
      <c r="CX220" s="77"/>
      <c r="CY220" s="77"/>
      <c r="CZ220" s="77"/>
      <c r="DA220" s="77"/>
      <c r="DB220" s="77"/>
      <c r="DC220" s="77"/>
      <c r="DD220" s="77"/>
      <c r="DE220" s="77"/>
      <c r="DF220" s="77"/>
      <c r="DG220" s="77"/>
      <c r="DH220" s="77"/>
      <c r="DI220" s="77"/>
      <c r="DJ220" s="77"/>
      <c r="DK220" s="77"/>
      <c r="DL220" s="77"/>
      <c r="DM220" s="77"/>
      <c r="DN220" s="77"/>
      <c r="DO220" s="77"/>
      <c r="DP220" s="77"/>
      <c r="DQ220" s="77"/>
      <c r="DR220" s="77"/>
      <c r="DS220" s="77"/>
      <c r="DT220" s="77"/>
      <c r="DU220" s="77"/>
      <c r="DV220" s="77"/>
      <c r="DW220" s="77"/>
      <c r="DX220" s="77"/>
      <c r="DY220" s="77"/>
      <c r="DZ220" s="77"/>
      <c r="EA220" s="77"/>
      <c r="EB220" s="77"/>
      <c r="EC220" s="77"/>
      <c r="ED220" s="77"/>
      <c r="EE220" s="77"/>
      <c r="EF220" s="77"/>
      <c r="EG220" s="77"/>
      <c r="EH220" s="77"/>
      <c r="EI220" s="77"/>
      <c r="EJ220" s="77"/>
      <c r="EK220" s="77"/>
      <c r="EL220" s="77"/>
    </row>
    <row r="221" spans="1:142" s="78" customFormat="1">
      <c r="A221" s="89"/>
      <c r="B221" s="85" t="s">
        <v>646</v>
      </c>
      <c r="C221" s="85"/>
      <c r="D221" s="814">
        <v>1999</v>
      </c>
      <c r="E221" s="813">
        <v>1.1269</v>
      </c>
      <c r="G221" s="79"/>
      <c r="H221" s="79"/>
      <c r="I221" s="79"/>
      <c r="J221" s="79"/>
      <c r="K221" s="79"/>
      <c r="L221" s="79"/>
      <c r="M221" s="79"/>
      <c r="N221" s="79"/>
      <c r="O221" s="79"/>
      <c r="P221" s="126"/>
      <c r="Q221" s="77"/>
      <c r="R221" s="77"/>
      <c r="S221" s="77"/>
      <c r="T221" s="77"/>
      <c r="U221" s="77"/>
      <c r="V221" s="77"/>
      <c r="W221" s="77"/>
      <c r="X221" s="77"/>
      <c r="Y221" s="77"/>
      <c r="Z221" s="77"/>
      <c r="AA221" s="77"/>
      <c r="AB221" s="77"/>
      <c r="AC221" s="77"/>
      <c r="AD221" s="77"/>
      <c r="AE221" s="77"/>
      <c r="AF221" s="77"/>
      <c r="AG221" s="77"/>
      <c r="AH221" s="77"/>
      <c r="AI221" s="77"/>
      <c r="AJ221" s="77"/>
      <c r="AK221" s="77"/>
      <c r="AL221" s="77"/>
      <c r="AM221" s="77"/>
      <c r="AN221" s="77"/>
      <c r="AO221" s="77"/>
      <c r="AP221" s="77"/>
      <c r="AQ221" s="77"/>
      <c r="AR221" s="77"/>
      <c r="AS221" s="77"/>
      <c r="AT221" s="77"/>
      <c r="AU221" s="77"/>
      <c r="AV221" s="77"/>
      <c r="AW221" s="77"/>
      <c r="AX221" s="77"/>
      <c r="AY221" s="77"/>
      <c r="AZ221" s="77"/>
      <c r="BA221" s="77"/>
      <c r="BB221" s="77"/>
      <c r="BC221" s="77"/>
      <c r="BD221" s="77"/>
      <c r="BE221" s="77"/>
      <c r="BF221" s="77"/>
      <c r="BG221" s="77"/>
      <c r="BH221" s="77"/>
      <c r="BI221" s="77"/>
      <c r="BJ221" s="77"/>
      <c r="BK221" s="77"/>
      <c r="BL221" s="77"/>
      <c r="BM221" s="77"/>
      <c r="BN221" s="77"/>
      <c r="BO221" s="77"/>
      <c r="BP221" s="77"/>
      <c r="BQ221" s="77"/>
      <c r="BR221" s="77"/>
      <c r="BS221" s="77"/>
      <c r="BT221" s="77"/>
      <c r="BU221" s="77"/>
      <c r="BV221" s="77"/>
      <c r="BW221" s="77"/>
      <c r="BX221" s="77"/>
      <c r="BY221" s="77"/>
      <c r="BZ221" s="77"/>
      <c r="CA221" s="77"/>
      <c r="CB221" s="77"/>
      <c r="CC221" s="77"/>
      <c r="CD221" s="77"/>
      <c r="CE221" s="77"/>
      <c r="CF221" s="77"/>
      <c r="CG221" s="77"/>
      <c r="CH221" s="77"/>
      <c r="CI221" s="77"/>
      <c r="CJ221" s="77"/>
      <c r="CK221" s="77"/>
      <c r="CL221" s="77"/>
      <c r="CM221" s="77"/>
      <c r="CN221" s="77"/>
      <c r="CO221" s="77"/>
      <c r="CP221" s="77"/>
      <c r="CQ221" s="77"/>
      <c r="CR221" s="77"/>
      <c r="CS221" s="77"/>
      <c r="CT221" s="77"/>
      <c r="CU221" s="77"/>
      <c r="CV221" s="77"/>
      <c r="CW221" s="77"/>
      <c r="CX221" s="77"/>
      <c r="CY221" s="77"/>
      <c r="CZ221" s="77"/>
      <c r="DA221" s="77"/>
      <c r="DB221" s="77"/>
      <c r="DC221" s="77"/>
      <c r="DD221" s="77"/>
      <c r="DE221" s="77"/>
      <c r="DF221" s="77"/>
      <c r="DG221" s="77"/>
      <c r="DH221" s="77"/>
      <c r="DI221" s="77"/>
      <c r="DJ221" s="77"/>
      <c r="DK221" s="77"/>
      <c r="DL221" s="77"/>
      <c r="DM221" s="77"/>
      <c r="DN221" s="77"/>
      <c r="DO221" s="77"/>
      <c r="DP221" s="77"/>
      <c r="DQ221" s="77"/>
      <c r="DR221" s="77"/>
      <c r="DS221" s="77"/>
      <c r="DT221" s="77"/>
      <c r="DU221" s="77"/>
      <c r="DV221" s="77"/>
      <c r="DW221" s="77"/>
      <c r="DX221" s="77"/>
      <c r="DY221" s="77"/>
      <c r="DZ221" s="77"/>
      <c r="EA221" s="77"/>
      <c r="EB221" s="77"/>
      <c r="EC221" s="77"/>
      <c r="ED221" s="77"/>
      <c r="EE221" s="77"/>
      <c r="EF221" s="77"/>
      <c r="EG221" s="77"/>
      <c r="EH221" s="77"/>
      <c r="EI221" s="77"/>
      <c r="EJ221" s="77"/>
      <c r="EK221" s="77"/>
      <c r="EL221" s="77"/>
    </row>
    <row r="222" spans="1:142" s="78" customFormat="1">
      <c r="A222" s="89"/>
      <c r="B222" s="79" t="s">
        <v>329</v>
      </c>
      <c r="C222" s="79"/>
      <c r="D222" s="1188">
        <f>H25</f>
        <v>2002</v>
      </c>
      <c r="E222" s="1189">
        <f>(1+G130)*(1+H130)</f>
        <v>1.0393779999999999</v>
      </c>
      <c r="F222" s="77"/>
      <c r="G222" s="71"/>
      <c r="H222" s="71"/>
      <c r="I222" s="71"/>
      <c r="J222" s="71"/>
      <c r="K222" s="71"/>
      <c r="L222" s="71"/>
      <c r="M222" s="71"/>
      <c r="N222" s="71"/>
      <c r="O222" s="71"/>
      <c r="P222" s="71"/>
      <c r="Q222" s="77"/>
      <c r="R222" s="77"/>
      <c r="S222" s="77"/>
      <c r="T222" s="77"/>
      <c r="U222" s="77"/>
      <c r="V222" s="77"/>
      <c r="W222" s="77"/>
      <c r="X222" s="77"/>
      <c r="Y222" s="77"/>
      <c r="Z222" s="77"/>
      <c r="AA222" s="77"/>
      <c r="AB222" s="77"/>
      <c r="AC222" s="77"/>
      <c r="AD222" s="77"/>
      <c r="AE222" s="77"/>
      <c r="AF222" s="77"/>
      <c r="AG222" s="77"/>
      <c r="AH222" s="77"/>
      <c r="AI222" s="77"/>
      <c r="AJ222" s="77"/>
      <c r="AK222" s="77"/>
      <c r="AL222" s="77"/>
      <c r="AM222" s="77"/>
      <c r="AN222" s="77"/>
      <c r="AO222" s="77"/>
      <c r="AP222" s="77"/>
      <c r="AQ222" s="77"/>
      <c r="AR222" s="77"/>
      <c r="AS222" s="77"/>
      <c r="AT222" s="77"/>
      <c r="AU222" s="77"/>
      <c r="AV222" s="77"/>
      <c r="AW222" s="77"/>
      <c r="AX222" s="77"/>
      <c r="AY222" s="77"/>
      <c r="AZ222" s="77"/>
      <c r="BA222" s="77"/>
      <c r="BB222" s="77"/>
      <c r="BC222" s="77"/>
      <c r="BD222" s="77"/>
      <c r="BE222" s="77"/>
      <c r="BF222" s="77"/>
      <c r="BG222" s="77"/>
      <c r="BH222" s="77"/>
      <c r="BI222" s="77"/>
      <c r="BJ222" s="77"/>
      <c r="BK222" s="77"/>
      <c r="BL222" s="77"/>
      <c r="BM222" s="77"/>
      <c r="BN222" s="77"/>
      <c r="BO222" s="77"/>
      <c r="BP222" s="77"/>
      <c r="BQ222" s="77"/>
      <c r="BR222" s="77"/>
      <c r="BS222" s="77"/>
      <c r="BT222" s="77"/>
      <c r="BU222" s="77"/>
      <c r="BV222" s="77"/>
      <c r="BW222" s="77"/>
      <c r="BX222" s="77"/>
      <c r="BY222" s="77"/>
      <c r="BZ222" s="77"/>
      <c r="CA222" s="77"/>
      <c r="CB222" s="77"/>
      <c r="CC222" s="77"/>
      <c r="CD222" s="77"/>
      <c r="CE222" s="77"/>
      <c r="CF222" s="77"/>
      <c r="CG222" s="77"/>
      <c r="CH222" s="77"/>
      <c r="CI222" s="77"/>
      <c r="CJ222" s="77"/>
      <c r="CK222" s="77"/>
      <c r="CL222" s="77"/>
      <c r="CM222" s="77"/>
      <c r="CN222" s="77"/>
      <c r="CO222" s="77"/>
      <c r="CP222" s="77"/>
      <c r="CQ222" s="77"/>
      <c r="CR222" s="77"/>
      <c r="CS222" s="77"/>
      <c r="CT222" s="77"/>
      <c r="CU222" s="77"/>
      <c r="CV222" s="77"/>
      <c r="CW222" s="77"/>
      <c r="CX222" s="77"/>
      <c r="CY222" s="77"/>
      <c r="CZ222" s="77"/>
      <c r="DA222" s="77"/>
      <c r="DB222" s="77"/>
      <c r="DC222" s="77"/>
      <c r="DD222" s="77"/>
      <c r="DE222" s="77"/>
      <c r="DF222" s="77"/>
      <c r="DG222" s="77"/>
      <c r="DH222" s="77"/>
      <c r="DI222" s="77"/>
      <c r="DJ222" s="77"/>
      <c r="DK222" s="77"/>
      <c r="DL222" s="77"/>
      <c r="DM222" s="77"/>
      <c r="DN222" s="77"/>
      <c r="DO222" s="77"/>
      <c r="DP222" s="77"/>
      <c r="DQ222" s="77"/>
      <c r="DR222" s="77"/>
      <c r="DS222" s="77"/>
      <c r="DT222" s="77"/>
      <c r="DU222" s="77"/>
      <c r="DV222" s="77"/>
      <c r="DW222" s="77"/>
      <c r="DX222" s="77"/>
      <c r="DY222" s="77"/>
      <c r="DZ222" s="77"/>
      <c r="EA222" s="77"/>
      <c r="EB222" s="77"/>
      <c r="EC222" s="77"/>
      <c r="ED222" s="77"/>
      <c r="EE222" s="77"/>
      <c r="EF222" s="77"/>
      <c r="EG222" s="77"/>
      <c r="EH222" s="77"/>
      <c r="EI222" s="77"/>
      <c r="EJ222" s="77"/>
      <c r="EK222" s="77"/>
      <c r="EL222" s="77"/>
    </row>
    <row r="223" spans="1:142" s="78" customFormat="1">
      <c r="A223" s="89"/>
      <c r="B223" s="77" t="s">
        <v>293</v>
      </c>
      <c r="C223" s="77"/>
      <c r="D223" s="77"/>
      <c r="E223" s="916">
        <f>E220*E221*E222</f>
        <v>1.7569126022999995E-2</v>
      </c>
      <c r="F223" s="916">
        <f t="shared" ref="F223:O223" si="51">E223*(1+HLOOKUP(F206,INFL,7))</f>
        <v>1.7938077669482994E-2</v>
      </c>
      <c r="G223" s="916">
        <f t="shared" si="51"/>
        <v>1.8296839222872653E-2</v>
      </c>
      <c r="H223" s="916">
        <f t="shared" si="51"/>
        <v>1.8662776007330108E-2</v>
      </c>
      <c r="I223" s="916">
        <f t="shared" si="51"/>
        <v>1.9073357079491371E-2</v>
      </c>
      <c r="J223" s="916">
        <f t="shared" si="51"/>
        <v>1.9492970935240182E-2</v>
      </c>
      <c r="K223" s="916">
        <f t="shared" si="51"/>
        <v>1.9921816295815468E-2</v>
      </c>
      <c r="L223" s="916">
        <f t="shared" si="51"/>
        <v>2.0360096254323407E-2</v>
      </c>
      <c r="M223" s="916">
        <f t="shared" si="51"/>
        <v>2.0808018371918521E-2</v>
      </c>
      <c r="N223" s="916">
        <f t="shared" si="51"/>
        <v>2.126579477610073E-2</v>
      </c>
      <c r="O223" s="916">
        <f t="shared" si="51"/>
        <v>2.1733642261174947E-2</v>
      </c>
      <c r="Q223" s="77"/>
      <c r="R223" s="77"/>
      <c r="S223" s="77"/>
      <c r="T223" s="77"/>
      <c r="U223" s="77"/>
      <c r="V223" s="77"/>
      <c r="W223" s="77"/>
      <c r="X223" s="77"/>
      <c r="Y223" s="77"/>
      <c r="Z223" s="77"/>
      <c r="AA223" s="77"/>
      <c r="AB223" s="77"/>
      <c r="AC223" s="77"/>
      <c r="AD223" s="77"/>
      <c r="AE223" s="77"/>
      <c r="AF223" s="77"/>
      <c r="AG223" s="77"/>
      <c r="AH223" s="77"/>
      <c r="AI223" s="77"/>
      <c r="AJ223" s="77"/>
      <c r="AK223" s="77"/>
      <c r="AL223" s="77"/>
      <c r="AM223" s="77"/>
      <c r="AN223" s="77"/>
      <c r="AO223" s="77"/>
      <c r="AP223" s="77"/>
      <c r="AQ223" s="77"/>
      <c r="AR223" s="77"/>
      <c r="AS223" s="77"/>
      <c r="AT223" s="77"/>
      <c r="AU223" s="77"/>
      <c r="AV223" s="77"/>
      <c r="AW223" s="77"/>
      <c r="AX223" s="77"/>
      <c r="AY223" s="77"/>
      <c r="AZ223" s="77"/>
      <c r="BA223" s="77"/>
      <c r="BB223" s="77"/>
      <c r="BC223" s="77"/>
      <c r="BD223" s="77"/>
      <c r="BE223" s="77"/>
      <c r="BF223" s="77"/>
      <c r="BG223" s="77"/>
      <c r="BH223" s="77"/>
      <c r="BI223" s="77"/>
      <c r="BJ223" s="77"/>
      <c r="BK223" s="77"/>
      <c r="BL223" s="77"/>
      <c r="BM223" s="77"/>
      <c r="BN223" s="77"/>
      <c r="BO223" s="77"/>
      <c r="BP223" s="77"/>
      <c r="BQ223" s="77"/>
      <c r="BR223" s="77"/>
      <c r="BS223" s="77"/>
      <c r="BT223" s="77"/>
      <c r="BU223" s="77"/>
      <c r="BV223" s="77"/>
      <c r="BW223" s="77"/>
      <c r="BX223" s="77"/>
      <c r="BY223" s="77"/>
      <c r="BZ223" s="77"/>
      <c r="CA223" s="77"/>
      <c r="CB223" s="77"/>
      <c r="CC223" s="77"/>
      <c r="CD223" s="77"/>
      <c r="CE223" s="77"/>
      <c r="CF223" s="77"/>
      <c r="CG223" s="77"/>
      <c r="CH223" s="77"/>
      <c r="CI223" s="77"/>
      <c r="CJ223" s="77"/>
      <c r="CK223" s="77"/>
      <c r="CL223" s="77"/>
      <c r="CM223" s="77"/>
      <c r="CN223" s="77"/>
      <c r="CO223" s="77"/>
      <c r="CP223" s="77"/>
      <c r="CQ223" s="77"/>
      <c r="CR223" s="77"/>
      <c r="CS223" s="77"/>
      <c r="CT223" s="77"/>
      <c r="CU223" s="77"/>
      <c r="CV223" s="77"/>
      <c r="CW223" s="77"/>
      <c r="CX223" s="77"/>
      <c r="CY223" s="77"/>
      <c r="CZ223" s="77"/>
      <c r="DA223" s="77"/>
      <c r="DB223" s="77"/>
      <c r="DC223" s="77"/>
      <c r="DD223" s="77"/>
      <c r="DE223" s="77"/>
      <c r="DF223" s="77"/>
      <c r="DG223" s="77"/>
      <c r="DH223" s="77"/>
      <c r="DI223" s="77"/>
      <c r="DJ223" s="77"/>
      <c r="DK223" s="77"/>
      <c r="DL223" s="77"/>
      <c r="DM223" s="77"/>
      <c r="DN223" s="77"/>
      <c r="DO223" s="77"/>
      <c r="DP223" s="77"/>
      <c r="DQ223" s="77"/>
      <c r="DR223" s="77"/>
      <c r="DS223" s="77"/>
      <c r="DT223" s="77"/>
      <c r="DU223" s="77"/>
      <c r="DV223" s="77"/>
      <c r="DW223" s="77"/>
      <c r="DX223" s="77"/>
      <c r="DY223" s="77"/>
      <c r="DZ223" s="77"/>
      <c r="EA223" s="77"/>
      <c r="EB223" s="77"/>
      <c r="EC223" s="77"/>
      <c r="ED223" s="77"/>
      <c r="EE223" s="77"/>
      <c r="EF223" s="77"/>
      <c r="EG223" s="77"/>
      <c r="EH223" s="77"/>
      <c r="EI223" s="77"/>
      <c r="EJ223" s="77"/>
      <c r="EK223" s="77"/>
      <c r="EL223" s="77"/>
    </row>
    <row r="224" spans="1:142" s="78" customFormat="1">
      <c r="A224" s="89"/>
      <c r="B224" s="75" t="s">
        <v>49</v>
      </c>
      <c r="C224" s="75"/>
      <c r="D224" s="75"/>
      <c r="E224" s="1186">
        <f>ROUND(E223*100,1)/100</f>
        <v>1.8000000000000002E-2</v>
      </c>
      <c r="F224" s="1186">
        <f t="shared" ref="F224:O224" si="52">ROUND(F223*100,1)/100</f>
        <v>1.8000000000000002E-2</v>
      </c>
      <c r="G224" s="1186">
        <f t="shared" si="52"/>
        <v>1.8000000000000002E-2</v>
      </c>
      <c r="H224" s="1186">
        <f t="shared" si="52"/>
        <v>1.9E-2</v>
      </c>
      <c r="I224" s="1186">
        <f t="shared" si="52"/>
        <v>1.9E-2</v>
      </c>
      <c r="J224" s="1186">
        <f t="shared" si="52"/>
        <v>1.9E-2</v>
      </c>
      <c r="K224" s="1186">
        <f t="shared" si="52"/>
        <v>0.02</v>
      </c>
      <c r="L224" s="1186">
        <f t="shared" si="52"/>
        <v>0.02</v>
      </c>
      <c r="M224" s="1186">
        <f t="shared" si="52"/>
        <v>2.1000000000000001E-2</v>
      </c>
      <c r="N224" s="1186">
        <f t="shared" si="52"/>
        <v>2.1000000000000001E-2</v>
      </c>
      <c r="O224" s="1186">
        <f t="shared" si="52"/>
        <v>2.2000000000000002E-2</v>
      </c>
      <c r="Q224" s="77"/>
      <c r="R224" s="77"/>
      <c r="S224" s="77"/>
      <c r="T224" s="77"/>
      <c r="U224" s="77"/>
      <c r="V224" s="77"/>
      <c r="W224" s="77"/>
      <c r="X224" s="77"/>
      <c r="Y224" s="77"/>
      <c r="Z224" s="77"/>
      <c r="AA224" s="77"/>
      <c r="AB224" s="77"/>
      <c r="AC224" s="77"/>
      <c r="AD224" s="77"/>
      <c r="AE224" s="77"/>
      <c r="AF224" s="77"/>
      <c r="AG224" s="77"/>
      <c r="AH224" s="77"/>
      <c r="AI224" s="77"/>
      <c r="AJ224" s="77"/>
      <c r="AK224" s="77"/>
      <c r="AL224" s="77"/>
      <c r="AM224" s="77"/>
      <c r="AN224" s="77"/>
      <c r="AO224" s="77"/>
      <c r="AP224" s="77"/>
      <c r="AQ224" s="77"/>
      <c r="AR224" s="77"/>
      <c r="AS224" s="77"/>
      <c r="AT224" s="77"/>
      <c r="AU224" s="77"/>
      <c r="AV224" s="77"/>
      <c r="AW224" s="77"/>
      <c r="AX224" s="77"/>
      <c r="AY224" s="77"/>
      <c r="AZ224" s="77"/>
      <c r="BA224" s="77"/>
      <c r="BB224" s="77"/>
      <c r="BC224" s="77"/>
      <c r="BD224" s="77"/>
      <c r="BE224" s="77"/>
      <c r="BF224" s="77"/>
      <c r="BG224" s="77"/>
      <c r="BH224" s="77"/>
      <c r="BI224" s="77"/>
      <c r="BJ224" s="77"/>
      <c r="BK224" s="77"/>
      <c r="BL224" s="77"/>
      <c r="BM224" s="77"/>
      <c r="BN224" s="77"/>
      <c r="BO224" s="77"/>
      <c r="BP224" s="77"/>
      <c r="BQ224" s="77"/>
      <c r="BR224" s="77"/>
      <c r="BS224" s="77"/>
      <c r="BT224" s="77"/>
      <c r="BU224" s="77"/>
      <c r="BV224" s="77"/>
      <c r="BW224" s="77"/>
      <c r="BX224" s="77"/>
      <c r="BY224" s="77"/>
      <c r="BZ224" s="77"/>
      <c r="CA224" s="77"/>
      <c r="CB224" s="77"/>
      <c r="CC224" s="77"/>
      <c r="CD224" s="77"/>
      <c r="CE224" s="77"/>
      <c r="CF224" s="77"/>
      <c r="CG224" s="77"/>
      <c r="CH224" s="77"/>
      <c r="CI224" s="77"/>
      <c r="CJ224" s="77"/>
      <c r="CK224" s="77"/>
      <c r="CL224" s="77"/>
      <c r="CM224" s="77"/>
      <c r="CN224" s="77"/>
      <c r="CO224" s="77"/>
      <c r="CP224" s="77"/>
      <c r="CQ224" s="77"/>
      <c r="CR224" s="77"/>
      <c r="CS224" s="77"/>
      <c r="CT224" s="77"/>
      <c r="CU224" s="77"/>
      <c r="CV224" s="77"/>
      <c r="CW224" s="77"/>
      <c r="CX224" s="77"/>
      <c r="CY224" s="77"/>
      <c r="CZ224" s="77"/>
      <c r="DA224" s="77"/>
      <c r="DB224" s="77"/>
      <c r="DC224" s="77"/>
      <c r="DD224" s="77"/>
      <c r="DE224" s="77"/>
      <c r="DF224" s="77"/>
      <c r="DG224" s="77"/>
      <c r="DH224" s="77"/>
      <c r="DI224" s="77"/>
      <c r="DJ224" s="77"/>
      <c r="DK224" s="77"/>
      <c r="DL224" s="77"/>
      <c r="DM224" s="77"/>
      <c r="DN224" s="77"/>
      <c r="DO224" s="77"/>
      <c r="DP224" s="77"/>
      <c r="DQ224" s="77"/>
      <c r="DR224" s="77"/>
      <c r="DS224" s="77"/>
      <c r="DT224" s="77"/>
      <c r="DU224" s="77"/>
      <c r="DV224" s="77"/>
      <c r="DW224" s="77"/>
      <c r="DX224" s="77"/>
      <c r="DY224" s="77"/>
      <c r="DZ224" s="77"/>
      <c r="EA224" s="77"/>
      <c r="EB224" s="77"/>
      <c r="EC224" s="77"/>
      <c r="ED224" s="77"/>
      <c r="EE224" s="77"/>
      <c r="EF224" s="77"/>
      <c r="EG224" s="77"/>
      <c r="EH224" s="77"/>
      <c r="EI224" s="77"/>
      <c r="EJ224" s="77"/>
      <c r="EK224" s="77"/>
      <c r="EL224" s="77"/>
    </row>
    <row r="225" spans="1:142" s="78" customFormat="1">
      <c r="A225" s="89"/>
      <c r="B225" s="89"/>
      <c r="C225" s="89"/>
      <c r="D225" s="89"/>
      <c r="E225" s="86"/>
      <c r="F225" s="131"/>
      <c r="G225" s="131"/>
      <c r="H225" s="131"/>
      <c r="I225" s="131"/>
      <c r="J225" s="131"/>
      <c r="K225" s="131"/>
      <c r="L225" s="77"/>
      <c r="M225" s="79"/>
      <c r="N225" s="79"/>
      <c r="O225" s="79"/>
      <c r="P225" s="79"/>
      <c r="Q225" s="77"/>
      <c r="R225" s="77"/>
      <c r="S225" s="77"/>
      <c r="T225" s="77"/>
      <c r="U225" s="77"/>
      <c r="V225" s="77"/>
      <c r="W225" s="77"/>
      <c r="X225" s="77"/>
      <c r="Y225" s="77"/>
      <c r="Z225" s="77"/>
      <c r="AA225" s="77"/>
      <c r="AB225" s="77"/>
      <c r="AC225" s="77"/>
      <c r="AD225" s="77"/>
      <c r="AE225" s="77"/>
      <c r="AF225" s="77"/>
      <c r="AG225" s="77"/>
      <c r="AH225" s="77"/>
      <c r="AI225" s="77"/>
      <c r="AJ225" s="77"/>
      <c r="AK225" s="77"/>
      <c r="AL225" s="77"/>
      <c r="AM225" s="77"/>
      <c r="AN225" s="77"/>
      <c r="AO225" s="77"/>
      <c r="AP225" s="77"/>
      <c r="AQ225" s="77"/>
      <c r="AR225" s="77"/>
      <c r="AS225" s="77"/>
      <c r="AT225" s="77"/>
      <c r="AU225" s="77"/>
      <c r="AV225" s="77"/>
      <c r="AW225" s="77"/>
      <c r="AX225" s="77"/>
      <c r="AY225" s="77"/>
      <c r="AZ225" s="77"/>
      <c r="BA225" s="77"/>
      <c r="BB225" s="77"/>
      <c r="BC225" s="77"/>
      <c r="BD225" s="77"/>
      <c r="BE225" s="77"/>
      <c r="BF225" s="77"/>
      <c r="BG225" s="77"/>
      <c r="BH225" s="77"/>
      <c r="BI225" s="77"/>
      <c r="BJ225" s="77"/>
      <c r="BK225" s="77"/>
      <c r="BL225" s="77"/>
      <c r="BM225" s="77"/>
      <c r="BN225" s="77"/>
      <c r="BO225" s="77"/>
      <c r="BP225" s="77"/>
      <c r="BQ225" s="77"/>
      <c r="BR225" s="77"/>
      <c r="BS225" s="77"/>
      <c r="BT225" s="77"/>
      <c r="BU225" s="77"/>
      <c r="BV225" s="77"/>
      <c r="BW225" s="77"/>
      <c r="BX225" s="77"/>
      <c r="BY225" s="77"/>
      <c r="BZ225" s="77"/>
      <c r="CA225" s="77"/>
      <c r="CB225" s="77"/>
      <c r="CC225" s="77"/>
      <c r="CD225" s="77"/>
      <c r="CE225" s="77"/>
      <c r="CF225" s="77"/>
      <c r="CG225" s="77"/>
      <c r="CH225" s="77"/>
      <c r="CI225" s="77"/>
      <c r="CJ225" s="77"/>
      <c r="CK225" s="77"/>
      <c r="CL225" s="77"/>
      <c r="CM225" s="77"/>
      <c r="CN225" s="77"/>
      <c r="CO225" s="77"/>
      <c r="CP225" s="77"/>
      <c r="CQ225" s="77"/>
      <c r="CR225" s="77"/>
      <c r="CS225" s="77"/>
      <c r="CT225" s="77"/>
      <c r="CU225" s="77"/>
      <c r="CV225" s="77"/>
      <c r="CW225" s="77"/>
      <c r="CX225" s="77"/>
      <c r="CY225" s="77"/>
      <c r="CZ225" s="77"/>
      <c r="DA225" s="77"/>
      <c r="DB225" s="77"/>
      <c r="DC225" s="77"/>
      <c r="DD225" s="77"/>
      <c r="DE225" s="77"/>
      <c r="DF225" s="77"/>
      <c r="DG225" s="77"/>
      <c r="DH225" s="77"/>
      <c r="DI225" s="77"/>
      <c r="DJ225" s="77"/>
      <c r="DK225" s="77"/>
      <c r="DL225" s="77"/>
      <c r="DM225" s="77"/>
      <c r="DN225" s="77"/>
      <c r="DO225" s="77"/>
      <c r="DP225" s="77"/>
      <c r="DQ225" s="77"/>
      <c r="DR225" s="77"/>
      <c r="DS225" s="77"/>
      <c r="DT225" s="77"/>
      <c r="DU225" s="77"/>
      <c r="DV225" s="77"/>
      <c r="DW225" s="77"/>
      <c r="DX225" s="77"/>
      <c r="DY225" s="77"/>
      <c r="DZ225" s="77"/>
      <c r="EA225" s="77"/>
      <c r="EB225" s="77"/>
      <c r="EC225" s="77"/>
      <c r="ED225" s="77"/>
      <c r="EE225" s="77"/>
      <c r="EF225" s="77"/>
      <c r="EG225" s="77"/>
      <c r="EH225" s="77"/>
      <c r="EI225" s="77"/>
      <c r="EJ225" s="77"/>
      <c r="EK225" s="77"/>
      <c r="EL225" s="77"/>
    </row>
    <row r="226" spans="1:142" s="78" customFormat="1">
      <c r="A226" s="89"/>
      <c r="B226" s="89"/>
      <c r="C226" s="89"/>
      <c r="D226" s="89"/>
      <c r="E226" s="86"/>
      <c r="F226" s="131"/>
      <c r="G226" s="131"/>
      <c r="H226" s="131"/>
      <c r="I226" s="131"/>
      <c r="J226" s="131"/>
      <c r="K226" s="131"/>
      <c r="L226" s="77"/>
      <c r="M226" s="79"/>
      <c r="N226" s="79"/>
      <c r="O226" s="79"/>
      <c r="P226" s="79"/>
      <c r="Q226" s="77"/>
      <c r="R226" s="77"/>
      <c r="S226" s="77"/>
      <c r="T226" s="77"/>
      <c r="U226" s="77"/>
      <c r="V226" s="77"/>
      <c r="W226" s="77"/>
      <c r="X226" s="77"/>
      <c r="Y226" s="77"/>
      <c r="Z226" s="77"/>
      <c r="AA226" s="77"/>
      <c r="AB226" s="77"/>
      <c r="AC226" s="77"/>
      <c r="AD226" s="77"/>
      <c r="AE226" s="77"/>
      <c r="AF226" s="77"/>
      <c r="AG226" s="77"/>
      <c r="AH226" s="77"/>
      <c r="AI226" s="77"/>
      <c r="AJ226" s="77"/>
      <c r="AK226" s="77"/>
      <c r="AL226" s="77"/>
      <c r="AM226" s="77"/>
      <c r="AN226" s="77"/>
      <c r="AO226" s="77"/>
      <c r="AP226" s="77"/>
      <c r="AQ226" s="77"/>
      <c r="AR226" s="77"/>
      <c r="AS226" s="77"/>
      <c r="AT226" s="77"/>
      <c r="AU226" s="77"/>
      <c r="AV226" s="77"/>
      <c r="AW226" s="77"/>
      <c r="AX226" s="77"/>
      <c r="AY226" s="77"/>
      <c r="AZ226" s="77"/>
      <c r="BA226" s="77"/>
      <c r="BB226" s="77"/>
      <c r="BC226" s="77"/>
      <c r="BD226" s="77"/>
      <c r="BE226" s="77"/>
      <c r="BF226" s="77"/>
      <c r="BG226" s="77"/>
      <c r="BH226" s="77"/>
      <c r="BI226" s="77"/>
      <c r="BJ226" s="77"/>
      <c r="BK226" s="77"/>
      <c r="BL226" s="77"/>
      <c r="BM226" s="77"/>
      <c r="BN226" s="77"/>
      <c r="BO226" s="77"/>
      <c r="BP226" s="77"/>
      <c r="BQ226" s="77"/>
      <c r="BR226" s="77"/>
      <c r="BS226" s="77"/>
      <c r="BT226" s="77"/>
      <c r="BU226" s="77"/>
      <c r="BV226" s="77"/>
      <c r="BW226" s="77"/>
      <c r="BX226" s="77"/>
      <c r="BY226" s="77"/>
      <c r="BZ226" s="77"/>
      <c r="CA226" s="77"/>
      <c r="CB226" s="77"/>
      <c r="CC226" s="77"/>
      <c r="CD226" s="77"/>
      <c r="CE226" s="77"/>
      <c r="CF226" s="77"/>
      <c r="CG226" s="77"/>
      <c r="CH226" s="77"/>
      <c r="CI226" s="77"/>
      <c r="CJ226" s="77"/>
      <c r="CK226" s="77"/>
      <c r="CL226" s="77"/>
      <c r="CM226" s="77"/>
      <c r="CN226" s="77"/>
      <c r="CO226" s="77"/>
      <c r="CP226" s="77"/>
      <c r="CQ226" s="77"/>
      <c r="CR226" s="77"/>
      <c r="CS226" s="77"/>
      <c r="CT226" s="77"/>
      <c r="CU226" s="77"/>
      <c r="CV226" s="77"/>
      <c r="CW226" s="77"/>
      <c r="CX226" s="77"/>
      <c r="CY226" s="77"/>
      <c r="CZ226" s="77"/>
      <c r="DA226" s="77"/>
      <c r="DB226" s="77"/>
      <c r="DC226" s="77"/>
      <c r="DD226" s="77"/>
      <c r="DE226" s="77"/>
      <c r="DF226" s="77"/>
      <c r="DG226" s="77"/>
      <c r="DH226" s="77"/>
      <c r="DI226" s="77"/>
      <c r="DJ226" s="77"/>
      <c r="DK226" s="77"/>
      <c r="DL226" s="77"/>
      <c r="DM226" s="77"/>
      <c r="DN226" s="77"/>
      <c r="DO226" s="77"/>
      <c r="DP226" s="77"/>
      <c r="DQ226" s="77"/>
      <c r="DR226" s="77"/>
      <c r="DS226" s="77"/>
      <c r="DT226" s="77"/>
      <c r="DU226" s="77"/>
      <c r="DV226" s="77"/>
      <c r="DW226" s="77"/>
      <c r="DX226" s="77"/>
      <c r="DY226" s="77"/>
      <c r="DZ226" s="77"/>
      <c r="EA226" s="77"/>
      <c r="EB226" s="77"/>
      <c r="EC226" s="77"/>
      <c r="ED226" s="77"/>
      <c r="EE226" s="77"/>
      <c r="EF226" s="77"/>
      <c r="EG226" s="77"/>
      <c r="EH226" s="77"/>
      <c r="EI226" s="77"/>
      <c r="EJ226" s="77"/>
      <c r="EK226" s="77"/>
      <c r="EL226" s="77"/>
    </row>
    <row r="227" spans="1:142" s="78" customFormat="1">
      <c r="A227" s="89"/>
      <c r="B227" s="89"/>
      <c r="C227" s="89"/>
      <c r="D227" s="89"/>
      <c r="E227" s="86"/>
      <c r="F227" s="131"/>
      <c r="G227" s="131"/>
      <c r="H227" s="131"/>
      <c r="I227" s="131"/>
      <c r="J227" s="131"/>
      <c r="K227" s="131"/>
      <c r="L227" s="77"/>
      <c r="M227" s="79"/>
      <c r="N227" s="79"/>
      <c r="O227" s="79"/>
      <c r="P227" s="79"/>
      <c r="Q227" s="77"/>
      <c r="R227" s="77"/>
      <c r="S227" s="77"/>
      <c r="T227" s="77"/>
      <c r="U227" s="77"/>
      <c r="V227" s="77"/>
      <c r="W227" s="77"/>
      <c r="X227" s="77"/>
      <c r="Y227" s="77"/>
      <c r="Z227" s="77"/>
      <c r="AA227" s="77"/>
      <c r="AB227" s="77"/>
      <c r="AC227" s="77"/>
      <c r="AD227" s="77"/>
      <c r="AE227" s="77"/>
      <c r="AF227" s="77"/>
      <c r="AG227" s="77"/>
      <c r="AH227" s="77"/>
      <c r="AI227" s="77"/>
      <c r="AJ227" s="77"/>
      <c r="AK227" s="77"/>
      <c r="AL227" s="77"/>
      <c r="AM227" s="77"/>
      <c r="AN227" s="77"/>
      <c r="AO227" s="77"/>
      <c r="AP227" s="77"/>
      <c r="AQ227" s="77"/>
      <c r="AR227" s="77"/>
      <c r="AS227" s="77"/>
      <c r="AT227" s="77"/>
      <c r="AU227" s="77"/>
      <c r="AV227" s="77"/>
      <c r="AW227" s="77"/>
      <c r="AX227" s="77"/>
      <c r="AY227" s="77"/>
      <c r="AZ227" s="77"/>
      <c r="BA227" s="77"/>
      <c r="BB227" s="77"/>
      <c r="BC227" s="77"/>
      <c r="BD227" s="77"/>
      <c r="BE227" s="77"/>
      <c r="BF227" s="77"/>
      <c r="BG227" s="77"/>
      <c r="BH227" s="77"/>
      <c r="BI227" s="77"/>
      <c r="BJ227" s="77"/>
      <c r="BK227" s="77"/>
      <c r="BL227" s="77"/>
      <c r="BM227" s="77"/>
      <c r="BN227" s="77"/>
      <c r="BO227" s="77"/>
      <c r="BP227" s="77"/>
      <c r="BQ227" s="77"/>
      <c r="BR227" s="77"/>
      <c r="BS227" s="77"/>
      <c r="BT227" s="77"/>
      <c r="BU227" s="77"/>
      <c r="BV227" s="77"/>
      <c r="BW227" s="77"/>
      <c r="BX227" s="77"/>
      <c r="BY227" s="77"/>
      <c r="BZ227" s="77"/>
      <c r="CA227" s="77"/>
      <c r="CB227" s="77"/>
      <c r="CC227" s="77"/>
      <c r="CD227" s="77"/>
      <c r="CE227" s="77"/>
      <c r="CF227" s="77"/>
      <c r="CG227" s="77"/>
      <c r="CH227" s="77"/>
      <c r="CI227" s="77"/>
      <c r="CJ227" s="77"/>
      <c r="CK227" s="77"/>
      <c r="CL227" s="77"/>
      <c r="CM227" s="77"/>
      <c r="CN227" s="77"/>
      <c r="CO227" s="77"/>
      <c r="CP227" s="77"/>
      <c r="CQ227" s="77"/>
      <c r="CR227" s="77"/>
      <c r="CS227" s="77"/>
      <c r="CT227" s="77"/>
      <c r="CU227" s="77"/>
      <c r="CV227" s="77"/>
      <c r="CW227" s="77"/>
      <c r="CX227" s="77"/>
      <c r="CY227" s="77"/>
      <c r="CZ227" s="77"/>
      <c r="DA227" s="77"/>
      <c r="DB227" s="77"/>
      <c r="DC227" s="77"/>
      <c r="DD227" s="77"/>
      <c r="DE227" s="77"/>
      <c r="DF227" s="77"/>
      <c r="DG227" s="77"/>
      <c r="DH227" s="77"/>
      <c r="DI227" s="77"/>
      <c r="DJ227" s="77"/>
      <c r="DK227" s="77"/>
      <c r="DL227" s="77"/>
      <c r="DM227" s="77"/>
      <c r="DN227" s="77"/>
      <c r="DO227" s="77"/>
      <c r="DP227" s="77"/>
      <c r="DQ227" s="77"/>
      <c r="DR227" s="77"/>
      <c r="DS227" s="77"/>
      <c r="DT227" s="77"/>
      <c r="DU227" s="77"/>
      <c r="DV227" s="77"/>
      <c r="DW227" s="77"/>
      <c r="DX227" s="77"/>
      <c r="DY227" s="77"/>
      <c r="DZ227" s="77"/>
      <c r="EA227" s="77"/>
      <c r="EB227" s="77"/>
      <c r="EC227" s="77"/>
      <c r="ED227" s="77"/>
      <c r="EE227" s="77"/>
      <c r="EF227" s="77"/>
      <c r="EG227" s="77"/>
      <c r="EH227" s="77"/>
      <c r="EI227" s="77"/>
      <c r="EJ227" s="77"/>
      <c r="EK227" s="77"/>
      <c r="EL227" s="77"/>
    </row>
    <row r="228" spans="1:142" s="78" customFormat="1">
      <c r="A228" s="89"/>
      <c r="B228" s="89"/>
      <c r="C228" s="89"/>
      <c r="D228" s="89"/>
      <c r="E228" s="86"/>
      <c r="F228" s="131"/>
      <c r="G228" s="131"/>
      <c r="H228" s="131"/>
      <c r="I228" s="131"/>
      <c r="J228" s="131"/>
      <c r="K228" s="131"/>
      <c r="L228" s="77"/>
      <c r="M228" s="79"/>
      <c r="N228" s="79"/>
      <c r="O228" s="79"/>
      <c r="P228" s="79"/>
      <c r="Q228" s="77"/>
      <c r="R228" s="77"/>
      <c r="S228" s="77"/>
      <c r="T228" s="77"/>
      <c r="U228" s="77"/>
      <c r="V228" s="77"/>
      <c r="W228" s="77"/>
      <c r="X228" s="77"/>
      <c r="Y228" s="77"/>
      <c r="Z228" s="77"/>
      <c r="AA228" s="77"/>
      <c r="AB228" s="77"/>
      <c r="AC228" s="77"/>
      <c r="AD228" s="77"/>
      <c r="AE228" s="77"/>
      <c r="AF228" s="77"/>
      <c r="AG228" s="77"/>
      <c r="AH228" s="77"/>
      <c r="AI228" s="77"/>
      <c r="AJ228" s="77"/>
      <c r="AK228" s="77"/>
      <c r="AL228" s="77"/>
      <c r="AM228" s="77"/>
      <c r="AN228" s="77"/>
      <c r="AO228" s="77"/>
      <c r="AP228" s="77"/>
      <c r="AQ228" s="77"/>
      <c r="AR228" s="77"/>
      <c r="AS228" s="77"/>
      <c r="AT228" s="77"/>
      <c r="AU228" s="77"/>
      <c r="AV228" s="77"/>
      <c r="AW228" s="77"/>
      <c r="AX228" s="77"/>
      <c r="AY228" s="77"/>
      <c r="AZ228" s="77"/>
      <c r="BA228" s="77"/>
      <c r="BB228" s="77"/>
      <c r="BC228" s="77"/>
      <c r="BD228" s="77"/>
      <c r="BE228" s="77"/>
      <c r="BF228" s="77"/>
      <c r="BG228" s="77"/>
      <c r="BH228" s="77"/>
      <c r="BI228" s="77"/>
      <c r="BJ228" s="77"/>
      <c r="BK228" s="77"/>
      <c r="BL228" s="77"/>
      <c r="BM228" s="77"/>
      <c r="BN228" s="77"/>
      <c r="BO228" s="77"/>
      <c r="BP228" s="77"/>
      <c r="BQ228" s="77"/>
      <c r="BR228" s="77"/>
      <c r="BS228" s="77"/>
      <c r="BT228" s="77"/>
      <c r="BU228" s="77"/>
      <c r="BV228" s="77"/>
      <c r="BW228" s="77"/>
      <c r="BX228" s="77"/>
      <c r="BY228" s="77"/>
      <c r="BZ228" s="77"/>
      <c r="CA228" s="77"/>
      <c r="CB228" s="77"/>
      <c r="CC228" s="77"/>
      <c r="CD228" s="77"/>
      <c r="CE228" s="77"/>
      <c r="CF228" s="77"/>
      <c r="CG228" s="77"/>
      <c r="CH228" s="77"/>
      <c r="CI228" s="77"/>
      <c r="CJ228" s="77"/>
      <c r="CK228" s="77"/>
      <c r="CL228" s="77"/>
      <c r="CM228" s="77"/>
      <c r="CN228" s="77"/>
      <c r="CO228" s="77"/>
      <c r="CP228" s="77"/>
      <c r="CQ228" s="77"/>
      <c r="CR228" s="77"/>
      <c r="CS228" s="77"/>
      <c r="CT228" s="77"/>
      <c r="CU228" s="77"/>
      <c r="CV228" s="77"/>
      <c r="CW228" s="77"/>
      <c r="CX228" s="77"/>
      <c r="CY228" s="77"/>
      <c r="CZ228" s="77"/>
      <c r="DA228" s="77"/>
      <c r="DB228" s="77"/>
      <c r="DC228" s="77"/>
      <c r="DD228" s="77"/>
      <c r="DE228" s="77"/>
      <c r="DF228" s="77"/>
      <c r="DG228" s="77"/>
      <c r="DH228" s="77"/>
      <c r="DI228" s="77"/>
      <c r="DJ228" s="77"/>
      <c r="DK228" s="77"/>
      <c r="DL228" s="77"/>
      <c r="DM228" s="77"/>
      <c r="DN228" s="77"/>
      <c r="DO228" s="77"/>
      <c r="DP228" s="77"/>
      <c r="DQ228" s="77"/>
      <c r="DR228" s="77"/>
      <c r="DS228" s="77"/>
      <c r="DT228" s="77"/>
      <c r="DU228" s="77"/>
      <c r="DV228" s="77"/>
      <c r="DW228" s="77"/>
      <c r="DX228" s="77"/>
      <c r="DY228" s="77"/>
      <c r="DZ228" s="77"/>
      <c r="EA228" s="77"/>
      <c r="EB228" s="77"/>
      <c r="EC228" s="77"/>
      <c r="ED228" s="77"/>
      <c r="EE228" s="77"/>
      <c r="EF228" s="77"/>
      <c r="EG228" s="77"/>
      <c r="EH228" s="77"/>
      <c r="EI228" s="77"/>
      <c r="EJ228" s="77"/>
      <c r="EK228" s="77"/>
      <c r="EL228" s="77"/>
    </row>
    <row r="229" spans="1:142" s="78" customFormat="1">
      <c r="A229" s="89"/>
      <c r="B229" s="89"/>
      <c r="C229" s="89"/>
      <c r="D229" s="89"/>
      <c r="E229" s="86"/>
      <c r="F229" s="131"/>
      <c r="G229" s="131"/>
      <c r="H229" s="131"/>
      <c r="I229" s="131"/>
      <c r="J229" s="131"/>
      <c r="K229" s="131"/>
      <c r="L229" s="77"/>
      <c r="M229" s="79"/>
      <c r="N229" s="79"/>
      <c r="O229" s="79"/>
      <c r="P229" s="79"/>
      <c r="Q229" s="77"/>
      <c r="R229" s="77"/>
      <c r="S229" s="77"/>
      <c r="T229" s="77"/>
      <c r="U229" s="77"/>
      <c r="V229" s="77"/>
      <c r="W229" s="77"/>
      <c r="X229" s="77"/>
      <c r="Y229" s="77"/>
      <c r="Z229" s="77"/>
      <c r="AA229" s="77"/>
      <c r="AB229" s="77"/>
      <c r="AC229" s="77"/>
      <c r="AD229" s="77"/>
      <c r="AE229" s="77"/>
      <c r="AF229" s="77"/>
      <c r="AG229" s="77"/>
      <c r="AH229" s="77"/>
      <c r="AI229" s="77"/>
      <c r="AJ229" s="77"/>
      <c r="AK229" s="77"/>
      <c r="AL229" s="77"/>
      <c r="AM229" s="77"/>
      <c r="AN229" s="77"/>
      <c r="AO229" s="77"/>
      <c r="AP229" s="77"/>
      <c r="AQ229" s="77"/>
      <c r="AR229" s="77"/>
      <c r="AS229" s="77"/>
      <c r="AT229" s="77"/>
      <c r="AU229" s="77"/>
      <c r="AV229" s="77"/>
      <c r="AW229" s="77"/>
      <c r="AX229" s="77"/>
      <c r="AY229" s="77"/>
      <c r="AZ229" s="77"/>
      <c r="BA229" s="77"/>
      <c r="BB229" s="77"/>
      <c r="BC229" s="77"/>
      <c r="BD229" s="77"/>
      <c r="BE229" s="77"/>
      <c r="BF229" s="77"/>
      <c r="BG229" s="77"/>
      <c r="BH229" s="77"/>
      <c r="BI229" s="77"/>
      <c r="BJ229" s="77"/>
      <c r="BK229" s="77"/>
      <c r="BL229" s="77"/>
      <c r="BM229" s="77"/>
      <c r="BN229" s="77"/>
      <c r="BO229" s="77"/>
      <c r="BP229" s="77"/>
      <c r="BQ229" s="77"/>
      <c r="BR229" s="77"/>
      <c r="BS229" s="77"/>
      <c r="BT229" s="77"/>
      <c r="BU229" s="77"/>
      <c r="BV229" s="77"/>
      <c r="BW229" s="77"/>
      <c r="BX229" s="77"/>
      <c r="BY229" s="77"/>
      <c r="BZ229" s="77"/>
      <c r="CA229" s="77"/>
      <c r="CB229" s="77"/>
      <c r="CC229" s="77"/>
      <c r="CD229" s="77"/>
      <c r="CE229" s="77"/>
      <c r="CF229" s="77"/>
      <c r="CG229" s="77"/>
      <c r="CH229" s="77"/>
      <c r="CI229" s="77"/>
      <c r="CJ229" s="77"/>
      <c r="CK229" s="77"/>
      <c r="CL229" s="77"/>
      <c r="CM229" s="77"/>
      <c r="CN229" s="77"/>
      <c r="CO229" s="77"/>
      <c r="CP229" s="77"/>
      <c r="CQ229" s="77"/>
      <c r="CR229" s="77"/>
      <c r="CS229" s="77"/>
      <c r="CT229" s="77"/>
      <c r="CU229" s="77"/>
      <c r="CV229" s="77"/>
      <c r="CW229" s="77"/>
      <c r="CX229" s="77"/>
      <c r="CY229" s="77"/>
      <c r="CZ229" s="77"/>
      <c r="DA229" s="77"/>
      <c r="DB229" s="77"/>
      <c r="DC229" s="77"/>
      <c r="DD229" s="77"/>
      <c r="DE229" s="77"/>
      <c r="DF229" s="77"/>
      <c r="DG229" s="77"/>
      <c r="DH229" s="77"/>
      <c r="DI229" s="77"/>
      <c r="DJ229" s="77"/>
      <c r="DK229" s="77"/>
      <c r="DL229" s="77"/>
      <c r="DM229" s="77"/>
      <c r="DN229" s="77"/>
      <c r="DO229" s="77"/>
      <c r="DP229" s="77"/>
      <c r="DQ229" s="77"/>
      <c r="DR229" s="77"/>
      <c r="DS229" s="77"/>
      <c r="DT229" s="77"/>
      <c r="DU229" s="77"/>
      <c r="DV229" s="77"/>
      <c r="DW229" s="77"/>
      <c r="DX229" s="77"/>
      <c r="DY229" s="77"/>
      <c r="DZ229" s="77"/>
      <c r="EA229" s="77"/>
      <c r="EB229" s="77"/>
      <c r="EC229" s="77"/>
      <c r="ED229" s="77"/>
      <c r="EE229" s="77"/>
      <c r="EF229" s="77"/>
      <c r="EG229" s="77"/>
      <c r="EH229" s="77"/>
      <c r="EI229" s="77"/>
      <c r="EJ229" s="77"/>
      <c r="EK229" s="77"/>
      <c r="EL229" s="77"/>
    </row>
    <row r="230" spans="1:142" s="78" customFormat="1">
      <c r="B230" s="362" t="s">
        <v>294</v>
      </c>
      <c r="C230" s="66"/>
      <c r="D230" s="89"/>
      <c r="E230" s="79"/>
      <c r="F230" s="79"/>
      <c r="G230" s="79"/>
      <c r="H230" s="79"/>
      <c r="I230" s="79"/>
      <c r="J230" s="77"/>
      <c r="K230" s="77"/>
      <c r="L230" s="77"/>
      <c r="M230" s="79"/>
      <c r="N230" s="79"/>
      <c r="O230" s="79"/>
      <c r="P230" s="79"/>
      <c r="Q230" s="77"/>
      <c r="R230" s="77"/>
      <c r="S230" s="77"/>
      <c r="T230" s="77"/>
      <c r="U230" s="77"/>
      <c r="V230" s="77"/>
      <c r="W230" s="77"/>
      <c r="X230" s="77"/>
      <c r="Y230" s="77"/>
      <c r="Z230" s="77"/>
      <c r="AA230" s="77"/>
      <c r="AB230" s="77"/>
      <c r="AC230" s="77"/>
      <c r="AD230" s="77"/>
      <c r="AE230" s="77"/>
      <c r="AF230" s="77"/>
      <c r="AG230" s="77"/>
      <c r="AH230" s="77"/>
      <c r="AI230" s="77"/>
      <c r="AJ230" s="77"/>
      <c r="AK230" s="77"/>
      <c r="AL230" s="77"/>
      <c r="AM230" s="77"/>
      <c r="AN230" s="77"/>
      <c r="AO230" s="77"/>
      <c r="AP230" s="77"/>
      <c r="AQ230" s="77"/>
      <c r="AR230" s="77"/>
      <c r="AS230" s="77"/>
      <c r="AT230" s="77"/>
      <c r="AU230" s="77"/>
      <c r="AV230" s="77"/>
      <c r="AW230" s="77"/>
      <c r="AX230" s="77"/>
      <c r="AY230" s="77"/>
      <c r="AZ230" s="77"/>
      <c r="BA230" s="77"/>
      <c r="BB230" s="77"/>
      <c r="BC230" s="77"/>
      <c r="BD230" s="77"/>
      <c r="BE230" s="77"/>
      <c r="BF230" s="77"/>
      <c r="BG230" s="77"/>
      <c r="BH230" s="77"/>
      <c r="BI230" s="77"/>
      <c r="BJ230" s="77"/>
      <c r="BK230" s="77"/>
      <c r="BL230" s="77"/>
      <c r="BM230" s="77"/>
      <c r="BN230" s="77"/>
      <c r="BO230" s="77"/>
      <c r="BP230" s="77"/>
      <c r="BQ230" s="77"/>
      <c r="BR230" s="77"/>
      <c r="BS230" s="77"/>
      <c r="BT230" s="77"/>
      <c r="BU230" s="77"/>
      <c r="BV230" s="77"/>
      <c r="BW230" s="77"/>
      <c r="BX230" s="77"/>
      <c r="BY230" s="77"/>
      <c r="BZ230" s="77"/>
      <c r="CA230" s="77"/>
      <c r="CB230" s="77"/>
      <c r="CC230" s="77"/>
      <c r="CD230" s="77"/>
      <c r="CE230" s="77"/>
      <c r="CF230" s="77"/>
      <c r="CG230" s="77"/>
      <c r="CH230" s="77"/>
      <c r="CI230" s="77"/>
      <c r="CJ230" s="77"/>
      <c r="CK230" s="77"/>
      <c r="CL230" s="77"/>
      <c r="CM230" s="77"/>
      <c r="CN230" s="77"/>
      <c r="CO230" s="77"/>
      <c r="CP230" s="77"/>
      <c r="CQ230" s="77"/>
      <c r="CR230" s="77"/>
      <c r="CS230" s="77"/>
      <c r="CT230" s="77"/>
      <c r="CU230" s="77"/>
      <c r="CV230" s="77"/>
      <c r="CW230" s="77"/>
      <c r="CX230" s="77"/>
      <c r="CY230" s="77"/>
      <c r="CZ230" s="77"/>
      <c r="DA230" s="77"/>
      <c r="DB230" s="77"/>
      <c r="DC230" s="77"/>
      <c r="DD230" s="77"/>
      <c r="DE230" s="77"/>
      <c r="DF230" s="77"/>
      <c r="DG230" s="77"/>
      <c r="DH230" s="77"/>
      <c r="DI230" s="77"/>
      <c r="DJ230" s="77"/>
      <c r="DK230" s="77"/>
      <c r="DL230" s="77"/>
      <c r="DM230" s="77"/>
      <c r="DN230" s="77"/>
      <c r="DO230" s="77"/>
      <c r="DP230" s="77"/>
      <c r="DQ230" s="77"/>
      <c r="DR230" s="77"/>
      <c r="DS230" s="77"/>
      <c r="DT230" s="77"/>
      <c r="DU230" s="77"/>
      <c r="DV230" s="77"/>
      <c r="DW230" s="77"/>
      <c r="DX230" s="77"/>
      <c r="DY230" s="77"/>
      <c r="DZ230" s="77"/>
      <c r="EA230" s="77"/>
      <c r="EB230" s="77"/>
      <c r="EC230" s="77"/>
      <c r="ED230" s="77"/>
      <c r="EE230" s="77"/>
      <c r="EF230" s="77"/>
      <c r="EG230" s="77"/>
      <c r="EH230" s="77"/>
      <c r="EI230" s="77"/>
      <c r="EJ230" s="77"/>
      <c r="EK230" s="77"/>
      <c r="EL230" s="77"/>
    </row>
    <row r="231" spans="1:142" s="76" customFormat="1">
      <c r="A231" s="108"/>
      <c r="B231" s="108"/>
      <c r="C231" s="79"/>
      <c r="D231" s="108"/>
      <c r="E231" s="251"/>
      <c r="F231" s="12"/>
      <c r="G231" s="219"/>
      <c r="H231" s="81"/>
      <c r="I231" s="108"/>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2"/>
      <c r="CJ231" s="12"/>
      <c r="CK231" s="12"/>
      <c r="CL231" s="12"/>
      <c r="CM231" s="12"/>
      <c r="CN231" s="12"/>
      <c r="CO231" s="12"/>
      <c r="CP231" s="12"/>
      <c r="CQ231" s="12"/>
      <c r="CR231" s="12"/>
      <c r="CS231" s="12"/>
      <c r="CT231" s="12"/>
      <c r="CU231" s="12"/>
      <c r="CV231" s="12"/>
      <c r="CW231" s="12"/>
      <c r="CX231" s="12"/>
      <c r="CY231" s="12"/>
      <c r="CZ231" s="12"/>
      <c r="DA231" s="12"/>
      <c r="DB231" s="12"/>
      <c r="DC231" s="12"/>
      <c r="DD231" s="12"/>
      <c r="DE231" s="12"/>
      <c r="DF231" s="12"/>
      <c r="DG231" s="12"/>
      <c r="DH231" s="12"/>
      <c r="DI231" s="12"/>
      <c r="DJ231" s="12"/>
      <c r="DK231" s="12"/>
      <c r="DL231" s="12"/>
      <c r="DM231" s="12"/>
      <c r="DN231" s="12"/>
      <c r="DO231" s="12"/>
      <c r="DP231" s="12"/>
      <c r="DQ231" s="12"/>
      <c r="DR231" s="12"/>
      <c r="DS231" s="12"/>
      <c r="DT231" s="12"/>
      <c r="DU231" s="12"/>
      <c r="DV231" s="12"/>
      <c r="DW231" s="12"/>
      <c r="DX231" s="12"/>
      <c r="DY231" s="12"/>
      <c r="DZ231" s="12"/>
      <c r="EA231" s="12"/>
      <c r="EB231" s="12"/>
      <c r="EC231" s="12"/>
      <c r="ED231" s="12"/>
      <c r="EE231" s="12"/>
      <c r="EF231" s="12"/>
      <c r="EG231" s="12"/>
      <c r="EH231" s="12"/>
      <c r="EI231" s="12"/>
      <c r="EJ231" s="12"/>
      <c r="EK231" s="12"/>
      <c r="EL231" s="12"/>
    </row>
    <row r="232" spans="1:142" s="78" customFormat="1" ht="13.5" thickBot="1">
      <c r="A232" s="79"/>
      <c r="B232" s="99" t="s">
        <v>356</v>
      </c>
      <c r="C232" s="99"/>
      <c r="D232" s="79"/>
      <c r="E232" s="79"/>
      <c r="F232" s="79"/>
      <c r="G232" s="79"/>
      <c r="H232" s="79"/>
      <c r="I232" s="79"/>
      <c r="J232" s="79"/>
      <c r="K232" s="79"/>
      <c r="L232" s="79"/>
      <c r="M232" s="79"/>
      <c r="N232" s="79"/>
      <c r="O232" s="79"/>
      <c r="P232" s="79"/>
      <c r="Q232" s="79"/>
      <c r="R232" s="79"/>
      <c r="S232" s="79"/>
      <c r="T232" s="79"/>
      <c r="U232" s="79"/>
      <c r="V232" s="79"/>
      <c r="W232" s="79"/>
      <c r="X232" s="79"/>
      <c r="Y232" s="79"/>
      <c r="Z232" s="79"/>
      <c r="AA232" s="79"/>
      <c r="AB232" s="79"/>
      <c r="AC232" s="7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c r="BD232" s="79"/>
      <c r="BE232" s="79"/>
      <c r="BF232" s="79"/>
      <c r="BG232" s="79"/>
      <c r="BH232" s="79"/>
      <c r="BI232" s="79"/>
      <c r="BJ232" s="79"/>
      <c r="BK232" s="79"/>
      <c r="BL232" s="79"/>
      <c r="BM232" s="79"/>
      <c r="BN232" s="79"/>
      <c r="BO232" s="79"/>
      <c r="BP232" s="79"/>
      <c r="BQ232" s="79"/>
      <c r="BR232" s="79"/>
      <c r="BS232" s="79"/>
      <c r="BT232" s="79"/>
      <c r="BU232" s="79"/>
      <c r="BV232" s="79"/>
      <c r="BW232" s="79"/>
      <c r="BX232" s="79"/>
      <c r="BY232" s="79"/>
      <c r="BZ232" s="79"/>
      <c r="CA232" s="79"/>
      <c r="CB232" s="79"/>
      <c r="CC232" s="79"/>
      <c r="CD232" s="79"/>
      <c r="CE232" s="79"/>
      <c r="CF232" s="79"/>
      <c r="CG232" s="79"/>
      <c r="CH232" s="79"/>
      <c r="CI232" s="79"/>
      <c r="CJ232" s="79"/>
      <c r="CK232" s="79"/>
      <c r="CL232" s="79"/>
      <c r="CM232" s="79"/>
      <c r="CN232" s="79"/>
      <c r="CO232" s="79"/>
      <c r="CP232" s="79"/>
      <c r="CQ232" s="79"/>
      <c r="CR232" s="79"/>
      <c r="CS232" s="79"/>
      <c r="CT232" s="79"/>
      <c r="CU232" s="79"/>
      <c r="CV232" s="79"/>
      <c r="CW232" s="79"/>
      <c r="CX232" s="79"/>
      <c r="CY232" s="79"/>
      <c r="CZ232" s="79"/>
      <c r="DA232" s="79"/>
      <c r="DB232" s="79"/>
      <c r="DC232" s="79"/>
      <c r="DD232" s="79"/>
      <c r="DE232" s="79"/>
      <c r="DF232" s="79"/>
      <c r="DG232" s="79"/>
      <c r="DH232" s="79"/>
      <c r="DI232" s="79"/>
      <c r="DJ232" s="79"/>
      <c r="DK232" s="79"/>
      <c r="DL232" s="79"/>
      <c r="DM232" s="79"/>
      <c r="DN232" s="79"/>
      <c r="DO232" s="79"/>
      <c r="DP232" s="79"/>
      <c r="DQ232" s="79"/>
      <c r="DR232" s="79"/>
      <c r="DS232" s="79"/>
      <c r="DT232" s="79"/>
      <c r="DU232" s="79"/>
      <c r="DV232" s="79"/>
      <c r="DW232" s="79"/>
      <c r="DX232" s="79"/>
      <c r="DY232" s="79"/>
      <c r="DZ232" s="79"/>
      <c r="EA232" s="79"/>
      <c r="EB232" s="79"/>
      <c r="EC232" s="79"/>
      <c r="ED232" s="79"/>
      <c r="EE232" s="79"/>
      <c r="EF232" s="79"/>
      <c r="EG232" s="79"/>
      <c r="EH232" s="79"/>
      <c r="EI232" s="79"/>
      <c r="EJ232" s="79"/>
      <c r="EK232" s="79"/>
      <c r="EL232" s="79"/>
    </row>
    <row r="233" spans="1:142" s="78" customFormat="1">
      <c r="A233" s="79"/>
      <c r="B233" s="1250" t="str">
        <f>IF(C235&gt;E242,"----  DEBT OVERLOADED ----","")</f>
        <v/>
      </c>
      <c r="C233" s="1448" t="s">
        <v>749</v>
      </c>
      <c r="D233" s="1449" t="s">
        <v>748</v>
      </c>
      <c r="E233" s="1449" t="s">
        <v>240</v>
      </c>
      <c r="F233" s="1450"/>
      <c r="G233" s="1451"/>
      <c r="H233" s="79"/>
      <c r="I233" s="79"/>
      <c r="J233" s="79"/>
      <c r="K233" s="79"/>
      <c r="L233" s="79"/>
      <c r="M233" s="79"/>
      <c r="N233" s="79"/>
      <c r="O233" s="79"/>
      <c r="P233" s="79"/>
      <c r="Q233" s="79"/>
      <c r="R233" s="79"/>
      <c r="S233" s="79"/>
      <c r="T233" s="79"/>
      <c r="U233" s="79"/>
      <c r="V233" s="79"/>
      <c r="W233" s="79"/>
      <c r="X233" s="79"/>
      <c r="Y233" s="79"/>
      <c r="Z233" s="79"/>
      <c r="AA233" s="79"/>
      <c r="AB233" s="79"/>
      <c r="AC233" s="7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c r="BD233" s="79"/>
      <c r="BE233" s="79"/>
      <c r="BF233" s="79"/>
      <c r="BG233" s="79"/>
      <c r="BH233" s="79"/>
      <c r="BI233" s="79"/>
      <c r="BJ233" s="79"/>
      <c r="BK233" s="79"/>
      <c r="BL233" s="79"/>
      <c r="BM233" s="79"/>
      <c r="BN233" s="79"/>
      <c r="BO233" s="79"/>
      <c r="BP233" s="79"/>
      <c r="BQ233" s="79"/>
      <c r="BR233" s="79"/>
      <c r="BS233" s="79"/>
      <c r="BT233" s="79"/>
      <c r="BU233" s="79"/>
      <c r="BV233" s="79"/>
      <c r="BW233" s="79"/>
      <c r="BX233" s="79"/>
      <c r="BY233" s="79"/>
      <c r="BZ233" s="79"/>
      <c r="CA233" s="79"/>
      <c r="CB233" s="79"/>
      <c r="CC233" s="79"/>
      <c r="CD233" s="79"/>
      <c r="CE233" s="79"/>
      <c r="CF233" s="79"/>
      <c r="CG233" s="79"/>
      <c r="CH233" s="79"/>
      <c r="CI233" s="79"/>
      <c r="CJ233" s="79"/>
      <c r="CK233" s="79"/>
      <c r="CL233" s="79"/>
      <c r="CM233" s="79"/>
      <c r="CN233" s="79"/>
      <c r="CO233" s="79"/>
      <c r="CP233" s="79"/>
      <c r="CQ233" s="79"/>
      <c r="CR233" s="79"/>
      <c r="CS233" s="79"/>
      <c r="CT233" s="79"/>
      <c r="CU233" s="79"/>
      <c r="CV233" s="79"/>
      <c r="CW233" s="79"/>
      <c r="CX233" s="79"/>
      <c r="CY233" s="79"/>
      <c r="CZ233" s="79"/>
      <c r="DA233" s="79"/>
      <c r="DB233" s="79"/>
      <c r="DC233" s="79"/>
      <c r="DD233" s="79"/>
      <c r="DE233" s="79"/>
      <c r="DF233" s="79"/>
      <c r="DG233" s="79"/>
      <c r="DH233" s="79"/>
      <c r="DI233" s="79"/>
      <c r="DJ233" s="79"/>
      <c r="DK233" s="79"/>
      <c r="DL233" s="79"/>
      <c r="DM233" s="79"/>
      <c r="DN233" s="79"/>
      <c r="DO233" s="79"/>
      <c r="DP233" s="79"/>
      <c r="DQ233" s="79"/>
      <c r="DR233" s="79"/>
      <c r="DS233" s="79"/>
      <c r="DT233" s="79"/>
      <c r="DU233" s="79"/>
      <c r="DV233" s="79"/>
      <c r="DW233" s="79"/>
      <c r="DX233" s="79"/>
      <c r="DY233" s="79"/>
      <c r="DZ233" s="79"/>
      <c r="EA233" s="79"/>
      <c r="EB233" s="79"/>
      <c r="EC233" s="79"/>
      <c r="ED233" s="79"/>
      <c r="EE233" s="79"/>
      <c r="EF233" s="79"/>
      <c r="EG233" s="79"/>
      <c r="EH233" s="79"/>
      <c r="EI233" s="79"/>
      <c r="EJ233" s="79"/>
      <c r="EK233" s="79"/>
      <c r="EL233" s="79"/>
    </row>
    <row r="234" spans="1:142" s="78" customFormat="1">
      <c r="A234" s="79"/>
      <c r="B234" s="1289" t="s">
        <v>547</v>
      </c>
      <c r="C234" s="1247">
        <f>SrDebt!C111</f>
        <v>40271.353865997226</v>
      </c>
      <c r="D234" s="1249">
        <f>SrDebt!C117</f>
        <v>0</v>
      </c>
      <c r="E234" s="1459">
        <f>SUM(C234:D234)</f>
        <v>40271.353865997226</v>
      </c>
      <c r="F234" s="1248"/>
      <c r="G234" s="1453"/>
      <c r="H234" s="79"/>
      <c r="I234" s="79"/>
      <c r="J234" s="79"/>
      <c r="K234" s="79"/>
      <c r="L234" s="79"/>
      <c r="M234" s="79"/>
      <c r="N234" s="79"/>
      <c r="O234" s="79"/>
      <c r="P234" s="79"/>
      <c r="Q234" s="79"/>
      <c r="R234" s="79"/>
      <c r="S234" s="79"/>
      <c r="T234" s="79"/>
      <c r="U234" s="79"/>
      <c r="V234" s="79"/>
      <c r="W234" s="79"/>
      <c r="X234" s="79"/>
      <c r="Y234" s="79"/>
      <c r="Z234" s="79"/>
      <c r="AA234" s="79"/>
      <c r="AB234" s="79"/>
      <c r="AC234" s="7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c r="BD234" s="79"/>
      <c r="BE234" s="79"/>
      <c r="BF234" s="79"/>
      <c r="BG234" s="79"/>
      <c r="BH234" s="79"/>
      <c r="BI234" s="79"/>
      <c r="BJ234" s="79"/>
      <c r="BK234" s="79"/>
      <c r="BL234" s="79"/>
      <c r="BM234" s="79"/>
      <c r="BN234" s="79"/>
      <c r="BO234" s="79"/>
      <c r="BP234" s="79"/>
      <c r="BQ234" s="79"/>
      <c r="BR234" s="79"/>
      <c r="BS234" s="79"/>
      <c r="BT234" s="79"/>
      <c r="BU234" s="79"/>
      <c r="BV234" s="79"/>
      <c r="BW234" s="79"/>
      <c r="BX234" s="79"/>
      <c r="BY234" s="79"/>
      <c r="BZ234" s="79"/>
      <c r="CA234" s="79"/>
      <c r="CB234" s="79"/>
      <c r="CC234" s="79"/>
      <c r="CD234" s="79"/>
      <c r="CE234" s="79"/>
      <c r="CF234" s="79"/>
      <c r="CG234" s="79"/>
      <c r="CH234" s="79"/>
      <c r="CI234" s="79"/>
      <c r="CJ234" s="79"/>
      <c r="CK234" s="79"/>
      <c r="CL234" s="79"/>
      <c r="CM234" s="79"/>
      <c r="CN234" s="79"/>
      <c r="CO234" s="79"/>
      <c r="CP234" s="79"/>
      <c r="CQ234" s="79"/>
      <c r="CR234" s="79"/>
      <c r="CS234" s="79"/>
      <c r="CT234" s="79"/>
      <c r="CU234" s="79"/>
      <c r="CV234" s="79"/>
      <c r="CW234" s="79"/>
      <c r="CX234" s="79"/>
      <c r="CY234" s="79"/>
      <c r="CZ234" s="79"/>
      <c r="DA234" s="79"/>
      <c r="DB234" s="79"/>
      <c r="DC234" s="79"/>
      <c r="DD234" s="79"/>
      <c r="DE234" s="79"/>
      <c r="DF234" s="79"/>
      <c r="DG234" s="79"/>
      <c r="DH234" s="79"/>
      <c r="DI234" s="79"/>
      <c r="DJ234" s="79"/>
      <c r="DK234" s="79"/>
      <c r="DL234" s="79"/>
      <c r="DM234" s="79"/>
      <c r="DN234" s="79"/>
      <c r="DO234" s="79"/>
      <c r="DP234" s="79"/>
      <c r="DQ234" s="79"/>
      <c r="DR234" s="79"/>
      <c r="DS234" s="79"/>
      <c r="DT234" s="79"/>
      <c r="DU234" s="79"/>
      <c r="DV234" s="79"/>
      <c r="DW234" s="79"/>
      <c r="DX234" s="79"/>
      <c r="DY234" s="79"/>
      <c r="DZ234" s="79"/>
      <c r="EA234" s="79"/>
      <c r="EB234" s="79"/>
      <c r="EC234" s="79"/>
      <c r="ED234" s="79"/>
      <c r="EE234" s="79"/>
      <c r="EF234" s="79"/>
      <c r="EG234" s="79"/>
      <c r="EH234" s="79"/>
      <c r="EI234" s="79"/>
      <c r="EJ234" s="79"/>
      <c r="EK234" s="79"/>
      <c r="EL234" s="79"/>
    </row>
    <row r="235" spans="1:142" s="78" customFormat="1">
      <c r="A235" s="79"/>
      <c r="B235" s="1289" t="s">
        <v>85</v>
      </c>
      <c r="C235" s="1442">
        <f>SrDebt!G21</f>
        <v>18</v>
      </c>
      <c r="D235" s="1442">
        <f>SrDebt!G66</f>
        <v>0</v>
      </c>
      <c r="E235" s="1248"/>
      <c r="F235" s="1248"/>
      <c r="G235" s="1453"/>
      <c r="H235" s="79"/>
      <c r="I235" s="79"/>
      <c r="J235" s="79"/>
      <c r="K235" s="79"/>
      <c r="L235" s="79"/>
      <c r="M235" s="79"/>
      <c r="N235" s="79"/>
      <c r="O235" s="79"/>
      <c r="P235" s="79"/>
      <c r="Q235" s="79"/>
      <c r="R235" s="79"/>
      <c r="S235" s="79"/>
      <c r="T235" s="79"/>
      <c r="U235" s="79"/>
      <c r="V235" s="79"/>
      <c r="W235" s="79"/>
      <c r="X235" s="79"/>
      <c r="Y235" s="79"/>
      <c r="Z235" s="79"/>
      <c r="AA235" s="79"/>
      <c r="AB235" s="79"/>
      <c r="AC235" s="7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c r="BD235" s="79"/>
      <c r="BE235" s="79"/>
      <c r="BF235" s="79"/>
      <c r="BG235" s="79"/>
      <c r="BH235" s="79"/>
      <c r="BI235" s="79"/>
      <c r="BJ235" s="79"/>
      <c r="BK235" s="79"/>
      <c r="BL235" s="79"/>
      <c r="BM235" s="79"/>
      <c r="BN235" s="79"/>
      <c r="BO235" s="79"/>
      <c r="BP235" s="79"/>
      <c r="BQ235" s="79"/>
      <c r="BR235" s="79"/>
      <c r="BS235" s="79"/>
      <c r="BT235" s="79"/>
      <c r="BU235" s="79"/>
      <c r="BV235" s="79"/>
      <c r="BW235" s="79"/>
      <c r="BX235" s="79"/>
      <c r="BY235" s="79"/>
      <c r="BZ235" s="79"/>
      <c r="CA235" s="79"/>
      <c r="CB235" s="79"/>
      <c r="CC235" s="79"/>
      <c r="CD235" s="79"/>
      <c r="CE235" s="79"/>
      <c r="CF235" s="79"/>
      <c r="CG235" s="79"/>
      <c r="CH235" s="79"/>
      <c r="CI235" s="79"/>
      <c r="CJ235" s="79"/>
      <c r="CK235" s="79"/>
      <c r="CL235" s="79"/>
      <c r="CM235" s="79"/>
      <c r="CN235" s="79"/>
      <c r="CO235" s="79"/>
      <c r="CP235" s="79"/>
      <c r="CQ235" s="79"/>
      <c r="CR235" s="79"/>
      <c r="CS235" s="79"/>
      <c r="CT235" s="79"/>
      <c r="CU235" s="79"/>
      <c r="CV235" s="79"/>
      <c r="CW235" s="79"/>
      <c r="CX235" s="79"/>
      <c r="CY235" s="79"/>
      <c r="CZ235" s="79"/>
      <c r="DA235" s="79"/>
      <c r="DB235" s="79"/>
      <c r="DC235" s="79"/>
      <c r="DD235" s="79"/>
      <c r="DE235" s="79"/>
      <c r="DF235" s="79"/>
      <c r="DG235" s="79"/>
      <c r="DH235" s="79"/>
      <c r="DI235" s="79"/>
      <c r="DJ235" s="79"/>
      <c r="DK235" s="79"/>
      <c r="DL235" s="79"/>
      <c r="DM235" s="79"/>
      <c r="DN235" s="79"/>
      <c r="DO235" s="79"/>
      <c r="DP235" s="79"/>
      <c r="DQ235" s="79"/>
      <c r="DR235" s="79"/>
      <c r="DS235" s="79"/>
      <c r="DT235" s="79"/>
      <c r="DU235" s="79"/>
      <c r="DV235" s="79"/>
      <c r="DW235" s="79"/>
      <c r="DX235" s="79"/>
      <c r="DY235" s="79"/>
      <c r="DZ235" s="79"/>
      <c r="EA235" s="79"/>
      <c r="EB235" s="79"/>
      <c r="EC235" s="79"/>
      <c r="ED235" s="79"/>
      <c r="EE235" s="79"/>
      <c r="EF235" s="79"/>
      <c r="EG235" s="79"/>
      <c r="EH235" s="79"/>
      <c r="EI235" s="79"/>
      <c r="EJ235" s="79"/>
      <c r="EK235" s="79"/>
      <c r="EL235" s="79"/>
    </row>
    <row r="236" spans="1:142" s="78" customFormat="1">
      <c r="A236" s="79"/>
      <c r="B236" s="1289" t="s">
        <v>84</v>
      </c>
      <c r="C236" s="1446">
        <f>HLOOKUP($E$242,SR_COVRATIO,3)</f>
        <v>1.7814762585292059</v>
      </c>
      <c r="D236" s="1446" t="str">
        <f>HLOOKUP($E$261,SR_COVRATIO_B,3)</f>
        <v xml:space="preserve"> </v>
      </c>
      <c r="E236" s="1248"/>
      <c r="F236" s="1248"/>
      <c r="G236" s="1453"/>
      <c r="H236" s="79"/>
      <c r="I236" s="79"/>
      <c r="J236" s="79"/>
      <c r="K236" s="79"/>
      <c r="L236" s="79"/>
      <c r="M236" s="79"/>
      <c r="N236" s="79"/>
      <c r="O236" s="79"/>
      <c r="P236" s="79"/>
      <c r="Q236" s="79"/>
      <c r="R236" s="79"/>
      <c r="S236" s="79"/>
      <c r="T236" s="79"/>
      <c r="U236" s="79"/>
      <c r="V236" s="79"/>
      <c r="W236" s="79"/>
      <c r="X236" s="79"/>
      <c r="Y236" s="79"/>
      <c r="Z236" s="79"/>
      <c r="AA236" s="79"/>
      <c r="AB236" s="79"/>
      <c r="AC236" s="7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c r="BD236" s="79"/>
      <c r="BE236" s="79"/>
      <c r="BF236" s="79"/>
      <c r="BG236" s="79"/>
      <c r="BH236" s="79"/>
      <c r="BI236" s="79"/>
      <c r="BJ236" s="79"/>
      <c r="BK236" s="79"/>
      <c r="BL236" s="79"/>
      <c r="BM236" s="79"/>
      <c r="BN236" s="79"/>
      <c r="BO236" s="79"/>
      <c r="BP236" s="79"/>
      <c r="BQ236" s="79"/>
      <c r="BR236" s="79"/>
      <c r="BS236" s="79"/>
      <c r="BT236" s="79"/>
      <c r="BU236" s="79"/>
      <c r="BV236" s="79"/>
      <c r="BW236" s="79"/>
      <c r="BX236" s="79"/>
      <c r="BY236" s="79"/>
      <c r="BZ236" s="79"/>
      <c r="CA236" s="79"/>
      <c r="CB236" s="79"/>
      <c r="CC236" s="79"/>
      <c r="CD236" s="79"/>
      <c r="CE236" s="79"/>
      <c r="CF236" s="79"/>
      <c r="CG236" s="79"/>
      <c r="CH236" s="79"/>
      <c r="CI236" s="79"/>
      <c r="CJ236" s="79"/>
      <c r="CK236" s="79"/>
      <c r="CL236" s="79"/>
      <c r="CM236" s="79"/>
      <c r="CN236" s="79"/>
      <c r="CO236" s="79"/>
      <c r="CP236" s="79"/>
      <c r="CQ236" s="79"/>
      <c r="CR236" s="79"/>
      <c r="CS236" s="79"/>
      <c r="CT236" s="79"/>
      <c r="CU236" s="79"/>
      <c r="CV236" s="79"/>
      <c r="CW236" s="79"/>
      <c r="CX236" s="79"/>
      <c r="CY236" s="79"/>
      <c r="CZ236" s="79"/>
      <c r="DA236" s="79"/>
      <c r="DB236" s="79"/>
      <c r="DC236" s="79"/>
      <c r="DD236" s="79"/>
      <c r="DE236" s="79"/>
      <c r="DF236" s="79"/>
      <c r="DG236" s="79"/>
      <c r="DH236" s="79"/>
      <c r="DI236" s="79"/>
      <c r="DJ236" s="79"/>
      <c r="DK236" s="79"/>
      <c r="DL236" s="79"/>
      <c r="DM236" s="79"/>
      <c r="DN236" s="79"/>
      <c r="DO236" s="79"/>
      <c r="DP236" s="79"/>
      <c r="DQ236" s="79"/>
      <c r="DR236" s="79"/>
      <c r="DS236" s="79"/>
      <c r="DT236" s="79"/>
      <c r="DU236" s="79"/>
      <c r="DV236" s="79"/>
      <c r="DW236" s="79"/>
      <c r="DX236" s="79"/>
      <c r="DY236" s="79"/>
      <c r="DZ236" s="79"/>
      <c r="EA236" s="79"/>
      <c r="EB236" s="79"/>
      <c r="EC236" s="79"/>
      <c r="ED236" s="79"/>
      <c r="EE236" s="79"/>
      <c r="EF236" s="79"/>
      <c r="EG236" s="79"/>
      <c r="EH236" s="79"/>
      <c r="EI236" s="79"/>
      <c r="EJ236" s="79"/>
      <c r="EK236" s="79"/>
      <c r="EL236" s="79"/>
    </row>
    <row r="237" spans="1:142" s="78" customFormat="1">
      <c r="A237" s="79"/>
      <c r="B237" s="1289" t="s">
        <v>767</v>
      </c>
      <c r="C237" s="1446" t="str">
        <f>HLOOKUP($E$242+1,SR_COVRATIO,3)</f>
        <v xml:space="preserve"> </v>
      </c>
      <c r="D237" s="1446" t="str">
        <f>HLOOKUP($E$261+1,SR_COVRATIO_B,3)</f>
        <v xml:space="preserve"> </v>
      </c>
      <c r="E237" s="1447" t="s">
        <v>13</v>
      </c>
      <c r="F237" s="1447" t="s">
        <v>244</v>
      </c>
      <c r="G237" s="1452"/>
      <c r="H237" s="79"/>
      <c r="I237" s="79"/>
      <c r="J237" s="79"/>
      <c r="K237" s="79"/>
      <c r="L237" s="79"/>
      <c r="M237" s="79"/>
      <c r="N237" s="79"/>
      <c r="O237" s="79"/>
      <c r="P237" s="79"/>
      <c r="Q237" s="79"/>
      <c r="R237" s="79"/>
      <c r="S237" s="79"/>
      <c r="T237" s="79"/>
      <c r="U237" s="79"/>
      <c r="V237" s="79"/>
      <c r="W237" s="79"/>
      <c r="X237" s="79"/>
      <c r="Y237" s="79"/>
      <c r="Z237" s="79"/>
      <c r="AA237" s="79"/>
      <c r="AB237" s="79"/>
      <c r="AC237" s="7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c r="BD237" s="79"/>
      <c r="BE237" s="79"/>
      <c r="BF237" s="79"/>
      <c r="BG237" s="79"/>
      <c r="BH237" s="79"/>
      <c r="BI237" s="79"/>
      <c r="BJ237" s="79"/>
      <c r="BK237" s="79"/>
      <c r="BL237" s="79"/>
      <c r="BM237" s="79"/>
      <c r="BN237" s="79"/>
      <c r="BO237" s="79"/>
      <c r="BP237" s="79"/>
      <c r="BQ237" s="79"/>
      <c r="BR237" s="79"/>
      <c r="BS237" s="79"/>
      <c r="BT237" s="79"/>
      <c r="BU237" s="79"/>
      <c r="BV237" s="79"/>
      <c r="BW237" s="79"/>
      <c r="BX237" s="79"/>
      <c r="BY237" s="79"/>
      <c r="BZ237" s="79"/>
      <c r="CA237" s="79"/>
      <c r="CB237" s="79"/>
      <c r="CC237" s="79"/>
      <c r="CD237" s="79"/>
      <c r="CE237" s="79"/>
      <c r="CF237" s="79"/>
      <c r="CG237" s="79"/>
      <c r="CH237" s="79"/>
      <c r="CI237" s="79"/>
      <c r="CJ237" s="79"/>
      <c r="CK237" s="79"/>
      <c r="CL237" s="79"/>
      <c r="CM237" s="79"/>
      <c r="CN237" s="79"/>
      <c r="CO237" s="79"/>
      <c r="CP237" s="79"/>
      <c r="CQ237" s="79"/>
      <c r="CR237" s="79"/>
      <c r="CS237" s="79"/>
      <c r="CT237" s="79"/>
      <c r="CU237" s="79"/>
      <c r="CV237" s="79"/>
      <c r="CW237" s="79"/>
      <c r="CX237" s="79"/>
      <c r="CY237" s="79"/>
      <c r="CZ237" s="79"/>
      <c r="DA237" s="79"/>
      <c r="DB237" s="79"/>
      <c r="DC237" s="79"/>
      <c r="DD237" s="79"/>
      <c r="DE237" s="79"/>
      <c r="DF237" s="79"/>
      <c r="DG237" s="79"/>
      <c r="DH237" s="79"/>
      <c r="DI237" s="79"/>
      <c r="DJ237" s="79"/>
      <c r="DK237" s="79"/>
      <c r="DL237" s="79"/>
      <c r="DM237" s="79"/>
      <c r="DN237" s="79"/>
      <c r="DO237" s="79"/>
      <c r="DP237" s="79"/>
      <c r="DQ237" s="79"/>
      <c r="DR237" s="79"/>
      <c r="DS237" s="79"/>
      <c r="DT237" s="79"/>
      <c r="DU237" s="79"/>
      <c r="DV237" s="79"/>
      <c r="DW237" s="79"/>
      <c r="DX237" s="79"/>
      <c r="DY237" s="79"/>
      <c r="DZ237" s="79"/>
      <c r="EA237" s="79"/>
      <c r="EB237" s="79"/>
      <c r="EC237" s="79"/>
      <c r="ED237" s="79"/>
      <c r="EE237" s="79"/>
      <c r="EF237" s="79"/>
      <c r="EG237" s="79"/>
      <c r="EH237" s="79"/>
      <c r="EI237" s="79"/>
      <c r="EJ237" s="79"/>
      <c r="EK237" s="79"/>
      <c r="EL237" s="79"/>
    </row>
    <row r="238" spans="1:142" s="78" customFormat="1">
      <c r="A238" s="89"/>
      <c r="B238" s="1289" t="s">
        <v>69</v>
      </c>
      <c r="C238" s="1249">
        <f>E248</f>
        <v>2</v>
      </c>
      <c r="D238" s="1249">
        <f>E267</f>
        <v>2</v>
      </c>
      <c r="E238" s="1445">
        <f ca="1">Outside!D65</f>
        <v>0.12338958382606507</v>
      </c>
      <c r="F238" s="1444">
        <f ca="1">EWC!D65</f>
        <v>0.12338958382606507</v>
      </c>
      <c r="G238" s="1443" t="s">
        <v>793</v>
      </c>
      <c r="H238" s="77"/>
      <c r="I238" s="77"/>
      <c r="J238" s="77"/>
      <c r="K238" s="77"/>
      <c r="L238" s="77"/>
      <c r="M238" s="77"/>
      <c r="N238" s="77"/>
      <c r="O238" s="77"/>
      <c r="P238" s="77"/>
      <c r="Q238" s="77"/>
      <c r="R238" s="77"/>
      <c r="S238" s="77"/>
      <c r="T238" s="77"/>
      <c r="U238" s="77"/>
      <c r="V238" s="77"/>
      <c r="W238" s="77"/>
      <c r="X238" s="77"/>
      <c r="Y238" s="77"/>
      <c r="Z238" s="77"/>
      <c r="AA238" s="77"/>
      <c r="AB238" s="77"/>
      <c r="AC238" s="77"/>
      <c r="AD238" s="77"/>
      <c r="AE238" s="77"/>
      <c r="AF238" s="77"/>
      <c r="AG238" s="77"/>
      <c r="AH238" s="77"/>
      <c r="AI238" s="77"/>
      <c r="AJ238" s="77"/>
      <c r="AK238" s="77"/>
      <c r="AL238" s="77"/>
      <c r="AM238" s="77"/>
      <c r="AN238" s="77"/>
      <c r="AO238" s="77"/>
      <c r="AP238" s="77"/>
      <c r="AQ238" s="77"/>
      <c r="AR238" s="77"/>
      <c r="AS238" s="77"/>
      <c r="AT238" s="77"/>
      <c r="AU238" s="77"/>
      <c r="AV238" s="77"/>
      <c r="AW238" s="77"/>
      <c r="AX238" s="77"/>
      <c r="AY238" s="77"/>
      <c r="AZ238" s="77"/>
      <c r="BA238" s="77"/>
      <c r="BB238" s="77"/>
      <c r="BC238" s="77"/>
      <c r="BD238" s="77"/>
      <c r="BE238" s="77"/>
      <c r="BF238" s="77"/>
      <c r="BG238" s="77"/>
      <c r="BH238" s="77"/>
      <c r="BI238" s="77"/>
      <c r="BJ238" s="77"/>
      <c r="BK238" s="77"/>
      <c r="BL238" s="77"/>
      <c r="BM238" s="77"/>
      <c r="BN238" s="77"/>
      <c r="BO238" s="77"/>
      <c r="BP238" s="77"/>
      <c r="BQ238" s="77"/>
      <c r="BR238" s="77"/>
      <c r="BS238" s="77"/>
      <c r="BT238" s="77"/>
      <c r="BU238" s="77"/>
      <c r="BV238" s="77"/>
      <c r="BW238" s="77"/>
      <c r="BX238" s="77"/>
      <c r="BY238" s="77"/>
      <c r="BZ238" s="77"/>
      <c r="CA238" s="77"/>
      <c r="CB238" s="77"/>
      <c r="CC238" s="77"/>
      <c r="CD238" s="77"/>
      <c r="CE238" s="77"/>
      <c r="CF238" s="77"/>
      <c r="CG238" s="77"/>
      <c r="CH238" s="77"/>
      <c r="CI238" s="77"/>
      <c r="CJ238" s="77"/>
      <c r="CK238" s="77"/>
      <c r="CL238" s="77"/>
      <c r="CM238" s="77"/>
      <c r="CN238" s="77"/>
      <c r="CO238" s="77"/>
      <c r="CP238" s="77"/>
      <c r="CQ238" s="77"/>
      <c r="CR238" s="77"/>
      <c r="CS238" s="77"/>
      <c r="CT238" s="77"/>
      <c r="CU238" s="77"/>
      <c r="CV238" s="77"/>
      <c r="CW238" s="77"/>
      <c r="CX238" s="77"/>
      <c r="CY238" s="77"/>
      <c r="CZ238" s="77"/>
      <c r="DA238" s="77"/>
      <c r="DB238" s="77"/>
      <c r="DC238" s="77"/>
      <c r="DD238" s="77"/>
      <c r="DE238" s="77"/>
      <c r="DF238" s="77"/>
      <c r="DG238" s="77"/>
      <c r="DH238" s="77"/>
      <c r="DI238" s="77"/>
      <c r="DJ238" s="77"/>
      <c r="DK238" s="77"/>
      <c r="DL238" s="77"/>
      <c r="DM238" s="77"/>
      <c r="DN238" s="77"/>
      <c r="DO238" s="77"/>
      <c r="DP238" s="77"/>
      <c r="DQ238" s="77"/>
      <c r="DR238" s="77"/>
      <c r="DS238" s="77"/>
      <c r="DT238" s="77"/>
      <c r="DU238" s="77"/>
      <c r="DV238" s="77"/>
      <c r="DW238" s="77"/>
      <c r="DX238" s="77"/>
      <c r="DY238" s="77"/>
      <c r="DZ238" s="77"/>
      <c r="EA238" s="77"/>
      <c r="EB238" s="77"/>
      <c r="EC238" s="77"/>
      <c r="ED238" s="77"/>
      <c r="EE238" s="77"/>
      <c r="EF238" s="77"/>
      <c r="EG238" s="77"/>
      <c r="EH238" s="77"/>
      <c r="EI238" s="77"/>
      <c r="EJ238" s="77"/>
      <c r="EK238" s="77"/>
      <c r="EL238" s="77"/>
    </row>
    <row r="239" spans="1:142" s="78" customFormat="1" ht="13.5" thickBot="1">
      <c r="A239" s="89"/>
      <c r="B239" s="1454"/>
      <c r="C239" s="1455"/>
      <c r="D239" s="1455"/>
      <c r="E239" s="1456">
        <f ca="1">Outside!D66</f>
        <v>0.12499999403953552</v>
      </c>
      <c r="F239" s="1457">
        <f ca="1">EWC!D66</f>
        <v>0.12499999403953552</v>
      </c>
      <c r="G239" s="1458" t="s">
        <v>795</v>
      </c>
      <c r="H239" s="103"/>
      <c r="I239" s="77"/>
      <c r="J239" s="77"/>
      <c r="K239" s="77"/>
      <c r="L239" s="77"/>
      <c r="M239" s="77"/>
      <c r="N239" s="77"/>
      <c r="O239" s="77"/>
      <c r="P239" s="77"/>
      <c r="Q239" s="77"/>
      <c r="R239" s="77"/>
      <c r="S239" s="77"/>
      <c r="T239" s="77"/>
      <c r="U239" s="77"/>
      <c r="V239" s="77"/>
      <c r="W239" s="77"/>
      <c r="X239" s="77"/>
      <c r="Y239" s="77"/>
      <c r="Z239" s="77"/>
      <c r="AA239" s="77"/>
      <c r="AB239" s="77"/>
      <c r="AC239" s="77"/>
      <c r="AD239" s="77"/>
      <c r="AE239" s="77"/>
      <c r="AF239" s="77"/>
      <c r="AG239" s="77"/>
      <c r="AH239" s="77"/>
      <c r="AI239" s="77"/>
      <c r="AJ239" s="77"/>
      <c r="AK239" s="77"/>
      <c r="AL239" s="77"/>
      <c r="AM239" s="77"/>
      <c r="AN239" s="77"/>
      <c r="AO239" s="77"/>
      <c r="AP239" s="77"/>
      <c r="AQ239" s="77"/>
      <c r="AR239" s="77"/>
      <c r="AS239" s="77"/>
      <c r="AT239" s="77"/>
      <c r="AU239" s="77"/>
      <c r="AV239" s="77"/>
      <c r="AW239" s="77"/>
      <c r="AX239" s="77"/>
      <c r="AY239" s="77"/>
      <c r="AZ239" s="77"/>
      <c r="BA239" s="77"/>
      <c r="BB239" s="77"/>
      <c r="BC239" s="77"/>
      <c r="BD239" s="77"/>
      <c r="BE239" s="77"/>
      <c r="BF239" s="77"/>
      <c r="BG239" s="77"/>
      <c r="BH239" s="77"/>
      <c r="BI239" s="77"/>
      <c r="BJ239" s="77"/>
      <c r="BK239" s="77"/>
      <c r="BL239" s="77"/>
      <c r="BM239" s="77"/>
      <c r="BN239" s="77"/>
      <c r="BO239" s="77"/>
      <c r="BP239" s="77"/>
      <c r="BQ239" s="77"/>
      <c r="BR239" s="77"/>
      <c r="BS239" s="77"/>
      <c r="BT239" s="77"/>
      <c r="BU239" s="77"/>
      <c r="BV239" s="77"/>
      <c r="BW239" s="77"/>
      <c r="BX239" s="77"/>
      <c r="BY239" s="77"/>
      <c r="BZ239" s="77"/>
      <c r="CA239" s="77"/>
      <c r="CB239" s="77"/>
      <c r="CC239" s="77"/>
      <c r="CD239" s="77"/>
      <c r="CE239" s="77"/>
      <c r="CF239" s="77"/>
      <c r="CG239" s="77"/>
      <c r="CH239" s="77"/>
      <c r="CI239" s="77"/>
      <c r="CJ239" s="77"/>
      <c r="CK239" s="77"/>
      <c r="CL239" s="77"/>
      <c r="CM239" s="77"/>
      <c r="CN239" s="77"/>
      <c r="CO239" s="77"/>
      <c r="CP239" s="77"/>
      <c r="CQ239" s="77"/>
      <c r="CR239" s="77"/>
      <c r="CS239" s="77"/>
      <c r="CT239" s="77"/>
      <c r="CU239" s="77"/>
      <c r="CV239" s="77"/>
      <c r="CW239" s="77"/>
      <c r="CX239" s="77"/>
      <c r="CY239" s="77"/>
      <c r="CZ239" s="77"/>
      <c r="DA239" s="77"/>
      <c r="DB239" s="77"/>
      <c r="DC239" s="77"/>
      <c r="DD239" s="77"/>
      <c r="DE239" s="77"/>
      <c r="DF239" s="77"/>
      <c r="DG239" s="77"/>
      <c r="DH239" s="77"/>
      <c r="DI239" s="77"/>
      <c r="DJ239" s="77"/>
      <c r="DK239" s="77"/>
      <c r="DL239" s="77"/>
      <c r="DM239" s="77"/>
      <c r="DN239" s="77"/>
      <c r="DO239" s="77"/>
      <c r="DP239" s="77"/>
      <c r="DQ239" s="77"/>
      <c r="DR239" s="77"/>
      <c r="DS239" s="77"/>
      <c r="DT239" s="77"/>
      <c r="DU239" s="77"/>
      <c r="DV239" s="77"/>
      <c r="DW239" s="77"/>
      <c r="DX239" s="77"/>
      <c r="DY239" s="77"/>
      <c r="DZ239" s="77"/>
      <c r="EA239" s="77"/>
      <c r="EB239" s="77"/>
      <c r="EC239" s="77"/>
      <c r="ED239" s="77"/>
      <c r="EE239" s="77"/>
      <c r="EF239" s="77"/>
      <c r="EG239" s="77"/>
      <c r="EH239" s="77"/>
      <c r="EI239" s="77"/>
      <c r="EJ239" s="77"/>
      <c r="EK239" s="77"/>
      <c r="EL239" s="77"/>
    </row>
    <row r="240" spans="1:142" s="78" customFormat="1" ht="13.5" thickBot="1">
      <c r="A240" s="89"/>
      <c r="B240" s="217"/>
      <c r="C240" s="217"/>
      <c r="D240" s="217"/>
      <c r="E240" s="218"/>
      <c r="F240" s="79"/>
      <c r="G240" s="135"/>
      <c r="H240" s="103"/>
      <c r="I240" s="77"/>
      <c r="J240" s="77"/>
      <c r="K240" s="77"/>
      <c r="L240" s="77"/>
      <c r="M240" s="77"/>
      <c r="N240" s="77"/>
      <c r="O240" s="77"/>
      <c r="P240" s="77"/>
      <c r="Q240" s="77"/>
      <c r="R240" s="77"/>
      <c r="S240" s="77"/>
      <c r="T240" s="77"/>
      <c r="U240" s="77"/>
      <c r="V240" s="77"/>
      <c r="W240" s="77"/>
      <c r="X240" s="77"/>
      <c r="Y240" s="77"/>
      <c r="Z240" s="77"/>
      <c r="AA240" s="77"/>
      <c r="AB240" s="77"/>
      <c r="AC240" s="77"/>
      <c r="AD240" s="77"/>
      <c r="AE240" s="77"/>
      <c r="AF240" s="77"/>
      <c r="AG240" s="77"/>
      <c r="AH240" s="77"/>
      <c r="AI240" s="77"/>
      <c r="AJ240" s="77"/>
      <c r="AK240" s="77"/>
      <c r="AL240" s="77"/>
      <c r="AM240" s="77"/>
      <c r="AN240" s="77"/>
      <c r="AO240" s="77"/>
      <c r="AP240" s="77"/>
      <c r="AQ240" s="77"/>
      <c r="AR240" s="77"/>
      <c r="AS240" s="77"/>
      <c r="AT240" s="77"/>
      <c r="AU240" s="77"/>
      <c r="AV240" s="77"/>
      <c r="AW240" s="77"/>
      <c r="AX240" s="77"/>
      <c r="AY240" s="77"/>
      <c r="AZ240" s="77"/>
      <c r="BA240" s="77"/>
      <c r="BB240" s="77"/>
      <c r="BC240" s="77"/>
      <c r="BD240" s="77"/>
      <c r="BE240" s="77"/>
      <c r="BF240" s="77"/>
      <c r="BG240" s="77"/>
      <c r="BH240" s="77"/>
      <c r="BI240" s="77"/>
      <c r="BJ240" s="77"/>
      <c r="BK240" s="77"/>
      <c r="BL240" s="77"/>
      <c r="BM240" s="77"/>
      <c r="BN240" s="77"/>
      <c r="BO240" s="77"/>
      <c r="BP240" s="77"/>
      <c r="BQ240" s="77"/>
      <c r="BR240" s="77"/>
      <c r="BS240" s="77"/>
      <c r="BT240" s="77"/>
      <c r="BU240" s="77"/>
      <c r="BV240" s="77"/>
      <c r="BW240" s="77"/>
      <c r="BX240" s="77"/>
      <c r="BY240" s="77"/>
      <c r="BZ240" s="77"/>
      <c r="CA240" s="77"/>
      <c r="CB240" s="77"/>
      <c r="CC240" s="77"/>
      <c r="CD240" s="77"/>
      <c r="CE240" s="77"/>
      <c r="CF240" s="77"/>
      <c r="CG240" s="77"/>
      <c r="CH240" s="77"/>
      <c r="CI240" s="77"/>
      <c r="CJ240" s="77"/>
      <c r="CK240" s="77"/>
      <c r="CL240" s="77"/>
      <c r="CM240" s="77"/>
      <c r="CN240" s="77"/>
      <c r="CO240" s="77"/>
      <c r="CP240" s="77"/>
      <c r="CQ240" s="77"/>
      <c r="CR240" s="77"/>
      <c r="CS240" s="77"/>
      <c r="CT240" s="77"/>
      <c r="CU240" s="77"/>
      <c r="CV240" s="77"/>
      <c r="CW240" s="77"/>
      <c r="CX240" s="77"/>
      <c r="CY240" s="77"/>
      <c r="CZ240" s="77"/>
      <c r="DA240" s="77"/>
      <c r="DB240" s="77"/>
      <c r="DC240" s="77"/>
      <c r="DD240" s="77"/>
      <c r="DE240" s="77"/>
      <c r="DF240" s="77"/>
      <c r="DG240" s="77"/>
      <c r="DH240" s="77"/>
      <c r="DI240" s="77"/>
      <c r="DJ240" s="77"/>
      <c r="DK240" s="77"/>
      <c r="DL240" s="77"/>
      <c r="DM240" s="77"/>
      <c r="DN240" s="77"/>
      <c r="DO240" s="77"/>
      <c r="DP240" s="77"/>
      <c r="DQ240" s="77"/>
      <c r="DR240" s="77"/>
      <c r="DS240" s="77"/>
      <c r="DT240" s="77"/>
      <c r="DU240" s="77"/>
      <c r="DV240" s="77"/>
      <c r="DW240" s="77"/>
      <c r="DX240" s="77"/>
      <c r="DY240" s="77"/>
      <c r="DZ240" s="77"/>
      <c r="EA240" s="77"/>
      <c r="EB240" s="77"/>
      <c r="EC240" s="77"/>
      <c r="ED240" s="77"/>
      <c r="EE240" s="77"/>
      <c r="EF240" s="77"/>
      <c r="EG240" s="77"/>
      <c r="EH240" s="77"/>
      <c r="EI240" s="77"/>
      <c r="EJ240" s="77"/>
      <c r="EK240" s="77"/>
      <c r="EL240" s="77"/>
    </row>
    <row r="241" spans="1:142" s="78" customFormat="1" ht="13.5" thickBot="1">
      <c r="A241" s="89"/>
      <c r="B241" s="1408" t="s">
        <v>749</v>
      </c>
      <c r="C241" s="78" t="s">
        <v>883</v>
      </c>
      <c r="F241" s="79"/>
      <c r="G241" s="135"/>
      <c r="H241" s="103"/>
      <c r="I241" s="77"/>
      <c r="J241" s="77"/>
      <c r="K241" s="77"/>
      <c r="L241" s="77"/>
      <c r="M241" s="77"/>
      <c r="N241" s="77"/>
      <c r="O241" s="77"/>
      <c r="P241" s="77"/>
      <c r="Q241" s="77"/>
      <c r="R241" s="77"/>
      <c r="S241" s="77"/>
      <c r="T241" s="77"/>
      <c r="U241" s="77"/>
      <c r="V241" s="77"/>
      <c r="W241" s="77"/>
      <c r="X241" s="77"/>
      <c r="Y241" s="77"/>
      <c r="Z241" s="77"/>
      <c r="AA241" s="77"/>
      <c r="AB241" s="77"/>
      <c r="AC241" s="77"/>
      <c r="AD241" s="77"/>
      <c r="AE241" s="77"/>
      <c r="AF241" s="77"/>
      <c r="AG241" s="77"/>
      <c r="AH241" s="77"/>
      <c r="AI241" s="77"/>
      <c r="AJ241" s="77"/>
      <c r="AK241" s="77"/>
      <c r="AL241" s="77"/>
      <c r="AM241" s="77"/>
      <c r="AN241" s="77"/>
      <c r="AO241" s="77"/>
      <c r="AP241" s="77"/>
      <c r="AQ241" s="77"/>
      <c r="AR241" s="77"/>
      <c r="AS241" s="77"/>
      <c r="AT241" s="77"/>
      <c r="AU241" s="77"/>
      <c r="AV241" s="77"/>
      <c r="AW241" s="77"/>
      <c r="AX241" s="77"/>
      <c r="AY241" s="77"/>
      <c r="AZ241" s="77"/>
      <c r="BA241" s="77"/>
      <c r="BB241" s="77"/>
      <c r="BC241" s="77"/>
      <c r="BD241" s="77"/>
      <c r="BE241" s="77"/>
      <c r="BF241" s="77"/>
      <c r="BG241" s="77"/>
      <c r="BH241" s="77"/>
      <c r="BI241" s="77"/>
      <c r="BJ241" s="77"/>
      <c r="BK241" s="77"/>
      <c r="BL241" s="77"/>
      <c r="BM241" s="77"/>
      <c r="BN241" s="77"/>
      <c r="BO241" s="77"/>
      <c r="BP241" s="77"/>
      <c r="BQ241" s="77"/>
      <c r="BR241" s="77"/>
      <c r="BS241" s="77"/>
      <c r="BT241" s="77"/>
      <c r="BU241" s="77"/>
      <c r="BV241" s="77"/>
      <c r="BW241" s="77"/>
      <c r="BX241" s="77"/>
      <c r="BY241" s="77"/>
      <c r="BZ241" s="77"/>
      <c r="CA241" s="77"/>
      <c r="CB241" s="77"/>
      <c r="CC241" s="77"/>
      <c r="CD241" s="77"/>
      <c r="CE241" s="77"/>
      <c r="CF241" s="77"/>
      <c r="CG241" s="77"/>
      <c r="CH241" s="77"/>
      <c r="CI241" s="77"/>
      <c r="CJ241" s="77"/>
      <c r="CK241" s="77"/>
      <c r="CL241" s="77"/>
      <c r="CM241" s="77"/>
      <c r="CN241" s="77"/>
      <c r="CO241" s="77"/>
      <c r="CP241" s="77"/>
      <c r="CQ241" s="77"/>
      <c r="CR241" s="77"/>
      <c r="CS241" s="77"/>
      <c r="CT241" s="77"/>
      <c r="CU241" s="77"/>
      <c r="CV241" s="77"/>
      <c r="CW241" s="77"/>
      <c r="CX241" s="77"/>
      <c r="CY241" s="77"/>
      <c r="CZ241" s="77"/>
      <c r="DA241" s="77"/>
      <c r="DB241" s="77"/>
      <c r="DC241" s="77"/>
      <c r="DD241" s="77"/>
      <c r="DE241" s="77"/>
      <c r="DF241" s="77"/>
      <c r="DG241" s="77"/>
      <c r="DH241" s="77"/>
      <c r="DI241" s="77"/>
      <c r="DJ241" s="77"/>
      <c r="DK241" s="77"/>
      <c r="DL241" s="77"/>
      <c r="DM241" s="77"/>
      <c r="DN241" s="77"/>
      <c r="DO241" s="77"/>
      <c r="DP241" s="77"/>
      <c r="DQ241" s="77"/>
      <c r="DR241" s="77"/>
      <c r="DS241" s="77"/>
      <c r="DT241" s="77"/>
      <c r="DU241" s="77"/>
      <c r="DV241" s="77"/>
      <c r="DW241" s="77"/>
      <c r="DX241" s="77"/>
      <c r="DY241" s="77"/>
      <c r="DZ241" s="77"/>
      <c r="EA241" s="77"/>
      <c r="EB241" s="77"/>
      <c r="EC241" s="77"/>
      <c r="ED241" s="77"/>
      <c r="EE241" s="77"/>
      <c r="EF241" s="77"/>
      <c r="EG241" s="77"/>
      <c r="EH241" s="77"/>
      <c r="EI241" s="77"/>
      <c r="EJ241" s="77"/>
      <c r="EK241" s="77"/>
      <c r="EL241" s="77"/>
    </row>
    <row r="242" spans="1:142" s="78" customFormat="1">
      <c r="A242" s="89"/>
      <c r="B242" s="695" t="s">
        <v>338</v>
      </c>
      <c r="C242" s="695"/>
      <c r="D242" s="87"/>
      <c r="E242" s="716">
        <v>18</v>
      </c>
      <c r="F242" s="79"/>
      <c r="G242" s="91"/>
      <c r="H242" s="540"/>
      <c r="I242" s="92"/>
      <c r="J242" s="92"/>
      <c r="K242" s="92"/>
      <c r="L242" s="92"/>
      <c r="M242" s="92"/>
      <c r="N242" s="92"/>
      <c r="O242" s="92"/>
      <c r="P242" s="92"/>
      <c r="Q242" s="92"/>
      <c r="R242" s="92"/>
      <c r="S242" s="92"/>
      <c r="T242" s="92"/>
      <c r="U242" s="92"/>
      <c r="V242" s="92"/>
      <c r="W242" s="92"/>
      <c r="X242" s="92"/>
      <c r="Y242" s="92"/>
      <c r="Z242" s="92"/>
      <c r="AA242" s="92"/>
      <c r="AB242" s="92"/>
      <c r="AC242" s="92"/>
      <c r="AD242" s="92"/>
      <c r="AE242" s="92"/>
      <c r="AF242" s="92"/>
      <c r="AG242" s="92"/>
      <c r="AH242" s="92"/>
      <c r="AI242" s="92"/>
      <c r="AJ242" s="92"/>
      <c r="AK242" s="92"/>
      <c r="AL242" s="92"/>
      <c r="AM242" s="92"/>
      <c r="AN242" s="77"/>
      <c r="AO242" s="77"/>
      <c r="AP242" s="77"/>
      <c r="AQ242" s="77"/>
      <c r="AR242" s="77"/>
      <c r="AS242" s="77"/>
      <c r="AT242" s="77"/>
      <c r="AU242" s="77"/>
      <c r="AV242" s="77"/>
      <c r="AW242" s="77"/>
      <c r="AX242" s="77"/>
      <c r="AY242" s="77"/>
      <c r="AZ242" s="77"/>
      <c r="BA242" s="77"/>
      <c r="BB242" s="77"/>
      <c r="BC242" s="77"/>
      <c r="BD242" s="77"/>
      <c r="BE242" s="77"/>
      <c r="BF242" s="77"/>
      <c r="BG242" s="77"/>
      <c r="BH242" s="77"/>
      <c r="BI242" s="77"/>
      <c r="BJ242" s="77"/>
      <c r="BK242" s="77"/>
      <c r="BL242" s="77"/>
      <c r="BM242" s="77"/>
      <c r="BN242" s="77"/>
      <c r="BO242" s="77"/>
      <c r="BP242" s="77"/>
      <c r="BQ242" s="77"/>
      <c r="BR242" s="77"/>
      <c r="BS242" s="77"/>
      <c r="BT242" s="77"/>
      <c r="BU242" s="77"/>
      <c r="BV242" s="77"/>
      <c r="BW242" s="77"/>
      <c r="BX242" s="77"/>
      <c r="BY242" s="77"/>
      <c r="BZ242" s="77"/>
      <c r="CA242" s="77"/>
      <c r="CB242" s="77"/>
      <c r="CC242" s="77"/>
      <c r="CD242" s="77"/>
      <c r="CE242" s="77"/>
      <c r="CF242" s="77"/>
      <c r="CG242" s="77"/>
      <c r="CH242" s="77"/>
      <c r="CI242" s="77"/>
      <c r="CJ242" s="77"/>
      <c r="CK242" s="77"/>
      <c r="CL242" s="77"/>
      <c r="CM242" s="77"/>
      <c r="CN242" s="77"/>
      <c r="CO242" s="77"/>
      <c r="CP242" s="77"/>
      <c r="CQ242" s="77"/>
      <c r="CR242" s="77"/>
      <c r="CS242" s="77"/>
      <c r="CT242" s="77"/>
      <c r="CU242" s="77"/>
      <c r="CV242" s="77"/>
      <c r="CW242" s="77"/>
      <c r="CX242" s="77"/>
      <c r="CY242" s="77"/>
      <c r="CZ242" s="77"/>
      <c r="DA242" s="77"/>
      <c r="DB242" s="77"/>
      <c r="DC242" s="77"/>
      <c r="DD242" s="77"/>
      <c r="DE242" s="77"/>
      <c r="DF242" s="77"/>
      <c r="DG242" s="77"/>
      <c r="DH242" s="77"/>
      <c r="DI242" s="77"/>
      <c r="DJ242" s="77"/>
      <c r="DK242" s="77"/>
      <c r="DL242" s="77"/>
      <c r="DM242" s="77"/>
      <c r="DN242" s="77"/>
      <c r="DO242" s="77"/>
      <c r="DP242" s="77"/>
      <c r="DQ242" s="77"/>
      <c r="DR242" s="77"/>
      <c r="DS242" s="77"/>
      <c r="DT242" s="77"/>
      <c r="DU242" s="77"/>
      <c r="DV242" s="77"/>
      <c r="DW242" s="77"/>
      <c r="DX242" s="77"/>
      <c r="DY242" s="77"/>
      <c r="DZ242" s="77"/>
      <c r="EA242" s="77"/>
      <c r="EB242" s="77"/>
      <c r="EC242" s="77"/>
      <c r="ED242" s="77"/>
      <c r="EE242" s="77"/>
      <c r="EF242" s="77"/>
      <c r="EG242" s="77"/>
      <c r="EH242" s="77"/>
      <c r="EI242" s="77"/>
      <c r="EJ242" s="77"/>
      <c r="EK242" s="77"/>
      <c r="EL242" s="77"/>
    </row>
    <row r="243" spans="1:142" s="78" customFormat="1">
      <c r="A243" s="89"/>
      <c r="B243" s="695" t="s">
        <v>339</v>
      </c>
      <c r="C243" s="695"/>
      <c r="D243" s="87"/>
      <c r="E243" s="716">
        <v>0</v>
      </c>
      <c r="F243" s="79"/>
      <c r="G243" s="90"/>
      <c r="H243" s="92"/>
      <c r="I243" s="92"/>
      <c r="J243" s="92"/>
      <c r="K243" s="92"/>
      <c r="L243" s="92"/>
      <c r="M243" s="92"/>
      <c r="N243" s="92"/>
      <c r="O243" s="92"/>
      <c r="P243" s="92"/>
      <c r="Q243" s="92"/>
      <c r="R243" s="92"/>
      <c r="S243" s="92"/>
      <c r="T243" s="92"/>
      <c r="U243" s="92"/>
      <c r="V243" s="92"/>
      <c r="W243" s="92"/>
      <c r="X243" s="92"/>
      <c r="Y243" s="92"/>
      <c r="Z243" s="92"/>
      <c r="AA243" s="92"/>
      <c r="AB243" s="92"/>
      <c r="AC243" s="92"/>
      <c r="AD243" s="92"/>
      <c r="AE243" s="92"/>
      <c r="AF243" s="92"/>
      <c r="AG243" s="92"/>
      <c r="AH243" s="92"/>
      <c r="AI243" s="92"/>
      <c r="AJ243" s="92"/>
      <c r="AK243" s="92"/>
      <c r="AL243" s="92"/>
      <c r="AM243" s="92"/>
      <c r="AN243" s="77"/>
      <c r="AO243" s="77"/>
      <c r="AP243" s="77"/>
      <c r="AQ243" s="77"/>
      <c r="AR243" s="77"/>
      <c r="AS243" s="77"/>
      <c r="AT243" s="77"/>
      <c r="AU243" s="77"/>
      <c r="AV243" s="77"/>
      <c r="AW243" s="77"/>
      <c r="AX243" s="77"/>
      <c r="AY243" s="77"/>
      <c r="AZ243" s="77"/>
      <c r="BA243" s="77"/>
      <c r="BB243" s="77"/>
      <c r="BC243" s="77"/>
      <c r="BD243" s="77"/>
      <c r="BE243" s="77"/>
      <c r="BF243" s="77"/>
      <c r="BG243" s="77"/>
      <c r="BH243" s="77"/>
      <c r="BI243" s="77"/>
      <c r="BJ243" s="77"/>
      <c r="BK243" s="77"/>
      <c r="BL243" s="77"/>
      <c r="BM243" s="77"/>
      <c r="BN243" s="77"/>
      <c r="BO243" s="77"/>
      <c r="BP243" s="77"/>
      <c r="BQ243" s="77"/>
      <c r="BR243" s="77"/>
      <c r="BS243" s="77"/>
      <c r="BT243" s="77"/>
      <c r="BU243" s="77"/>
      <c r="BV243" s="77"/>
      <c r="BW243" s="77"/>
      <c r="BX243" s="77"/>
      <c r="BY243" s="77"/>
      <c r="BZ243" s="77"/>
      <c r="CA243" s="77"/>
      <c r="CB243" s="77"/>
      <c r="CC243" s="77"/>
      <c r="CD243" s="77"/>
      <c r="CE243" s="77"/>
      <c r="CF243" s="77"/>
      <c r="CG243" s="77"/>
      <c r="CH243" s="77"/>
      <c r="CI243" s="77"/>
      <c r="CJ243" s="77"/>
      <c r="CK243" s="77"/>
      <c r="CL243" s="77"/>
      <c r="CM243" s="77"/>
      <c r="CN243" s="77"/>
      <c r="CO243" s="77"/>
      <c r="CP243" s="77"/>
      <c r="CQ243" s="77"/>
      <c r="CR243" s="77"/>
      <c r="CS243" s="77"/>
      <c r="CT243" s="77"/>
      <c r="CU243" s="77"/>
      <c r="CV243" s="77"/>
      <c r="CW243" s="77"/>
      <c r="CX243" s="77"/>
      <c r="CY243" s="77"/>
      <c r="CZ243" s="77"/>
      <c r="DA243" s="77"/>
      <c r="DB243" s="77"/>
      <c r="DC243" s="77"/>
      <c r="DD243" s="77"/>
      <c r="DE243" s="77"/>
      <c r="DF243" s="77"/>
      <c r="DG243" s="77"/>
      <c r="DH243" s="77"/>
      <c r="DI243" s="77"/>
      <c r="DJ243" s="77"/>
      <c r="DK243" s="77"/>
      <c r="DL243" s="77"/>
      <c r="DM243" s="77"/>
      <c r="DN243" s="77"/>
      <c r="DO243" s="77"/>
      <c r="DP243" s="77"/>
      <c r="DQ243" s="77"/>
      <c r="DR243" s="77"/>
      <c r="DS243" s="77"/>
      <c r="DT243" s="77"/>
      <c r="DU243" s="77"/>
      <c r="DV243" s="77"/>
      <c r="DW243" s="77"/>
      <c r="DX243" s="77"/>
      <c r="DY243" s="77"/>
      <c r="DZ243" s="77"/>
      <c r="EA243" s="77"/>
      <c r="EB243" s="77"/>
      <c r="EC243" s="77"/>
      <c r="ED243" s="77"/>
      <c r="EE243" s="77"/>
      <c r="EF243" s="77"/>
      <c r="EG243" s="77"/>
      <c r="EH243" s="77"/>
      <c r="EI243" s="77"/>
      <c r="EJ243" s="77"/>
      <c r="EK243" s="77"/>
      <c r="EL243" s="77"/>
    </row>
    <row r="244" spans="1:142" s="78" customFormat="1">
      <c r="A244" s="89"/>
      <c r="B244" s="24" t="s">
        <v>428</v>
      </c>
      <c r="C244" s="166"/>
      <c r="E244" s="687">
        <v>360</v>
      </c>
      <c r="F244" s="79"/>
      <c r="G244" s="538"/>
      <c r="H244" s="538"/>
      <c r="I244" s="538"/>
      <c r="J244" s="538"/>
      <c r="K244" s="538"/>
      <c r="L244" s="538"/>
      <c r="M244" s="538"/>
      <c r="N244" s="538"/>
      <c r="O244" s="538"/>
      <c r="P244" s="538"/>
      <c r="Q244" s="538"/>
      <c r="R244" s="538"/>
      <c r="S244" s="538"/>
      <c r="T244" s="538"/>
      <c r="U244" s="538"/>
      <c r="V244" s="538"/>
      <c r="W244" s="538"/>
      <c r="X244" s="538"/>
      <c r="Y244" s="538"/>
      <c r="Z244" s="538"/>
      <c r="AA244" s="538"/>
      <c r="AB244" s="538"/>
      <c r="AC244" s="538"/>
      <c r="AD244" s="538"/>
      <c r="AE244" s="538"/>
      <c r="AF244" s="538"/>
      <c r="AG244" s="538"/>
      <c r="AH244" s="538"/>
      <c r="AI244" s="538"/>
      <c r="AJ244" s="538"/>
      <c r="AK244" s="538"/>
      <c r="AL244" s="538"/>
      <c r="AM244" s="538"/>
      <c r="AN244" s="89"/>
      <c r="AO244" s="89"/>
      <c r="AP244" s="89"/>
      <c r="AQ244" s="89"/>
      <c r="AR244" s="89"/>
      <c r="AS244" s="77"/>
      <c r="AT244" s="77"/>
      <c r="AU244" s="77"/>
      <c r="AV244" s="77"/>
      <c r="AW244" s="77"/>
      <c r="AX244" s="77"/>
      <c r="AY244" s="77"/>
      <c r="AZ244" s="77"/>
      <c r="BA244" s="77"/>
      <c r="BB244" s="77"/>
      <c r="BC244" s="77"/>
      <c r="BD244" s="77"/>
      <c r="BE244" s="77"/>
      <c r="BF244" s="77"/>
      <c r="BG244" s="77"/>
      <c r="BH244" s="77"/>
      <c r="BI244" s="77"/>
      <c r="BJ244" s="77"/>
      <c r="BK244" s="77"/>
      <c r="BL244" s="77"/>
      <c r="BM244" s="77"/>
      <c r="BN244" s="77"/>
      <c r="BO244" s="77"/>
      <c r="BP244" s="77"/>
      <c r="BQ244" s="77"/>
      <c r="BR244" s="77"/>
      <c r="BS244" s="77"/>
      <c r="BT244" s="77"/>
      <c r="BU244" s="77"/>
      <c r="BV244" s="77"/>
      <c r="BW244" s="77"/>
      <c r="BX244" s="77"/>
      <c r="BY244" s="77"/>
      <c r="BZ244" s="77"/>
      <c r="CA244" s="77"/>
      <c r="CB244" s="77"/>
      <c r="CC244" s="77"/>
      <c r="CD244" s="77"/>
      <c r="CE244" s="77"/>
      <c r="CF244" s="77"/>
      <c r="CG244" s="77"/>
      <c r="CH244" s="77"/>
      <c r="CI244" s="77"/>
      <c r="CJ244" s="77"/>
      <c r="CK244" s="77"/>
      <c r="CL244" s="77"/>
      <c r="CM244" s="77"/>
      <c r="CN244" s="77"/>
      <c r="CO244" s="77"/>
      <c r="CP244" s="77"/>
      <c r="CQ244" s="77"/>
      <c r="CR244" s="77"/>
      <c r="CS244" s="77"/>
      <c r="CT244" s="77"/>
      <c r="CU244" s="77"/>
      <c r="CV244" s="77"/>
      <c r="CW244" s="77"/>
      <c r="CX244" s="77"/>
      <c r="CY244" s="77"/>
      <c r="CZ244" s="77"/>
      <c r="DA244" s="77"/>
      <c r="DB244" s="77"/>
      <c r="DC244" s="77"/>
      <c r="DD244" s="77"/>
      <c r="DE244" s="77"/>
      <c r="DF244" s="77"/>
      <c r="DG244" s="77"/>
      <c r="DH244" s="77"/>
      <c r="DI244" s="77"/>
      <c r="DJ244" s="77"/>
      <c r="DK244" s="77"/>
      <c r="DL244" s="77"/>
      <c r="DM244" s="77"/>
      <c r="DN244" s="77"/>
      <c r="DO244" s="77"/>
      <c r="DP244" s="77"/>
      <c r="DQ244" s="77"/>
      <c r="DR244" s="77"/>
      <c r="DS244" s="77"/>
      <c r="DT244" s="77"/>
      <c r="DU244" s="77"/>
      <c r="DV244" s="77"/>
      <c r="DW244" s="77"/>
      <c r="DX244" s="77"/>
      <c r="DY244" s="77"/>
      <c r="DZ244" s="77"/>
      <c r="EA244" s="77"/>
      <c r="EB244" s="77"/>
      <c r="EC244" s="77"/>
      <c r="ED244" s="77"/>
      <c r="EE244" s="77"/>
      <c r="EF244" s="77"/>
      <c r="EG244" s="77"/>
      <c r="EH244" s="77"/>
      <c r="EI244" s="77"/>
      <c r="EJ244" s="77"/>
      <c r="EK244" s="77"/>
      <c r="EL244" s="77"/>
    </row>
    <row r="245" spans="1:142" s="78" customFormat="1">
      <c r="A245" s="89"/>
      <c r="B245" s="24" t="s">
        <v>58</v>
      </c>
      <c r="C245" s="166"/>
      <c r="E245" s="688">
        <f>EDATE(F24,6)-1</f>
        <v>35975</v>
      </c>
      <c r="F245" s="79" t="s">
        <v>722</v>
      </c>
      <c r="G245" s="538"/>
      <c r="H245" s="538"/>
      <c r="I245" s="538"/>
      <c r="J245" s="538"/>
      <c r="K245" s="538"/>
      <c r="L245" s="538"/>
      <c r="M245" s="538"/>
      <c r="N245" s="538"/>
      <c r="O245" s="538"/>
      <c r="P245" s="538"/>
      <c r="Q245" s="538"/>
      <c r="R245" s="538"/>
      <c r="S245" s="538"/>
      <c r="T245" s="538"/>
      <c r="U245" s="538"/>
      <c r="V245" s="538"/>
      <c r="W245" s="538"/>
      <c r="X245" s="538"/>
      <c r="Y245" s="538"/>
      <c r="Z245" s="538"/>
      <c r="AA245" s="538"/>
      <c r="AB245" s="538"/>
      <c r="AC245" s="538"/>
      <c r="AD245" s="538"/>
      <c r="AE245" s="538"/>
      <c r="AF245" s="538"/>
      <c r="AG245" s="538"/>
      <c r="AH245" s="538"/>
      <c r="AI245" s="538"/>
      <c r="AJ245" s="538"/>
      <c r="AK245" s="538"/>
      <c r="AL245" s="538"/>
      <c r="AM245" s="538"/>
      <c r="AN245" s="89"/>
      <c r="AO245" s="89"/>
      <c r="AP245" s="89"/>
      <c r="AQ245" s="89"/>
      <c r="AR245" s="89"/>
      <c r="AS245" s="77"/>
      <c r="AT245" s="77"/>
      <c r="AU245" s="77"/>
      <c r="AV245" s="77"/>
      <c r="AW245" s="77"/>
      <c r="AX245" s="77"/>
      <c r="AY245" s="77"/>
      <c r="AZ245" s="77"/>
      <c r="BA245" s="77"/>
      <c r="BB245" s="77"/>
      <c r="BC245" s="77"/>
      <c r="BD245" s="77"/>
      <c r="BE245" s="77"/>
      <c r="BF245" s="77"/>
      <c r="BG245" s="77"/>
      <c r="BH245" s="77"/>
      <c r="BI245" s="77"/>
      <c r="BJ245" s="77"/>
      <c r="BK245" s="77"/>
      <c r="BL245" s="77"/>
      <c r="BM245" s="77"/>
      <c r="BN245" s="77"/>
      <c r="BO245" s="77"/>
      <c r="BP245" s="77"/>
      <c r="BQ245" s="77"/>
      <c r="BR245" s="77"/>
      <c r="BS245" s="77"/>
      <c r="BT245" s="77"/>
      <c r="BU245" s="77"/>
      <c r="BV245" s="77"/>
      <c r="BW245" s="77"/>
      <c r="BX245" s="77"/>
      <c r="BY245" s="77"/>
      <c r="BZ245" s="77"/>
      <c r="CA245" s="77"/>
      <c r="CB245" s="77"/>
      <c r="CC245" s="77"/>
      <c r="CD245" s="77"/>
      <c r="CE245" s="77"/>
      <c r="CF245" s="77"/>
      <c r="CG245" s="77"/>
      <c r="CH245" s="77"/>
      <c r="CI245" s="77"/>
      <c r="CJ245" s="77"/>
      <c r="CK245" s="77"/>
      <c r="CL245" s="77"/>
      <c r="CM245" s="77"/>
      <c r="CN245" s="77"/>
      <c r="CO245" s="77"/>
      <c r="CP245" s="77"/>
      <c r="CQ245" s="77"/>
      <c r="CR245" s="77"/>
      <c r="CS245" s="77"/>
      <c r="CT245" s="77"/>
      <c r="CU245" s="77"/>
      <c r="CV245" s="77"/>
      <c r="CW245" s="77"/>
      <c r="CX245" s="77"/>
      <c r="CY245" s="77"/>
      <c r="CZ245" s="77"/>
      <c r="DA245" s="77"/>
      <c r="DB245" s="77"/>
      <c r="DC245" s="77"/>
      <c r="DD245" s="77"/>
      <c r="DE245" s="77"/>
      <c r="DF245" s="77"/>
      <c r="DG245" s="77"/>
      <c r="DH245" s="77"/>
      <c r="DI245" s="77"/>
      <c r="DJ245" s="77"/>
      <c r="DK245" s="77"/>
      <c r="DL245" s="77"/>
      <c r="DM245" s="77"/>
      <c r="DN245" s="77"/>
      <c r="DO245" s="77"/>
      <c r="DP245" s="77"/>
      <c r="DQ245" s="77"/>
      <c r="DR245" s="77"/>
      <c r="DS245" s="77"/>
      <c r="DT245" s="77"/>
      <c r="DU245" s="77"/>
      <c r="DV245" s="77"/>
      <c r="DW245" s="77"/>
      <c r="DX245" s="77"/>
      <c r="DY245" s="77"/>
      <c r="DZ245" s="77"/>
      <c r="EA245" s="77"/>
      <c r="EB245" s="77"/>
      <c r="EC245" s="77"/>
      <c r="ED245" s="77"/>
      <c r="EE245" s="77"/>
      <c r="EF245" s="77"/>
      <c r="EG245" s="77"/>
      <c r="EH245" s="77"/>
      <c r="EI245" s="77"/>
      <c r="EJ245" s="77"/>
      <c r="EK245" s="77"/>
      <c r="EL245" s="77"/>
    </row>
    <row r="246" spans="1:142" s="78" customFormat="1">
      <c r="A246" s="89"/>
      <c r="B246" s="24" t="s">
        <v>59</v>
      </c>
      <c r="C246" s="166"/>
      <c r="E246" s="688">
        <f>EDATE(E245,6)</f>
        <v>36158</v>
      </c>
      <c r="F246" s="79" t="s">
        <v>723</v>
      </c>
      <c r="G246" s="538"/>
      <c r="H246" s="538"/>
      <c r="I246" s="538"/>
      <c r="J246" s="538"/>
      <c r="K246" s="538"/>
      <c r="L246" s="538"/>
      <c r="M246" s="538"/>
      <c r="N246" s="538"/>
      <c r="O246" s="538"/>
      <c r="P246" s="538"/>
      <c r="Q246" s="538"/>
      <c r="R246" s="538"/>
      <c r="S246" s="538"/>
      <c r="T246" s="538"/>
      <c r="U246" s="538"/>
      <c r="V246" s="538"/>
      <c r="W246" s="538"/>
      <c r="X246" s="538"/>
      <c r="Y246" s="538"/>
      <c r="Z246" s="538"/>
      <c r="AA246" s="538"/>
      <c r="AB246" s="538"/>
      <c r="AC246" s="538"/>
      <c r="AD246" s="538"/>
      <c r="AE246" s="538"/>
      <c r="AF246" s="538"/>
      <c r="AG246" s="538"/>
      <c r="AH246" s="538"/>
      <c r="AI246" s="538"/>
      <c r="AJ246" s="538"/>
      <c r="AK246" s="538"/>
      <c r="AL246" s="538"/>
      <c r="AM246" s="538"/>
      <c r="AN246" s="89"/>
      <c r="AO246" s="89"/>
      <c r="AP246" s="89"/>
      <c r="AQ246" s="89"/>
      <c r="AR246" s="89"/>
      <c r="AS246" s="77"/>
      <c r="AT246" s="77"/>
      <c r="AU246" s="77"/>
      <c r="AV246" s="77"/>
      <c r="AW246" s="77"/>
      <c r="AX246" s="77"/>
      <c r="AY246" s="77"/>
      <c r="AZ246" s="77"/>
      <c r="BA246" s="77"/>
      <c r="BB246" s="77"/>
      <c r="BC246" s="77"/>
      <c r="BD246" s="77"/>
      <c r="BE246" s="77"/>
      <c r="BF246" s="77"/>
      <c r="BG246" s="77"/>
      <c r="BH246" s="77"/>
      <c r="BI246" s="77"/>
      <c r="BJ246" s="77"/>
      <c r="BK246" s="77"/>
      <c r="BL246" s="77"/>
      <c r="BM246" s="77"/>
      <c r="BN246" s="77"/>
      <c r="BO246" s="77"/>
      <c r="BP246" s="77"/>
      <c r="BQ246" s="77"/>
      <c r="BR246" s="77"/>
      <c r="BS246" s="77"/>
      <c r="BT246" s="77"/>
      <c r="BU246" s="77"/>
      <c r="BV246" s="77"/>
      <c r="BW246" s="77"/>
      <c r="BX246" s="77"/>
      <c r="BY246" s="77"/>
      <c r="BZ246" s="77"/>
      <c r="CA246" s="77"/>
      <c r="CB246" s="77"/>
      <c r="CC246" s="77"/>
      <c r="CD246" s="77"/>
      <c r="CE246" s="77"/>
      <c r="CF246" s="77"/>
      <c r="CG246" s="77"/>
      <c r="CH246" s="77"/>
      <c r="CI246" s="77"/>
      <c r="CJ246" s="77"/>
      <c r="CK246" s="77"/>
      <c r="CL246" s="77"/>
      <c r="CM246" s="77"/>
      <c r="CN246" s="77"/>
      <c r="CO246" s="77"/>
      <c r="CP246" s="77"/>
      <c r="CQ246" s="77"/>
      <c r="CR246" s="77"/>
      <c r="CS246" s="77"/>
      <c r="CT246" s="77"/>
      <c r="CU246" s="77"/>
      <c r="CV246" s="77"/>
      <c r="CW246" s="77"/>
      <c r="CX246" s="77"/>
      <c r="CY246" s="77"/>
      <c r="CZ246" s="77"/>
      <c r="DA246" s="77"/>
      <c r="DB246" s="77"/>
      <c r="DC246" s="77"/>
      <c r="DD246" s="77"/>
      <c r="DE246" s="77"/>
      <c r="DF246" s="77"/>
      <c r="DG246" s="77"/>
      <c r="DH246" s="77"/>
      <c r="DI246" s="77"/>
      <c r="DJ246" s="77"/>
      <c r="DK246" s="77"/>
      <c r="DL246" s="77"/>
      <c r="DM246" s="77"/>
      <c r="DN246" s="77"/>
      <c r="DO246" s="77"/>
      <c r="DP246" s="77"/>
      <c r="DQ246" s="77"/>
      <c r="DR246" s="77"/>
      <c r="DS246" s="77"/>
      <c r="DT246" s="77"/>
      <c r="DU246" s="77"/>
      <c r="DV246" s="77"/>
      <c r="DW246" s="77"/>
      <c r="DX246" s="77"/>
      <c r="DY246" s="77"/>
      <c r="DZ246" s="77"/>
      <c r="EA246" s="77"/>
      <c r="EB246" s="77"/>
      <c r="EC246" s="77"/>
      <c r="ED246" s="77"/>
      <c r="EE246" s="77"/>
      <c r="EF246" s="77"/>
      <c r="EG246" s="77"/>
      <c r="EH246" s="77"/>
      <c r="EI246" s="77"/>
      <c r="EJ246" s="77"/>
      <c r="EK246" s="77"/>
      <c r="EL246" s="77"/>
    </row>
    <row r="247" spans="1:142" s="78" customFormat="1">
      <c r="A247" s="89"/>
      <c r="B247" s="24" t="s">
        <v>804</v>
      </c>
      <c r="C247" s="166"/>
      <c r="E247" s="1245">
        <v>0.5</v>
      </c>
      <c r="F247" s="79"/>
      <c r="G247" s="538"/>
      <c r="H247" s="538"/>
      <c r="I247" s="538"/>
      <c r="J247" s="538"/>
      <c r="K247" s="538"/>
      <c r="L247" s="538"/>
      <c r="M247" s="538"/>
      <c r="N247" s="538"/>
      <c r="O247" s="538"/>
      <c r="P247" s="538"/>
      <c r="Q247" s="538"/>
      <c r="R247" s="538"/>
      <c r="S247" s="538"/>
      <c r="T247" s="538"/>
      <c r="U247" s="538"/>
      <c r="V247" s="538"/>
      <c r="W247" s="538"/>
      <c r="X247" s="538"/>
      <c r="Y247" s="538"/>
      <c r="Z247" s="538"/>
      <c r="AA247" s="538"/>
      <c r="AB247" s="538"/>
      <c r="AC247" s="538"/>
      <c r="AD247" s="538"/>
      <c r="AE247" s="538"/>
      <c r="AF247" s="538"/>
      <c r="AG247" s="538"/>
      <c r="AH247" s="538"/>
      <c r="AI247" s="538"/>
      <c r="AJ247" s="538"/>
      <c r="AK247" s="538"/>
      <c r="AL247" s="538"/>
      <c r="AM247" s="538"/>
      <c r="AN247" s="89"/>
      <c r="AO247" s="89"/>
      <c r="AP247" s="89"/>
      <c r="AQ247" s="89"/>
      <c r="AR247" s="89"/>
      <c r="AS247" s="77"/>
      <c r="AT247" s="77"/>
      <c r="AU247" s="77"/>
      <c r="AV247" s="77"/>
      <c r="AW247" s="77"/>
      <c r="AX247" s="77"/>
      <c r="AY247" s="77"/>
      <c r="AZ247" s="77"/>
      <c r="BA247" s="77"/>
      <c r="BB247" s="77"/>
      <c r="BC247" s="77"/>
      <c r="BD247" s="77"/>
      <c r="BE247" s="77"/>
      <c r="BF247" s="77"/>
      <c r="BG247" s="77"/>
      <c r="BH247" s="77"/>
      <c r="BI247" s="77"/>
      <c r="BJ247" s="77"/>
      <c r="BK247" s="77"/>
      <c r="BL247" s="77"/>
      <c r="BM247" s="77"/>
      <c r="BN247" s="77"/>
      <c r="BO247" s="77"/>
      <c r="BP247" s="77"/>
      <c r="BQ247" s="77"/>
      <c r="BR247" s="77"/>
      <c r="BS247" s="77"/>
      <c r="BT247" s="77"/>
      <c r="BU247" s="77"/>
      <c r="BV247" s="77"/>
      <c r="BW247" s="77"/>
      <c r="BX247" s="77"/>
      <c r="BY247" s="77"/>
      <c r="BZ247" s="77"/>
      <c r="CA247" s="77"/>
      <c r="CB247" s="77"/>
      <c r="CC247" s="77"/>
      <c r="CD247" s="77"/>
      <c r="CE247" s="77"/>
      <c r="CF247" s="77"/>
      <c r="CG247" s="77"/>
      <c r="CH247" s="77"/>
      <c r="CI247" s="77"/>
      <c r="CJ247" s="77"/>
      <c r="CK247" s="77"/>
      <c r="CL247" s="77"/>
      <c r="CM247" s="77"/>
      <c r="CN247" s="77"/>
      <c r="CO247" s="77"/>
      <c r="CP247" s="77"/>
      <c r="CQ247" s="77"/>
      <c r="CR247" s="77"/>
      <c r="CS247" s="77"/>
      <c r="CT247" s="77"/>
      <c r="CU247" s="77"/>
      <c r="CV247" s="77"/>
      <c r="CW247" s="77"/>
      <c r="CX247" s="77"/>
      <c r="CY247" s="77"/>
      <c r="CZ247" s="77"/>
      <c r="DA247" s="77"/>
      <c r="DB247" s="77"/>
      <c r="DC247" s="77"/>
      <c r="DD247" s="77"/>
      <c r="DE247" s="77"/>
      <c r="DF247" s="77"/>
      <c r="DG247" s="77"/>
      <c r="DH247" s="77"/>
      <c r="DI247" s="77"/>
      <c r="DJ247" s="77"/>
      <c r="DK247" s="77"/>
      <c r="DL247" s="77"/>
      <c r="DM247" s="77"/>
      <c r="DN247" s="77"/>
      <c r="DO247" s="77"/>
      <c r="DP247" s="77"/>
      <c r="DQ247" s="77"/>
      <c r="DR247" s="77"/>
      <c r="DS247" s="77"/>
      <c r="DT247" s="77"/>
      <c r="DU247" s="77"/>
      <c r="DV247" s="77"/>
      <c r="DW247" s="77"/>
      <c r="DX247" s="77"/>
      <c r="DY247" s="77"/>
      <c r="DZ247" s="77"/>
      <c r="EA247" s="77"/>
      <c r="EB247" s="77"/>
      <c r="EC247" s="77"/>
      <c r="ED247" s="77"/>
      <c r="EE247" s="77"/>
      <c r="EF247" s="77"/>
      <c r="EG247" s="77"/>
      <c r="EH247" s="77"/>
      <c r="EI247" s="77"/>
      <c r="EJ247" s="77"/>
      <c r="EK247" s="77"/>
      <c r="EL247" s="77"/>
    </row>
    <row r="248" spans="1:142" s="78" customFormat="1">
      <c r="A248" s="89"/>
      <c r="B248" t="s">
        <v>705</v>
      </c>
      <c r="C248" s="65"/>
      <c r="E248" s="1246">
        <v>2</v>
      </c>
      <c r="F248" s="79"/>
      <c r="G248" s="538">
        <v>3</v>
      </c>
      <c r="H248" s="538">
        <f t="shared" ref="H248:AM248" si="53">G248+1</f>
        <v>4</v>
      </c>
      <c r="I248" s="538">
        <f t="shared" si="53"/>
        <v>5</v>
      </c>
      <c r="J248" s="538">
        <f t="shared" si="53"/>
        <v>6</v>
      </c>
      <c r="K248" s="538">
        <f t="shared" si="53"/>
        <v>7</v>
      </c>
      <c r="L248" s="538">
        <f t="shared" si="53"/>
        <v>8</v>
      </c>
      <c r="M248" s="538">
        <f t="shared" si="53"/>
        <v>9</v>
      </c>
      <c r="N248" s="538">
        <f t="shared" si="53"/>
        <v>10</v>
      </c>
      <c r="O248" s="538">
        <f t="shared" si="53"/>
        <v>11</v>
      </c>
      <c r="P248" s="538">
        <f t="shared" si="53"/>
        <v>12</v>
      </c>
      <c r="Q248" s="538">
        <f t="shared" si="53"/>
        <v>13</v>
      </c>
      <c r="R248" s="538">
        <f t="shared" si="53"/>
        <v>14</v>
      </c>
      <c r="S248" s="538">
        <f t="shared" si="53"/>
        <v>15</v>
      </c>
      <c r="T248" s="538">
        <f t="shared" si="53"/>
        <v>16</v>
      </c>
      <c r="U248" s="538">
        <f t="shared" si="53"/>
        <v>17</v>
      </c>
      <c r="V248" s="538">
        <f t="shared" si="53"/>
        <v>18</v>
      </c>
      <c r="W248" s="538">
        <f t="shared" si="53"/>
        <v>19</v>
      </c>
      <c r="X248" s="538">
        <f t="shared" si="53"/>
        <v>20</v>
      </c>
      <c r="Y248" s="538">
        <f t="shared" si="53"/>
        <v>21</v>
      </c>
      <c r="Z248" s="538">
        <f t="shared" si="53"/>
        <v>22</v>
      </c>
      <c r="AA248" s="538">
        <f t="shared" si="53"/>
        <v>23</v>
      </c>
      <c r="AB248" s="538">
        <f t="shared" si="53"/>
        <v>24</v>
      </c>
      <c r="AC248" s="538">
        <f t="shared" si="53"/>
        <v>25</v>
      </c>
      <c r="AD248" s="538">
        <f t="shared" si="53"/>
        <v>26</v>
      </c>
      <c r="AE248" s="538">
        <f t="shared" si="53"/>
        <v>27</v>
      </c>
      <c r="AF248" s="538">
        <f t="shared" si="53"/>
        <v>28</v>
      </c>
      <c r="AG248" s="538">
        <f t="shared" si="53"/>
        <v>29</v>
      </c>
      <c r="AH248" s="538">
        <f t="shared" si="53"/>
        <v>30</v>
      </c>
      <c r="AI248" s="538">
        <f t="shared" si="53"/>
        <v>31</v>
      </c>
      <c r="AJ248" s="538">
        <f t="shared" si="53"/>
        <v>32</v>
      </c>
      <c r="AK248" s="538">
        <f t="shared" si="53"/>
        <v>33</v>
      </c>
      <c r="AL248" s="538">
        <f t="shared" si="53"/>
        <v>34</v>
      </c>
      <c r="AM248" s="538">
        <f t="shared" si="53"/>
        <v>35</v>
      </c>
      <c r="AN248" s="89"/>
      <c r="AO248" s="89"/>
      <c r="AP248" s="89"/>
      <c r="AQ248" s="89"/>
      <c r="AR248" s="89"/>
      <c r="AS248" s="77"/>
      <c r="AT248" s="77"/>
      <c r="AU248" s="77"/>
      <c r="AV248" s="77"/>
      <c r="AW248" s="77"/>
      <c r="AX248" s="77"/>
      <c r="AY248" s="77"/>
      <c r="AZ248" s="77"/>
      <c r="BA248" s="77"/>
      <c r="BB248" s="77"/>
      <c r="BC248" s="77"/>
      <c r="BD248" s="77"/>
      <c r="BE248" s="77"/>
      <c r="BF248" s="77"/>
      <c r="BG248" s="77"/>
      <c r="BH248" s="77"/>
      <c r="BI248" s="77"/>
      <c r="BJ248" s="77"/>
      <c r="BK248" s="77"/>
      <c r="BL248" s="77"/>
      <c r="BM248" s="77"/>
      <c r="BN248" s="77"/>
      <c r="BO248" s="77"/>
      <c r="BP248" s="77"/>
      <c r="BQ248" s="77"/>
      <c r="BR248" s="77"/>
      <c r="BS248" s="77"/>
      <c r="BT248" s="77"/>
      <c r="BU248" s="77"/>
      <c r="BV248" s="77"/>
      <c r="BW248" s="77"/>
      <c r="BX248" s="77"/>
      <c r="BY248" s="77"/>
      <c r="BZ248" s="77"/>
      <c r="CA248" s="77"/>
      <c r="CB248" s="77"/>
      <c r="CC248" s="77"/>
      <c r="CD248" s="77"/>
      <c r="CE248" s="77"/>
      <c r="CF248" s="77"/>
      <c r="CG248" s="77"/>
      <c r="CH248" s="77"/>
      <c r="CI248" s="77"/>
      <c r="CJ248" s="77"/>
      <c r="CK248" s="77"/>
      <c r="CL248" s="77"/>
      <c r="CM248" s="77"/>
      <c r="CN248" s="77"/>
      <c r="CO248" s="77"/>
      <c r="CP248" s="77"/>
      <c r="CQ248" s="77"/>
      <c r="CR248" s="77"/>
      <c r="CS248" s="77"/>
      <c r="CT248" s="77"/>
      <c r="CU248" s="77"/>
      <c r="CV248" s="77"/>
      <c r="CW248" s="77"/>
      <c r="CX248" s="77"/>
      <c r="CY248" s="77"/>
      <c r="CZ248" s="77"/>
      <c r="DA248" s="77"/>
      <c r="DB248" s="77"/>
      <c r="DC248" s="77"/>
      <c r="DD248" s="77"/>
      <c r="DE248" s="77"/>
      <c r="DF248" s="77"/>
      <c r="DG248" s="77"/>
      <c r="DH248" s="77"/>
      <c r="DI248" s="77"/>
      <c r="DJ248" s="77"/>
      <c r="DK248" s="77"/>
      <c r="DL248" s="77"/>
      <c r="DM248" s="77"/>
      <c r="DN248" s="77"/>
      <c r="DO248" s="77"/>
      <c r="DP248" s="77"/>
      <c r="DQ248" s="77"/>
      <c r="DR248" s="77"/>
      <c r="DS248" s="77"/>
      <c r="DT248" s="77"/>
      <c r="DU248" s="77"/>
      <c r="DV248" s="77"/>
      <c r="DW248" s="77"/>
      <c r="DX248" s="77"/>
      <c r="DY248" s="77"/>
      <c r="DZ248" s="77"/>
      <c r="EA248" s="77"/>
      <c r="EB248" s="77"/>
      <c r="EC248" s="77"/>
      <c r="ED248" s="77"/>
      <c r="EE248" s="77"/>
      <c r="EF248" s="77"/>
      <c r="EG248" s="77"/>
      <c r="EH248" s="77"/>
      <c r="EI248" s="77"/>
      <c r="EJ248" s="77"/>
      <c r="EK248" s="77"/>
      <c r="EL248" s="77"/>
    </row>
    <row r="249" spans="1:142" s="78" customFormat="1">
      <c r="A249" s="89"/>
      <c r="B249" s="87" t="s">
        <v>750</v>
      </c>
      <c r="C249" s="539" t="s">
        <v>445</v>
      </c>
      <c r="D249" s="87"/>
      <c r="E249" s="136">
        <v>1.4</v>
      </c>
      <c r="F249" s="136">
        <f t="shared" ref="F249:AM249" si="54">E249</f>
        <v>1.4</v>
      </c>
      <c r="G249" s="136">
        <f t="shared" si="54"/>
        <v>1.4</v>
      </c>
      <c r="H249" s="136">
        <f t="shared" si="54"/>
        <v>1.4</v>
      </c>
      <c r="I249" s="136">
        <f t="shared" si="54"/>
        <v>1.4</v>
      </c>
      <c r="J249" s="136">
        <f t="shared" si="54"/>
        <v>1.4</v>
      </c>
      <c r="K249" s="136">
        <f t="shared" si="54"/>
        <v>1.4</v>
      </c>
      <c r="L249" s="136">
        <f t="shared" si="54"/>
        <v>1.4</v>
      </c>
      <c r="M249" s="136">
        <f t="shared" si="54"/>
        <v>1.4</v>
      </c>
      <c r="N249" s="136">
        <f t="shared" si="54"/>
        <v>1.4</v>
      </c>
      <c r="O249" s="136">
        <f t="shared" si="54"/>
        <v>1.4</v>
      </c>
      <c r="P249" s="136">
        <f t="shared" si="54"/>
        <v>1.4</v>
      </c>
      <c r="Q249" s="136">
        <f t="shared" si="54"/>
        <v>1.4</v>
      </c>
      <c r="R249" s="136">
        <f t="shared" si="54"/>
        <v>1.4</v>
      </c>
      <c r="S249" s="136">
        <f t="shared" si="54"/>
        <v>1.4</v>
      </c>
      <c r="T249" s="136">
        <f t="shared" si="54"/>
        <v>1.4</v>
      </c>
      <c r="U249" s="136">
        <f t="shared" si="54"/>
        <v>1.4</v>
      </c>
      <c r="V249" s="136">
        <f t="shared" si="54"/>
        <v>1.4</v>
      </c>
      <c r="W249" s="136">
        <f t="shared" si="54"/>
        <v>1.4</v>
      </c>
      <c r="X249" s="136">
        <f t="shared" si="54"/>
        <v>1.4</v>
      </c>
      <c r="Y249" s="136">
        <f t="shared" si="54"/>
        <v>1.4</v>
      </c>
      <c r="Z249" s="136">
        <f t="shared" si="54"/>
        <v>1.4</v>
      </c>
      <c r="AA249" s="136">
        <f t="shared" si="54"/>
        <v>1.4</v>
      </c>
      <c r="AB249" s="136">
        <f t="shared" si="54"/>
        <v>1.4</v>
      </c>
      <c r="AC249" s="136">
        <f t="shared" si="54"/>
        <v>1.4</v>
      </c>
      <c r="AD249" s="136">
        <f t="shared" si="54"/>
        <v>1.4</v>
      </c>
      <c r="AE249" s="136">
        <f t="shared" si="54"/>
        <v>1.4</v>
      </c>
      <c r="AF249" s="136">
        <f t="shared" si="54"/>
        <v>1.4</v>
      </c>
      <c r="AG249" s="136">
        <f t="shared" si="54"/>
        <v>1.4</v>
      </c>
      <c r="AH249" s="136">
        <f t="shared" si="54"/>
        <v>1.4</v>
      </c>
      <c r="AI249" s="136">
        <f t="shared" si="54"/>
        <v>1.4</v>
      </c>
      <c r="AJ249" s="136">
        <f t="shared" si="54"/>
        <v>1.4</v>
      </c>
      <c r="AK249" s="136">
        <f t="shared" si="54"/>
        <v>1.4</v>
      </c>
      <c r="AL249" s="136">
        <f t="shared" si="54"/>
        <v>1.4</v>
      </c>
      <c r="AM249" s="136">
        <f t="shared" si="54"/>
        <v>1.4</v>
      </c>
      <c r="AN249" s="89"/>
      <c r="AO249" s="89"/>
      <c r="AP249" s="89"/>
      <c r="AQ249" s="89"/>
      <c r="AR249" s="89"/>
      <c r="AS249" s="77"/>
      <c r="AT249" s="77"/>
      <c r="AU249" s="77"/>
      <c r="AV249" s="77"/>
      <c r="AW249" s="77"/>
      <c r="AX249" s="77"/>
      <c r="AY249" s="77"/>
      <c r="AZ249" s="77"/>
      <c r="BA249" s="77"/>
      <c r="BB249" s="77"/>
      <c r="BC249" s="77"/>
      <c r="BD249" s="77"/>
      <c r="BE249" s="77"/>
      <c r="BF249" s="77"/>
      <c r="BG249" s="77"/>
      <c r="BH249" s="77"/>
      <c r="BI249" s="77"/>
      <c r="BJ249" s="77"/>
      <c r="BK249" s="77"/>
      <c r="BL249" s="77"/>
      <c r="BM249" s="77"/>
      <c r="BN249" s="77"/>
      <c r="BO249" s="77"/>
      <c r="BP249" s="77"/>
      <c r="BQ249" s="77"/>
      <c r="BR249" s="77"/>
      <c r="BS249" s="77"/>
      <c r="BT249" s="77"/>
      <c r="BU249" s="77"/>
      <c r="BV249" s="77"/>
      <c r="BW249" s="77"/>
      <c r="BX249" s="77"/>
      <c r="BY249" s="77"/>
      <c r="BZ249" s="77"/>
      <c r="CA249" s="77"/>
      <c r="CB249" s="77"/>
      <c r="CC249" s="77"/>
      <c r="CD249" s="77"/>
      <c r="CE249" s="77"/>
      <c r="CF249" s="77"/>
      <c r="CG249" s="77"/>
      <c r="CH249" s="77"/>
      <c r="CI249" s="77"/>
      <c r="CJ249" s="77"/>
      <c r="CK249" s="77"/>
      <c r="CL249" s="77"/>
      <c r="CM249" s="77"/>
      <c r="CN249" s="77"/>
      <c r="CO249" s="77"/>
      <c r="CP249" s="77"/>
      <c r="CQ249" s="77"/>
      <c r="CR249" s="77"/>
      <c r="CS249" s="77"/>
      <c r="CT249" s="77"/>
      <c r="CU249" s="77"/>
      <c r="CV249" s="77"/>
      <c r="CW249" s="77"/>
      <c r="CX249" s="77"/>
      <c r="CY249" s="77"/>
      <c r="CZ249" s="77"/>
      <c r="DA249" s="77"/>
      <c r="DB249" s="77"/>
      <c r="DC249" s="77"/>
      <c r="DD249" s="77"/>
      <c r="DE249" s="77"/>
      <c r="DF249" s="77"/>
      <c r="DG249" s="77"/>
      <c r="DH249" s="77"/>
      <c r="DI249" s="77"/>
      <c r="DJ249" s="77"/>
      <c r="DK249" s="77"/>
      <c r="DL249" s="77"/>
      <c r="DM249" s="77"/>
      <c r="DN249" s="77"/>
      <c r="DO249" s="77"/>
      <c r="DP249" s="77"/>
      <c r="DQ249" s="77"/>
      <c r="DR249" s="77"/>
      <c r="DS249" s="77"/>
      <c r="DT249" s="77"/>
      <c r="DU249" s="77"/>
      <c r="DV249" s="77"/>
      <c r="DW249" s="77"/>
      <c r="DX249" s="77"/>
      <c r="DY249" s="77"/>
      <c r="DZ249" s="77"/>
      <c r="EA249" s="77"/>
      <c r="EB249" s="77"/>
      <c r="EC249" s="77"/>
      <c r="ED249" s="77"/>
      <c r="EE249" s="77"/>
      <c r="EF249" s="77"/>
      <c r="EG249" s="77"/>
      <c r="EH249" s="77"/>
      <c r="EI249" s="77"/>
      <c r="EJ249" s="77"/>
      <c r="EK249" s="77"/>
      <c r="EL249" s="77"/>
    </row>
    <row r="250" spans="1:142" s="78" customFormat="1">
      <c r="A250" s="89"/>
      <c r="B250" s="87" t="s">
        <v>686</v>
      </c>
      <c r="C250" s="87" t="s">
        <v>888</v>
      </c>
      <c r="D250" s="87"/>
      <c r="E250" s="130">
        <v>7.0999999999999994E-2</v>
      </c>
      <c r="F250" s="130">
        <f>E250</f>
        <v>7.0999999999999994E-2</v>
      </c>
      <c r="G250" s="130">
        <f t="shared" ref="G250:AM250" si="55">F250</f>
        <v>7.0999999999999994E-2</v>
      </c>
      <c r="H250" s="130">
        <f t="shared" si="55"/>
        <v>7.0999999999999994E-2</v>
      </c>
      <c r="I250" s="130">
        <f t="shared" si="55"/>
        <v>7.0999999999999994E-2</v>
      </c>
      <c r="J250" s="130">
        <f t="shared" si="55"/>
        <v>7.0999999999999994E-2</v>
      </c>
      <c r="K250" s="130">
        <f t="shared" si="55"/>
        <v>7.0999999999999994E-2</v>
      </c>
      <c r="L250" s="130">
        <f t="shared" si="55"/>
        <v>7.0999999999999994E-2</v>
      </c>
      <c r="M250" s="130">
        <f t="shared" si="55"/>
        <v>7.0999999999999994E-2</v>
      </c>
      <c r="N250" s="130">
        <f t="shared" si="55"/>
        <v>7.0999999999999994E-2</v>
      </c>
      <c r="O250" s="130">
        <f t="shared" si="55"/>
        <v>7.0999999999999994E-2</v>
      </c>
      <c r="P250" s="130">
        <f t="shared" si="55"/>
        <v>7.0999999999999994E-2</v>
      </c>
      <c r="Q250" s="130">
        <f t="shared" si="55"/>
        <v>7.0999999999999994E-2</v>
      </c>
      <c r="R250" s="130">
        <f t="shared" si="55"/>
        <v>7.0999999999999994E-2</v>
      </c>
      <c r="S250" s="130">
        <f t="shared" si="55"/>
        <v>7.0999999999999994E-2</v>
      </c>
      <c r="T250" s="130">
        <f t="shared" si="55"/>
        <v>7.0999999999999994E-2</v>
      </c>
      <c r="U250" s="130">
        <f t="shared" si="55"/>
        <v>7.0999999999999994E-2</v>
      </c>
      <c r="V250" s="130">
        <f t="shared" si="55"/>
        <v>7.0999999999999994E-2</v>
      </c>
      <c r="W250" s="130">
        <f t="shared" si="55"/>
        <v>7.0999999999999994E-2</v>
      </c>
      <c r="X250" s="130">
        <f t="shared" si="55"/>
        <v>7.0999999999999994E-2</v>
      </c>
      <c r="Y250" s="130">
        <f t="shared" si="55"/>
        <v>7.0999999999999994E-2</v>
      </c>
      <c r="Z250" s="130">
        <f t="shared" si="55"/>
        <v>7.0999999999999994E-2</v>
      </c>
      <c r="AA250" s="130">
        <f t="shared" si="55"/>
        <v>7.0999999999999994E-2</v>
      </c>
      <c r="AB250" s="130">
        <f t="shared" si="55"/>
        <v>7.0999999999999994E-2</v>
      </c>
      <c r="AC250" s="130">
        <f t="shared" si="55"/>
        <v>7.0999999999999994E-2</v>
      </c>
      <c r="AD250" s="130">
        <f t="shared" si="55"/>
        <v>7.0999999999999994E-2</v>
      </c>
      <c r="AE250" s="130">
        <f t="shared" si="55"/>
        <v>7.0999999999999994E-2</v>
      </c>
      <c r="AF250" s="130">
        <f t="shared" si="55"/>
        <v>7.0999999999999994E-2</v>
      </c>
      <c r="AG250" s="130">
        <f t="shared" si="55"/>
        <v>7.0999999999999994E-2</v>
      </c>
      <c r="AH250" s="130">
        <f t="shared" si="55"/>
        <v>7.0999999999999994E-2</v>
      </c>
      <c r="AI250" s="130">
        <f t="shared" si="55"/>
        <v>7.0999999999999994E-2</v>
      </c>
      <c r="AJ250" s="130">
        <f t="shared" si="55"/>
        <v>7.0999999999999994E-2</v>
      </c>
      <c r="AK250" s="130">
        <f t="shared" si="55"/>
        <v>7.0999999999999994E-2</v>
      </c>
      <c r="AL250" s="130">
        <f t="shared" si="55"/>
        <v>7.0999999999999994E-2</v>
      </c>
      <c r="AM250" s="130">
        <f t="shared" si="55"/>
        <v>7.0999999999999994E-2</v>
      </c>
      <c r="AN250" s="77"/>
      <c r="AO250" s="77"/>
      <c r="AP250" s="77"/>
      <c r="AQ250" s="77"/>
      <c r="AR250" s="77"/>
      <c r="AS250" s="77"/>
      <c r="AT250" s="77"/>
      <c r="AU250" s="77"/>
      <c r="AV250" s="77"/>
      <c r="AW250" s="77"/>
      <c r="AX250" s="77"/>
      <c r="AY250" s="77"/>
      <c r="AZ250" s="77"/>
      <c r="BA250" s="77"/>
      <c r="BB250" s="77"/>
      <c r="BC250" s="77"/>
      <c r="BD250" s="77"/>
      <c r="BE250" s="77"/>
      <c r="BF250" s="77"/>
      <c r="BG250" s="77"/>
      <c r="BH250" s="77"/>
      <c r="BI250" s="77"/>
      <c r="BJ250" s="77"/>
      <c r="BK250" s="77"/>
      <c r="BL250" s="77"/>
      <c r="BM250" s="77"/>
      <c r="BN250" s="77"/>
      <c r="BO250" s="77"/>
      <c r="BP250" s="77"/>
      <c r="BQ250" s="77"/>
      <c r="BR250" s="77"/>
      <c r="BS250" s="77"/>
      <c r="BT250" s="77"/>
      <c r="BU250" s="77"/>
      <c r="BV250" s="77"/>
      <c r="BW250" s="77"/>
      <c r="BX250" s="77"/>
      <c r="BY250" s="77"/>
      <c r="BZ250" s="77"/>
      <c r="CA250" s="77"/>
      <c r="CB250" s="77"/>
      <c r="CC250" s="77"/>
      <c r="CD250" s="77"/>
      <c r="CE250" s="77"/>
      <c r="CF250" s="77"/>
      <c r="CG250" s="77"/>
      <c r="CH250" s="77"/>
      <c r="CI250" s="77"/>
      <c r="CJ250" s="77"/>
      <c r="CK250" s="77"/>
      <c r="CL250" s="77"/>
      <c r="CM250" s="77"/>
      <c r="CN250" s="77"/>
      <c r="CO250" s="77"/>
      <c r="CP250" s="77"/>
      <c r="CQ250" s="77"/>
      <c r="CR250" s="77"/>
      <c r="CS250" s="77"/>
      <c r="CT250" s="77"/>
      <c r="CU250" s="77"/>
      <c r="CV250" s="77"/>
      <c r="CW250" s="77"/>
      <c r="CX250" s="77"/>
      <c r="CY250" s="77"/>
      <c r="CZ250" s="77"/>
      <c r="DA250" s="77"/>
      <c r="DB250" s="77"/>
      <c r="DC250" s="77"/>
      <c r="DD250" s="77"/>
      <c r="DE250" s="77"/>
      <c r="DF250" s="77"/>
      <c r="DG250" s="77"/>
      <c r="DH250" s="77"/>
      <c r="DI250" s="77"/>
      <c r="DJ250" s="77"/>
      <c r="DK250" s="77"/>
      <c r="DL250" s="77"/>
      <c r="DM250" s="77"/>
      <c r="DN250" s="77"/>
      <c r="DO250" s="77"/>
      <c r="DP250" s="77"/>
      <c r="DQ250" s="77"/>
      <c r="DR250" s="77"/>
      <c r="DS250" s="77"/>
      <c r="DT250" s="77"/>
      <c r="DU250" s="77"/>
      <c r="DV250" s="77"/>
      <c r="DW250" s="77"/>
      <c r="DX250" s="77"/>
      <c r="DY250" s="77"/>
      <c r="DZ250" s="77"/>
      <c r="EA250" s="77"/>
      <c r="EB250" s="77"/>
      <c r="EC250" s="77"/>
      <c r="ED250" s="77"/>
      <c r="EE250" s="77"/>
      <c r="EF250" s="77"/>
      <c r="EG250" s="77"/>
      <c r="EH250" s="77"/>
      <c r="EI250" s="77"/>
      <c r="EJ250" s="77"/>
      <c r="EK250" s="77"/>
      <c r="EL250" s="77"/>
    </row>
    <row r="251" spans="1:142" s="78" customFormat="1">
      <c r="A251" s="89"/>
      <c r="B251" s="87" t="s">
        <v>914</v>
      </c>
      <c r="C251" s="539" t="s">
        <v>886</v>
      </c>
      <c r="D251" s="87"/>
      <c r="E251" s="684">
        <v>5.0000000000000001E-3</v>
      </c>
      <c r="F251" s="684">
        <f>E251</f>
        <v>5.0000000000000001E-3</v>
      </c>
      <c r="G251" s="684">
        <f t="shared" ref="G251:AM251" si="56">F251</f>
        <v>5.0000000000000001E-3</v>
      </c>
      <c r="H251" s="684">
        <f t="shared" si="56"/>
        <v>5.0000000000000001E-3</v>
      </c>
      <c r="I251" s="684">
        <f t="shared" si="56"/>
        <v>5.0000000000000001E-3</v>
      </c>
      <c r="J251" s="684">
        <f t="shared" si="56"/>
        <v>5.0000000000000001E-3</v>
      </c>
      <c r="K251" s="684">
        <f t="shared" si="56"/>
        <v>5.0000000000000001E-3</v>
      </c>
      <c r="L251" s="684">
        <f t="shared" si="56"/>
        <v>5.0000000000000001E-3</v>
      </c>
      <c r="M251" s="684">
        <f t="shared" si="56"/>
        <v>5.0000000000000001E-3</v>
      </c>
      <c r="N251" s="684">
        <f t="shared" si="56"/>
        <v>5.0000000000000001E-3</v>
      </c>
      <c r="O251" s="684">
        <f t="shared" si="56"/>
        <v>5.0000000000000001E-3</v>
      </c>
      <c r="P251" s="684">
        <f t="shared" si="56"/>
        <v>5.0000000000000001E-3</v>
      </c>
      <c r="Q251" s="684">
        <f t="shared" si="56"/>
        <v>5.0000000000000001E-3</v>
      </c>
      <c r="R251" s="684">
        <f t="shared" si="56"/>
        <v>5.0000000000000001E-3</v>
      </c>
      <c r="S251" s="684">
        <f t="shared" si="56"/>
        <v>5.0000000000000001E-3</v>
      </c>
      <c r="T251" s="684">
        <f t="shared" si="56"/>
        <v>5.0000000000000001E-3</v>
      </c>
      <c r="U251" s="684">
        <f t="shared" si="56"/>
        <v>5.0000000000000001E-3</v>
      </c>
      <c r="V251" s="684">
        <f t="shared" si="56"/>
        <v>5.0000000000000001E-3</v>
      </c>
      <c r="W251" s="684">
        <f t="shared" si="56"/>
        <v>5.0000000000000001E-3</v>
      </c>
      <c r="X251" s="684">
        <f t="shared" si="56"/>
        <v>5.0000000000000001E-3</v>
      </c>
      <c r="Y251" s="684">
        <f t="shared" si="56"/>
        <v>5.0000000000000001E-3</v>
      </c>
      <c r="Z251" s="684">
        <f t="shared" si="56"/>
        <v>5.0000000000000001E-3</v>
      </c>
      <c r="AA251" s="684">
        <f t="shared" si="56"/>
        <v>5.0000000000000001E-3</v>
      </c>
      <c r="AB251" s="684">
        <f t="shared" si="56"/>
        <v>5.0000000000000001E-3</v>
      </c>
      <c r="AC251" s="684">
        <f t="shared" si="56"/>
        <v>5.0000000000000001E-3</v>
      </c>
      <c r="AD251" s="684">
        <f t="shared" si="56"/>
        <v>5.0000000000000001E-3</v>
      </c>
      <c r="AE251" s="684">
        <f t="shared" si="56"/>
        <v>5.0000000000000001E-3</v>
      </c>
      <c r="AF251" s="684">
        <f t="shared" si="56"/>
        <v>5.0000000000000001E-3</v>
      </c>
      <c r="AG251" s="684">
        <f t="shared" si="56"/>
        <v>5.0000000000000001E-3</v>
      </c>
      <c r="AH251" s="684">
        <f t="shared" si="56"/>
        <v>5.0000000000000001E-3</v>
      </c>
      <c r="AI251" s="684">
        <f t="shared" si="56"/>
        <v>5.0000000000000001E-3</v>
      </c>
      <c r="AJ251" s="684">
        <f t="shared" si="56"/>
        <v>5.0000000000000001E-3</v>
      </c>
      <c r="AK251" s="684">
        <f t="shared" si="56"/>
        <v>5.0000000000000001E-3</v>
      </c>
      <c r="AL251" s="684">
        <f t="shared" si="56"/>
        <v>5.0000000000000001E-3</v>
      </c>
      <c r="AM251" s="684">
        <f t="shared" si="56"/>
        <v>5.0000000000000001E-3</v>
      </c>
      <c r="AN251" s="77"/>
      <c r="AO251" s="77"/>
      <c r="AP251" s="77"/>
      <c r="AQ251" s="77"/>
      <c r="AR251" s="77"/>
      <c r="AS251" s="77"/>
      <c r="AT251" s="77"/>
      <c r="AU251" s="77"/>
      <c r="AV251" s="77"/>
      <c r="AW251" s="77"/>
      <c r="AX251" s="77"/>
      <c r="AY251" s="77"/>
      <c r="AZ251" s="77"/>
      <c r="BA251" s="77"/>
      <c r="BB251" s="77"/>
      <c r="BC251" s="77"/>
      <c r="BD251" s="77"/>
      <c r="BE251" s="77"/>
      <c r="BF251" s="77"/>
      <c r="BG251" s="77"/>
      <c r="BH251" s="77"/>
      <c r="BI251" s="77"/>
      <c r="BJ251" s="77"/>
      <c r="BK251" s="77"/>
      <c r="BL251" s="77"/>
      <c r="BM251" s="77"/>
      <c r="BN251" s="77"/>
      <c r="BO251" s="77"/>
      <c r="BP251" s="77"/>
      <c r="BQ251" s="77"/>
      <c r="BR251" s="77"/>
      <c r="BS251" s="77"/>
      <c r="BT251" s="77"/>
      <c r="BU251" s="77"/>
      <c r="BV251" s="77"/>
      <c r="BW251" s="77"/>
      <c r="BX251" s="77"/>
      <c r="BY251" s="77"/>
      <c r="BZ251" s="77"/>
      <c r="CA251" s="77"/>
      <c r="CB251" s="77"/>
      <c r="CC251" s="77"/>
      <c r="CD251" s="77"/>
      <c r="CE251" s="77"/>
      <c r="CF251" s="77"/>
      <c r="CG251" s="77"/>
      <c r="CH251" s="77"/>
      <c r="CI251" s="77"/>
      <c r="CJ251" s="77"/>
      <c r="CK251" s="77"/>
      <c r="CL251" s="77"/>
      <c r="CM251" s="77"/>
      <c r="CN251" s="77"/>
      <c r="CO251" s="77"/>
      <c r="CP251" s="77"/>
      <c r="CQ251" s="77"/>
      <c r="CR251" s="77"/>
      <c r="CS251" s="77"/>
      <c r="CT251" s="77"/>
      <c r="CU251" s="77"/>
      <c r="CV251" s="77"/>
      <c r="CW251" s="77"/>
      <c r="CX251" s="77"/>
      <c r="CY251" s="77"/>
      <c r="CZ251" s="77"/>
      <c r="DA251" s="77"/>
      <c r="DB251" s="77"/>
      <c r="DC251" s="77"/>
      <c r="DD251" s="77"/>
      <c r="DE251" s="77"/>
      <c r="DF251" s="77"/>
      <c r="DG251" s="77"/>
      <c r="DH251" s="77"/>
      <c r="DI251" s="77"/>
      <c r="DJ251" s="77"/>
      <c r="DK251" s="77"/>
      <c r="DL251" s="77"/>
      <c r="DM251" s="77"/>
      <c r="DN251" s="77"/>
      <c r="DO251" s="77"/>
      <c r="DP251" s="77"/>
      <c r="DQ251" s="77"/>
      <c r="DR251" s="77"/>
      <c r="DS251" s="77"/>
      <c r="DT251" s="77"/>
      <c r="DU251" s="77"/>
      <c r="DV251" s="77"/>
      <c r="DW251" s="77"/>
      <c r="DX251" s="77"/>
      <c r="DY251" s="77"/>
      <c r="DZ251" s="77"/>
      <c r="EA251" s="77"/>
      <c r="EB251" s="77"/>
      <c r="EC251" s="77"/>
      <c r="ED251" s="77"/>
      <c r="EE251" s="77"/>
      <c r="EF251" s="77"/>
      <c r="EG251" s="77"/>
      <c r="EH251" s="77"/>
      <c r="EI251" s="77"/>
      <c r="EJ251" s="77"/>
      <c r="EK251" s="77"/>
      <c r="EL251" s="77"/>
    </row>
    <row r="252" spans="1:142" s="78" customFormat="1">
      <c r="A252" s="89"/>
      <c r="B252" s="87" t="s">
        <v>133</v>
      </c>
      <c r="C252" s="87" t="s">
        <v>885</v>
      </c>
      <c r="D252" s="87"/>
      <c r="E252" s="130">
        <v>1.4999999999999999E-2</v>
      </c>
      <c r="F252" s="130">
        <f>E252</f>
        <v>1.4999999999999999E-2</v>
      </c>
      <c r="G252" s="130">
        <f t="shared" ref="G252:P252" si="57">F252</f>
        <v>1.4999999999999999E-2</v>
      </c>
      <c r="H252" s="130">
        <f t="shared" si="57"/>
        <v>1.4999999999999999E-2</v>
      </c>
      <c r="I252" s="130">
        <f t="shared" si="57"/>
        <v>1.4999999999999999E-2</v>
      </c>
      <c r="J252" s="130">
        <f t="shared" si="57"/>
        <v>1.4999999999999999E-2</v>
      </c>
      <c r="K252" s="130">
        <f t="shared" si="57"/>
        <v>1.4999999999999999E-2</v>
      </c>
      <c r="L252" s="130">
        <f t="shared" si="57"/>
        <v>1.4999999999999999E-2</v>
      </c>
      <c r="M252" s="130">
        <f t="shared" si="57"/>
        <v>1.4999999999999999E-2</v>
      </c>
      <c r="N252" s="130">
        <f t="shared" si="57"/>
        <v>1.4999999999999999E-2</v>
      </c>
      <c r="O252" s="130">
        <f t="shared" si="57"/>
        <v>1.4999999999999999E-2</v>
      </c>
      <c r="P252" s="130">
        <f t="shared" si="57"/>
        <v>1.4999999999999999E-2</v>
      </c>
      <c r="Q252" s="130">
        <f>P252+0.0005</f>
        <v>1.55E-2</v>
      </c>
      <c r="R252" s="130">
        <f t="shared" ref="R252:AM252" si="58">Q252+0.0005</f>
        <v>1.6E-2</v>
      </c>
      <c r="S252" s="130">
        <f t="shared" si="58"/>
        <v>1.6500000000000001E-2</v>
      </c>
      <c r="T252" s="130">
        <f t="shared" si="58"/>
        <v>1.7000000000000001E-2</v>
      </c>
      <c r="U252" s="130">
        <f t="shared" si="58"/>
        <v>1.7500000000000002E-2</v>
      </c>
      <c r="V252" s="130">
        <f t="shared" si="58"/>
        <v>1.8000000000000002E-2</v>
      </c>
      <c r="W252" s="130">
        <f t="shared" si="58"/>
        <v>1.8500000000000003E-2</v>
      </c>
      <c r="X252" s="130">
        <f t="shared" si="58"/>
        <v>1.9000000000000003E-2</v>
      </c>
      <c r="Y252" s="130">
        <f t="shared" si="58"/>
        <v>1.9500000000000003E-2</v>
      </c>
      <c r="Z252" s="130">
        <f t="shared" si="58"/>
        <v>2.0000000000000004E-2</v>
      </c>
      <c r="AA252" s="130">
        <f t="shared" si="58"/>
        <v>2.0500000000000004E-2</v>
      </c>
      <c r="AB252" s="130">
        <f t="shared" si="58"/>
        <v>2.1000000000000005E-2</v>
      </c>
      <c r="AC252" s="130">
        <f t="shared" si="58"/>
        <v>2.1500000000000005E-2</v>
      </c>
      <c r="AD252" s="130">
        <f t="shared" si="58"/>
        <v>2.2000000000000006E-2</v>
      </c>
      <c r="AE252" s="130">
        <f t="shared" si="58"/>
        <v>2.2500000000000006E-2</v>
      </c>
      <c r="AF252" s="130">
        <f t="shared" si="58"/>
        <v>2.3000000000000007E-2</v>
      </c>
      <c r="AG252" s="130">
        <f t="shared" si="58"/>
        <v>2.3500000000000007E-2</v>
      </c>
      <c r="AH252" s="130">
        <f t="shared" si="58"/>
        <v>2.4000000000000007E-2</v>
      </c>
      <c r="AI252" s="130">
        <f t="shared" si="58"/>
        <v>2.4500000000000008E-2</v>
      </c>
      <c r="AJ252" s="130">
        <f t="shared" si="58"/>
        <v>2.5000000000000008E-2</v>
      </c>
      <c r="AK252" s="130">
        <f t="shared" si="58"/>
        <v>2.5500000000000009E-2</v>
      </c>
      <c r="AL252" s="130">
        <f t="shared" si="58"/>
        <v>2.6000000000000009E-2</v>
      </c>
      <c r="AM252" s="130">
        <f t="shared" si="58"/>
        <v>2.650000000000001E-2</v>
      </c>
      <c r="AN252" s="77"/>
      <c r="AO252" s="77"/>
      <c r="AP252" s="77"/>
      <c r="AQ252" s="77"/>
      <c r="AR252" s="77"/>
      <c r="AS252" s="77"/>
      <c r="AT252" s="77"/>
      <c r="AU252" s="77"/>
      <c r="AV252" s="77"/>
      <c r="AW252" s="77"/>
      <c r="AX252" s="77"/>
      <c r="AY252" s="77"/>
      <c r="AZ252" s="77"/>
      <c r="BA252" s="77"/>
      <c r="BB252" s="77"/>
      <c r="BC252" s="77"/>
      <c r="BD252" s="77"/>
      <c r="BE252" s="77"/>
      <c r="BF252" s="77"/>
      <c r="BG252" s="77"/>
      <c r="BH252" s="77"/>
      <c r="BI252" s="77"/>
      <c r="BJ252" s="77"/>
      <c r="BK252" s="77"/>
      <c r="BL252" s="77"/>
      <c r="BM252" s="77"/>
      <c r="BN252" s="77"/>
      <c r="BO252" s="77"/>
      <c r="BP252" s="77"/>
      <c r="BQ252" s="77"/>
      <c r="BR252" s="77"/>
      <c r="BS252" s="77"/>
      <c r="BT252" s="77"/>
      <c r="BU252" s="77"/>
      <c r="BV252" s="77"/>
      <c r="BW252" s="77"/>
      <c r="BX252" s="77"/>
      <c r="BY252" s="77"/>
      <c r="BZ252" s="77"/>
      <c r="CA252" s="77"/>
      <c r="CB252" s="77"/>
      <c r="CC252" s="77"/>
      <c r="CD252" s="77"/>
      <c r="CE252" s="77"/>
      <c r="CF252" s="77"/>
      <c r="CG252" s="77"/>
      <c r="CH252" s="77"/>
      <c r="CI252" s="77"/>
      <c r="CJ252" s="77"/>
      <c r="CK252" s="77"/>
      <c r="CL252" s="77"/>
      <c r="CM252" s="77"/>
      <c r="CN252" s="77"/>
      <c r="CO252" s="77"/>
      <c r="CP252" s="77"/>
      <c r="CQ252" s="77"/>
      <c r="CR252" s="77"/>
      <c r="CS252" s="77"/>
      <c r="CT252" s="77"/>
      <c r="CU252" s="77"/>
      <c r="CV252" s="77"/>
      <c r="CW252" s="77"/>
      <c r="CX252" s="77"/>
      <c r="CY252" s="77"/>
      <c r="CZ252" s="77"/>
      <c r="DA252" s="77"/>
      <c r="DB252" s="77"/>
      <c r="DC252" s="77"/>
      <c r="DD252" s="77"/>
      <c r="DE252" s="77"/>
      <c r="DF252" s="77"/>
      <c r="DG252" s="77"/>
      <c r="DH252" s="77"/>
      <c r="DI252" s="77"/>
      <c r="DJ252" s="77"/>
      <c r="DK252" s="77"/>
      <c r="DL252" s="77"/>
      <c r="DM252" s="77"/>
      <c r="DN252" s="77"/>
      <c r="DO252" s="77"/>
      <c r="DP252" s="77"/>
      <c r="DQ252" s="77"/>
      <c r="DR252" s="77"/>
      <c r="DS252" s="77"/>
      <c r="DT252" s="77"/>
      <c r="DU252" s="77"/>
      <c r="DV252" s="77"/>
      <c r="DW252" s="77"/>
      <c r="DX252" s="77"/>
      <c r="DY252" s="77"/>
      <c r="DZ252" s="77"/>
      <c r="EA252" s="77"/>
      <c r="EB252" s="77"/>
      <c r="EC252" s="77"/>
      <c r="ED252" s="77"/>
      <c r="EE252" s="77"/>
      <c r="EF252" s="77"/>
      <c r="EG252" s="77"/>
      <c r="EH252" s="77"/>
      <c r="EI252" s="77"/>
      <c r="EJ252" s="77"/>
      <c r="EK252" s="77"/>
      <c r="EL252" s="77"/>
    </row>
    <row r="253" spans="1:142" s="78" customFormat="1">
      <c r="A253" s="89"/>
      <c r="B253" s="87" t="s">
        <v>162</v>
      </c>
      <c r="C253" s="87"/>
      <c r="D253" s="87"/>
      <c r="E253" s="713">
        <f>SUM(E250:E252)</f>
        <v>9.0999999999999998E-2</v>
      </c>
      <c r="F253" s="713">
        <f t="shared" ref="F253:AM253" si="59">SUM(F250:F252)</f>
        <v>9.0999999999999998E-2</v>
      </c>
      <c r="G253" s="713">
        <f t="shared" si="59"/>
        <v>9.0999999999999998E-2</v>
      </c>
      <c r="H253" s="713">
        <f t="shared" si="59"/>
        <v>9.0999999999999998E-2</v>
      </c>
      <c r="I253" s="713">
        <f t="shared" si="59"/>
        <v>9.0999999999999998E-2</v>
      </c>
      <c r="J253" s="713">
        <f t="shared" si="59"/>
        <v>9.0999999999999998E-2</v>
      </c>
      <c r="K253" s="713">
        <f t="shared" si="59"/>
        <v>9.0999999999999998E-2</v>
      </c>
      <c r="L253" s="713">
        <f t="shared" si="59"/>
        <v>9.0999999999999998E-2</v>
      </c>
      <c r="M253" s="713">
        <f t="shared" si="59"/>
        <v>9.0999999999999998E-2</v>
      </c>
      <c r="N253" s="713">
        <f t="shared" si="59"/>
        <v>9.0999999999999998E-2</v>
      </c>
      <c r="O253" s="713">
        <f t="shared" si="59"/>
        <v>9.0999999999999998E-2</v>
      </c>
      <c r="P253" s="713">
        <f t="shared" si="59"/>
        <v>9.0999999999999998E-2</v>
      </c>
      <c r="Q253" s="713">
        <f t="shared" si="59"/>
        <v>9.1499999999999998E-2</v>
      </c>
      <c r="R253" s="713">
        <f t="shared" si="59"/>
        <v>9.1999999999999998E-2</v>
      </c>
      <c r="S253" s="713">
        <f t="shared" si="59"/>
        <v>9.2499999999999999E-2</v>
      </c>
      <c r="T253" s="713">
        <f t="shared" si="59"/>
        <v>9.2999999999999999E-2</v>
      </c>
      <c r="U253" s="713">
        <f t="shared" si="59"/>
        <v>9.35E-2</v>
      </c>
      <c r="V253" s="713">
        <f t="shared" si="59"/>
        <v>9.4E-2</v>
      </c>
      <c r="W253" s="713">
        <f t="shared" si="59"/>
        <v>9.4500000000000001E-2</v>
      </c>
      <c r="X253" s="713">
        <f t="shared" si="59"/>
        <v>9.5000000000000001E-2</v>
      </c>
      <c r="Y253" s="713">
        <f t="shared" si="59"/>
        <v>9.5500000000000002E-2</v>
      </c>
      <c r="Z253" s="713">
        <f t="shared" si="59"/>
        <v>9.6000000000000002E-2</v>
      </c>
      <c r="AA253" s="713">
        <f t="shared" si="59"/>
        <v>9.6500000000000002E-2</v>
      </c>
      <c r="AB253" s="713">
        <f t="shared" si="59"/>
        <v>9.7000000000000003E-2</v>
      </c>
      <c r="AC253" s="713">
        <f t="shared" si="59"/>
        <v>9.7500000000000003E-2</v>
      </c>
      <c r="AD253" s="713">
        <f t="shared" si="59"/>
        <v>9.8000000000000004E-2</v>
      </c>
      <c r="AE253" s="713">
        <f t="shared" si="59"/>
        <v>9.8500000000000004E-2</v>
      </c>
      <c r="AF253" s="713">
        <f t="shared" si="59"/>
        <v>9.9000000000000005E-2</v>
      </c>
      <c r="AG253" s="713">
        <f t="shared" si="59"/>
        <v>9.9500000000000005E-2</v>
      </c>
      <c r="AH253" s="713">
        <f t="shared" si="59"/>
        <v>0.1</v>
      </c>
      <c r="AI253" s="713">
        <f t="shared" si="59"/>
        <v>0.10050000000000001</v>
      </c>
      <c r="AJ253" s="713">
        <f t="shared" si="59"/>
        <v>0.10100000000000001</v>
      </c>
      <c r="AK253" s="713">
        <f t="shared" si="59"/>
        <v>0.10150000000000001</v>
      </c>
      <c r="AL253" s="713">
        <f t="shared" si="59"/>
        <v>0.10200000000000001</v>
      </c>
      <c r="AM253" s="713">
        <f t="shared" si="59"/>
        <v>0.10250000000000001</v>
      </c>
      <c r="AN253" s="77"/>
      <c r="AO253" s="77"/>
      <c r="AP253" s="77"/>
      <c r="AQ253" s="77"/>
      <c r="AR253" s="77"/>
      <c r="AS253" s="77"/>
      <c r="AT253" s="77"/>
      <c r="AU253" s="77"/>
      <c r="AV253" s="77"/>
      <c r="AW253" s="77"/>
      <c r="AX253" s="77"/>
      <c r="AY253" s="77"/>
      <c r="AZ253" s="77"/>
      <c r="BA253" s="77"/>
      <c r="BB253" s="77"/>
      <c r="BC253" s="77"/>
      <c r="BD253" s="77"/>
      <c r="BE253" s="77"/>
      <c r="BF253" s="77"/>
      <c r="BG253" s="77"/>
      <c r="BH253" s="77"/>
      <c r="BI253" s="77"/>
      <c r="BJ253" s="77"/>
      <c r="BK253" s="77"/>
      <c r="BL253" s="77"/>
      <c r="BM253" s="77"/>
      <c r="BN253" s="77"/>
      <c r="BO253" s="77"/>
      <c r="BP253" s="77"/>
      <c r="BQ253" s="77"/>
      <c r="BR253" s="77"/>
      <c r="BS253" s="77"/>
      <c r="BT253" s="77"/>
      <c r="BU253" s="77"/>
      <c r="BV253" s="77"/>
      <c r="BW253" s="77"/>
      <c r="BX253" s="77"/>
      <c r="BY253" s="77"/>
      <c r="BZ253" s="77"/>
      <c r="CA253" s="77"/>
      <c r="CB253" s="77"/>
      <c r="CC253" s="77"/>
      <c r="CD253" s="77"/>
      <c r="CE253" s="77"/>
      <c r="CF253" s="77"/>
      <c r="CG253" s="77"/>
      <c r="CH253" s="77"/>
      <c r="CI253" s="77"/>
      <c r="CJ253" s="77"/>
      <c r="CK253" s="77"/>
      <c r="CL253" s="77"/>
      <c r="CM253" s="77"/>
      <c r="CN253" s="77"/>
      <c r="CO253" s="77"/>
      <c r="CP253" s="77"/>
      <c r="CQ253" s="77"/>
      <c r="CR253" s="77"/>
      <c r="CS253" s="77"/>
      <c r="CT253" s="77"/>
      <c r="CU253" s="77"/>
      <c r="CV253" s="77"/>
      <c r="CW253" s="77"/>
      <c r="CX253" s="77"/>
      <c r="CY253" s="77"/>
      <c r="CZ253" s="77"/>
      <c r="DA253" s="77"/>
      <c r="DB253" s="77"/>
      <c r="DC253" s="77"/>
      <c r="DD253" s="77"/>
      <c r="DE253" s="77"/>
      <c r="DF253" s="77"/>
      <c r="DG253" s="77"/>
      <c r="DH253" s="77"/>
      <c r="DI253" s="77"/>
      <c r="DJ253" s="77"/>
      <c r="DK253" s="77"/>
      <c r="DL253" s="77"/>
      <c r="DM253" s="77"/>
      <c r="DN253" s="77"/>
      <c r="DO253" s="77"/>
      <c r="DP253" s="77"/>
      <c r="DQ253" s="77"/>
      <c r="DR253" s="77"/>
      <c r="DS253" s="77"/>
      <c r="DT253" s="77"/>
      <c r="DU253" s="77"/>
      <c r="DV253" s="77"/>
      <c r="DW253" s="77"/>
      <c r="DX253" s="77"/>
      <c r="DY253" s="77"/>
      <c r="DZ253" s="77"/>
      <c r="EA253" s="77"/>
      <c r="EB253" s="77"/>
      <c r="EC253" s="77"/>
      <c r="ED253" s="77"/>
      <c r="EE253" s="77"/>
      <c r="EF253" s="77"/>
      <c r="EG253" s="77"/>
      <c r="EH253" s="77"/>
      <c r="EI253" s="77"/>
      <c r="EJ253" s="77"/>
      <c r="EK253" s="77"/>
      <c r="EL253" s="77"/>
    </row>
    <row r="254" spans="1:142" s="78" customFormat="1">
      <c r="A254" s="79"/>
      <c r="B254" s="87"/>
      <c r="C254" s="87"/>
      <c r="D254" s="87"/>
      <c r="E254" s="87"/>
      <c r="F254" s="87"/>
      <c r="G254" s="87"/>
      <c r="H254" s="539" t="s">
        <v>445</v>
      </c>
      <c r="I254" s="87"/>
      <c r="J254" s="87"/>
      <c r="K254" s="87"/>
      <c r="L254" s="87"/>
      <c r="M254" s="87"/>
      <c r="N254" s="87"/>
      <c r="O254" s="87"/>
      <c r="P254" s="87"/>
      <c r="Q254" s="87"/>
      <c r="R254" s="87"/>
      <c r="S254" s="87"/>
      <c r="T254" s="87"/>
      <c r="U254" s="87"/>
      <c r="V254" s="87"/>
      <c r="W254" s="87"/>
      <c r="X254" s="87"/>
      <c r="Y254" s="87"/>
      <c r="Z254" s="87"/>
      <c r="AA254" s="87"/>
      <c r="AB254" s="87"/>
      <c r="AC254" s="87"/>
      <c r="AD254" s="87"/>
      <c r="AE254" s="87"/>
      <c r="AF254" s="87"/>
      <c r="AG254" s="87"/>
      <c r="AH254" s="87"/>
      <c r="AI254" s="87"/>
      <c r="AJ254" s="87"/>
      <c r="AK254" s="87"/>
      <c r="AL254" s="87"/>
      <c r="AM254" s="87"/>
      <c r="AN254" s="79"/>
      <c r="AO254" s="79"/>
      <c r="AP254" s="79"/>
      <c r="AQ254" s="79"/>
      <c r="AR254" s="79"/>
      <c r="AS254" s="79"/>
      <c r="AT254" s="79"/>
      <c r="AU254" s="79"/>
      <c r="AV254" s="79"/>
      <c r="AW254" s="79"/>
      <c r="AX254" s="79"/>
      <c r="AY254" s="79"/>
      <c r="AZ254" s="79"/>
      <c r="BA254" s="79"/>
      <c r="BB254" s="79"/>
      <c r="BC254" s="79"/>
      <c r="BD254" s="79"/>
      <c r="BE254" s="79"/>
      <c r="BF254" s="79"/>
      <c r="BG254" s="79"/>
      <c r="BH254" s="79"/>
      <c r="BI254" s="79"/>
      <c r="BJ254" s="79"/>
      <c r="BK254" s="79"/>
      <c r="BL254" s="79"/>
      <c r="BM254" s="79"/>
      <c r="BN254" s="79"/>
      <c r="BO254" s="79"/>
      <c r="BP254" s="79"/>
      <c r="BQ254" s="79"/>
      <c r="BR254" s="79"/>
      <c r="BS254" s="79"/>
      <c r="BT254" s="79"/>
      <c r="BU254" s="79"/>
      <c r="BV254" s="79"/>
      <c r="BW254" s="79"/>
      <c r="BX254" s="79"/>
      <c r="BY254" s="79"/>
      <c r="BZ254" s="79"/>
      <c r="CA254" s="79"/>
      <c r="CB254" s="79"/>
      <c r="CC254" s="79"/>
      <c r="CD254" s="79"/>
      <c r="CE254" s="79"/>
      <c r="CF254" s="79"/>
      <c r="CG254" s="79"/>
      <c r="CH254" s="79"/>
      <c r="CI254" s="79"/>
      <c r="CJ254" s="79"/>
      <c r="CK254" s="79"/>
      <c r="CL254" s="79"/>
      <c r="CM254" s="79"/>
      <c r="CN254" s="79"/>
      <c r="CO254" s="79"/>
      <c r="CP254" s="79"/>
      <c r="CQ254" s="79"/>
      <c r="CR254" s="79"/>
      <c r="CS254" s="79"/>
      <c r="CT254" s="79"/>
      <c r="CU254" s="79"/>
      <c r="CV254" s="79"/>
      <c r="CW254" s="79"/>
      <c r="CX254" s="79"/>
      <c r="CY254" s="79"/>
      <c r="CZ254" s="79"/>
      <c r="DA254" s="79"/>
      <c r="DB254" s="79"/>
      <c r="DC254" s="79"/>
      <c r="DD254" s="79"/>
      <c r="DE254" s="79"/>
      <c r="DF254" s="79"/>
      <c r="DG254" s="79"/>
      <c r="DH254" s="79"/>
      <c r="DI254" s="79"/>
      <c r="DJ254" s="79"/>
      <c r="DK254" s="79"/>
      <c r="DL254" s="79"/>
      <c r="DM254" s="79"/>
      <c r="DN254" s="79"/>
      <c r="DO254" s="79"/>
      <c r="DP254" s="79"/>
      <c r="DQ254" s="79"/>
      <c r="DR254" s="79"/>
      <c r="DS254" s="79"/>
      <c r="DT254" s="79"/>
      <c r="DU254" s="79"/>
      <c r="DV254" s="79"/>
      <c r="DW254" s="79"/>
      <c r="DX254" s="79"/>
      <c r="DY254" s="79"/>
      <c r="DZ254" s="79"/>
      <c r="EA254" s="79"/>
      <c r="EB254" s="79"/>
      <c r="EC254" s="79"/>
      <c r="ED254" s="79"/>
      <c r="EE254" s="79"/>
      <c r="EF254" s="79"/>
      <c r="EG254" s="79"/>
      <c r="EH254" s="79"/>
      <c r="EI254" s="79"/>
      <c r="EJ254" s="79"/>
      <c r="EK254" s="79"/>
      <c r="EL254" s="79"/>
    </row>
    <row r="256" spans="1:142" s="78" customFormat="1">
      <c r="A256" s="89"/>
      <c r="B256" s="87"/>
      <c r="D256" s="87"/>
      <c r="E256" s="712"/>
      <c r="F256" s="712"/>
      <c r="G256" s="712"/>
      <c r="H256" s="712"/>
      <c r="I256" s="712"/>
      <c r="J256" s="712"/>
      <c r="K256" s="712"/>
      <c r="L256" s="712"/>
      <c r="M256" s="712"/>
      <c r="N256" s="712"/>
      <c r="O256" s="712"/>
      <c r="P256" s="712"/>
      <c r="Q256" s="712"/>
      <c r="R256" s="712"/>
      <c r="S256" s="712"/>
      <c r="T256" s="712"/>
      <c r="U256" s="712"/>
      <c r="V256" s="712"/>
      <c r="W256" s="712"/>
      <c r="X256" s="712"/>
      <c r="Y256" s="712"/>
      <c r="Z256" s="712"/>
      <c r="AA256" s="712"/>
      <c r="AB256" s="712"/>
      <c r="AC256" s="712"/>
      <c r="AD256" s="712"/>
      <c r="AE256" s="712"/>
      <c r="AF256" s="712"/>
      <c r="AG256" s="712"/>
      <c r="AH256" s="712"/>
      <c r="AI256" s="712"/>
      <c r="AJ256" s="712"/>
      <c r="AK256" s="712"/>
      <c r="AL256" s="712"/>
      <c r="AM256" s="712"/>
      <c r="AN256" s="89"/>
      <c r="AO256" s="89"/>
      <c r="AP256" s="89"/>
      <c r="AQ256" s="89"/>
      <c r="AR256" s="89"/>
      <c r="AS256" s="77"/>
      <c r="AT256" s="77"/>
      <c r="AU256" s="77"/>
      <c r="AV256" s="77"/>
      <c r="AW256" s="77"/>
      <c r="AX256" s="77"/>
      <c r="AY256" s="77"/>
      <c r="AZ256" s="77"/>
      <c r="BA256" s="77"/>
      <c r="BB256" s="77"/>
      <c r="BC256" s="77"/>
      <c r="BD256" s="77"/>
      <c r="BE256" s="77"/>
      <c r="BF256" s="77"/>
      <c r="BG256" s="77"/>
      <c r="BH256" s="77"/>
      <c r="BI256" s="77"/>
      <c r="BJ256" s="77"/>
      <c r="BK256" s="77"/>
      <c r="BL256" s="77"/>
      <c r="BM256" s="77"/>
      <c r="BN256" s="77"/>
      <c r="BO256" s="77"/>
      <c r="BP256" s="77"/>
      <c r="BQ256" s="77"/>
      <c r="BR256" s="77"/>
      <c r="BS256" s="77"/>
      <c r="BT256" s="77"/>
      <c r="BU256" s="77"/>
      <c r="BV256" s="77"/>
      <c r="BW256" s="77"/>
      <c r="BX256" s="77"/>
      <c r="BY256" s="77"/>
      <c r="BZ256" s="77"/>
      <c r="CA256" s="77"/>
      <c r="CB256" s="77"/>
      <c r="CC256" s="77"/>
      <c r="CD256" s="77"/>
      <c r="CE256" s="77"/>
      <c r="CF256" s="77"/>
      <c r="CG256" s="77"/>
      <c r="CH256" s="77"/>
      <c r="CI256" s="77"/>
      <c r="CJ256" s="77"/>
      <c r="CK256" s="77"/>
      <c r="CL256" s="77"/>
      <c r="CM256" s="77"/>
      <c r="CN256" s="77"/>
      <c r="CO256" s="77"/>
      <c r="CP256" s="77"/>
      <c r="CQ256" s="77"/>
      <c r="CR256" s="77"/>
      <c r="CS256" s="77"/>
      <c r="CT256" s="77"/>
      <c r="CU256" s="77"/>
      <c r="CV256" s="77"/>
      <c r="CW256" s="77"/>
      <c r="CX256" s="77"/>
      <c r="CY256" s="77"/>
      <c r="CZ256" s="77"/>
      <c r="DA256" s="77"/>
      <c r="DB256" s="77"/>
      <c r="DC256" s="77"/>
      <c r="DD256" s="77"/>
      <c r="DE256" s="77"/>
      <c r="DF256" s="77"/>
      <c r="DG256" s="77"/>
      <c r="DH256" s="77"/>
      <c r="DI256" s="77"/>
      <c r="DJ256" s="77"/>
      <c r="DK256" s="77"/>
      <c r="DL256" s="77"/>
      <c r="DM256" s="77"/>
      <c r="DN256" s="77"/>
      <c r="DO256" s="77"/>
      <c r="DP256" s="77"/>
      <c r="DQ256" s="77"/>
      <c r="DR256" s="77"/>
      <c r="DS256" s="77"/>
      <c r="DT256" s="77"/>
      <c r="DU256" s="77"/>
      <c r="DV256" s="77"/>
      <c r="DW256" s="77"/>
      <c r="DX256" s="77"/>
      <c r="DY256" s="77"/>
      <c r="DZ256" s="77"/>
      <c r="EA256" s="77"/>
      <c r="EB256" s="77"/>
      <c r="EC256" s="77"/>
      <c r="ED256" s="77"/>
      <c r="EE256" s="77"/>
      <c r="EF256" s="77"/>
      <c r="EG256" s="77"/>
      <c r="EH256" s="77"/>
      <c r="EI256" s="77"/>
      <c r="EJ256" s="77"/>
      <c r="EK256" s="77"/>
      <c r="EL256" s="77"/>
    </row>
    <row r="257" spans="1:142" s="78" customFormat="1">
      <c r="A257" s="89"/>
      <c r="B257" s="689"/>
      <c r="C257" s="689"/>
      <c r="D257" s="689"/>
      <c r="E257" s="1342" t="s">
        <v>749</v>
      </c>
      <c r="F257" s="1342" t="s">
        <v>748</v>
      </c>
      <c r="G257" s="712"/>
      <c r="H257" s="712"/>
      <c r="I257" s="712"/>
      <c r="J257" s="712"/>
      <c r="K257" s="712"/>
      <c r="L257" s="712"/>
      <c r="M257" s="712"/>
      <c r="N257" s="712"/>
      <c r="O257" s="712"/>
      <c r="P257" s="712"/>
      <c r="Q257" s="712"/>
      <c r="R257" s="712"/>
      <c r="S257" s="712"/>
      <c r="T257" s="712"/>
      <c r="U257" s="712"/>
      <c r="V257" s="712"/>
      <c r="W257" s="712"/>
      <c r="X257" s="712"/>
      <c r="Y257" s="712"/>
      <c r="Z257" s="712"/>
      <c r="AA257" s="712"/>
      <c r="AB257" s="712"/>
      <c r="AC257" s="712"/>
      <c r="AD257" s="712"/>
      <c r="AE257" s="712"/>
      <c r="AF257" s="712"/>
      <c r="AG257" s="712"/>
      <c r="AH257" s="712"/>
      <c r="AI257" s="712"/>
      <c r="AJ257" s="712"/>
      <c r="AK257" s="712"/>
      <c r="AL257" s="712"/>
      <c r="AM257" s="712"/>
      <c r="AN257" s="89"/>
      <c r="AO257" s="89"/>
      <c r="AP257" s="89"/>
      <c r="AQ257" s="89"/>
      <c r="AR257" s="89"/>
      <c r="AS257" s="77"/>
      <c r="AT257" s="77"/>
      <c r="AU257" s="77"/>
      <c r="AV257" s="77"/>
      <c r="AW257" s="77"/>
      <c r="AX257" s="77"/>
      <c r="AY257" s="77"/>
      <c r="AZ257" s="77"/>
      <c r="BA257" s="77"/>
      <c r="BB257" s="77"/>
      <c r="BC257" s="77"/>
      <c r="BD257" s="77"/>
      <c r="BE257" s="77"/>
      <c r="BF257" s="77"/>
      <c r="BG257" s="77"/>
      <c r="BH257" s="77"/>
      <c r="BI257" s="77"/>
      <c r="BJ257" s="77"/>
      <c r="BK257" s="77"/>
      <c r="BL257" s="77"/>
      <c r="BM257" s="77"/>
      <c r="BN257" s="77"/>
      <c r="BO257" s="77"/>
      <c r="BP257" s="77"/>
      <c r="BQ257" s="77"/>
      <c r="BR257" s="77"/>
      <c r="BS257" s="77"/>
      <c r="BT257" s="77"/>
      <c r="BU257" s="77"/>
      <c r="BV257" s="77"/>
      <c r="BW257" s="77"/>
      <c r="BX257" s="77"/>
      <c r="BY257" s="77"/>
      <c r="BZ257" s="77"/>
      <c r="CA257" s="77"/>
      <c r="CB257" s="77"/>
      <c r="CC257" s="77"/>
      <c r="CD257" s="77"/>
      <c r="CE257" s="77"/>
      <c r="CF257" s="77"/>
      <c r="CG257" s="77"/>
      <c r="CH257" s="77"/>
      <c r="CI257" s="77"/>
      <c r="CJ257" s="77"/>
      <c r="CK257" s="77"/>
      <c r="CL257" s="77"/>
      <c r="CM257" s="77"/>
      <c r="CN257" s="77"/>
      <c r="CO257" s="77"/>
      <c r="CP257" s="77"/>
      <c r="CQ257" s="77"/>
      <c r="CR257" s="77"/>
      <c r="CS257" s="77"/>
      <c r="CT257" s="77"/>
      <c r="CU257" s="77"/>
      <c r="CV257" s="77"/>
      <c r="CW257" s="77"/>
      <c r="CX257" s="77"/>
      <c r="CY257" s="77"/>
      <c r="CZ257" s="77"/>
      <c r="DA257" s="77"/>
      <c r="DB257" s="77"/>
      <c r="DC257" s="77"/>
      <c r="DD257" s="77"/>
      <c r="DE257" s="77"/>
      <c r="DF257" s="77"/>
      <c r="DG257" s="77"/>
      <c r="DH257" s="77"/>
      <c r="DI257" s="77"/>
      <c r="DJ257" s="77"/>
      <c r="DK257" s="77"/>
      <c r="DL257" s="77"/>
      <c r="DM257" s="77"/>
      <c r="DN257" s="77"/>
      <c r="DO257" s="77"/>
      <c r="DP257" s="77"/>
      <c r="DQ257" s="77"/>
      <c r="DR257" s="77"/>
      <c r="DS257" s="77"/>
      <c r="DT257" s="77"/>
      <c r="DU257" s="77"/>
      <c r="DV257" s="77"/>
      <c r="DW257" s="77"/>
      <c r="DX257" s="77"/>
      <c r="DY257" s="77"/>
      <c r="DZ257" s="77"/>
      <c r="EA257" s="77"/>
      <c r="EB257" s="77"/>
      <c r="EC257" s="77"/>
      <c r="ED257" s="77"/>
      <c r="EE257" s="77"/>
      <c r="EF257" s="77"/>
      <c r="EG257" s="77"/>
      <c r="EH257" s="77"/>
      <c r="EI257" s="77"/>
      <c r="EJ257" s="77"/>
      <c r="EK257" s="77"/>
      <c r="EL257" s="77"/>
    </row>
    <row r="258" spans="1:142" s="78" customFormat="1">
      <c r="A258" s="89"/>
      <c r="B258" s="689" t="s">
        <v>779</v>
      </c>
      <c r="C258" s="689"/>
      <c r="D258" s="689"/>
      <c r="E258" s="1343">
        <v>1</v>
      </c>
      <c r="F258" s="1342">
        <f>1-E258</f>
        <v>0</v>
      </c>
      <c r="G258" s="712"/>
      <c r="H258" s="712"/>
      <c r="I258" s="712"/>
      <c r="J258" s="712"/>
      <c r="K258" s="712"/>
      <c r="L258" s="712"/>
      <c r="M258" s="712"/>
      <c r="N258" s="712"/>
      <c r="O258" s="712"/>
      <c r="P258" s="712"/>
      <c r="Q258" s="712"/>
      <c r="R258" s="712"/>
      <c r="S258" s="712"/>
      <c r="T258" s="712"/>
      <c r="U258" s="712"/>
      <c r="V258" s="712"/>
      <c r="W258" s="712"/>
      <c r="X258" s="712"/>
      <c r="Y258" s="712"/>
      <c r="Z258" s="712"/>
      <c r="AA258" s="712"/>
      <c r="AB258" s="712"/>
      <c r="AC258" s="712"/>
      <c r="AD258" s="712"/>
      <c r="AE258" s="712"/>
      <c r="AF258" s="712"/>
      <c r="AG258" s="712"/>
      <c r="AH258" s="712"/>
      <c r="AI258" s="712"/>
      <c r="AJ258" s="712"/>
      <c r="AK258" s="712"/>
      <c r="AL258" s="712"/>
      <c r="AM258" s="712"/>
      <c r="AN258" s="89"/>
      <c r="AO258" s="89"/>
      <c r="AP258" s="89"/>
      <c r="AQ258" s="89"/>
      <c r="AR258" s="89"/>
      <c r="AS258" s="77"/>
      <c r="AT258" s="77"/>
      <c r="AU258" s="77"/>
      <c r="AV258" s="77"/>
      <c r="AW258" s="77"/>
      <c r="AX258" s="77"/>
      <c r="AY258" s="77"/>
      <c r="AZ258" s="77"/>
      <c r="BA258" s="77"/>
      <c r="BB258" s="77"/>
      <c r="BC258" s="77"/>
      <c r="BD258" s="77"/>
      <c r="BE258" s="77"/>
      <c r="BF258" s="77"/>
      <c r="BG258" s="77"/>
      <c r="BH258" s="77"/>
      <c r="BI258" s="77"/>
      <c r="BJ258" s="77"/>
      <c r="BK258" s="77"/>
      <c r="BL258" s="77"/>
      <c r="BM258" s="77"/>
      <c r="BN258" s="77"/>
      <c r="BO258" s="77"/>
      <c r="BP258" s="77"/>
      <c r="BQ258" s="77"/>
      <c r="BR258" s="77"/>
      <c r="BS258" s="77"/>
      <c r="BT258" s="77"/>
      <c r="BU258" s="77"/>
      <c r="BV258" s="77"/>
      <c r="BW258" s="77"/>
      <c r="BX258" s="77"/>
      <c r="BY258" s="77"/>
      <c r="BZ258" s="77"/>
      <c r="CA258" s="77"/>
      <c r="CB258" s="77"/>
      <c r="CC258" s="77"/>
      <c r="CD258" s="77"/>
      <c r="CE258" s="77"/>
      <c r="CF258" s="77"/>
      <c r="CG258" s="77"/>
      <c r="CH258" s="77"/>
      <c r="CI258" s="77"/>
      <c r="CJ258" s="77"/>
      <c r="CK258" s="77"/>
      <c r="CL258" s="77"/>
      <c r="CM258" s="77"/>
      <c r="CN258" s="77"/>
      <c r="CO258" s="77"/>
      <c r="CP258" s="77"/>
      <c r="CQ258" s="77"/>
      <c r="CR258" s="77"/>
      <c r="CS258" s="77"/>
      <c r="CT258" s="77"/>
      <c r="CU258" s="77"/>
      <c r="CV258" s="77"/>
      <c r="CW258" s="77"/>
      <c r="CX258" s="77"/>
      <c r="CY258" s="77"/>
      <c r="CZ258" s="77"/>
      <c r="DA258" s="77"/>
      <c r="DB258" s="77"/>
      <c r="DC258" s="77"/>
      <c r="DD258" s="77"/>
      <c r="DE258" s="77"/>
      <c r="DF258" s="77"/>
      <c r="DG258" s="77"/>
      <c r="DH258" s="77"/>
      <c r="DI258" s="77"/>
      <c r="DJ258" s="77"/>
      <c r="DK258" s="77"/>
      <c r="DL258" s="77"/>
      <c r="DM258" s="77"/>
      <c r="DN258" s="77"/>
      <c r="DO258" s="77"/>
      <c r="DP258" s="77"/>
      <c r="DQ258" s="77"/>
      <c r="DR258" s="77"/>
      <c r="DS258" s="77"/>
      <c r="DT258" s="77"/>
      <c r="DU258" s="77"/>
      <c r="DV258" s="77"/>
      <c r="DW258" s="77"/>
      <c r="DX258" s="77"/>
      <c r="DY258" s="77"/>
      <c r="DZ258" s="77"/>
      <c r="EA258" s="77"/>
      <c r="EB258" s="77"/>
      <c r="EC258" s="77"/>
      <c r="ED258" s="77"/>
      <c r="EE258" s="77"/>
      <c r="EF258" s="77"/>
      <c r="EG258" s="77"/>
      <c r="EH258" s="77"/>
      <c r="EI258" s="77"/>
      <c r="EJ258" s="77"/>
      <c r="EK258" s="77"/>
      <c r="EL258" s="77"/>
    </row>
    <row r="259" spans="1:142" s="78" customFormat="1" ht="13.5" thickBot="1">
      <c r="A259" s="89"/>
      <c r="B259" s="87"/>
      <c r="C259" s="87"/>
      <c r="D259" s="87"/>
      <c r="E259" s="712"/>
      <c r="F259" s="712"/>
      <c r="G259" s="712"/>
      <c r="H259" s="712"/>
      <c r="I259" s="712"/>
      <c r="J259" s="712"/>
      <c r="K259" s="712"/>
      <c r="L259" s="712"/>
      <c r="M259" s="712"/>
      <c r="N259" s="712"/>
      <c r="O259" s="712"/>
      <c r="P259" s="712"/>
      <c r="Q259" s="712"/>
      <c r="R259" s="712"/>
      <c r="S259" s="712"/>
      <c r="T259" s="712"/>
      <c r="U259" s="712"/>
      <c r="V259" s="712"/>
      <c r="W259" s="712"/>
      <c r="X259" s="712"/>
      <c r="Y259" s="712"/>
      <c r="Z259" s="712"/>
      <c r="AA259" s="712"/>
      <c r="AB259" s="712"/>
      <c r="AC259" s="712"/>
      <c r="AD259" s="712"/>
      <c r="AE259" s="712"/>
      <c r="AF259" s="712"/>
      <c r="AG259" s="712"/>
      <c r="AH259" s="712"/>
      <c r="AI259" s="712"/>
      <c r="AJ259" s="712"/>
      <c r="AK259" s="712"/>
      <c r="AL259" s="712"/>
      <c r="AM259" s="712"/>
      <c r="AN259" s="89"/>
      <c r="AO259" s="89"/>
      <c r="AP259" s="89"/>
      <c r="AQ259" s="89"/>
      <c r="AR259" s="89"/>
      <c r="AS259" s="77"/>
      <c r="AT259" s="77"/>
      <c r="AU259" s="77"/>
      <c r="AV259" s="77"/>
      <c r="AW259" s="77"/>
      <c r="AX259" s="77"/>
      <c r="AY259" s="77"/>
      <c r="AZ259" s="77"/>
      <c r="BA259" s="77"/>
      <c r="BB259" s="77"/>
      <c r="BC259" s="77"/>
      <c r="BD259" s="77"/>
      <c r="BE259" s="77"/>
      <c r="BF259" s="77"/>
      <c r="BG259" s="77"/>
      <c r="BH259" s="77"/>
      <c r="BI259" s="77"/>
      <c r="BJ259" s="77"/>
      <c r="BK259" s="77"/>
      <c r="BL259" s="77"/>
      <c r="BM259" s="77"/>
      <c r="BN259" s="77"/>
      <c r="BO259" s="77"/>
      <c r="BP259" s="77"/>
      <c r="BQ259" s="77"/>
      <c r="BR259" s="77"/>
      <c r="BS259" s="77"/>
      <c r="BT259" s="77"/>
      <c r="BU259" s="77"/>
      <c r="BV259" s="77"/>
      <c r="BW259" s="77"/>
      <c r="BX259" s="77"/>
      <c r="BY259" s="77"/>
      <c r="BZ259" s="77"/>
      <c r="CA259" s="77"/>
      <c r="CB259" s="77"/>
      <c r="CC259" s="77"/>
      <c r="CD259" s="77"/>
      <c r="CE259" s="77"/>
      <c r="CF259" s="77"/>
      <c r="CG259" s="77"/>
      <c r="CH259" s="77"/>
      <c r="CI259" s="77"/>
      <c r="CJ259" s="77"/>
      <c r="CK259" s="77"/>
      <c r="CL259" s="77"/>
      <c r="CM259" s="77"/>
      <c r="CN259" s="77"/>
      <c r="CO259" s="77"/>
      <c r="CP259" s="77"/>
      <c r="CQ259" s="77"/>
      <c r="CR259" s="77"/>
      <c r="CS259" s="77"/>
      <c r="CT259" s="77"/>
      <c r="CU259" s="77"/>
      <c r="CV259" s="77"/>
      <c r="CW259" s="77"/>
      <c r="CX259" s="77"/>
      <c r="CY259" s="77"/>
      <c r="CZ259" s="77"/>
      <c r="DA259" s="77"/>
      <c r="DB259" s="77"/>
      <c r="DC259" s="77"/>
      <c r="DD259" s="77"/>
      <c r="DE259" s="77"/>
      <c r="DF259" s="77"/>
      <c r="DG259" s="77"/>
      <c r="DH259" s="77"/>
      <c r="DI259" s="77"/>
      <c r="DJ259" s="77"/>
      <c r="DK259" s="77"/>
      <c r="DL259" s="77"/>
      <c r="DM259" s="77"/>
      <c r="DN259" s="77"/>
      <c r="DO259" s="77"/>
      <c r="DP259" s="77"/>
      <c r="DQ259" s="77"/>
      <c r="DR259" s="77"/>
      <c r="DS259" s="77"/>
      <c r="DT259" s="77"/>
      <c r="DU259" s="77"/>
      <c r="DV259" s="77"/>
      <c r="DW259" s="77"/>
      <c r="DX259" s="77"/>
      <c r="DY259" s="77"/>
      <c r="DZ259" s="77"/>
      <c r="EA259" s="77"/>
      <c r="EB259" s="77"/>
      <c r="EC259" s="77"/>
      <c r="ED259" s="77"/>
      <c r="EE259" s="77"/>
      <c r="EF259" s="77"/>
      <c r="EG259" s="77"/>
      <c r="EH259" s="77"/>
      <c r="EI259" s="77"/>
      <c r="EJ259" s="77"/>
      <c r="EK259" s="77"/>
      <c r="EL259" s="77"/>
    </row>
    <row r="260" spans="1:142" s="78" customFormat="1" ht="13.5" thickBot="1">
      <c r="A260" s="89"/>
      <c r="B260" s="1431" t="s">
        <v>748</v>
      </c>
      <c r="C260" s="79" t="s">
        <v>884</v>
      </c>
      <c r="D260" s="79"/>
      <c r="F260" s="79"/>
      <c r="G260" s="89"/>
      <c r="H260" s="77"/>
      <c r="I260" s="77"/>
      <c r="J260" s="77"/>
      <c r="K260" s="77"/>
      <c r="L260" s="77"/>
      <c r="M260" s="77"/>
      <c r="N260" s="77"/>
      <c r="O260" s="77"/>
      <c r="P260" s="77"/>
      <c r="Q260" s="77"/>
      <c r="R260" s="77"/>
      <c r="S260" s="77"/>
      <c r="T260" s="77"/>
      <c r="U260" s="77"/>
      <c r="V260" s="77"/>
      <c r="W260" s="77"/>
      <c r="X260" s="77"/>
      <c r="Y260" s="77"/>
      <c r="Z260" s="77"/>
      <c r="AA260" s="77"/>
      <c r="AB260" s="77"/>
      <c r="AC260" s="77"/>
      <c r="AD260" s="77"/>
      <c r="AE260" s="77"/>
      <c r="AF260" s="77"/>
      <c r="AG260" s="77"/>
      <c r="AH260" s="77"/>
      <c r="AI260" s="77"/>
      <c r="AJ260" s="77"/>
      <c r="AK260" s="77"/>
      <c r="AL260" s="77"/>
      <c r="AM260" s="77"/>
      <c r="AN260" s="77"/>
      <c r="AO260" s="77"/>
      <c r="AP260" s="77"/>
      <c r="AQ260" s="77"/>
      <c r="AR260" s="77"/>
      <c r="AS260" s="77"/>
      <c r="AT260" s="77"/>
      <c r="AU260" s="77"/>
      <c r="AV260" s="77"/>
      <c r="AW260" s="77"/>
      <c r="AX260" s="77"/>
      <c r="AY260" s="77"/>
      <c r="AZ260" s="77"/>
      <c r="BA260" s="77"/>
      <c r="BB260" s="77"/>
      <c r="BC260" s="77"/>
      <c r="BD260" s="77"/>
      <c r="BE260" s="77"/>
      <c r="BF260" s="77"/>
      <c r="BG260" s="77"/>
      <c r="BH260" s="77"/>
      <c r="BI260" s="77"/>
      <c r="BJ260" s="77"/>
      <c r="BK260" s="77"/>
      <c r="BL260" s="77"/>
      <c r="BM260" s="77"/>
      <c r="BN260" s="77"/>
      <c r="BO260" s="77"/>
      <c r="BP260" s="77"/>
      <c r="BQ260" s="77"/>
      <c r="BR260" s="77"/>
      <c r="BS260" s="77"/>
      <c r="BT260" s="77"/>
      <c r="BU260" s="77"/>
      <c r="BV260" s="77"/>
      <c r="BW260" s="77"/>
      <c r="BX260" s="77"/>
      <c r="BY260" s="77"/>
      <c r="BZ260" s="77"/>
      <c r="CA260" s="77"/>
      <c r="CB260" s="77"/>
      <c r="CC260" s="77"/>
      <c r="CD260" s="77"/>
      <c r="CE260" s="77"/>
      <c r="CF260" s="77"/>
      <c r="CG260" s="77"/>
      <c r="CH260" s="77"/>
      <c r="CI260" s="77"/>
      <c r="CJ260" s="77"/>
      <c r="CK260" s="77"/>
      <c r="CL260" s="77"/>
      <c r="CM260" s="77"/>
      <c r="CN260" s="77"/>
      <c r="CO260" s="77"/>
      <c r="CP260" s="77"/>
      <c r="CQ260" s="77"/>
      <c r="CR260" s="77"/>
      <c r="CS260" s="77"/>
      <c r="CT260" s="77"/>
      <c r="CU260" s="77"/>
      <c r="CV260" s="77"/>
      <c r="CW260" s="77"/>
      <c r="CX260" s="77"/>
      <c r="CY260" s="77"/>
      <c r="CZ260" s="77"/>
      <c r="DA260" s="77"/>
      <c r="DB260" s="77"/>
      <c r="DC260" s="77"/>
      <c r="DD260" s="77"/>
      <c r="DE260" s="77"/>
      <c r="DF260" s="77"/>
      <c r="DG260" s="77"/>
      <c r="DH260" s="77"/>
      <c r="DI260" s="77"/>
      <c r="DJ260" s="77"/>
      <c r="DK260" s="77"/>
      <c r="DL260" s="77"/>
      <c r="DM260" s="77"/>
      <c r="DN260" s="77"/>
      <c r="DO260" s="77"/>
      <c r="DP260" s="77"/>
      <c r="DQ260" s="77"/>
      <c r="DR260" s="77"/>
      <c r="DS260" s="77"/>
      <c r="DT260" s="77"/>
      <c r="DU260" s="77"/>
      <c r="DV260" s="77"/>
      <c r="DW260" s="77"/>
      <c r="DX260" s="77"/>
      <c r="DY260" s="77"/>
      <c r="DZ260" s="77"/>
      <c r="EA260" s="77"/>
      <c r="EB260" s="77"/>
      <c r="EC260" s="77"/>
      <c r="ED260" s="77"/>
      <c r="EE260" s="77"/>
      <c r="EF260" s="77"/>
      <c r="EG260" s="77"/>
      <c r="EH260" s="77"/>
      <c r="EI260" s="77"/>
      <c r="EJ260" s="77"/>
      <c r="EK260" s="77"/>
      <c r="EL260" s="77"/>
    </row>
    <row r="261" spans="1:142" s="78" customFormat="1">
      <c r="A261" s="89"/>
      <c r="B261" s="695" t="s">
        <v>338</v>
      </c>
      <c r="C261" s="695"/>
      <c r="D261" s="87"/>
      <c r="E261" s="716">
        <v>20</v>
      </c>
      <c r="F261" s="79"/>
      <c r="G261" s="91"/>
      <c r="H261" s="540"/>
      <c r="I261" s="92"/>
      <c r="J261" s="92"/>
      <c r="K261" s="92"/>
      <c r="L261" s="92"/>
      <c r="M261" s="92"/>
      <c r="N261" s="92"/>
      <c r="O261" s="92"/>
      <c r="P261" s="92"/>
      <c r="Q261" s="92"/>
      <c r="R261" s="92"/>
      <c r="S261" s="92"/>
      <c r="T261" s="92"/>
      <c r="U261" s="92"/>
      <c r="V261" s="92"/>
      <c r="W261" s="92"/>
      <c r="X261" s="92"/>
      <c r="Y261" s="92"/>
      <c r="Z261" s="92"/>
      <c r="AA261" s="92"/>
      <c r="AB261" s="92"/>
      <c r="AC261" s="92"/>
      <c r="AD261" s="92"/>
      <c r="AE261" s="92"/>
      <c r="AF261" s="92"/>
      <c r="AG261" s="92"/>
      <c r="AH261" s="92"/>
      <c r="AI261" s="92"/>
      <c r="AJ261" s="92"/>
      <c r="AK261" s="92"/>
      <c r="AL261" s="92"/>
      <c r="AM261" s="92"/>
      <c r="AN261" s="77"/>
      <c r="AO261" s="77"/>
      <c r="AP261" s="77"/>
      <c r="AQ261" s="77"/>
      <c r="AR261" s="77"/>
      <c r="AS261" s="77"/>
      <c r="AT261" s="77"/>
      <c r="AU261" s="77"/>
      <c r="AV261" s="77"/>
      <c r="AW261" s="77"/>
      <c r="AX261" s="77"/>
      <c r="AY261" s="77"/>
      <c r="AZ261" s="77"/>
      <c r="BA261" s="77"/>
      <c r="BB261" s="77"/>
      <c r="BC261" s="77"/>
      <c r="BD261" s="77"/>
      <c r="BE261" s="77"/>
      <c r="BF261" s="77"/>
      <c r="BG261" s="77"/>
      <c r="BH261" s="77"/>
      <c r="BI261" s="77"/>
      <c r="BJ261" s="77"/>
      <c r="BK261" s="77"/>
      <c r="BL261" s="77"/>
      <c r="BM261" s="77"/>
      <c r="BN261" s="77"/>
      <c r="BO261" s="77"/>
      <c r="BP261" s="77"/>
      <c r="BQ261" s="77"/>
      <c r="BR261" s="77"/>
      <c r="BS261" s="77"/>
      <c r="BT261" s="77"/>
      <c r="BU261" s="77"/>
      <c r="BV261" s="77"/>
      <c r="BW261" s="77"/>
      <c r="BX261" s="77"/>
      <c r="BY261" s="77"/>
      <c r="BZ261" s="77"/>
      <c r="CA261" s="77"/>
      <c r="CB261" s="77"/>
      <c r="CC261" s="77"/>
      <c r="CD261" s="77"/>
      <c r="CE261" s="77"/>
      <c r="CF261" s="77"/>
      <c r="CG261" s="77"/>
      <c r="CH261" s="77"/>
      <c r="CI261" s="77"/>
      <c r="CJ261" s="77"/>
      <c r="CK261" s="77"/>
      <c r="CL261" s="77"/>
      <c r="CM261" s="77"/>
      <c r="CN261" s="77"/>
      <c r="CO261" s="77"/>
      <c r="CP261" s="77"/>
      <c r="CQ261" s="77"/>
      <c r="CR261" s="77"/>
      <c r="CS261" s="77"/>
      <c r="CT261" s="77"/>
      <c r="CU261" s="77"/>
      <c r="CV261" s="77"/>
      <c r="CW261" s="77"/>
      <c r="CX261" s="77"/>
      <c r="CY261" s="77"/>
      <c r="CZ261" s="77"/>
      <c r="DA261" s="77"/>
      <c r="DB261" s="77"/>
      <c r="DC261" s="77"/>
      <c r="DD261" s="77"/>
      <c r="DE261" s="77"/>
      <c r="DF261" s="77"/>
      <c r="DG261" s="77"/>
      <c r="DH261" s="77"/>
      <c r="DI261" s="77"/>
      <c r="DJ261" s="77"/>
      <c r="DK261" s="77"/>
      <c r="DL261" s="77"/>
      <c r="DM261" s="77"/>
      <c r="DN261" s="77"/>
      <c r="DO261" s="77"/>
      <c r="DP261" s="77"/>
      <c r="DQ261" s="77"/>
      <c r="DR261" s="77"/>
      <c r="DS261" s="77"/>
      <c r="DT261" s="77"/>
      <c r="DU261" s="77"/>
      <c r="DV261" s="77"/>
      <c r="DW261" s="77"/>
      <c r="DX261" s="77"/>
      <c r="DY261" s="77"/>
      <c r="DZ261" s="77"/>
      <c r="EA261" s="77"/>
      <c r="EB261" s="77"/>
      <c r="EC261" s="77"/>
      <c r="ED261" s="77"/>
      <c r="EE261" s="77"/>
      <c r="EF261" s="77"/>
      <c r="EG261" s="77"/>
      <c r="EH261" s="77"/>
      <c r="EI261" s="77"/>
      <c r="EJ261" s="77"/>
      <c r="EK261" s="77"/>
      <c r="EL261" s="77"/>
    </row>
    <row r="262" spans="1:142" s="78" customFormat="1">
      <c r="A262" s="89"/>
      <c r="B262" s="695" t="s">
        <v>339</v>
      </c>
      <c r="C262" s="695"/>
      <c r="D262" s="87"/>
      <c r="E262" s="716">
        <v>0</v>
      </c>
      <c r="F262" s="79"/>
      <c r="G262" s="90"/>
      <c r="H262" s="92"/>
      <c r="I262" s="92"/>
      <c r="J262" s="92"/>
      <c r="K262" s="92"/>
      <c r="L262" s="92"/>
      <c r="M262" s="92"/>
      <c r="N262" s="92"/>
      <c r="O262" s="92"/>
      <c r="P262" s="92"/>
      <c r="Q262" s="92"/>
      <c r="R262" s="92"/>
      <c r="S262" s="92"/>
      <c r="T262" s="92"/>
      <c r="U262" s="92"/>
      <c r="V262" s="92"/>
      <c r="W262" s="92"/>
      <c r="X262" s="92"/>
      <c r="Y262" s="92"/>
      <c r="Z262" s="92"/>
      <c r="AA262" s="92"/>
      <c r="AB262" s="92"/>
      <c r="AC262" s="92"/>
      <c r="AD262" s="92"/>
      <c r="AE262" s="92"/>
      <c r="AF262" s="92"/>
      <c r="AG262" s="92"/>
      <c r="AH262" s="92"/>
      <c r="AI262" s="92"/>
      <c r="AJ262" s="92"/>
      <c r="AK262" s="92"/>
      <c r="AL262" s="92"/>
      <c r="AM262" s="92"/>
      <c r="AN262" s="77"/>
      <c r="AO262" s="77"/>
      <c r="AP262" s="77"/>
      <c r="AQ262" s="77"/>
      <c r="AR262" s="77"/>
      <c r="AS262" s="77"/>
      <c r="AT262" s="77"/>
      <c r="AU262" s="77"/>
      <c r="AV262" s="77"/>
      <c r="AW262" s="77"/>
      <c r="AX262" s="77"/>
      <c r="AY262" s="77"/>
      <c r="AZ262" s="77"/>
      <c r="BA262" s="77"/>
      <c r="BB262" s="77"/>
      <c r="BC262" s="77"/>
      <c r="BD262" s="77"/>
      <c r="BE262" s="77"/>
      <c r="BF262" s="77"/>
      <c r="BG262" s="77"/>
      <c r="BH262" s="77"/>
      <c r="BI262" s="77"/>
      <c r="BJ262" s="77"/>
      <c r="BK262" s="77"/>
      <c r="BL262" s="77"/>
      <c r="BM262" s="77"/>
      <c r="BN262" s="77"/>
      <c r="BO262" s="77"/>
      <c r="BP262" s="77"/>
      <c r="BQ262" s="77"/>
      <c r="BR262" s="77"/>
      <c r="BS262" s="77"/>
      <c r="BT262" s="77"/>
      <c r="BU262" s="77"/>
      <c r="BV262" s="77"/>
      <c r="BW262" s="77"/>
      <c r="BX262" s="77"/>
      <c r="BY262" s="77"/>
      <c r="BZ262" s="77"/>
      <c r="CA262" s="77"/>
      <c r="CB262" s="77"/>
      <c r="CC262" s="77"/>
      <c r="CD262" s="77"/>
      <c r="CE262" s="77"/>
      <c r="CF262" s="77"/>
      <c r="CG262" s="77"/>
      <c r="CH262" s="77"/>
      <c r="CI262" s="77"/>
      <c r="CJ262" s="77"/>
      <c r="CK262" s="77"/>
      <c r="CL262" s="77"/>
      <c r="CM262" s="77"/>
      <c r="CN262" s="77"/>
      <c r="CO262" s="77"/>
      <c r="CP262" s="77"/>
      <c r="CQ262" s="77"/>
      <c r="CR262" s="77"/>
      <c r="CS262" s="77"/>
      <c r="CT262" s="77"/>
      <c r="CU262" s="77"/>
      <c r="CV262" s="77"/>
      <c r="CW262" s="77"/>
      <c r="CX262" s="77"/>
      <c r="CY262" s="77"/>
      <c r="CZ262" s="77"/>
      <c r="DA262" s="77"/>
      <c r="DB262" s="77"/>
      <c r="DC262" s="77"/>
      <c r="DD262" s="77"/>
      <c r="DE262" s="77"/>
      <c r="DF262" s="77"/>
      <c r="DG262" s="77"/>
      <c r="DH262" s="77"/>
      <c r="DI262" s="77"/>
      <c r="DJ262" s="77"/>
      <c r="DK262" s="77"/>
      <c r="DL262" s="77"/>
      <c r="DM262" s="77"/>
      <c r="DN262" s="77"/>
      <c r="DO262" s="77"/>
      <c r="DP262" s="77"/>
      <c r="DQ262" s="77"/>
      <c r="DR262" s="77"/>
      <c r="DS262" s="77"/>
      <c r="DT262" s="77"/>
      <c r="DU262" s="77"/>
      <c r="DV262" s="77"/>
      <c r="DW262" s="77"/>
      <c r="DX262" s="77"/>
      <c r="DY262" s="77"/>
      <c r="DZ262" s="77"/>
      <c r="EA262" s="77"/>
      <c r="EB262" s="77"/>
      <c r="EC262" s="77"/>
      <c r="ED262" s="77"/>
      <c r="EE262" s="77"/>
      <c r="EF262" s="77"/>
      <c r="EG262" s="77"/>
      <c r="EH262" s="77"/>
      <c r="EI262" s="77"/>
      <c r="EJ262" s="77"/>
      <c r="EK262" s="77"/>
      <c r="EL262" s="77"/>
    </row>
    <row r="263" spans="1:142" s="78" customFormat="1">
      <c r="A263" s="89"/>
      <c r="B263" s="24" t="s">
        <v>428</v>
      </c>
      <c r="C263" s="166"/>
      <c r="E263" s="687">
        <v>360</v>
      </c>
      <c r="F263" s="79"/>
      <c r="G263" s="538"/>
      <c r="H263" s="538"/>
      <c r="I263" s="538"/>
      <c r="J263" s="538"/>
      <c r="K263" s="538"/>
      <c r="L263" s="538"/>
      <c r="M263" s="538"/>
      <c r="N263" s="538"/>
      <c r="O263" s="538"/>
      <c r="P263" s="538"/>
      <c r="Q263" s="538"/>
      <c r="R263" s="538"/>
      <c r="S263" s="538"/>
      <c r="T263" s="538"/>
      <c r="U263" s="538"/>
      <c r="V263" s="538"/>
      <c r="W263" s="538"/>
      <c r="X263" s="538"/>
      <c r="Y263" s="538"/>
      <c r="Z263" s="538"/>
      <c r="AA263" s="538"/>
      <c r="AB263" s="538"/>
      <c r="AC263" s="538"/>
      <c r="AD263" s="538"/>
      <c r="AE263" s="538"/>
      <c r="AF263" s="538"/>
      <c r="AG263" s="538"/>
      <c r="AH263" s="538"/>
      <c r="AI263" s="538"/>
      <c r="AJ263" s="538"/>
      <c r="AK263" s="538"/>
      <c r="AL263" s="538"/>
      <c r="AM263" s="538"/>
      <c r="AN263" s="89"/>
      <c r="AO263" s="89"/>
      <c r="AP263" s="89"/>
      <c r="AQ263" s="89"/>
      <c r="AR263" s="89"/>
      <c r="AS263" s="77"/>
      <c r="AT263" s="77"/>
      <c r="AU263" s="77"/>
      <c r="AV263" s="77"/>
      <c r="AW263" s="77"/>
      <c r="AX263" s="77"/>
      <c r="AY263" s="77"/>
      <c r="AZ263" s="77"/>
      <c r="BA263" s="77"/>
      <c r="BB263" s="77"/>
      <c r="BC263" s="77"/>
      <c r="BD263" s="77"/>
      <c r="BE263" s="77"/>
      <c r="BF263" s="77"/>
      <c r="BG263" s="77"/>
      <c r="BH263" s="77"/>
      <c r="BI263" s="77"/>
      <c r="BJ263" s="77"/>
      <c r="BK263" s="77"/>
      <c r="BL263" s="77"/>
      <c r="BM263" s="77"/>
      <c r="BN263" s="77"/>
      <c r="BO263" s="77"/>
      <c r="BP263" s="77"/>
      <c r="BQ263" s="77"/>
      <c r="BR263" s="77"/>
      <c r="BS263" s="77"/>
      <c r="BT263" s="77"/>
      <c r="BU263" s="77"/>
      <c r="BV263" s="77"/>
      <c r="BW263" s="77"/>
      <c r="BX263" s="77"/>
      <c r="BY263" s="77"/>
      <c r="BZ263" s="77"/>
      <c r="CA263" s="77"/>
      <c r="CB263" s="77"/>
      <c r="CC263" s="77"/>
      <c r="CD263" s="77"/>
      <c r="CE263" s="77"/>
      <c r="CF263" s="77"/>
      <c r="CG263" s="77"/>
      <c r="CH263" s="77"/>
      <c r="CI263" s="77"/>
      <c r="CJ263" s="77"/>
      <c r="CK263" s="77"/>
      <c r="CL263" s="77"/>
      <c r="CM263" s="77"/>
      <c r="CN263" s="77"/>
      <c r="CO263" s="77"/>
      <c r="CP263" s="77"/>
      <c r="CQ263" s="77"/>
      <c r="CR263" s="77"/>
      <c r="CS263" s="77"/>
      <c r="CT263" s="77"/>
      <c r="CU263" s="77"/>
      <c r="CV263" s="77"/>
      <c r="CW263" s="77"/>
      <c r="CX263" s="77"/>
      <c r="CY263" s="77"/>
      <c r="CZ263" s="77"/>
      <c r="DA263" s="77"/>
      <c r="DB263" s="77"/>
      <c r="DC263" s="77"/>
      <c r="DD263" s="77"/>
      <c r="DE263" s="77"/>
      <c r="DF263" s="77"/>
      <c r="DG263" s="77"/>
      <c r="DH263" s="77"/>
      <c r="DI263" s="77"/>
      <c r="DJ263" s="77"/>
      <c r="DK263" s="77"/>
      <c r="DL263" s="77"/>
      <c r="DM263" s="77"/>
      <c r="DN263" s="77"/>
      <c r="DO263" s="77"/>
      <c r="DP263" s="77"/>
      <c r="DQ263" s="77"/>
      <c r="DR263" s="77"/>
      <c r="DS263" s="77"/>
      <c r="DT263" s="77"/>
      <c r="DU263" s="77"/>
      <c r="DV263" s="77"/>
      <c r="DW263" s="77"/>
      <c r="DX263" s="77"/>
      <c r="DY263" s="77"/>
      <c r="DZ263" s="77"/>
      <c r="EA263" s="77"/>
      <c r="EB263" s="77"/>
      <c r="EC263" s="77"/>
      <c r="ED263" s="77"/>
      <c r="EE263" s="77"/>
      <c r="EF263" s="77"/>
      <c r="EG263" s="77"/>
      <c r="EH263" s="77"/>
      <c r="EI263" s="77"/>
      <c r="EJ263" s="77"/>
      <c r="EK263" s="77"/>
      <c r="EL263" s="77"/>
    </row>
    <row r="264" spans="1:142" s="78" customFormat="1">
      <c r="A264" s="89"/>
      <c r="B264" s="24" t="s">
        <v>58</v>
      </c>
      <c r="C264" s="166"/>
      <c r="E264" s="688">
        <f>E245</f>
        <v>35975</v>
      </c>
      <c r="F264" s="79" t="s">
        <v>722</v>
      </c>
      <c r="G264" s="538"/>
      <c r="H264" s="538"/>
      <c r="I264" s="538"/>
      <c r="J264" s="538"/>
      <c r="K264" s="538"/>
      <c r="L264" s="538"/>
      <c r="M264" s="538"/>
      <c r="N264" s="538"/>
      <c r="O264" s="538"/>
      <c r="P264" s="538"/>
      <c r="Q264" s="538"/>
      <c r="R264" s="538"/>
      <c r="S264" s="538"/>
      <c r="T264" s="538"/>
      <c r="U264" s="538"/>
      <c r="V264" s="538"/>
      <c r="W264" s="538"/>
      <c r="X264" s="538"/>
      <c r="Y264" s="538"/>
      <c r="Z264" s="538"/>
      <c r="AA264" s="538"/>
      <c r="AB264" s="538"/>
      <c r="AC264" s="538"/>
      <c r="AD264" s="538"/>
      <c r="AE264" s="538"/>
      <c r="AF264" s="538"/>
      <c r="AG264" s="538"/>
      <c r="AH264" s="538"/>
      <c r="AI264" s="538"/>
      <c r="AJ264" s="538"/>
      <c r="AK264" s="538"/>
      <c r="AL264" s="538"/>
      <c r="AM264" s="538"/>
      <c r="AN264" s="89"/>
      <c r="AO264" s="89"/>
      <c r="AP264" s="89"/>
      <c r="AQ264" s="89"/>
      <c r="AR264" s="89"/>
      <c r="AS264" s="77"/>
      <c r="AT264" s="77"/>
      <c r="AU264" s="77"/>
      <c r="AV264" s="77"/>
      <c r="AW264" s="77"/>
      <c r="AX264" s="77"/>
      <c r="AY264" s="77"/>
      <c r="AZ264" s="77"/>
      <c r="BA264" s="77"/>
      <c r="BB264" s="77"/>
      <c r="BC264" s="77"/>
      <c r="BD264" s="77"/>
      <c r="BE264" s="77"/>
      <c r="BF264" s="77"/>
      <c r="BG264" s="77"/>
      <c r="BH264" s="77"/>
      <c r="BI264" s="77"/>
      <c r="BJ264" s="77"/>
      <c r="BK264" s="77"/>
      <c r="BL264" s="77"/>
      <c r="BM264" s="77"/>
      <c r="BN264" s="77"/>
      <c r="BO264" s="77"/>
      <c r="BP264" s="77"/>
      <c r="BQ264" s="77"/>
      <c r="BR264" s="77"/>
      <c r="BS264" s="77"/>
      <c r="BT264" s="77"/>
      <c r="BU264" s="77"/>
      <c r="BV264" s="77"/>
      <c r="BW264" s="77"/>
      <c r="BX264" s="77"/>
      <c r="BY264" s="77"/>
      <c r="BZ264" s="77"/>
      <c r="CA264" s="77"/>
      <c r="CB264" s="77"/>
      <c r="CC264" s="77"/>
      <c r="CD264" s="77"/>
      <c r="CE264" s="77"/>
      <c r="CF264" s="77"/>
      <c r="CG264" s="77"/>
      <c r="CH264" s="77"/>
      <c r="CI264" s="77"/>
      <c r="CJ264" s="77"/>
      <c r="CK264" s="77"/>
      <c r="CL264" s="77"/>
      <c r="CM264" s="77"/>
      <c r="CN264" s="77"/>
      <c r="CO264" s="77"/>
      <c r="CP264" s="77"/>
      <c r="CQ264" s="77"/>
      <c r="CR264" s="77"/>
      <c r="CS264" s="77"/>
      <c r="CT264" s="77"/>
      <c r="CU264" s="77"/>
      <c r="CV264" s="77"/>
      <c r="CW264" s="77"/>
      <c r="CX264" s="77"/>
      <c r="CY264" s="77"/>
      <c r="CZ264" s="77"/>
      <c r="DA264" s="77"/>
      <c r="DB264" s="77"/>
      <c r="DC264" s="77"/>
      <c r="DD264" s="77"/>
      <c r="DE264" s="77"/>
      <c r="DF264" s="77"/>
      <c r="DG264" s="77"/>
      <c r="DH264" s="77"/>
      <c r="DI264" s="77"/>
      <c r="DJ264" s="77"/>
      <c r="DK264" s="77"/>
      <c r="DL264" s="77"/>
      <c r="DM264" s="77"/>
      <c r="DN264" s="77"/>
      <c r="DO264" s="77"/>
      <c r="DP264" s="77"/>
      <c r="DQ264" s="77"/>
      <c r="DR264" s="77"/>
      <c r="DS264" s="77"/>
      <c r="DT264" s="77"/>
      <c r="DU264" s="77"/>
      <c r="DV264" s="77"/>
      <c r="DW264" s="77"/>
      <c r="DX264" s="77"/>
      <c r="DY264" s="77"/>
      <c r="DZ264" s="77"/>
      <c r="EA264" s="77"/>
      <c r="EB264" s="77"/>
      <c r="EC264" s="77"/>
      <c r="ED264" s="77"/>
      <c r="EE264" s="77"/>
      <c r="EF264" s="77"/>
      <c r="EG264" s="77"/>
      <c r="EH264" s="77"/>
      <c r="EI264" s="77"/>
      <c r="EJ264" s="77"/>
      <c r="EK264" s="77"/>
      <c r="EL264" s="77"/>
    </row>
    <row r="265" spans="1:142" s="78" customFormat="1">
      <c r="A265" s="89"/>
      <c r="B265" s="24" t="s">
        <v>59</v>
      </c>
      <c r="C265" s="166"/>
      <c r="E265" s="688">
        <f>EDATE(E264,6)</f>
        <v>36158</v>
      </c>
      <c r="F265" s="79" t="s">
        <v>723</v>
      </c>
      <c r="G265" s="538"/>
      <c r="H265" s="538"/>
      <c r="I265" s="538"/>
      <c r="J265" s="538"/>
      <c r="K265" s="538"/>
      <c r="L265" s="538"/>
      <c r="M265" s="538"/>
      <c r="N265" s="538"/>
      <c r="O265" s="538"/>
      <c r="P265" s="538"/>
      <c r="Q265" s="538"/>
      <c r="R265" s="538"/>
      <c r="S265" s="538"/>
      <c r="T265" s="538"/>
      <c r="U265" s="538"/>
      <c r="V265" s="538"/>
      <c r="W265" s="538"/>
      <c r="X265" s="538"/>
      <c r="Y265" s="538"/>
      <c r="Z265" s="538"/>
      <c r="AA265" s="538"/>
      <c r="AB265" s="538"/>
      <c r="AC265" s="538"/>
      <c r="AD265" s="538"/>
      <c r="AE265" s="538"/>
      <c r="AF265" s="538"/>
      <c r="AG265" s="538"/>
      <c r="AH265" s="538"/>
      <c r="AI265" s="538"/>
      <c r="AJ265" s="538"/>
      <c r="AK265" s="538"/>
      <c r="AL265" s="538"/>
      <c r="AM265" s="538"/>
      <c r="AN265" s="89"/>
      <c r="AO265" s="89"/>
      <c r="AP265" s="89"/>
      <c r="AQ265" s="89"/>
      <c r="AR265" s="89"/>
      <c r="AS265" s="77"/>
      <c r="AT265" s="77"/>
      <c r="AU265" s="77"/>
      <c r="AV265" s="77"/>
      <c r="AW265" s="77"/>
      <c r="AX265" s="77"/>
      <c r="AY265" s="77"/>
      <c r="AZ265" s="77"/>
      <c r="BA265" s="77"/>
      <c r="BB265" s="77"/>
      <c r="BC265" s="77"/>
      <c r="BD265" s="77"/>
      <c r="BE265" s="77"/>
      <c r="BF265" s="77"/>
      <c r="BG265" s="77"/>
      <c r="BH265" s="77"/>
      <c r="BI265" s="77"/>
      <c r="BJ265" s="77"/>
      <c r="BK265" s="77"/>
      <c r="BL265" s="77"/>
      <c r="BM265" s="77"/>
      <c r="BN265" s="77"/>
      <c r="BO265" s="77"/>
      <c r="BP265" s="77"/>
      <c r="BQ265" s="77"/>
      <c r="BR265" s="77"/>
      <c r="BS265" s="77"/>
      <c r="BT265" s="77"/>
      <c r="BU265" s="77"/>
      <c r="BV265" s="77"/>
      <c r="BW265" s="77"/>
      <c r="BX265" s="77"/>
      <c r="BY265" s="77"/>
      <c r="BZ265" s="77"/>
      <c r="CA265" s="77"/>
      <c r="CB265" s="77"/>
      <c r="CC265" s="77"/>
      <c r="CD265" s="77"/>
      <c r="CE265" s="77"/>
      <c r="CF265" s="77"/>
      <c r="CG265" s="77"/>
      <c r="CH265" s="77"/>
      <c r="CI265" s="77"/>
      <c r="CJ265" s="77"/>
      <c r="CK265" s="77"/>
      <c r="CL265" s="77"/>
      <c r="CM265" s="77"/>
      <c r="CN265" s="77"/>
      <c r="CO265" s="77"/>
      <c r="CP265" s="77"/>
      <c r="CQ265" s="77"/>
      <c r="CR265" s="77"/>
      <c r="CS265" s="77"/>
      <c r="CT265" s="77"/>
      <c r="CU265" s="77"/>
      <c r="CV265" s="77"/>
      <c r="CW265" s="77"/>
      <c r="CX265" s="77"/>
      <c r="CY265" s="77"/>
      <c r="CZ265" s="77"/>
      <c r="DA265" s="77"/>
      <c r="DB265" s="77"/>
      <c r="DC265" s="77"/>
      <c r="DD265" s="77"/>
      <c r="DE265" s="77"/>
      <c r="DF265" s="77"/>
      <c r="DG265" s="77"/>
      <c r="DH265" s="77"/>
      <c r="DI265" s="77"/>
      <c r="DJ265" s="77"/>
      <c r="DK265" s="77"/>
      <c r="DL265" s="77"/>
      <c r="DM265" s="77"/>
      <c r="DN265" s="77"/>
      <c r="DO265" s="77"/>
      <c r="DP265" s="77"/>
      <c r="DQ265" s="77"/>
      <c r="DR265" s="77"/>
      <c r="DS265" s="77"/>
      <c r="DT265" s="77"/>
      <c r="DU265" s="77"/>
      <c r="DV265" s="77"/>
      <c r="DW265" s="77"/>
      <c r="DX265" s="77"/>
      <c r="DY265" s="77"/>
      <c r="DZ265" s="77"/>
      <c r="EA265" s="77"/>
      <c r="EB265" s="77"/>
      <c r="EC265" s="77"/>
      <c r="ED265" s="77"/>
      <c r="EE265" s="77"/>
      <c r="EF265" s="77"/>
      <c r="EG265" s="77"/>
      <c r="EH265" s="77"/>
      <c r="EI265" s="77"/>
      <c r="EJ265" s="77"/>
      <c r="EK265" s="77"/>
      <c r="EL265" s="77"/>
    </row>
    <row r="266" spans="1:142" s="78" customFormat="1">
      <c r="A266" s="89"/>
      <c r="B266" s="24" t="s">
        <v>804</v>
      </c>
      <c r="C266" s="166"/>
      <c r="E266" s="1245">
        <f>E247</f>
        <v>0.5</v>
      </c>
      <c r="F266" s="79" t="s">
        <v>806</v>
      </c>
      <c r="G266" s="538"/>
      <c r="H266" s="538"/>
      <c r="I266" s="538"/>
      <c r="J266" s="538"/>
      <c r="K266" s="538"/>
      <c r="L266" s="538"/>
      <c r="M266" s="538"/>
      <c r="N266" s="538"/>
      <c r="O266" s="538"/>
      <c r="P266" s="538"/>
      <c r="Q266" s="538"/>
      <c r="R266" s="538"/>
      <c r="S266" s="538"/>
      <c r="T266" s="538"/>
      <c r="U266" s="538"/>
      <c r="V266" s="538"/>
      <c r="W266" s="538"/>
      <c r="X266" s="538"/>
      <c r="Y266" s="538"/>
      <c r="Z266" s="538"/>
      <c r="AA266" s="538"/>
      <c r="AB266" s="538"/>
      <c r="AC266" s="538"/>
      <c r="AD266" s="538"/>
      <c r="AE266" s="538"/>
      <c r="AF266" s="538"/>
      <c r="AG266" s="538"/>
      <c r="AH266" s="538"/>
      <c r="AI266" s="538"/>
      <c r="AJ266" s="538"/>
      <c r="AK266" s="538"/>
      <c r="AL266" s="538"/>
      <c r="AM266" s="538"/>
      <c r="AN266" s="89"/>
      <c r="AO266" s="89"/>
      <c r="AP266" s="89"/>
      <c r="AQ266" s="89"/>
      <c r="AR266" s="89"/>
      <c r="AS266" s="77"/>
      <c r="AT266" s="77"/>
      <c r="AU266" s="77"/>
      <c r="AV266" s="77"/>
      <c r="AW266" s="77"/>
      <c r="AX266" s="77"/>
      <c r="AY266" s="77"/>
      <c r="AZ266" s="77"/>
      <c r="BA266" s="77"/>
      <c r="BB266" s="77"/>
      <c r="BC266" s="77"/>
      <c r="BD266" s="77"/>
      <c r="BE266" s="77"/>
      <c r="BF266" s="77"/>
      <c r="BG266" s="77"/>
      <c r="BH266" s="77"/>
      <c r="BI266" s="77"/>
      <c r="BJ266" s="77"/>
      <c r="BK266" s="77"/>
      <c r="BL266" s="77"/>
      <c r="BM266" s="77"/>
      <c r="BN266" s="77"/>
      <c r="BO266" s="77"/>
      <c r="BP266" s="77"/>
      <c r="BQ266" s="77"/>
      <c r="BR266" s="77"/>
      <c r="BS266" s="77"/>
      <c r="BT266" s="77"/>
      <c r="BU266" s="77"/>
      <c r="BV266" s="77"/>
      <c r="BW266" s="77"/>
      <c r="BX266" s="77"/>
      <c r="BY266" s="77"/>
      <c r="BZ266" s="77"/>
      <c r="CA266" s="77"/>
      <c r="CB266" s="77"/>
      <c r="CC266" s="77"/>
      <c r="CD266" s="77"/>
      <c r="CE266" s="77"/>
      <c r="CF266" s="77"/>
      <c r="CG266" s="77"/>
      <c r="CH266" s="77"/>
      <c r="CI266" s="77"/>
      <c r="CJ266" s="77"/>
      <c r="CK266" s="77"/>
      <c r="CL266" s="77"/>
      <c r="CM266" s="77"/>
      <c r="CN266" s="77"/>
      <c r="CO266" s="77"/>
      <c r="CP266" s="77"/>
      <c r="CQ266" s="77"/>
      <c r="CR266" s="77"/>
      <c r="CS266" s="77"/>
      <c r="CT266" s="77"/>
      <c r="CU266" s="77"/>
      <c r="CV266" s="77"/>
      <c r="CW266" s="77"/>
      <c r="CX266" s="77"/>
      <c r="CY266" s="77"/>
      <c r="CZ266" s="77"/>
      <c r="DA266" s="77"/>
      <c r="DB266" s="77"/>
      <c r="DC266" s="77"/>
      <c r="DD266" s="77"/>
      <c r="DE266" s="77"/>
      <c r="DF266" s="77"/>
      <c r="DG266" s="77"/>
      <c r="DH266" s="77"/>
      <c r="DI266" s="77"/>
      <c r="DJ266" s="77"/>
      <c r="DK266" s="77"/>
      <c r="DL266" s="77"/>
      <c r="DM266" s="77"/>
      <c r="DN266" s="77"/>
      <c r="DO266" s="77"/>
      <c r="DP266" s="77"/>
      <c r="DQ266" s="77"/>
      <c r="DR266" s="77"/>
      <c r="DS266" s="77"/>
      <c r="DT266" s="77"/>
      <c r="DU266" s="77"/>
      <c r="DV266" s="77"/>
      <c r="DW266" s="77"/>
      <c r="DX266" s="77"/>
      <c r="DY266" s="77"/>
      <c r="DZ266" s="77"/>
      <c r="EA266" s="77"/>
      <c r="EB266" s="77"/>
      <c r="EC266" s="77"/>
      <c r="ED266" s="77"/>
      <c r="EE266" s="77"/>
      <c r="EF266" s="77"/>
      <c r="EG266" s="77"/>
      <c r="EH266" s="77"/>
      <c r="EI266" s="77"/>
      <c r="EJ266" s="77"/>
      <c r="EK266" s="77"/>
      <c r="EL266" s="77"/>
    </row>
    <row r="267" spans="1:142" s="78" customFormat="1">
      <c r="A267" s="89"/>
      <c r="B267" t="s">
        <v>705</v>
      </c>
      <c r="C267" s="65"/>
      <c r="E267" s="1246">
        <v>2</v>
      </c>
      <c r="F267" s="79"/>
      <c r="G267" s="538"/>
      <c r="H267" s="538"/>
      <c r="I267" s="538"/>
      <c r="J267" s="538"/>
      <c r="K267" s="538"/>
      <c r="L267" s="538"/>
      <c r="M267" s="538"/>
      <c r="N267" s="538"/>
      <c r="O267" s="538"/>
      <c r="P267" s="538"/>
      <c r="Q267" s="538"/>
      <c r="R267" s="538"/>
      <c r="S267" s="538"/>
      <c r="T267" s="538"/>
      <c r="U267" s="538"/>
      <c r="V267" s="538"/>
      <c r="W267" s="538"/>
      <c r="X267" s="538"/>
      <c r="Y267" s="538"/>
      <c r="Z267" s="538"/>
      <c r="AA267" s="538"/>
      <c r="AB267" s="538"/>
      <c r="AC267" s="538"/>
      <c r="AD267" s="538"/>
      <c r="AE267" s="538"/>
      <c r="AF267" s="538"/>
      <c r="AG267" s="538"/>
      <c r="AH267" s="538"/>
      <c r="AI267" s="538"/>
      <c r="AJ267" s="538"/>
      <c r="AK267" s="538"/>
      <c r="AL267" s="538"/>
      <c r="AM267" s="538"/>
      <c r="AN267" s="89"/>
      <c r="AO267" s="89"/>
      <c r="AP267" s="89"/>
      <c r="AQ267" s="89"/>
      <c r="AR267" s="89"/>
      <c r="AS267" s="77"/>
      <c r="AT267" s="77"/>
      <c r="AU267" s="77"/>
      <c r="AV267" s="77"/>
      <c r="AW267" s="77"/>
      <c r="AX267" s="77"/>
      <c r="AY267" s="77"/>
      <c r="AZ267" s="77"/>
      <c r="BA267" s="77"/>
      <c r="BB267" s="77"/>
      <c r="BC267" s="77"/>
      <c r="BD267" s="77"/>
      <c r="BE267" s="77"/>
      <c r="BF267" s="77"/>
      <c r="BG267" s="77"/>
      <c r="BH267" s="77"/>
      <c r="BI267" s="77"/>
      <c r="BJ267" s="77"/>
      <c r="BK267" s="77"/>
      <c r="BL267" s="77"/>
      <c r="BM267" s="77"/>
      <c r="BN267" s="77"/>
      <c r="BO267" s="77"/>
      <c r="BP267" s="77"/>
      <c r="BQ267" s="77"/>
      <c r="BR267" s="77"/>
      <c r="BS267" s="77"/>
      <c r="BT267" s="77"/>
      <c r="BU267" s="77"/>
      <c r="BV267" s="77"/>
      <c r="BW267" s="77"/>
      <c r="BX267" s="77"/>
      <c r="BY267" s="77"/>
      <c r="BZ267" s="77"/>
      <c r="CA267" s="77"/>
      <c r="CB267" s="77"/>
      <c r="CC267" s="77"/>
      <c r="CD267" s="77"/>
      <c r="CE267" s="77"/>
      <c r="CF267" s="77"/>
      <c r="CG267" s="77"/>
      <c r="CH267" s="77"/>
      <c r="CI267" s="77"/>
      <c r="CJ267" s="77"/>
      <c r="CK267" s="77"/>
      <c r="CL267" s="77"/>
      <c r="CM267" s="77"/>
      <c r="CN267" s="77"/>
      <c r="CO267" s="77"/>
      <c r="CP267" s="77"/>
      <c r="CQ267" s="77"/>
      <c r="CR267" s="77"/>
      <c r="CS267" s="77"/>
      <c r="CT267" s="77"/>
      <c r="CU267" s="77"/>
      <c r="CV267" s="77"/>
      <c r="CW267" s="77"/>
      <c r="CX267" s="77"/>
      <c r="CY267" s="77"/>
      <c r="CZ267" s="77"/>
      <c r="DA267" s="77"/>
      <c r="DB267" s="77"/>
      <c r="DC267" s="77"/>
      <c r="DD267" s="77"/>
      <c r="DE267" s="77"/>
      <c r="DF267" s="77"/>
      <c r="DG267" s="77"/>
      <c r="DH267" s="77"/>
      <c r="DI267" s="77"/>
      <c r="DJ267" s="77"/>
      <c r="DK267" s="77"/>
      <c r="DL267" s="77"/>
      <c r="DM267" s="77"/>
      <c r="DN267" s="77"/>
      <c r="DO267" s="77"/>
      <c r="DP267" s="77"/>
      <c r="DQ267" s="77"/>
      <c r="DR267" s="77"/>
      <c r="DS267" s="77"/>
      <c r="DT267" s="77"/>
      <c r="DU267" s="77"/>
      <c r="DV267" s="77"/>
      <c r="DW267" s="77"/>
      <c r="DX267" s="77"/>
      <c r="DY267" s="77"/>
      <c r="DZ267" s="77"/>
      <c r="EA267" s="77"/>
      <c r="EB267" s="77"/>
      <c r="EC267" s="77"/>
      <c r="ED267" s="77"/>
      <c r="EE267" s="77"/>
      <c r="EF267" s="77"/>
      <c r="EG267" s="77"/>
      <c r="EH267" s="77"/>
      <c r="EI267" s="77"/>
      <c r="EJ267" s="77"/>
      <c r="EK267" s="77"/>
      <c r="EL267" s="77"/>
    </row>
    <row r="268" spans="1:142" s="78" customFormat="1">
      <c r="A268" s="89"/>
      <c r="B268" s="87" t="s">
        <v>751</v>
      </c>
      <c r="C268" s="539"/>
      <c r="D268" s="87"/>
      <c r="E268" s="136">
        <v>1.4</v>
      </c>
      <c r="F268" s="136">
        <f t="shared" ref="F268:AM268" si="60">E268</f>
        <v>1.4</v>
      </c>
      <c r="G268" s="136">
        <f t="shared" si="60"/>
        <v>1.4</v>
      </c>
      <c r="H268" s="136">
        <f t="shared" si="60"/>
        <v>1.4</v>
      </c>
      <c r="I268" s="136">
        <f t="shared" si="60"/>
        <v>1.4</v>
      </c>
      <c r="J268" s="136">
        <f t="shared" si="60"/>
        <v>1.4</v>
      </c>
      <c r="K268" s="136">
        <f t="shared" si="60"/>
        <v>1.4</v>
      </c>
      <c r="L268" s="136">
        <f t="shared" si="60"/>
        <v>1.4</v>
      </c>
      <c r="M268" s="136">
        <f t="shared" si="60"/>
        <v>1.4</v>
      </c>
      <c r="N268" s="136">
        <f t="shared" si="60"/>
        <v>1.4</v>
      </c>
      <c r="O268" s="136">
        <f t="shared" si="60"/>
        <v>1.4</v>
      </c>
      <c r="P268" s="136">
        <f t="shared" si="60"/>
        <v>1.4</v>
      </c>
      <c r="Q268" s="136">
        <f t="shared" si="60"/>
        <v>1.4</v>
      </c>
      <c r="R268" s="136">
        <f t="shared" si="60"/>
        <v>1.4</v>
      </c>
      <c r="S268" s="136">
        <f t="shared" si="60"/>
        <v>1.4</v>
      </c>
      <c r="T268" s="136">
        <f t="shared" si="60"/>
        <v>1.4</v>
      </c>
      <c r="U268" s="136">
        <f t="shared" si="60"/>
        <v>1.4</v>
      </c>
      <c r="V268" s="136">
        <f t="shared" si="60"/>
        <v>1.4</v>
      </c>
      <c r="W268" s="136">
        <f t="shared" si="60"/>
        <v>1.4</v>
      </c>
      <c r="X268" s="136">
        <f t="shared" si="60"/>
        <v>1.4</v>
      </c>
      <c r="Y268" s="136">
        <f t="shared" si="60"/>
        <v>1.4</v>
      </c>
      <c r="Z268" s="136">
        <f t="shared" si="60"/>
        <v>1.4</v>
      </c>
      <c r="AA268" s="136">
        <f t="shared" si="60"/>
        <v>1.4</v>
      </c>
      <c r="AB268" s="136">
        <f t="shared" si="60"/>
        <v>1.4</v>
      </c>
      <c r="AC268" s="136">
        <f t="shared" si="60"/>
        <v>1.4</v>
      </c>
      <c r="AD268" s="136">
        <f t="shared" si="60"/>
        <v>1.4</v>
      </c>
      <c r="AE268" s="136">
        <f t="shared" si="60"/>
        <v>1.4</v>
      </c>
      <c r="AF268" s="136">
        <f t="shared" si="60"/>
        <v>1.4</v>
      </c>
      <c r="AG268" s="136">
        <f t="shared" si="60"/>
        <v>1.4</v>
      </c>
      <c r="AH268" s="136">
        <f t="shared" si="60"/>
        <v>1.4</v>
      </c>
      <c r="AI268" s="136">
        <f t="shared" si="60"/>
        <v>1.4</v>
      </c>
      <c r="AJ268" s="136">
        <f t="shared" si="60"/>
        <v>1.4</v>
      </c>
      <c r="AK268" s="136">
        <f t="shared" si="60"/>
        <v>1.4</v>
      </c>
      <c r="AL268" s="136">
        <f t="shared" si="60"/>
        <v>1.4</v>
      </c>
      <c r="AM268" s="136">
        <f t="shared" si="60"/>
        <v>1.4</v>
      </c>
      <c r="AN268" s="89"/>
      <c r="AO268" s="89"/>
      <c r="AP268" s="89"/>
      <c r="AQ268" s="89"/>
      <c r="AR268" s="89"/>
      <c r="AS268" s="77"/>
      <c r="AT268" s="77"/>
      <c r="AU268" s="77"/>
      <c r="AV268" s="77"/>
      <c r="AW268" s="77"/>
      <c r="AX268" s="77"/>
      <c r="AY268" s="77"/>
      <c r="AZ268" s="77"/>
      <c r="BA268" s="77"/>
      <c r="BB268" s="77"/>
      <c r="BC268" s="77"/>
      <c r="BD268" s="77"/>
      <c r="BE268" s="77"/>
      <c r="BF268" s="77"/>
      <c r="BG268" s="77"/>
      <c r="BH268" s="77"/>
      <c r="BI268" s="77"/>
      <c r="BJ268" s="77"/>
      <c r="BK268" s="77"/>
      <c r="BL268" s="77"/>
      <c r="BM268" s="77"/>
      <c r="BN268" s="77"/>
      <c r="BO268" s="77"/>
      <c r="BP268" s="77"/>
      <c r="BQ268" s="77"/>
      <c r="BR268" s="77"/>
      <c r="BS268" s="77"/>
      <c r="BT268" s="77"/>
      <c r="BU268" s="77"/>
      <c r="BV268" s="77"/>
      <c r="BW268" s="77"/>
      <c r="BX268" s="77"/>
      <c r="BY268" s="77"/>
      <c r="BZ268" s="77"/>
      <c r="CA268" s="77"/>
      <c r="CB268" s="77"/>
      <c r="CC268" s="77"/>
      <c r="CD268" s="77"/>
      <c r="CE268" s="77"/>
      <c r="CF268" s="77"/>
      <c r="CG268" s="77"/>
      <c r="CH268" s="77"/>
      <c r="CI268" s="77"/>
      <c r="CJ268" s="77"/>
      <c r="CK268" s="77"/>
      <c r="CL268" s="77"/>
      <c r="CM268" s="77"/>
      <c r="CN268" s="77"/>
      <c r="CO268" s="77"/>
      <c r="CP268" s="77"/>
      <c r="CQ268" s="77"/>
      <c r="CR268" s="77"/>
      <c r="CS268" s="77"/>
      <c r="CT268" s="77"/>
      <c r="CU268" s="77"/>
      <c r="CV268" s="77"/>
      <c r="CW268" s="77"/>
      <c r="CX268" s="77"/>
      <c r="CY268" s="77"/>
      <c r="CZ268" s="77"/>
      <c r="DA268" s="77"/>
      <c r="DB268" s="77"/>
      <c r="DC268" s="77"/>
      <c r="DD268" s="77"/>
      <c r="DE268" s="77"/>
      <c r="DF268" s="77"/>
      <c r="DG268" s="77"/>
      <c r="DH268" s="77"/>
      <c r="DI268" s="77"/>
      <c r="DJ268" s="77"/>
      <c r="DK268" s="77"/>
      <c r="DL268" s="77"/>
      <c r="DM268" s="77"/>
      <c r="DN268" s="77"/>
      <c r="DO268" s="77"/>
      <c r="DP268" s="77"/>
      <c r="DQ268" s="77"/>
      <c r="DR268" s="77"/>
      <c r="DS268" s="77"/>
      <c r="DT268" s="77"/>
      <c r="DU268" s="77"/>
      <c r="DV268" s="77"/>
      <c r="DW268" s="77"/>
      <c r="DX268" s="77"/>
      <c r="DY268" s="77"/>
      <c r="DZ268" s="77"/>
      <c r="EA268" s="77"/>
      <c r="EB268" s="77"/>
      <c r="EC268" s="77"/>
      <c r="ED268" s="77"/>
      <c r="EE268" s="77"/>
      <c r="EF268" s="77"/>
      <c r="EG268" s="77"/>
      <c r="EH268" s="77"/>
      <c r="EI268" s="77"/>
      <c r="EJ268" s="77"/>
      <c r="EK268" s="77"/>
      <c r="EL268" s="77"/>
    </row>
    <row r="269" spans="1:142" s="78" customFormat="1">
      <c r="A269" s="89"/>
      <c r="B269" s="87" t="s">
        <v>686</v>
      </c>
      <c r="C269" s="87" t="s">
        <v>889</v>
      </c>
      <c r="D269" s="87"/>
      <c r="E269" s="130">
        <v>6.5600000000000006E-2</v>
      </c>
      <c r="F269" s="130">
        <f>E269</f>
        <v>6.5600000000000006E-2</v>
      </c>
      <c r="G269" s="130">
        <f t="shared" ref="G269:AM269" si="61">F269</f>
        <v>6.5600000000000006E-2</v>
      </c>
      <c r="H269" s="130">
        <f t="shared" si="61"/>
        <v>6.5600000000000006E-2</v>
      </c>
      <c r="I269" s="130">
        <f t="shared" si="61"/>
        <v>6.5600000000000006E-2</v>
      </c>
      <c r="J269" s="130">
        <f t="shared" si="61"/>
        <v>6.5600000000000006E-2</v>
      </c>
      <c r="K269" s="130">
        <f t="shared" si="61"/>
        <v>6.5600000000000006E-2</v>
      </c>
      <c r="L269" s="130">
        <f t="shared" si="61"/>
        <v>6.5600000000000006E-2</v>
      </c>
      <c r="M269" s="130">
        <f t="shared" si="61"/>
        <v>6.5600000000000006E-2</v>
      </c>
      <c r="N269" s="130">
        <f t="shared" si="61"/>
        <v>6.5600000000000006E-2</v>
      </c>
      <c r="O269" s="130">
        <f t="shared" si="61"/>
        <v>6.5600000000000006E-2</v>
      </c>
      <c r="P269" s="130">
        <f t="shared" si="61"/>
        <v>6.5600000000000006E-2</v>
      </c>
      <c r="Q269" s="130">
        <f t="shared" si="61"/>
        <v>6.5600000000000006E-2</v>
      </c>
      <c r="R269" s="130">
        <f t="shared" si="61"/>
        <v>6.5600000000000006E-2</v>
      </c>
      <c r="S269" s="130">
        <f t="shared" si="61"/>
        <v>6.5600000000000006E-2</v>
      </c>
      <c r="T269" s="130">
        <f t="shared" si="61"/>
        <v>6.5600000000000006E-2</v>
      </c>
      <c r="U269" s="130">
        <f t="shared" si="61"/>
        <v>6.5600000000000006E-2</v>
      </c>
      <c r="V269" s="130">
        <f t="shared" si="61"/>
        <v>6.5600000000000006E-2</v>
      </c>
      <c r="W269" s="130">
        <f t="shared" si="61"/>
        <v>6.5600000000000006E-2</v>
      </c>
      <c r="X269" s="130">
        <f t="shared" si="61"/>
        <v>6.5600000000000006E-2</v>
      </c>
      <c r="Y269" s="130">
        <f t="shared" si="61"/>
        <v>6.5600000000000006E-2</v>
      </c>
      <c r="Z269" s="130">
        <f t="shared" si="61"/>
        <v>6.5600000000000006E-2</v>
      </c>
      <c r="AA269" s="130">
        <f t="shared" si="61"/>
        <v>6.5600000000000006E-2</v>
      </c>
      <c r="AB269" s="130">
        <f t="shared" si="61"/>
        <v>6.5600000000000006E-2</v>
      </c>
      <c r="AC269" s="130">
        <f t="shared" si="61"/>
        <v>6.5600000000000006E-2</v>
      </c>
      <c r="AD269" s="130">
        <f t="shared" si="61"/>
        <v>6.5600000000000006E-2</v>
      </c>
      <c r="AE269" s="130">
        <f t="shared" si="61"/>
        <v>6.5600000000000006E-2</v>
      </c>
      <c r="AF269" s="130">
        <f t="shared" si="61"/>
        <v>6.5600000000000006E-2</v>
      </c>
      <c r="AG269" s="130">
        <f t="shared" si="61"/>
        <v>6.5600000000000006E-2</v>
      </c>
      <c r="AH269" s="130">
        <f t="shared" si="61"/>
        <v>6.5600000000000006E-2</v>
      </c>
      <c r="AI269" s="130">
        <f t="shared" si="61"/>
        <v>6.5600000000000006E-2</v>
      </c>
      <c r="AJ269" s="130">
        <f t="shared" si="61"/>
        <v>6.5600000000000006E-2</v>
      </c>
      <c r="AK269" s="130">
        <f t="shared" si="61"/>
        <v>6.5600000000000006E-2</v>
      </c>
      <c r="AL269" s="130">
        <f t="shared" si="61"/>
        <v>6.5600000000000006E-2</v>
      </c>
      <c r="AM269" s="130">
        <f t="shared" si="61"/>
        <v>6.5600000000000006E-2</v>
      </c>
      <c r="AN269" s="77"/>
      <c r="AO269" s="77"/>
      <c r="AP269" s="77"/>
      <c r="AQ269" s="77"/>
      <c r="AR269" s="77"/>
      <c r="AS269" s="77"/>
      <c r="AT269" s="77"/>
      <c r="AU269" s="77"/>
      <c r="AV269" s="77"/>
      <c r="AW269" s="77"/>
      <c r="AX269" s="77"/>
      <c r="AY269" s="77"/>
      <c r="AZ269" s="77"/>
      <c r="BA269" s="77"/>
      <c r="BB269" s="77"/>
      <c r="BC269" s="77"/>
      <c r="BD269" s="77"/>
      <c r="BE269" s="77"/>
      <c r="BF269" s="77"/>
      <c r="BG269" s="77"/>
      <c r="BH269" s="77"/>
      <c r="BI269" s="77"/>
      <c r="BJ269" s="77"/>
      <c r="BK269" s="77"/>
      <c r="BL269" s="77"/>
      <c r="BM269" s="77"/>
      <c r="BN269" s="77"/>
      <c r="BO269" s="77"/>
      <c r="BP269" s="77"/>
      <c r="BQ269" s="77"/>
      <c r="BR269" s="77"/>
      <c r="BS269" s="77"/>
      <c r="BT269" s="77"/>
      <c r="BU269" s="77"/>
      <c r="BV269" s="77"/>
      <c r="BW269" s="77"/>
      <c r="BX269" s="77"/>
      <c r="BY269" s="77"/>
      <c r="BZ269" s="77"/>
      <c r="CA269" s="77"/>
      <c r="CB269" s="77"/>
      <c r="CC269" s="77"/>
      <c r="CD269" s="77"/>
      <c r="CE269" s="77"/>
      <c r="CF269" s="77"/>
      <c r="CG269" s="77"/>
      <c r="CH269" s="77"/>
      <c r="CI269" s="77"/>
      <c r="CJ269" s="77"/>
      <c r="CK269" s="77"/>
      <c r="CL269" s="77"/>
      <c r="CM269" s="77"/>
      <c r="CN269" s="77"/>
      <c r="CO269" s="77"/>
      <c r="CP269" s="77"/>
      <c r="CQ269" s="77"/>
      <c r="CR269" s="77"/>
      <c r="CS269" s="77"/>
      <c r="CT269" s="77"/>
      <c r="CU269" s="77"/>
      <c r="CV269" s="77"/>
      <c r="CW269" s="77"/>
      <c r="CX269" s="77"/>
      <c r="CY269" s="77"/>
      <c r="CZ269" s="77"/>
      <c r="DA269" s="77"/>
      <c r="DB269" s="77"/>
      <c r="DC269" s="77"/>
      <c r="DD269" s="77"/>
      <c r="DE269" s="77"/>
      <c r="DF269" s="77"/>
      <c r="DG269" s="77"/>
      <c r="DH269" s="77"/>
      <c r="DI269" s="77"/>
      <c r="DJ269" s="77"/>
      <c r="DK269" s="77"/>
      <c r="DL269" s="77"/>
      <c r="DM269" s="77"/>
      <c r="DN269" s="77"/>
      <c r="DO269" s="77"/>
      <c r="DP269" s="77"/>
      <c r="DQ269" s="77"/>
      <c r="DR269" s="77"/>
      <c r="DS269" s="77"/>
      <c r="DT269" s="77"/>
      <c r="DU269" s="77"/>
      <c r="DV269" s="77"/>
      <c r="DW269" s="77"/>
      <c r="DX269" s="77"/>
      <c r="DY269" s="77"/>
      <c r="DZ269" s="77"/>
      <c r="EA269" s="77"/>
      <c r="EB269" s="77"/>
      <c r="EC269" s="77"/>
      <c r="ED269" s="77"/>
      <c r="EE269" s="77"/>
      <c r="EF269" s="77"/>
      <c r="EG269" s="77"/>
      <c r="EH269" s="77"/>
      <c r="EI269" s="77"/>
      <c r="EJ269" s="77"/>
      <c r="EK269" s="77"/>
      <c r="EL269" s="77"/>
    </row>
    <row r="270" spans="1:142" s="78" customFormat="1">
      <c r="A270" s="89"/>
      <c r="B270" s="87" t="s">
        <v>694</v>
      </c>
      <c r="C270" s="539" t="s">
        <v>886</v>
      </c>
      <c r="D270" s="87"/>
      <c r="E270" s="684">
        <v>5.0000000000000001E-3</v>
      </c>
      <c r="F270" s="684">
        <f>E270</f>
        <v>5.0000000000000001E-3</v>
      </c>
      <c r="G270" s="684">
        <f t="shared" ref="G270:AM270" si="62">F270</f>
        <v>5.0000000000000001E-3</v>
      </c>
      <c r="H270" s="684">
        <f t="shared" si="62"/>
        <v>5.0000000000000001E-3</v>
      </c>
      <c r="I270" s="684">
        <f t="shared" si="62"/>
        <v>5.0000000000000001E-3</v>
      </c>
      <c r="J270" s="684">
        <f t="shared" si="62"/>
        <v>5.0000000000000001E-3</v>
      </c>
      <c r="K270" s="684">
        <f t="shared" si="62"/>
        <v>5.0000000000000001E-3</v>
      </c>
      <c r="L270" s="684">
        <f t="shared" si="62"/>
        <v>5.0000000000000001E-3</v>
      </c>
      <c r="M270" s="684">
        <f t="shared" si="62"/>
        <v>5.0000000000000001E-3</v>
      </c>
      <c r="N270" s="684">
        <f t="shared" si="62"/>
        <v>5.0000000000000001E-3</v>
      </c>
      <c r="O270" s="684">
        <f t="shared" si="62"/>
        <v>5.0000000000000001E-3</v>
      </c>
      <c r="P270" s="684">
        <f t="shared" si="62"/>
        <v>5.0000000000000001E-3</v>
      </c>
      <c r="Q270" s="684">
        <f t="shared" si="62"/>
        <v>5.0000000000000001E-3</v>
      </c>
      <c r="R270" s="684">
        <f t="shared" si="62"/>
        <v>5.0000000000000001E-3</v>
      </c>
      <c r="S270" s="684">
        <f t="shared" si="62"/>
        <v>5.0000000000000001E-3</v>
      </c>
      <c r="T270" s="684">
        <f t="shared" si="62"/>
        <v>5.0000000000000001E-3</v>
      </c>
      <c r="U270" s="684">
        <f t="shared" si="62"/>
        <v>5.0000000000000001E-3</v>
      </c>
      <c r="V270" s="684">
        <f t="shared" si="62"/>
        <v>5.0000000000000001E-3</v>
      </c>
      <c r="W270" s="684">
        <f t="shared" si="62"/>
        <v>5.0000000000000001E-3</v>
      </c>
      <c r="X270" s="684">
        <f t="shared" si="62"/>
        <v>5.0000000000000001E-3</v>
      </c>
      <c r="Y270" s="684">
        <f t="shared" si="62"/>
        <v>5.0000000000000001E-3</v>
      </c>
      <c r="Z270" s="684">
        <f t="shared" si="62"/>
        <v>5.0000000000000001E-3</v>
      </c>
      <c r="AA270" s="684">
        <f t="shared" si="62"/>
        <v>5.0000000000000001E-3</v>
      </c>
      <c r="AB270" s="684">
        <f t="shared" si="62"/>
        <v>5.0000000000000001E-3</v>
      </c>
      <c r="AC270" s="684">
        <f t="shared" si="62"/>
        <v>5.0000000000000001E-3</v>
      </c>
      <c r="AD270" s="684">
        <f t="shared" si="62"/>
        <v>5.0000000000000001E-3</v>
      </c>
      <c r="AE270" s="684">
        <f t="shared" si="62"/>
        <v>5.0000000000000001E-3</v>
      </c>
      <c r="AF270" s="684">
        <f t="shared" si="62"/>
        <v>5.0000000000000001E-3</v>
      </c>
      <c r="AG270" s="684">
        <f t="shared" si="62"/>
        <v>5.0000000000000001E-3</v>
      </c>
      <c r="AH270" s="684">
        <f t="shared" si="62"/>
        <v>5.0000000000000001E-3</v>
      </c>
      <c r="AI270" s="684">
        <f t="shared" si="62"/>
        <v>5.0000000000000001E-3</v>
      </c>
      <c r="AJ270" s="684">
        <f t="shared" si="62"/>
        <v>5.0000000000000001E-3</v>
      </c>
      <c r="AK270" s="684">
        <f t="shared" si="62"/>
        <v>5.0000000000000001E-3</v>
      </c>
      <c r="AL270" s="684">
        <f t="shared" si="62"/>
        <v>5.0000000000000001E-3</v>
      </c>
      <c r="AM270" s="684">
        <f t="shared" si="62"/>
        <v>5.0000000000000001E-3</v>
      </c>
      <c r="AN270" s="77"/>
      <c r="AO270" s="77"/>
      <c r="AP270" s="77"/>
      <c r="AQ270" s="77"/>
      <c r="AR270" s="77"/>
      <c r="AS270" s="77"/>
      <c r="AT270" s="77"/>
      <c r="AU270" s="77"/>
      <c r="AV270" s="77"/>
      <c r="AW270" s="77"/>
      <c r="AX270" s="77"/>
      <c r="AY270" s="77"/>
      <c r="AZ270" s="77"/>
      <c r="BA270" s="77"/>
      <c r="BB270" s="77"/>
      <c r="BC270" s="77"/>
      <c r="BD270" s="77"/>
      <c r="BE270" s="77"/>
      <c r="BF270" s="77"/>
      <c r="BG270" s="77"/>
      <c r="BH270" s="77"/>
      <c r="BI270" s="77"/>
      <c r="BJ270" s="77"/>
      <c r="BK270" s="77"/>
      <c r="BL270" s="77"/>
      <c r="BM270" s="77"/>
      <c r="BN270" s="77"/>
      <c r="BO270" s="77"/>
      <c r="BP270" s="77"/>
      <c r="BQ270" s="77"/>
      <c r="BR270" s="77"/>
      <c r="BS270" s="77"/>
      <c r="BT270" s="77"/>
      <c r="BU270" s="77"/>
      <c r="BV270" s="77"/>
      <c r="BW270" s="77"/>
      <c r="BX270" s="77"/>
      <c r="BY270" s="77"/>
      <c r="BZ270" s="77"/>
      <c r="CA270" s="77"/>
      <c r="CB270" s="77"/>
      <c r="CC270" s="77"/>
      <c r="CD270" s="77"/>
      <c r="CE270" s="77"/>
      <c r="CF270" s="77"/>
      <c r="CG270" s="77"/>
      <c r="CH270" s="77"/>
      <c r="CI270" s="77"/>
      <c r="CJ270" s="77"/>
      <c r="CK270" s="77"/>
      <c r="CL270" s="77"/>
      <c r="CM270" s="77"/>
      <c r="CN270" s="77"/>
      <c r="CO270" s="77"/>
      <c r="CP270" s="77"/>
      <c r="CQ270" s="77"/>
      <c r="CR270" s="77"/>
      <c r="CS270" s="77"/>
      <c r="CT270" s="77"/>
      <c r="CU270" s="77"/>
      <c r="CV270" s="77"/>
      <c r="CW270" s="77"/>
      <c r="CX270" s="77"/>
      <c r="CY270" s="77"/>
      <c r="CZ270" s="77"/>
      <c r="DA270" s="77"/>
      <c r="DB270" s="77"/>
      <c r="DC270" s="77"/>
      <c r="DD270" s="77"/>
      <c r="DE270" s="77"/>
      <c r="DF270" s="77"/>
      <c r="DG270" s="77"/>
      <c r="DH270" s="77"/>
      <c r="DI270" s="77"/>
      <c r="DJ270" s="77"/>
      <c r="DK270" s="77"/>
      <c r="DL270" s="77"/>
      <c r="DM270" s="77"/>
      <c r="DN270" s="77"/>
      <c r="DO270" s="77"/>
      <c r="DP270" s="77"/>
      <c r="DQ270" s="77"/>
      <c r="DR270" s="77"/>
      <c r="DS270" s="77"/>
      <c r="DT270" s="77"/>
      <c r="DU270" s="77"/>
      <c r="DV270" s="77"/>
      <c r="DW270" s="77"/>
      <c r="DX270" s="77"/>
      <c r="DY270" s="77"/>
      <c r="DZ270" s="77"/>
      <c r="EA270" s="77"/>
      <c r="EB270" s="77"/>
      <c r="EC270" s="77"/>
      <c r="ED270" s="77"/>
      <c r="EE270" s="77"/>
      <c r="EF270" s="77"/>
      <c r="EG270" s="77"/>
      <c r="EH270" s="77"/>
      <c r="EI270" s="77"/>
      <c r="EJ270" s="77"/>
      <c r="EK270" s="77"/>
      <c r="EL270" s="77"/>
    </row>
    <row r="271" spans="1:142" s="78" customFormat="1">
      <c r="A271" s="89"/>
      <c r="B271" s="87" t="s">
        <v>133</v>
      </c>
      <c r="C271" s="539" t="s">
        <v>886</v>
      </c>
      <c r="D271" s="87"/>
      <c r="E271" s="130">
        <v>2.75E-2</v>
      </c>
      <c r="F271" s="130">
        <f>E271</f>
        <v>2.75E-2</v>
      </c>
      <c r="G271" s="130">
        <f t="shared" ref="G271:AM271" si="63">F271</f>
        <v>2.75E-2</v>
      </c>
      <c r="H271" s="130">
        <f t="shared" si="63"/>
        <v>2.75E-2</v>
      </c>
      <c r="I271" s="130">
        <f t="shared" si="63"/>
        <v>2.75E-2</v>
      </c>
      <c r="J271" s="130">
        <f t="shared" si="63"/>
        <v>2.75E-2</v>
      </c>
      <c r="K271" s="130">
        <f t="shared" si="63"/>
        <v>2.75E-2</v>
      </c>
      <c r="L271" s="130">
        <f t="shared" si="63"/>
        <v>2.75E-2</v>
      </c>
      <c r="M271" s="130">
        <f t="shared" si="63"/>
        <v>2.75E-2</v>
      </c>
      <c r="N271" s="130">
        <f t="shared" si="63"/>
        <v>2.75E-2</v>
      </c>
      <c r="O271" s="130">
        <f t="shared" si="63"/>
        <v>2.75E-2</v>
      </c>
      <c r="P271" s="130">
        <f t="shared" si="63"/>
        <v>2.75E-2</v>
      </c>
      <c r="Q271" s="130">
        <f t="shared" si="63"/>
        <v>2.75E-2</v>
      </c>
      <c r="R271" s="130">
        <f t="shared" si="63"/>
        <v>2.75E-2</v>
      </c>
      <c r="S271" s="130">
        <f t="shared" si="63"/>
        <v>2.75E-2</v>
      </c>
      <c r="T271" s="130">
        <f t="shared" si="63"/>
        <v>2.75E-2</v>
      </c>
      <c r="U271" s="130">
        <f t="shared" si="63"/>
        <v>2.75E-2</v>
      </c>
      <c r="V271" s="130">
        <f t="shared" si="63"/>
        <v>2.75E-2</v>
      </c>
      <c r="W271" s="130">
        <f t="shared" si="63"/>
        <v>2.75E-2</v>
      </c>
      <c r="X271" s="130">
        <f t="shared" si="63"/>
        <v>2.75E-2</v>
      </c>
      <c r="Y271" s="130">
        <f t="shared" si="63"/>
        <v>2.75E-2</v>
      </c>
      <c r="Z271" s="130">
        <f t="shared" si="63"/>
        <v>2.75E-2</v>
      </c>
      <c r="AA271" s="130">
        <f t="shared" si="63"/>
        <v>2.75E-2</v>
      </c>
      <c r="AB271" s="130">
        <f t="shared" si="63"/>
        <v>2.75E-2</v>
      </c>
      <c r="AC271" s="130">
        <f t="shared" si="63"/>
        <v>2.75E-2</v>
      </c>
      <c r="AD271" s="130">
        <f t="shared" si="63"/>
        <v>2.75E-2</v>
      </c>
      <c r="AE271" s="130">
        <f t="shared" si="63"/>
        <v>2.75E-2</v>
      </c>
      <c r="AF271" s="130">
        <f t="shared" si="63"/>
        <v>2.75E-2</v>
      </c>
      <c r="AG271" s="130">
        <f t="shared" si="63"/>
        <v>2.75E-2</v>
      </c>
      <c r="AH271" s="130">
        <f t="shared" si="63"/>
        <v>2.75E-2</v>
      </c>
      <c r="AI271" s="130">
        <f t="shared" si="63"/>
        <v>2.75E-2</v>
      </c>
      <c r="AJ271" s="130">
        <f t="shared" si="63"/>
        <v>2.75E-2</v>
      </c>
      <c r="AK271" s="130">
        <f t="shared" si="63"/>
        <v>2.75E-2</v>
      </c>
      <c r="AL271" s="130">
        <f t="shared" si="63"/>
        <v>2.75E-2</v>
      </c>
      <c r="AM271" s="130">
        <f t="shared" si="63"/>
        <v>2.75E-2</v>
      </c>
      <c r="AN271" s="77"/>
      <c r="AO271" s="77"/>
      <c r="AP271" s="77"/>
      <c r="AQ271" s="77"/>
      <c r="AR271" s="77"/>
      <c r="AS271" s="77"/>
      <c r="AT271" s="77"/>
      <c r="AU271" s="77"/>
      <c r="AV271" s="77"/>
      <c r="AW271" s="77"/>
      <c r="AX271" s="77"/>
      <c r="AY271" s="77"/>
      <c r="AZ271" s="77"/>
      <c r="BA271" s="77"/>
      <c r="BB271" s="77"/>
      <c r="BC271" s="77"/>
      <c r="BD271" s="77"/>
      <c r="BE271" s="77"/>
      <c r="BF271" s="77"/>
      <c r="BG271" s="77"/>
      <c r="BH271" s="77"/>
      <c r="BI271" s="77"/>
      <c r="BJ271" s="77"/>
      <c r="BK271" s="77"/>
      <c r="BL271" s="77"/>
      <c r="BM271" s="77"/>
      <c r="BN271" s="77"/>
      <c r="BO271" s="77"/>
      <c r="BP271" s="77"/>
      <c r="BQ271" s="77"/>
      <c r="BR271" s="77"/>
      <c r="BS271" s="77"/>
      <c r="BT271" s="77"/>
      <c r="BU271" s="77"/>
      <c r="BV271" s="77"/>
      <c r="BW271" s="77"/>
      <c r="BX271" s="77"/>
      <c r="BY271" s="77"/>
      <c r="BZ271" s="77"/>
      <c r="CA271" s="77"/>
      <c r="CB271" s="77"/>
      <c r="CC271" s="77"/>
      <c r="CD271" s="77"/>
      <c r="CE271" s="77"/>
      <c r="CF271" s="77"/>
      <c r="CG271" s="77"/>
      <c r="CH271" s="77"/>
      <c r="CI271" s="77"/>
      <c r="CJ271" s="77"/>
      <c r="CK271" s="77"/>
      <c r="CL271" s="77"/>
      <c r="CM271" s="77"/>
      <c r="CN271" s="77"/>
      <c r="CO271" s="77"/>
      <c r="CP271" s="77"/>
      <c r="CQ271" s="77"/>
      <c r="CR271" s="77"/>
      <c r="CS271" s="77"/>
      <c r="CT271" s="77"/>
      <c r="CU271" s="77"/>
      <c r="CV271" s="77"/>
      <c r="CW271" s="77"/>
      <c r="CX271" s="77"/>
      <c r="CY271" s="77"/>
      <c r="CZ271" s="77"/>
      <c r="DA271" s="77"/>
      <c r="DB271" s="77"/>
      <c r="DC271" s="77"/>
      <c r="DD271" s="77"/>
      <c r="DE271" s="77"/>
      <c r="DF271" s="77"/>
      <c r="DG271" s="77"/>
      <c r="DH271" s="77"/>
      <c r="DI271" s="77"/>
      <c r="DJ271" s="77"/>
      <c r="DK271" s="77"/>
      <c r="DL271" s="77"/>
      <c r="DM271" s="77"/>
      <c r="DN271" s="77"/>
      <c r="DO271" s="77"/>
      <c r="DP271" s="77"/>
      <c r="DQ271" s="77"/>
      <c r="DR271" s="77"/>
      <c r="DS271" s="77"/>
      <c r="DT271" s="77"/>
      <c r="DU271" s="77"/>
      <c r="DV271" s="77"/>
      <c r="DW271" s="77"/>
      <c r="DX271" s="77"/>
      <c r="DY271" s="77"/>
      <c r="DZ271" s="77"/>
      <c r="EA271" s="77"/>
      <c r="EB271" s="77"/>
      <c r="EC271" s="77"/>
      <c r="ED271" s="77"/>
      <c r="EE271" s="77"/>
      <c r="EF271" s="77"/>
      <c r="EG271" s="77"/>
      <c r="EH271" s="77"/>
      <c r="EI271" s="77"/>
      <c r="EJ271" s="77"/>
      <c r="EK271" s="77"/>
      <c r="EL271" s="77"/>
    </row>
    <row r="272" spans="1:142" s="78" customFormat="1">
      <c r="A272" s="89"/>
      <c r="B272" s="87" t="s">
        <v>162</v>
      </c>
      <c r="C272" s="87"/>
      <c r="D272" s="87"/>
      <c r="E272" s="713">
        <f>SUM(E269:E271)</f>
        <v>9.8100000000000007E-2</v>
      </c>
      <c r="F272" s="713">
        <f t="shared" ref="F272:AM272" si="64">SUM(F269:F271)</f>
        <v>9.8100000000000007E-2</v>
      </c>
      <c r="G272" s="713">
        <f t="shared" si="64"/>
        <v>9.8100000000000007E-2</v>
      </c>
      <c r="H272" s="713">
        <f t="shared" si="64"/>
        <v>9.8100000000000007E-2</v>
      </c>
      <c r="I272" s="713">
        <f t="shared" si="64"/>
        <v>9.8100000000000007E-2</v>
      </c>
      <c r="J272" s="713">
        <f t="shared" si="64"/>
        <v>9.8100000000000007E-2</v>
      </c>
      <c r="K272" s="713">
        <f t="shared" si="64"/>
        <v>9.8100000000000007E-2</v>
      </c>
      <c r="L272" s="713">
        <f t="shared" si="64"/>
        <v>9.8100000000000007E-2</v>
      </c>
      <c r="M272" s="713">
        <f t="shared" si="64"/>
        <v>9.8100000000000007E-2</v>
      </c>
      <c r="N272" s="713">
        <f t="shared" si="64"/>
        <v>9.8100000000000007E-2</v>
      </c>
      <c r="O272" s="713">
        <f t="shared" si="64"/>
        <v>9.8100000000000007E-2</v>
      </c>
      <c r="P272" s="713">
        <f t="shared" si="64"/>
        <v>9.8100000000000007E-2</v>
      </c>
      <c r="Q272" s="713">
        <f t="shared" si="64"/>
        <v>9.8100000000000007E-2</v>
      </c>
      <c r="R272" s="713">
        <f t="shared" si="64"/>
        <v>9.8100000000000007E-2</v>
      </c>
      <c r="S272" s="713">
        <f t="shared" si="64"/>
        <v>9.8100000000000007E-2</v>
      </c>
      <c r="T272" s="713">
        <f t="shared" si="64"/>
        <v>9.8100000000000007E-2</v>
      </c>
      <c r="U272" s="713">
        <f t="shared" si="64"/>
        <v>9.8100000000000007E-2</v>
      </c>
      <c r="V272" s="713">
        <f t="shared" si="64"/>
        <v>9.8100000000000007E-2</v>
      </c>
      <c r="W272" s="713">
        <f t="shared" si="64"/>
        <v>9.8100000000000007E-2</v>
      </c>
      <c r="X272" s="713">
        <f t="shared" si="64"/>
        <v>9.8100000000000007E-2</v>
      </c>
      <c r="Y272" s="713">
        <f t="shared" si="64"/>
        <v>9.8100000000000007E-2</v>
      </c>
      <c r="Z272" s="713">
        <f t="shared" si="64"/>
        <v>9.8100000000000007E-2</v>
      </c>
      <c r="AA272" s="713">
        <f t="shared" si="64"/>
        <v>9.8100000000000007E-2</v>
      </c>
      <c r="AB272" s="713">
        <f t="shared" si="64"/>
        <v>9.8100000000000007E-2</v>
      </c>
      <c r="AC272" s="713">
        <f t="shared" si="64"/>
        <v>9.8100000000000007E-2</v>
      </c>
      <c r="AD272" s="713">
        <f t="shared" si="64"/>
        <v>9.8100000000000007E-2</v>
      </c>
      <c r="AE272" s="713">
        <f t="shared" si="64"/>
        <v>9.8100000000000007E-2</v>
      </c>
      <c r="AF272" s="713">
        <f t="shared" si="64"/>
        <v>9.8100000000000007E-2</v>
      </c>
      <c r="AG272" s="713">
        <f t="shared" si="64"/>
        <v>9.8100000000000007E-2</v>
      </c>
      <c r="AH272" s="713">
        <f t="shared" si="64"/>
        <v>9.8100000000000007E-2</v>
      </c>
      <c r="AI272" s="713">
        <f t="shared" si="64"/>
        <v>9.8100000000000007E-2</v>
      </c>
      <c r="AJ272" s="713">
        <f t="shared" si="64"/>
        <v>9.8100000000000007E-2</v>
      </c>
      <c r="AK272" s="713">
        <f t="shared" si="64"/>
        <v>9.8100000000000007E-2</v>
      </c>
      <c r="AL272" s="713">
        <f t="shared" si="64"/>
        <v>9.8100000000000007E-2</v>
      </c>
      <c r="AM272" s="713">
        <f t="shared" si="64"/>
        <v>9.8100000000000007E-2</v>
      </c>
      <c r="AN272" s="77"/>
      <c r="AO272" s="77"/>
      <c r="AP272" s="77"/>
      <c r="AQ272" s="77"/>
      <c r="AR272" s="77"/>
      <c r="AS272" s="77"/>
      <c r="AT272" s="77"/>
      <c r="AU272" s="77"/>
      <c r="AV272" s="77"/>
      <c r="AW272" s="77"/>
      <c r="AX272" s="77"/>
      <c r="AY272" s="77"/>
      <c r="AZ272" s="77"/>
      <c r="BA272" s="77"/>
      <c r="BB272" s="77"/>
      <c r="BC272" s="77"/>
      <c r="BD272" s="77"/>
      <c r="BE272" s="77"/>
      <c r="BF272" s="77"/>
      <c r="BG272" s="77"/>
      <c r="BH272" s="77"/>
      <c r="BI272" s="77"/>
      <c r="BJ272" s="77"/>
      <c r="BK272" s="77"/>
      <c r="BL272" s="77"/>
      <c r="BM272" s="77"/>
      <c r="BN272" s="77"/>
      <c r="BO272" s="77"/>
      <c r="BP272" s="77"/>
      <c r="BQ272" s="77"/>
      <c r="BR272" s="77"/>
      <c r="BS272" s="77"/>
      <c r="BT272" s="77"/>
      <c r="BU272" s="77"/>
      <c r="BV272" s="77"/>
      <c r="BW272" s="77"/>
      <c r="BX272" s="77"/>
      <c r="BY272" s="77"/>
      <c r="BZ272" s="77"/>
      <c r="CA272" s="77"/>
      <c r="CB272" s="77"/>
      <c r="CC272" s="77"/>
      <c r="CD272" s="77"/>
      <c r="CE272" s="77"/>
      <c r="CF272" s="77"/>
      <c r="CG272" s="77"/>
      <c r="CH272" s="77"/>
      <c r="CI272" s="77"/>
      <c r="CJ272" s="77"/>
      <c r="CK272" s="77"/>
      <c r="CL272" s="77"/>
      <c r="CM272" s="77"/>
      <c r="CN272" s="77"/>
      <c r="CO272" s="77"/>
      <c r="CP272" s="77"/>
      <c r="CQ272" s="77"/>
      <c r="CR272" s="77"/>
      <c r="CS272" s="77"/>
      <c r="CT272" s="77"/>
      <c r="CU272" s="77"/>
      <c r="CV272" s="77"/>
      <c r="CW272" s="77"/>
      <c r="CX272" s="77"/>
      <c r="CY272" s="77"/>
      <c r="CZ272" s="77"/>
      <c r="DA272" s="77"/>
      <c r="DB272" s="77"/>
      <c r="DC272" s="77"/>
      <c r="DD272" s="77"/>
      <c r="DE272" s="77"/>
      <c r="DF272" s="77"/>
      <c r="DG272" s="77"/>
      <c r="DH272" s="77"/>
      <c r="DI272" s="77"/>
      <c r="DJ272" s="77"/>
      <c r="DK272" s="77"/>
      <c r="DL272" s="77"/>
      <c r="DM272" s="77"/>
      <c r="DN272" s="77"/>
      <c r="DO272" s="77"/>
      <c r="DP272" s="77"/>
      <c r="DQ272" s="77"/>
      <c r="DR272" s="77"/>
      <c r="DS272" s="77"/>
      <c r="DT272" s="77"/>
      <c r="DU272" s="77"/>
      <c r="DV272" s="77"/>
      <c r="DW272" s="77"/>
      <c r="DX272" s="77"/>
      <c r="DY272" s="77"/>
      <c r="DZ272" s="77"/>
      <c r="EA272" s="77"/>
      <c r="EB272" s="77"/>
      <c r="EC272" s="77"/>
      <c r="ED272" s="77"/>
      <c r="EE272" s="77"/>
      <c r="EF272" s="77"/>
      <c r="EG272" s="77"/>
      <c r="EH272" s="77"/>
      <c r="EI272" s="77"/>
      <c r="EJ272" s="77"/>
      <c r="EK272" s="77"/>
      <c r="EL272" s="77"/>
    </row>
    <row r="273" spans="1:142" s="78" customFormat="1">
      <c r="A273" s="79"/>
      <c r="B273" s="87"/>
      <c r="C273" s="87"/>
      <c r="D273" s="87"/>
      <c r="E273" s="87"/>
      <c r="F273" s="87"/>
      <c r="G273" s="87"/>
      <c r="I273" s="87"/>
      <c r="J273" s="87"/>
      <c r="K273" s="87"/>
      <c r="L273" s="87"/>
      <c r="M273" s="87"/>
      <c r="N273" s="87"/>
      <c r="O273" s="87"/>
      <c r="P273" s="87"/>
      <c r="Q273" s="87"/>
      <c r="R273" s="87"/>
      <c r="S273" s="87"/>
      <c r="T273" s="87"/>
      <c r="U273" s="87"/>
      <c r="V273" s="87"/>
      <c r="W273" s="87"/>
      <c r="X273" s="87"/>
      <c r="Y273" s="87"/>
      <c r="Z273" s="87"/>
      <c r="AA273" s="87"/>
      <c r="AB273" s="87"/>
      <c r="AC273" s="87"/>
      <c r="AD273" s="87"/>
      <c r="AE273" s="87"/>
      <c r="AF273" s="87"/>
      <c r="AG273" s="87"/>
      <c r="AH273" s="87"/>
      <c r="AI273" s="87"/>
      <c r="AJ273" s="87"/>
      <c r="AK273" s="87"/>
      <c r="AL273" s="87"/>
      <c r="AM273" s="87"/>
      <c r="AN273" s="79"/>
      <c r="AO273" s="79"/>
      <c r="AP273" s="79"/>
      <c r="AQ273" s="79"/>
      <c r="AR273" s="79"/>
      <c r="AS273" s="79"/>
      <c r="AT273" s="79"/>
      <c r="AU273" s="79"/>
      <c r="AV273" s="79"/>
      <c r="AW273" s="79"/>
      <c r="AX273" s="79"/>
      <c r="AY273" s="79"/>
      <c r="AZ273" s="79"/>
      <c r="BA273" s="79"/>
      <c r="BB273" s="79"/>
      <c r="BC273" s="79"/>
      <c r="BD273" s="79"/>
      <c r="BE273" s="79"/>
      <c r="BF273" s="79"/>
      <c r="BG273" s="79"/>
      <c r="BH273" s="79"/>
      <c r="BI273" s="79"/>
      <c r="BJ273" s="79"/>
      <c r="BK273" s="79"/>
      <c r="BL273" s="79"/>
      <c r="BM273" s="79"/>
      <c r="BN273" s="79"/>
      <c r="BO273" s="79"/>
      <c r="BP273" s="79"/>
      <c r="BQ273" s="79"/>
      <c r="BR273" s="79"/>
      <c r="BS273" s="79"/>
      <c r="BT273" s="79"/>
      <c r="BU273" s="79"/>
      <c r="BV273" s="79"/>
      <c r="BW273" s="79"/>
      <c r="BX273" s="79"/>
      <c r="BY273" s="79"/>
      <c r="BZ273" s="79"/>
      <c r="CA273" s="79"/>
      <c r="CB273" s="79"/>
      <c r="CC273" s="79"/>
      <c r="CD273" s="79"/>
      <c r="CE273" s="79"/>
      <c r="CF273" s="79"/>
      <c r="CG273" s="79"/>
      <c r="CH273" s="79"/>
      <c r="CI273" s="79"/>
      <c r="CJ273" s="79"/>
      <c r="CK273" s="79"/>
      <c r="CL273" s="79"/>
      <c r="CM273" s="79"/>
      <c r="CN273" s="79"/>
      <c r="CO273" s="79"/>
      <c r="CP273" s="79"/>
      <c r="CQ273" s="79"/>
      <c r="CR273" s="79"/>
      <c r="CS273" s="79"/>
      <c r="CT273" s="79"/>
      <c r="CU273" s="79"/>
      <c r="CV273" s="79"/>
      <c r="CW273" s="79"/>
      <c r="CX273" s="79"/>
      <c r="CY273" s="79"/>
      <c r="CZ273" s="79"/>
      <c r="DA273" s="79"/>
      <c r="DB273" s="79"/>
      <c r="DC273" s="79"/>
      <c r="DD273" s="79"/>
      <c r="DE273" s="79"/>
      <c r="DF273" s="79"/>
      <c r="DG273" s="79"/>
      <c r="DH273" s="79"/>
      <c r="DI273" s="79"/>
      <c r="DJ273" s="79"/>
      <c r="DK273" s="79"/>
      <c r="DL273" s="79"/>
      <c r="DM273" s="79"/>
      <c r="DN273" s="79"/>
      <c r="DO273" s="79"/>
      <c r="DP273" s="79"/>
      <c r="DQ273" s="79"/>
      <c r="DR273" s="79"/>
      <c r="DS273" s="79"/>
      <c r="DT273" s="79"/>
      <c r="DU273" s="79"/>
      <c r="DV273" s="79"/>
      <c r="DW273" s="79"/>
      <c r="DX273" s="79"/>
      <c r="DY273" s="79"/>
      <c r="DZ273" s="79"/>
      <c r="EA273" s="79"/>
      <c r="EB273" s="79"/>
      <c r="EC273" s="79"/>
      <c r="ED273" s="79"/>
      <c r="EE273" s="79"/>
      <c r="EF273" s="79"/>
      <c r="EG273" s="79"/>
      <c r="EH273" s="79"/>
      <c r="EI273" s="79"/>
      <c r="EJ273" s="79"/>
      <c r="EK273" s="79"/>
      <c r="EL273" s="79"/>
    </row>
    <row r="274" spans="1:142" s="78" customFormat="1">
      <c r="A274" s="89"/>
      <c r="B274" s="87"/>
      <c r="C274" s="87"/>
      <c r="D274" s="87"/>
      <c r="E274" s="712"/>
      <c r="F274" s="712"/>
      <c r="G274" s="712"/>
      <c r="H274" s="712"/>
      <c r="I274" s="712"/>
      <c r="J274" s="712"/>
      <c r="K274" s="712"/>
      <c r="L274" s="712"/>
      <c r="M274" s="712"/>
      <c r="N274" s="712"/>
      <c r="O274" s="712"/>
      <c r="P274" s="712"/>
      <c r="Q274" s="712"/>
      <c r="R274" s="712"/>
      <c r="S274" s="712"/>
      <c r="T274" s="712"/>
      <c r="U274" s="712"/>
      <c r="V274" s="712"/>
      <c r="W274" s="712"/>
      <c r="X274" s="712"/>
      <c r="Y274" s="712"/>
      <c r="Z274" s="712"/>
      <c r="AA274" s="712"/>
      <c r="AB274" s="712"/>
      <c r="AC274" s="712"/>
      <c r="AD274" s="712"/>
      <c r="AE274" s="712"/>
      <c r="AF274" s="712"/>
      <c r="AG274" s="712"/>
      <c r="AH274" s="712"/>
      <c r="AI274" s="712"/>
      <c r="AJ274" s="712"/>
      <c r="AK274" s="712"/>
      <c r="AL274" s="712"/>
      <c r="AM274" s="712"/>
      <c r="AN274" s="89"/>
      <c r="AO274" s="89"/>
      <c r="AP274" s="89"/>
      <c r="AQ274" s="89"/>
      <c r="AR274" s="89"/>
      <c r="AS274" s="77"/>
      <c r="AT274" s="77"/>
      <c r="AU274" s="77"/>
      <c r="AV274" s="77"/>
      <c r="AW274" s="77"/>
      <c r="AX274" s="77"/>
      <c r="AY274" s="77"/>
      <c r="AZ274" s="77"/>
      <c r="BA274" s="77"/>
      <c r="BB274" s="77"/>
      <c r="BC274" s="77"/>
      <c r="BD274" s="77"/>
      <c r="BE274" s="77"/>
      <c r="BF274" s="77"/>
      <c r="BG274" s="77"/>
      <c r="BH274" s="77"/>
      <c r="BI274" s="77"/>
      <c r="BJ274" s="77"/>
      <c r="BK274" s="77"/>
      <c r="BL274" s="77"/>
      <c r="BM274" s="77"/>
      <c r="BN274" s="77"/>
      <c r="BO274" s="77"/>
      <c r="BP274" s="77"/>
      <c r="BQ274" s="77"/>
      <c r="BR274" s="77"/>
      <c r="BS274" s="77"/>
      <c r="BT274" s="77"/>
      <c r="BU274" s="77"/>
      <c r="BV274" s="77"/>
      <c r="BW274" s="77"/>
      <c r="BX274" s="77"/>
      <c r="BY274" s="77"/>
      <c r="BZ274" s="77"/>
      <c r="CA274" s="77"/>
      <c r="CB274" s="77"/>
      <c r="CC274" s="77"/>
      <c r="CD274" s="77"/>
      <c r="CE274" s="77"/>
      <c r="CF274" s="77"/>
      <c r="CG274" s="77"/>
      <c r="CH274" s="77"/>
      <c r="CI274" s="77"/>
      <c r="CJ274" s="77"/>
      <c r="CK274" s="77"/>
      <c r="CL274" s="77"/>
      <c r="CM274" s="77"/>
      <c r="CN274" s="77"/>
      <c r="CO274" s="77"/>
      <c r="CP274" s="77"/>
      <c r="CQ274" s="77"/>
      <c r="CR274" s="77"/>
      <c r="CS274" s="77"/>
      <c r="CT274" s="77"/>
      <c r="CU274" s="77"/>
      <c r="CV274" s="77"/>
      <c r="CW274" s="77"/>
      <c r="CX274" s="77"/>
      <c r="CY274" s="77"/>
      <c r="CZ274" s="77"/>
      <c r="DA274" s="77"/>
      <c r="DB274" s="77"/>
      <c r="DC274" s="77"/>
      <c r="DD274" s="77"/>
      <c r="DE274" s="77"/>
      <c r="DF274" s="77"/>
      <c r="DG274" s="77"/>
      <c r="DH274" s="77"/>
      <c r="DI274" s="77"/>
      <c r="DJ274" s="77"/>
      <c r="DK274" s="77"/>
      <c r="DL274" s="77"/>
      <c r="DM274" s="77"/>
      <c r="DN274" s="77"/>
      <c r="DO274" s="77"/>
      <c r="DP274" s="77"/>
      <c r="DQ274" s="77"/>
      <c r="DR274" s="77"/>
      <c r="DS274" s="77"/>
      <c r="DT274" s="77"/>
      <c r="DU274" s="77"/>
      <c r="DV274" s="77"/>
      <c r="DW274" s="77"/>
      <c r="DX274" s="77"/>
      <c r="DY274" s="77"/>
      <c r="DZ274" s="77"/>
      <c r="EA274" s="77"/>
      <c r="EB274" s="77"/>
      <c r="EC274" s="77"/>
      <c r="ED274" s="77"/>
      <c r="EE274" s="77"/>
      <c r="EF274" s="77"/>
      <c r="EG274" s="77"/>
      <c r="EH274" s="77"/>
      <c r="EI274" s="77"/>
      <c r="EJ274" s="77"/>
      <c r="EK274" s="77"/>
      <c r="EL274" s="77"/>
    </row>
    <row r="275" spans="1:142" s="78" customFormat="1">
      <c r="A275" s="89"/>
      <c r="B275" s="79"/>
      <c r="C275" s="79"/>
      <c r="D275" s="79"/>
      <c r="F275" s="79"/>
      <c r="G275" s="89"/>
      <c r="H275" s="77"/>
      <c r="I275" s="77"/>
      <c r="J275" s="77"/>
      <c r="K275" s="77"/>
      <c r="L275" s="77"/>
      <c r="M275" s="77"/>
      <c r="N275" s="77"/>
      <c r="O275" s="77"/>
      <c r="P275" s="77"/>
      <c r="Q275" s="77"/>
      <c r="R275" s="77"/>
      <c r="S275" s="77"/>
      <c r="T275" s="77"/>
      <c r="U275" s="77"/>
      <c r="V275" s="77"/>
      <c r="W275" s="77"/>
      <c r="X275" s="77"/>
      <c r="Y275" s="77"/>
      <c r="Z275" s="77"/>
      <c r="AA275" s="77"/>
      <c r="AB275" s="77"/>
      <c r="AC275" s="77"/>
      <c r="AD275" s="77"/>
      <c r="AE275" s="77"/>
      <c r="AF275" s="77"/>
      <c r="AG275" s="77"/>
      <c r="AH275" s="77"/>
      <c r="AI275" s="77"/>
      <c r="AJ275" s="77"/>
      <c r="AK275" s="77"/>
      <c r="AL275" s="77"/>
      <c r="AM275" s="77"/>
      <c r="AN275" s="77"/>
      <c r="AO275" s="77"/>
      <c r="AP275" s="77"/>
      <c r="AQ275" s="77"/>
      <c r="AR275" s="77"/>
      <c r="AS275" s="77"/>
      <c r="AT275" s="77"/>
      <c r="AU275" s="77"/>
      <c r="AV275" s="77"/>
      <c r="AW275" s="77"/>
      <c r="AX275" s="77"/>
      <c r="AY275" s="77"/>
      <c r="AZ275" s="77"/>
      <c r="BA275" s="77"/>
      <c r="BB275" s="77"/>
      <c r="BC275" s="77"/>
      <c r="BD275" s="77"/>
      <c r="BE275" s="77"/>
      <c r="BF275" s="77"/>
      <c r="BG275" s="77"/>
      <c r="BH275" s="77"/>
      <c r="BI275" s="77"/>
      <c r="BJ275" s="77"/>
      <c r="BK275" s="77"/>
      <c r="BL275" s="77"/>
      <c r="BM275" s="77"/>
      <c r="BN275" s="77"/>
      <c r="BO275" s="77"/>
      <c r="BP275" s="77"/>
      <c r="BQ275" s="77"/>
      <c r="BR275" s="77"/>
      <c r="BS275" s="77"/>
      <c r="BT275" s="77"/>
      <c r="BU275" s="77"/>
      <c r="BV275" s="77"/>
      <c r="BW275" s="77"/>
      <c r="BX275" s="77"/>
      <c r="BY275" s="77"/>
      <c r="BZ275" s="77"/>
      <c r="CA275" s="77"/>
      <c r="CB275" s="77"/>
      <c r="CC275" s="77"/>
      <c r="CD275" s="77"/>
      <c r="CE275" s="77"/>
      <c r="CF275" s="77"/>
      <c r="CG275" s="77"/>
      <c r="CH275" s="77"/>
      <c r="CI275" s="77"/>
      <c r="CJ275" s="77"/>
      <c r="CK275" s="77"/>
      <c r="CL275" s="77"/>
      <c r="CM275" s="77"/>
      <c r="CN275" s="77"/>
      <c r="CO275" s="77"/>
      <c r="CP275" s="77"/>
      <c r="CQ275" s="77"/>
      <c r="CR275" s="77"/>
      <c r="CS275" s="77"/>
      <c r="CT275" s="77"/>
      <c r="CU275" s="77"/>
      <c r="CV275" s="77"/>
      <c r="CW275" s="77"/>
      <c r="CX275" s="77"/>
      <c r="CY275" s="77"/>
      <c r="CZ275" s="77"/>
      <c r="DA275" s="77"/>
      <c r="DB275" s="77"/>
      <c r="DC275" s="77"/>
      <c r="DD275" s="77"/>
      <c r="DE275" s="77"/>
      <c r="DF275" s="77"/>
      <c r="DG275" s="77"/>
      <c r="DH275" s="77"/>
      <c r="DI275" s="77"/>
      <c r="DJ275" s="77"/>
      <c r="DK275" s="77"/>
      <c r="DL275" s="77"/>
      <c r="DM275" s="77"/>
      <c r="DN275" s="77"/>
      <c r="DO275" s="77"/>
      <c r="DP275" s="77"/>
      <c r="DQ275" s="77"/>
      <c r="DR275" s="77"/>
      <c r="DS275" s="77"/>
      <c r="DT275" s="77"/>
      <c r="DU275" s="77"/>
      <c r="DV275" s="77"/>
      <c r="DW275" s="77"/>
      <c r="DX275" s="77"/>
      <c r="DY275" s="77"/>
      <c r="DZ275" s="77"/>
      <c r="EA275" s="77"/>
      <c r="EB275" s="77"/>
      <c r="EC275" s="77"/>
      <c r="ED275" s="77"/>
      <c r="EE275" s="77"/>
      <c r="EF275" s="77"/>
      <c r="EG275" s="77"/>
      <c r="EH275" s="77"/>
      <c r="EI275" s="77"/>
      <c r="EJ275" s="77"/>
      <c r="EK275" s="77"/>
      <c r="EL275" s="77"/>
    </row>
    <row r="276" spans="1:142" s="78" customFormat="1" ht="13.5" thickBot="1">
      <c r="A276" s="89"/>
      <c r="B276" s="99" t="s">
        <v>335</v>
      </c>
      <c r="C276" s="99"/>
      <c r="D276" s="79"/>
      <c r="F276" s="79"/>
      <c r="G276" s="89"/>
      <c r="H276" s="77"/>
      <c r="I276" s="77"/>
      <c r="J276" s="77"/>
      <c r="K276" s="77"/>
      <c r="L276" s="77"/>
      <c r="M276" s="77"/>
      <c r="N276" s="77"/>
      <c r="O276" s="77"/>
      <c r="P276" s="77"/>
      <c r="Q276" s="77"/>
      <c r="R276" s="77"/>
      <c r="S276" s="77"/>
      <c r="T276" s="77"/>
      <c r="U276" s="77"/>
      <c r="V276" s="77"/>
      <c r="W276" s="77"/>
      <c r="X276" s="77"/>
      <c r="Y276" s="77"/>
      <c r="Z276" s="77"/>
      <c r="AA276" s="77"/>
      <c r="AB276" s="77"/>
      <c r="AC276" s="77"/>
      <c r="AD276" s="77"/>
      <c r="AE276" s="77"/>
      <c r="AF276" s="77"/>
      <c r="AG276" s="77"/>
      <c r="AH276" s="77"/>
      <c r="AI276" s="77"/>
      <c r="AJ276" s="77"/>
      <c r="AK276" s="77"/>
      <c r="AL276" s="77"/>
      <c r="AM276" s="77"/>
      <c r="AN276" s="77"/>
      <c r="AO276" s="77"/>
      <c r="AP276" s="77"/>
      <c r="AQ276" s="77"/>
      <c r="AR276" s="77"/>
      <c r="AS276" s="77"/>
      <c r="AT276" s="77"/>
      <c r="AU276" s="77"/>
      <c r="AV276" s="77"/>
      <c r="AW276" s="77"/>
      <c r="AX276" s="77"/>
      <c r="AY276" s="77"/>
      <c r="AZ276" s="77"/>
      <c r="BA276" s="77"/>
      <c r="BB276" s="77"/>
      <c r="BC276" s="77"/>
      <c r="BD276" s="77"/>
      <c r="BE276" s="77"/>
      <c r="BF276" s="77"/>
      <c r="BG276" s="77"/>
      <c r="BH276" s="77"/>
      <c r="BI276" s="77"/>
      <c r="BJ276" s="77"/>
      <c r="BK276" s="77"/>
      <c r="BL276" s="77"/>
      <c r="BM276" s="77"/>
      <c r="BN276" s="77"/>
      <c r="BO276" s="77"/>
      <c r="BP276" s="77"/>
      <c r="BQ276" s="77"/>
      <c r="BR276" s="77"/>
      <c r="BS276" s="77"/>
      <c r="BT276" s="77"/>
      <c r="BU276" s="77"/>
      <c r="BV276" s="77"/>
      <c r="BW276" s="77"/>
      <c r="BX276" s="77"/>
      <c r="BY276" s="77"/>
      <c r="BZ276" s="77"/>
      <c r="CA276" s="77"/>
      <c r="CB276" s="77"/>
      <c r="CC276" s="77"/>
      <c r="CD276" s="77"/>
      <c r="CE276" s="77"/>
      <c r="CF276" s="77"/>
      <c r="CG276" s="77"/>
      <c r="CH276" s="77"/>
      <c r="CI276" s="77"/>
      <c r="CJ276" s="77"/>
      <c r="CK276" s="77"/>
      <c r="CL276" s="77"/>
      <c r="CM276" s="77"/>
      <c r="CN276" s="77"/>
      <c r="CO276" s="77"/>
      <c r="CP276" s="77"/>
      <c r="CQ276" s="77"/>
      <c r="CR276" s="77"/>
      <c r="CS276" s="77"/>
      <c r="CT276" s="77"/>
      <c r="CU276" s="77"/>
      <c r="CV276" s="77"/>
      <c r="CW276" s="77"/>
      <c r="CX276" s="77"/>
      <c r="CY276" s="77"/>
      <c r="CZ276" s="77"/>
      <c r="DA276" s="77"/>
      <c r="DB276" s="77"/>
      <c r="DC276" s="77"/>
      <c r="DD276" s="77"/>
      <c r="DE276" s="77"/>
      <c r="DF276" s="77"/>
      <c r="DG276" s="77"/>
      <c r="DH276" s="77"/>
      <c r="DI276" s="77"/>
      <c r="DJ276" s="77"/>
      <c r="DK276" s="77"/>
      <c r="DL276" s="77"/>
      <c r="DM276" s="77"/>
      <c r="DN276" s="77"/>
      <c r="DO276" s="77"/>
      <c r="DP276" s="77"/>
      <c r="DQ276" s="77"/>
      <c r="DR276" s="77"/>
      <c r="DS276" s="77"/>
      <c r="DT276" s="77"/>
      <c r="DU276" s="77"/>
      <c r="DV276" s="77"/>
      <c r="DW276" s="77"/>
      <c r="DX276" s="77"/>
      <c r="DY276" s="77"/>
      <c r="DZ276" s="77"/>
      <c r="EA276" s="77"/>
      <c r="EB276" s="77"/>
      <c r="EC276" s="77"/>
      <c r="ED276" s="77"/>
      <c r="EE276" s="77"/>
      <c r="EF276" s="77"/>
      <c r="EG276" s="77"/>
      <c r="EH276" s="77"/>
      <c r="EI276" s="77"/>
      <c r="EJ276" s="77"/>
      <c r="EK276" s="77"/>
      <c r="EL276" s="77"/>
    </row>
    <row r="277" spans="1:142" s="78" customFormat="1">
      <c r="A277" s="89"/>
      <c r="B277" s="1250" t="str">
        <f>IF(E278&gt;E287+0.5,"----  DEBT OVERLOADED ----","")</f>
        <v/>
      </c>
      <c r="C277" s="819"/>
      <c r="D277" s="138"/>
      <c r="E277" s="725" t="str">
        <f>HLOOKUP($E$287,JR_COVRATIO,3)</f>
        <v/>
      </c>
      <c r="F277" s="725" t="str">
        <f>HLOOKUP($E$287+1,JR_COVRATIO,3)</f>
        <v/>
      </c>
      <c r="G277" s="288" t="s">
        <v>122</v>
      </c>
      <c r="H277" s="77"/>
      <c r="I277" s="77"/>
      <c r="J277" s="77"/>
      <c r="K277" s="77"/>
      <c r="L277" s="77"/>
      <c r="M277" s="77"/>
      <c r="N277" s="77"/>
      <c r="O277" s="77"/>
      <c r="P277" s="77"/>
      <c r="Q277" s="77"/>
      <c r="R277" s="77"/>
      <c r="S277" s="77"/>
      <c r="T277" s="77"/>
      <c r="U277" s="77"/>
      <c r="V277" s="77"/>
      <c r="W277" s="77"/>
      <c r="X277" s="77"/>
      <c r="Y277" s="77"/>
      <c r="Z277" s="77"/>
      <c r="AA277" s="77"/>
      <c r="AB277" s="77"/>
      <c r="AC277" s="77"/>
      <c r="AD277" s="77"/>
      <c r="AE277" s="77"/>
      <c r="AF277" s="77"/>
      <c r="AG277" s="77"/>
      <c r="AH277" s="77"/>
      <c r="AI277" s="77"/>
      <c r="AJ277" s="77"/>
      <c r="AK277" s="77"/>
      <c r="AL277" s="77"/>
      <c r="AM277" s="77"/>
      <c r="AN277" s="77"/>
      <c r="AO277" s="77"/>
      <c r="AP277" s="77"/>
      <c r="AQ277" s="77"/>
      <c r="AR277" s="77"/>
      <c r="AS277" s="77"/>
      <c r="AT277" s="77"/>
      <c r="AU277" s="77"/>
      <c r="AV277" s="77"/>
      <c r="AW277" s="77"/>
      <c r="AX277" s="77"/>
      <c r="AY277" s="77"/>
      <c r="AZ277" s="77"/>
      <c r="BA277" s="77"/>
      <c r="BB277" s="77"/>
      <c r="BC277" s="77"/>
      <c r="BD277" s="77"/>
      <c r="BE277" s="77"/>
      <c r="BF277" s="77"/>
      <c r="BG277" s="77"/>
      <c r="BH277" s="77"/>
      <c r="BI277" s="77"/>
      <c r="BJ277" s="77"/>
      <c r="BK277" s="77"/>
      <c r="BL277" s="77"/>
      <c r="BM277" s="77"/>
      <c r="BN277" s="77"/>
      <c r="BO277" s="77"/>
      <c r="BP277" s="77"/>
      <c r="BQ277" s="77"/>
      <c r="BR277" s="77"/>
      <c r="BS277" s="77"/>
      <c r="BT277" s="77"/>
      <c r="BU277" s="77"/>
      <c r="BV277" s="77"/>
      <c r="BW277" s="77"/>
      <c r="BX277" s="77"/>
      <c r="BY277" s="77"/>
      <c r="BZ277" s="77"/>
      <c r="CA277" s="77"/>
      <c r="CB277" s="77"/>
      <c r="CC277" s="77"/>
      <c r="CD277" s="77"/>
      <c r="CE277" s="77"/>
      <c r="CF277" s="77"/>
      <c r="CG277" s="77"/>
      <c r="CH277" s="77"/>
      <c r="CI277" s="77"/>
      <c r="CJ277" s="77"/>
      <c r="CK277" s="77"/>
      <c r="CL277" s="77"/>
      <c r="CM277" s="77"/>
      <c r="CN277" s="77"/>
      <c r="CO277" s="77"/>
      <c r="CP277" s="77"/>
      <c r="CQ277" s="77"/>
      <c r="CR277" s="77"/>
      <c r="CS277" s="77"/>
      <c r="CT277" s="77"/>
      <c r="CU277" s="77"/>
      <c r="CV277" s="77"/>
      <c r="CW277" s="77"/>
      <c r="CX277" s="77"/>
      <c r="CY277" s="77"/>
      <c r="CZ277" s="77"/>
      <c r="DA277" s="77"/>
      <c r="DB277" s="77"/>
      <c r="DC277" s="77"/>
      <c r="DD277" s="77"/>
      <c r="DE277" s="77"/>
      <c r="DF277" s="77"/>
      <c r="DG277" s="77"/>
      <c r="DH277" s="77"/>
      <c r="DI277" s="77"/>
      <c r="DJ277" s="77"/>
      <c r="DK277" s="77"/>
      <c r="DL277" s="77"/>
      <c r="DM277" s="77"/>
      <c r="DN277" s="77"/>
      <c r="DO277" s="77"/>
      <c r="DP277" s="77"/>
      <c r="DQ277" s="77"/>
      <c r="DR277" s="77"/>
      <c r="DS277" s="77"/>
      <c r="DT277" s="77"/>
      <c r="DU277" s="77"/>
      <c r="DV277" s="77"/>
      <c r="DW277" s="77"/>
      <c r="DX277" s="77"/>
      <c r="DY277" s="77"/>
      <c r="DZ277" s="77"/>
      <c r="EA277" s="77"/>
      <c r="EB277" s="77"/>
      <c r="EC277" s="77"/>
      <c r="ED277" s="77"/>
      <c r="EE277" s="77"/>
      <c r="EF277" s="77"/>
      <c r="EG277" s="77"/>
      <c r="EH277" s="77"/>
      <c r="EI277" s="77"/>
      <c r="EJ277" s="77"/>
      <c r="EK277" s="77"/>
      <c r="EL277" s="77"/>
    </row>
    <row r="278" spans="1:142" s="78" customFormat="1">
      <c r="A278" s="89"/>
      <c r="B278" s="1289" t="s">
        <v>334</v>
      </c>
      <c r="C278" s="1247">
        <f>JrDebt!C70</f>
        <v>0</v>
      </c>
      <c r="D278" s="132"/>
      <c r="E278" s="726">
        <f>JrDebt!G38</f>
        <v>0</v>
      </c>
      <c r="F278" s="689"/>
      <c r="G278" s="289" t="s">
        <v>123</v>
      </c>
      <c r="H278" s="77"/>
      <c r="I278" s="77"/>
      <c r="J278" s="77"/>
      <c r="K278" s="77"/>
      <c r="L278" s="77"/>
      <c r="M278" s="77"/>
      <c r="N278" s="77"/>
      <c r="O278" s="77"/>
      <c r="P278" s="77"/>
      <c r="Q278" s="77"/>
      <c r="R278" s="77"/>
      <c r="S278" s="77"/>
      <c r="T278" s="77"/>
      <c r="U278" s="77"/>
      <c r="V278" s="77"/>
      <c r="W278" s="77"/>
      <c r="X278" s="77"/>
      <c r="Y278" s="77"/>
      <c r="Z278" s="77"/>
      <c r="AA278" s="77"/>
      <c r="AB278" s="77"/>
      <c r="AC278" s="77"/>
      <c r="AD278" s="77"/>
      <c r="AE278" s="77"/>
      <c r="AF278" s="77"/>
      <c r="AG278" s="77"/>
      <c r="AH278" s="77"/>
      <c r="AI278" s="77"/>
      <c r="AJ278" s="77"/>
      <c r="AK278" s="77"/>
      <c r="AL278" s="77"/>
      <c r="AM278" s="77"/>
      <c r="AN278" s="77"/>
      <c r="AO278" s="77"/>
      <c r="AP278" s="77"/>
      <c r="AQ278" s="77"/>
      <c r="AR278" s="77"/>
      <c r="AS278" s="77"/>
      <c r="AT278" s="77"/>
      <c r="AU278" s="77"/>
      <c r="AV278" s="77"/>
      <c r="AW278" s="77"/>
      <c r="AX278" s="77"/>
      <c r="AY278" s="77"/>
      <c r="AZ278" s="77"/>
      <c r="BA278" s="77"/>
      <c r="BB278" s="77"/>
      <c r="BC278" s="77"/>
      <c r="BD278" s="77"/>
      <c r="BE278" s="77"/>
      <c r="BF278" s="77"/>
      <c r="BG278" s="77"/>
      <c r="BH278" s="77"/>
      <c r="BI278" s="77"/>
      <c r="BJ278" s="77"/>
      <c r="BK278" s="77"/>
      <c r="BL278" s="77"/>
      <c r="BM278" s="77"/>
      <c r="BN278" s="77"/>
      <c r="BO278" s="77"/>
      <c r="BP278" s="77"/>
      <c r="BQ278" s="77"/>
      <c r="BR278" s="77"/>
      <c r="BS278" s="77"/>
      <c r="BT278" s="77"/>
      <c r="BU278" s="77"/>
      <c r="BV278" s="77"/>
      <c r="BW278" s="77"/>
      <c r="BX278" s="77"/>
      <c r="BY278" s="77"/>
      <c r="BZ278" s="77"/>
      <c r="CA278" s="77"/>
      <c r="CB278" s="77"/>
      <c r="CC278" s="77"/>
      <c r="CD278" s="77"/>
      <c r="CE278" s="77"/>
      <c r="CF278" s="77"/>
      <c r="CG278" s="77"/>
      <c r="CH278" s="77"/>
      <c r="CI278" s="77"/>
      <c r="CJ278" s="77"/>
      <c r="CK278" s="77"/>
      <c r="CL278" s="77"/>
      <c r="CM278" s="77"/>
      <c r="CN278" s="77"/>
      <c r="CO278" s="77"/>
      <c r="CP278" s="77"/>
      <c r="CQ278" s="77"/>
      <c r="CR278" s="77"/>
      <c r="CS278" s="77"/>
      <c r="CT278" s="77"/>
      <c r="CU278" s="77"/>
      <c r="CV278" s="77"/>
      <c r="CW278" s="77"/>
      <c r="CX278" s="77"/>
      <c r="CY278" s="77"/>
      <c r="CZ278" s="77"/>
      <c r="DA278" s="77"/>
      <c r="DB278" s="77"/>
      <c r="DC278" s="77"/>
      <c r="DD278" s="77"/>
      <c r="DE278" s="77"/>
      <c r="DF278" s="77"/>
      <c r="DG278" s="77"/>
      <c r="DH278" s="77"/>
      <c r="DI278" s="77"/>
      <c r="DJ278" s="77"/>
      <c r="DK278" s="77"/>
      <c r="DL278" s="77"/>
      <c r="DM278" s="77"/>
      <c r="DN278" s="77"/>
      <c r="DO278" s="77"/>
      <c r="DP278" s="77"/>
      <c r="DQ278" s="77"/>
      <c r="DR278" s="77"/>
      <c r="DS278" s="77"/>
      <c r="DT278" s="77"/>
      <c r="DU278" s="77"/>
      <c r="DV278" s="77"/>
      <c r="DW278" s="77"/>
      <c r="DX278" s="77"/>
      <c r="DY278" s="77"/>
      <c r="DZ278" s="77"/>
      <c r="EA278" s="77"/>
      <c r="EB278" s="77"/>
      <c r="EC278" s="77"/>
      <c r="ED278" s="77"/>
      <c r="EE278" s="77"/>
      <c r="EF278" s="77"/>
      <c r="EG278" s="77"/>
      <c r="EH278" s="77"/>
      <c r="EI278" s="77"/>
      <c r="EJ278" s="77"/>
      <c r="EK278" s="77"/>
      <c r="EL278" s="77"/>
    </row>
    <row r="279" spans="1:142" s="78" customFormat="1">
      <c r="A279" s="89"/>
      <c r="B279" s="692"/>
      <c r="C279" s="816"/>
      <c r="D279" s="132"/>
      <c r="E279" s="689"/>
      <c r="F279" s="689"/>
      <c r="G279" s="133"/>
      <c r="H279" s="77"/>
      <c r="I279" s="77"/>
      <c r="J279" s="77"/>
      <c r="K279" s="77"/>
      <c r="L279" s="77"/>
      <c r="M279" s="77"/>
      <c r="N279" s="77"/>
      <c r="O279" s="77"/>
      <c r="P279" s="77"/>
      <c r="Q279" s="77"/>
      <c r="R279" s="77"/>
      <c r="S279" s="77"/>
      <c r="T279" s="77"/>
      <c r="U279" s="77"/>
      <c r="V279" s="77"/>
      <c r="W279" s="77"/>
      <c r="X279" s="77"/>
      <c r="Y279" s="77"/>
      <c r="Z279" s="77"/>
      <c r="AA279" s="77"/>
      <c r="AB279" s="77"/>
      <c r="AC279" s="77"/>
      <c r="AD279" s="77"/>
      <c r="AE279" s="77"/>
      <c r="AF279" s="77"/>
      <c r="AG279" s="77"/>
      <c r="AH279" s="77"/>
      <c r="AI279" s="77"/>
      <c r="AJ279" s="77"/>
      <c r="AK279" s="77"/>
      <c r="AL279" s="77"/>
      <c r="AM279" s="77"/>
      <c r="AN279" s="77"/>
      <c r="AO279" s="77"/>
      <c r="AP279" s="77"/>
      <c r="AQ279" s="77"/>
      <c r="AR279" s="77"/>
      <c r="AS279" s="77"/>
      <c r="AT279" s="77"/>
      <c r="AU279" s="77"/>
      <c r="AV279" s="77"/>
      <c r="AW279" s="77"/>
      <c r="AX279" s="77"/>
      <c r="AY279" s="77"/>
      <c r="AZ279" s="77"/>
      <c r="BA279" s="77"/>
      <c r="BB279" s="77"/>
      <c r="BC279" s="77"/>
      <c r="BD279" s="77"/>
      <c r="BE279" s="77"/>
      <c r="BF279" s="77"/>
      <c r="BG279" s="77"/>
      <c r="BH279" s="77"/>
      <c r="BI279" s="77"/>
      <c r="BJ279" s="77"/>
      <c r="BK279" s="77"/>
      <c r="BL279" s="77"/>
      <c r="BM279" s="77"/>
      <c r="BN279" s="77"/>
      <c r="BO279" s="77"/>
      <c r="BP279" s="77"/>
      <c r="BQ279" s="77"/>
      <c r="BR279" s="77"/>
      <c r="BS279" s="77"/>
      <c r="BT279" s="77"/>
      <c r="BU279" s="77"/>
      <c r="BV279" s="77"/>
      <c r="BW279" s="77"/>
      <c r="BX279" s="77"/>
      <c r="BY279" s="77"/>
      <c r="BZ279" s="77"/>
      <c r="CA279" s="77"/>
      <c r="CB279" s="77"/>
      <c r="CC279" s="77"/>
      <c r="CD279" s="77"/>
      <c r="CE279" s="77"/>
      <c r="CF279" s="77"/>
      <c r="CG279" s="77"/>
      <c r="CH279" s="77"/>
      <c r="CI279" s="77"/>
      <c r="CJ279" s="77"/>
      <c r="CK279" s="77"/>
      <c r="CL279" s="77"/>
      <c r="CM279" s="77"/>
      <c r="CN279" s="77"/>
      <c r="CO279" s="77"/>
      <c r="CP279" s="77"/>
      <c r="CQ279" s="77"/>
      <c r="CR279" s="77"/>
      <c r="CS279" s="77"/>
      <c r="CT279" s="77"/>
      <c r="CU279" s="77"/>
      <c r="CV279" s="77"/>
      <c r="CW279" s="77"/>
      <c r="CX279" s="77"/>
      <c r="CY279" s="77"/>
      <c r="CZ279" s="77"/>
      <c r="DA279" s="77"/>
      <c r="DB279" s="77"/>
      <c r="DC279" s="77"/>
      <c r="DD279" s="77"/>
      <c r="DE279" s="77"/>
      <c r="DF279" s="77"/>
      <c r="DG279" s="77"/>
      <c r="DH279" s="77"/>
      <c r="DI279" s="77"/>
      <c r="DJ279" s="77"/>
      <c r="DK279" s="77"/>
      <c r="DL279" s="77"/>
      <c r="DM279" s="77"/>
      <c r="DN279" s="77"/>
      <c r="DO279" s="77"/>
      <c r="DP279" s="77"/>
      <c r="DQ279" s="77"/>
      <c r="DR279" s="77"/>
      <c r="DS279" s="77"/>
      <c r="DT279" s="77"/>
      <c r="DU279" s="77"/>
      <c r="DV279" s="77"/>
      <c r="DW279" s="77"/>
      <c r="DX279" s="77"/>
      <c r="DY279" s="77"/>
      <c r="DZ279" s="77"/>
      <c r="EA279" s="77"/>
      <c r="EB279" s="77"/>
      <c r="EC279" s="77"/>
      <c r="ED279" s="77"/>
      <c r="EE279" s="77"/>
      <c r="EF279" s="77"/>
      <c r="EG279" s="77"/>
      <c r="EH279" s="77"/>
      <c r="EI279" s="77"/>
      <c r="EJ279" s="77"/>
      <c r="EK279" s="77"/>
      <c r="EL279" s="77"/>
    </row>
    <row r="280" spans="1:142" s="78" customFormat="1">
      <c r="A280" s="89"/>
      <c r="B280" s="694" t="s">
        <v>69</v>
      </c>
      <c r="C280" s="1247">
        <f>E294</f>
        <v>1</v>
      </c>
      <c r="D280" s="132"/>
      <c r="E280" s="727">
        <f ca="1">Outside!D65</f>
        <v>0.12338958382606507</v>
      </c>
      <c r="F280" s="689"/>
      <c r="G280" s="215" t="s">
        <v>449</v>
      </c>
      <c r="H280" s="77"/>
      <c r="I280" s="77"/>
      <c r="J280" s="77"/>
      <c r="K280" s="77"/>
      <c r="L280" s="77"/>
      <c r="M280" s="77"/>
      <c r="N280" s="77"/>
      <c r="O280" s="77"/>
      <c r="P280" s="77"/>
      <c r="Q280" s="77"/>
      <c r="R280" s="77"/>
      <c r="S280" s="77"/>
      <c r="T280" s="77"/>
      <c r="U280" s="77"/>
      <c r="V280" s="77"/>
      <c r="W280" s="77"/>
      <c r="X280" s="77"/>
      <c r="Y280" s="77"/>
      <c r="Z280" s="77"/>
      <c r="AA280" s="77"/>
      <c r="AB280" s="77"/>
      <c r="AC280" s="77"/>
      <c r="AD280" s="77"/>
      <c r="AE280" s="77"/>
      <c r="AF280" s="77"/>
      <c r="AG280" s="77"/>
      <c r="AH280" s="77"/>
      <c r="AI280" s="77"/>
      <c r="AJ280" s="77"/>
      <c r="AK280" s="77"/>
      <c r="AL280" s="77"/>
      <c r="AM280" s="77"/>
      <c r="AN280" s="77"/>
      <c r="AO280" s="77"/>
      <c r="AP280" s="77"/>
      <c r="AQ280" s="77"/>
      <c r="AR280" s="77"/>
      <c r="AS280" s="77"/>
      <c r="AT280" s="77"/>
      <c r="AU280" s="77"/>
      <c r="AV280" s="77"/>
      <c r="AW280" s="77"/>
      <c r="AX280" s="77"/>
      <c r="AY280" s="77"/>
      <c r="AZ280" s="77"/>
      <c r="BA280" s="77"/>
      <c r="BB280" s="77"/>
      <c r="BC280" s="77"/>
      <c r="BD280" s="77"/>
      <c r="BE280" s="77"/>
      <c r="BF280" s="77"/>
      <c r="BG280" s="77"/>
      <c r="BH280" s="77"/>
      <c r="BI280" s="77"/>
      <c r="BJ280" s="77"/>
      <c r="BK280" s="77"/>
      <c r="BL280" s="77"/>
      <c r="BM280" s="77"/>
      <c r="BN280" s="77"/>
      <c r="BO280" s="77"/>
      <c r="BP280" s="77"/>
      <c r="BQ280" s="77"/>
      <c r="BR280" s="77"/>
      <c r="BS280" s="77"/>
      <c r="BT280" s="77"/>
      <c r="BU280" s="77"/>
      <c r="BV280" s="77"/>
      <c r="BW280" s="77"/>
      <c r="BX280" s="77"/>
      <c r="BY280" s="77"/>
      <c r="BZ280" s="77"/>
      <c r="CA280" s="77"/>
      <c r="CB280" s="77"/>
      <c r="CC280" s="77"/>
      <c r="CD280" s="77"/>
      <c r="CE280" s="77"/>
      <c r="CF280" s="77"/>
      <c r="CG280" s="77"/>
      <c r="CH280" s="77"/>
      <c r="CI280" s="77"/>
      <c r="CJ280" s="77"/>
      <c r="CK280" s="77"/>
      <c r="CL280" s="77"/>
      <c r="CM280" s="77"/>
      <c r="CN280" s="77"/>
      <c r="CO280" s="77"/>
      <c r="CP280" s="77"/>
      <c r="CQ280" s="77"/>
      <c r="CR280" s="77"/>
      <c r="CS280" s="77"/>
      <c r="CT280" s="77"/>
      <c r="CU280" s="77"/>
      <c r="CV280" s="77"/>
      <c r="CW280" s="77"/>
      <c r="CX280" s="77"/>
      <c r="CY280" s="77"/>
      <c r="CZ280" s="77"/>
      <c r="DA280" s="77"/>
      <c r="DB280" s="77"/>
      <c r="DC280" s="77"/>
      <c r="DD280" s="77"/>
      <c r="DE280" s="77"/>
      <c r="DF280" s="77"/>
      <c r="DG280" s="77"/>
      <c r="DH280" s="77"/>
      <c r="DI280" s="77"/>
      <c r="DJ280" s="77"/>
      <c r="DK280" s="77"/>
      <c r="DL280" s="77"/>
      <c r="DM280" s="77"/>
      <c r="DN280" s="77"/>
      <c r="DO280" s="77"/>
      <c r="DP280" s="77"/>
      <c r="DQ280" s="77"/>
      <c r="DR280" s="77"/>
      <c r="DS280" s="77"/>
      <c r="DT280" s="77"/>
      <c r="DU280" s="77"/>
      <c r="DV280" s="77"/>
      <c r="DW280" s="77"/>
      <c r="DX280" s="77"/>
      <c r="DY280" s="77"/>
      <c r="DZ280" s="77"/>
      <c r="EA280" s="77"/>
      <c r="EB280" s="77"/>
      <c r="EC280" s="77"/>
      <c r="ED280" s="77"/>
      <c r="EE280" s="77"/>
      <c r="EF280" s="77"/>
      <c r="EG280" s="77"/>
      <c r="EH280" s="77"/>
      <c r="EI280" s="77"/>
      <c r="EJ280" s="77"/>
      <c r="EK280" s="77"/>
      <c r="EL280" s="77"/>
    </row>
    <row r="281" spans="1:142" s="78" customFormat="1">
      <c r="A281" s="89"/>
      <c r="B281" s="694" t="s">
        <v>707</v>
      </c>
      <c r="C281" s="817" t="str">
        <f>IF(E292=1,"YES", "NO")</f>
        <v>YES</v>
      </c>
      <c r="D281" s="132"/>
      <c r="E281" s="711">
        <f ca="1">EWC!D65</f>
        <v>0.12338958382606507</v>
      </c>
      <c r="F281" s="689"/>
      <c r="G281" s="1290" t="s">
        <v>144</v>
      </c>
      <c r="H281" s="77"/>
      <c r="I281" s="77"/>
      <c r="J281" s="77"/>
      <c r="K281" s="77"/>
      <c r="L281" s="77"/>
      <c r="M281" s="77"/>
      <c r="N281" s="77"/>
      <c r="O281" s="77"/>
      <c r="P281" s="77"/>
      <c r="Q281" s="77"/>
      <c r="R281" s="77"/>
      <c r="S281" s="77"/>
      <c r="T281" s="77"/>
      <c r="U281" s="77"/>
      <c r="V281" s="77"/>
      <c r="W281" s="77"/>
      <c r="X281" s="77"/>
      <c r="Y281" s="77"/>
      <c r="Z281" s="77"/>
      <c r="AA281" s="77"/>
      <c r="AB281" s="77"/>
      <c r="AC281" s="77"/>
      <c r="AD281" s="77"/>
      <c r="AE281" s="77"/>
      <c r="AF281" s="77"/>
      <c r="AG281" s="77"/>
      <c r="AH281" s="77"/>
      <c r="AI281" s="77"/>
      <c r="AJ281" s="77"/>
      <c r="AK281" s="77"/>
      <c r="AL281" s="77"/>
      <c r="AM281" s="77"/>
      <c r="AN281" s="77"/>
      <c r="AO281" s="77"/>
      <c r="AP281" s="77"/>
      <c r="AQ281" s="77"/>
      <c r="AR281" s="77"/>
      <c r="AS281" s="77"/>
      <c r="AT281" s="77"/>
      <c r="AU281" s="77"/>
      <c r="AV281" s="77"/>
      <c r="AW281" s="77"/>
      <c r="AX281" s="77"/>
      <c r="AY281" s="77"/>
      <c r="AZ281" s="77"/>
      <c r="BA281" s="77"/>
      <c r="BB281" s="77"/>
      <c r="BC281" s="77"/>
      <c r="BD281" s="77"/>
      <c r="BE281" s="77"/>
      <c r="BF281" s="77"/>
      <c r="BG281" s="77"/>
      <c r="BH281" s="77"/>
      <c r="BI281" s="77"/>
      <c r="BJ281" s="77"/>
      <c r="BK281" s="77"/>
      <c r="BL281" s="77"/>
      <c r="BM281" s="77"/>
      <c r="BN281" s="77"/>
      <c r="BO281" s="77"/>
      <c r="BP281" s="77"/>
      <c r="BQ281" s="77"/>
      <c r="BR281" s="77"/>
      <c r="BS281" s="77"/>
      <c r="BT281" s="77"/>
      <c r="BU281" s="77"/>
      <c r="BV281" s="77"/>
      <c r="BW281" s="77"/>
      <c r="BX281" s="77"/>
      <c r="BY281" s="77"/>
      <c r="BZ281" s="77"/>
      <c r="CA281" s="77"/>
      <c r="CB281" s="77"/>
      <c r="CC281" s="77"/>
      <c r="CD281" s="77"/>
      <c r="CE281" s="77"/>
      <c r="CF281" s="77"/>
      <c r="CG281" s="77"/>
      <c r="CH281" s="77"/>
      <c r="CI281" s="77"/>
      <c r="CJ281" s="77"/>
      <c r="CK281" s="77"/>
      <c r="CL281" s="77"/>
      <c r="CM281" s="77"/>
      <c r="CN281" s="77"/>
      <c r="CO281" s="77"/>
      <c r="CP281" s="77"/>
      <c r="CQ281" s="77"/>
      <c r="CR281" s="77"/>
      <c r="CS281" s="77"/>
      <c r="CT281" s="77"/>
      <c r="CU281" s="77"/>
      <c r="CV281" s="77"/>
      <c r="CW281" s="77"/>
      <c r="CX281" s="77"/>
      <c r="CY281" s="77"/>
      <c r="CZ281" s="77"/>
      <c r="DA281" s="77"/>
      <c r="DB281" s="77"/>
      <c r="DC281" s="77"/>
      <c r="DD281" s="77"/>
      <c r="DE281" s="77"/>
      <c r="DF281" s="77"/>
      <c r="DG281" s="77"/>
      <c r="DH281" s="77"/>
      <c r="DI281" s="77"/>
      <c r="DJ281" s="77"/>
      <c r="DK281" s="77"/>
      <c r="DL281" s="77"/>
      <c r="DM281" s="77"/>
      <c r="DN281" s="77"/>
      <c r="DO281" s="77"/>
      <c r="DP281" s="77"/>
      <c r="DQ281" s="77"/>
      <c r="DR281" s="77"/>
      <c r="DS281" s="77"/>
      <c r="DT281" s="77"/>
      <c r="DU281" s="77"/>
      <c r="DV281" s="77"/>
      <c r="DW281" s="77"/>
      <c r="DX281" s="77"/>
      <c r="DY281" s="77"/>
      <c r="DZ281" s="77"/>
      <c r="EA281" s="77"/>
      <c r="EB281" s="77"/>
      <c r="EC281" s="77"/>
      <c r="ED281" s="77"/>
      <c r="EE281" s="77"/>
      <c r="EF281" s="77"/>
      <c r="EG281" s="77"/>
      <c r="EH281" s="77"/>
      <c r="EI281" s="77"/>
      <c r="EJ281" s="77"/>
      <c r="EK281" s="77"/>
      <c r="EL281" s="77"/>
    </row>
    <row r="282" spans="1:142" s="78" customFormat="1">
      <c r="A282" s="89"/>
      <c r="B282" s="694"/>
      <c r="C282" s="817"/>
      <c r="D282" s="132"/>
      <c r="E282" s="711"/>
      <c r="F282" s="689"/>
      <c r="G282" s="1290"/>
      <c r="H282" s="77"/>
      <c r="I282" s="77"/>
      <c r="J282" s="77"/>
      <c r="K282" s="77"/>
      <c r="L282" s="77"/>
      <c r="M282" s="77"/>
      <c r="N282" s="77"/>
      <c r="O282" s="77"/>
      <c r="P282" s="77"/>
      <c r="Q282" s="77"/>
      <c r="R282" s="77"/>
      <c r="S282" s="77"/>
      <c r="T282" s="77"/>
      <c r="U282" s="77"/>
      <c r="V282" s="77"/>
      <c r="W282" s="77"/>
      <c r="X282" s="77"/>
      <c r="Y282" s="77"/>
      <c r="Z282" s="77"/>
      <c r="AA282" s="77"/>
      <c r="AB282" s="77"/>
      <c r="AC282" s="77"/>
      <c r="AD282" s="77"/>
      <c r="AE282" s="77"/>
      <c r="AF282" s="77"/>
      <c r="AG282" s="77"/>
      <c r="AH282" s="77"/>
      <c r="AI282" s="77"/>
      <c r="AJ282" s="77"/>
      <c r="AK282" s="77"/>
      <c r="AL282" s="77"/>
      <c r="AM282" s="77"/>
      <c r="AN282" s="77"/>
      <c r="AO282" s="77"/>
      <c r="AP282" s="77"/>
      <c r="AQ282" s="77"/>
      <c r="AR282" s="77"/>
      <c r="AS282" s="77"/>
      <c r="AT282" s="77"/>
      <c r="AU282" s="77"/>
      <c r="AV282" s="77"/>
      <c r="AW282" s="77"/>
      <c r="AX282" s="77"/>
      <c r="AY282" s="77"/>
      <c r="AZ282" s="77"/>
      <c r="BA282" s="77"/>
      <c r="BB282" s="77"/>
      <c r="BC282" s="77"/>
      <c r="BD282" s="77"/>
      <c r="BE282" s="77"/>
      <c r="BF282" s="77"/>
      <c r="BG282" s="77"/>
      <c r="BH282" s="77"/>
      <c r="BI282" s="77"/>
      <c r="BJ282" s="77"/>
      <c r="BK282" s="77"/>
      <c r="BL282" s="77"/>
      <c r="BM282" s="77"/>
      <c r="BN282" s="77"/>
      <c r="BO282" s="77"/>
      <c r="BP282" s="77"/>
      <c r="BQ282" s="77"/>
      <c r="BR282" s="77"/>
      <c r="BS282" s="77"/>
      <c r="BT282" s="77"/>
      <c r="BU282" s="77"/>
      <c r="BV282" s="77"/>
      <c r="BW282" s="77"/>
      <c r="BX282" s="77"/>
      <c r="BY282" s="77"/>
      <c r="BZ282" s="77"/>
      <c r="CA282" s="77"/>
      <c r="CB282" s="77"/>
      <c r="CC282" s="77"/>
      <c r="CD282" s="77"/>
      <c r="CE282" s="77"/>
      <c r="CF282" s="77"/>
      <c r="CG282" s="77"/>
      <c r="CH282" s="77"/>
      <c r="CI282" s="77"/>
      <c r="CJ282" s="77"/>
      <c r="CK282" s="77"/>
      <c r="CL282" s="77"/>
      <c r="CM282" s="77"/>
      <c r="CN282" s="77"/>
      <c r="CO282" s="77"/>
      <c r="CP282" s="77"/>
      <c r="CQ282" s="77"/>
      <c r="CR282" s="77"/>
      <c r="CS282" s="77"/>
      <c r="CT282" s="77"/>
      <c r="CU282" s="77"/>
      <c r="CV282" s="77"/>
      <c r="CW282" s="77"/>
      <c r="CX282" s="77"/>
      <c r="CY282" s="77"/>
      <c r="CZ282" s="77"/>
      <c r="DA282" s="77"/>
      <c r="DB282" s="77"/>
      <c r="DC282" s="77"/>
      <c r="DD282" s="77"/>
      <c r="DE282" s="77"/>
      <c r="DF282" s="77"/>
      <c r="DG282" s="77"/>
      <c r="DH282" s="77"/>
      <c r="DI282" s="77"/>
      <c r="DJ282" s="77"/>
      <c r="DK282" s="77"/>
      <c r="DL282" s="77"/>
      <c r="DM282" s="77"/>
      <c r="DN282" s="77"/>
      <c r="DO282" s="77"/>
      <c r="DP282" s="77"/>
      <c r="DQ282" s="77"/>
      <c r="DR282" s="77"/>
      <c r="DS282" s="77"/>
      <c r="DT282" s="77"/>
      <c r="DU282" s="77"/>
      <c r="DV282" s="77"/>
      <c r="DW282" s="77"/>
      <c r="DX282" s="77"/>
      <c r="DY282" s="77"/>
      <c r="DZ282" s="77"/>
      <c r="EA282" s="77"/>
      <c r="EB282" s="77"/>
      <c r="EC282" s="77"/>
      <c r="ED282" s="77"/>
      <c r="EE282" s="77"/>
      <c r="EF282" s="77"/>
      <c r="EG282" s="77"/>
      <c r="EH282" s="77"/>
      <c r="EI282" s="77"/>
      <c r="EJ282" s="77"/>
      <c r="EK282" s="77"/>
      <c r="EL282" s="77"/>
    </row>
    <row r="283" spans="1:142" s="78" customFormat="1" ht="13.5" thickBot="1">
      <c r="A283" s="89"/>
      <c r="B283" s="690"/>
      <c r="C283" s="818"/>
      <c r="D283" s="723"/>
      <c r="E283" s="691"/>
      <c r="F283" s="134"/>
      <c r="G283" s="724"/>
      <c r="H283" s="79"/>
      <c r="I283" s="79"/>
      <c r="J283" s="79"/>
      <c r="K283" s="77"/>
      <c r="L283" s="77"/>
      <c r="M283" s="77"/>
      <c r="N283" s="77"/>
      <c r="O283" s="77"/>
      <c r="P283" s="77"/>
      <c r="Q283" s="77"/>
      <c r="R283" s="77"/>
      <c r="S283" s="77"/>
      <c r="T283" s="77"/>
      <c r="U283" s="77"/>
      <c r="V283" s="77"/>
      <c r="W283" s="77"/>
      <c r="X283" s="77"/>
      <c r="Y283" s="77"/>
      <c r="Z283" s="77"/>
      <c r="AA283" s="77"/>
      <c r="AB283" s="77"/>
      <c r="AC283" s="77"/>
      <c r="AD283" s="77"/>
      <c r="AE283" s="77"/>
      <c r="AF283" s="77"/>
      <c r="AG283" s="77"/>
      <c r="AH283" s="77"/>
      <c r="AI283" s="77"/>
      <c r="AJ283" s="77"/>
      <c r="AK283" s="77"/>
      <c r="AL283" s="77"/>
      <c r="AM283" s="77"/>
      <c r="AN283" s="77"/>
      <c r="AO283" s="77"/>
      <c r="AP283" s="77"/>
      <c r="AQ283" s="77"/>
      <c r="AR283" s="77"/>
      <c r="AS283" s="77"/>
      <c r="AT283" s="77"/>
      <c r="AU283" s="77"/>
      <c r="AV283" s="77"/>
      <c r="AW283" s="77"/>
      <c r="AX283" s="77"/>
      <c r="AY283" s="77"/>
      <c r="AZ283" s="77"/>
      <c r="BA283" s="77"/>
      <c r="BB283" s="77"/>
      <c r="BC283" s="77"/>
      <c r="BD283" s="77"/>
      <c r="BE283" s="77"/>
      <c r="BF283" s="77"/>
      <c r="BG283" s="77"/>
      <c r="BH283" s="77"/>
      <c r="BI283" s="77"/>
      <c r="BJ283" s="77"/>
      <c r="BK283" s="77"/>
      <c r="BL283" s="77"/>
      <c r="BM283" s="77"/>
      <c r="BN283" s="77"/>
      <c r="BO283" s="77"/>
      <c r="BP283" s="77"/>
      <c r="BQ283" s="77"/>
      <c r="BR283" s="77"/>
      <c r="BS283" s="77"/>
      <c r="BT283" s="77"/>
      <c r="BU283" s="77"/>
      <c r="BV283" s="77"/>
      <c r="BW283" s="77"/>
      <c r="BX283" s="77"/>
      <c r="BY283" s="77"/>
      <c r="BZ283" s="77"/>
      <c r="CA283" s="77"/>
      <c r="CB283" s="77"/>
      <c r="CC283" s="77"/>
      <c r="CD283" s="77"/>
      <c r="CE283" s="77"/>
      <c r="CF283" s="77"/>
      <c r="CG283" s="77"/>
      <c r="CH283" s="77"/>
      <c r="CI283" s="77"/>
      <c r="CJ283" s="77"/>
      <c r="CK283" s="77"/>
      <c r="CL283" s="77"/>
      <c r="CM283" s="77"/>
      <c r="CN283" s="77"/>
      <c r="CO283" s="77"/>
      <c r="CP283" s="77"/>
      <c r="CQ283" s="77"/>
      <c r="CR283" s="77"/>
      <c r="CS283" s="77"/>
      <c r="CT283" s="77"/>
      <c r="CU283" s="77"/>
      <c r="CV283" s="77"/>
      <c r="CW283" s="77"/>
      <c r="CX283" s="77"/>
      <c r="CY283" s="77"/>
      <c r="CZ283" s="77"/>
      <c r="DA283" s="77"/>
      <c r="DB283" s="77"/>
      <c r="DC283" s="77"/>
      <c r="DD283" s="77"/>
      <c r="DE283" s="77"/>
      <c r="DF283" s="77"/>
      <c r="DG283" s="77"/>
      <c r="DH283" s="77"/>
      <c r="DI283" s="77"/>
      <c r="DJ283" s="77"/>
      <c r="DK283" s="77"/>
      <c r="DL283" s="77"/>
      <c r="DM283" s="77"/>
      <c r="DN283" s="77"/>
      <c r="DO283" s="77"/>
      <c r="DP283" s="77"/>
      <c r="DQ283" s="77"/>
      <c r="DR283" s="77"/>
      <c r="DS283" s="77"/>
      <c r="DT283" s="77"/>
      <c r="DU283" s="77"/>
      <c r="DV283" s="77"/>
      <c r="DW283" s="77"/>
      <c r="DX283" s="77"/>
      <c r="DY283" s="77"/>
      <c r="DZ283" s="77"/>
      <c r="EA283" s="77"/>
      <c r="EB283" s="77"/>
      <c r="EC283" s="77"/>
      <c r="ED283" s="77"/>
      <c r="EE283" s="77"/>
      <c r="EF283" s="77"/>
      <c r="EG283" s="77"/>
      <c r="EH283" s="77"/>
      <c r="EI283" s="77"/>
      <c r="EJ283" s="77"/>
      <c r="EK283" s="77"/>
      <c r="EL283" s="77"/>
    </row>
    <row r="284" spans="1:142" s="78" customFormat="1">
      <c r="A284" s="89"/>
      <c r="F284" s="79"/>
      <c r="G284" s="79"/>
      <c r="H284" s="79"/>
      <c r="I284" s="79"/>
      <c r="J284" s="79"/>
      <c r="K284" s="77"/>
      <c r="L284" s="77"/>
      <c r="M284" s="77"/>
      <c r="N284" s="77"/>
      <c r="O284" s="77"/>
      <c r="P284" s="77"/>
      <c r="Q284" s="77"/>
      <c r="R284" s="77"/>
      <c r="S284" s="77"/>
      <c r="T284" s="77"/>
      <c r="U284" s="77"/>
      <c r="V284" s="77"/>
      <c r="W284" s="77"/>
      <c r="X284" s="77"/>
      <c r="Y284" s="77"/>
      <c r="Z284" s="77"/>
      <c r="AA284" s="77"/>
      <c r="AB284" s="77"/>
      <c r="AC284" s="77"/>
      <c r="AD284" s="77"/>
      <c r="AE284" s="77"/>
      <c r="AF284" s="77"/>
      <c r="AG284" s="77"/>
      <c r="AH284" s="77"/>
      <c r="AI284" s="77"/>
      <c r="AJ284" s="77"/>
      <c r="AK284" s="77"/>
      <c r="AL284" s="77"/>
      <c r="AM284" s="77"/>
      <c r="AN284" s="77"/>
      <c r="AO284" s="77"/>
      <c r="AP284" s="77"/>
      <c r="AQ284" s="77"/>
      <c r="AR284" s="77"/>
      <c r="AS284" s="77"/>
      <c r="AT284" s="77"/>
      <c r="AU284" s="77"/>
      <c r="AV284" s="77"/>
      <c r="AW284" s="77"/>
      <c r="AX284" s="77"/>
      <c r="AY284" s="77"/>
      <c r="AZ284" s="77"/>
      <c r="BA284" s="77"/>
      <c r="BB284" s="77"/>
      <c r="BC284" s="77"/>
      <c r="BD284" s="77"/>
      <c r="BE284" s="77"/>
      <c r="BF284" s="77"/>
      <c r="BG284" s="77"/>
      <c r="BH284" s="77"/>
      <c r="BI284" s="77"/>
      <c r="BJ284" s="77"/>
      <c r="BK284" s="77"/>
      <c r="BL284" s="77"/>
      <c r="BM284" s="77"/>
      <c r="BN284" s="77"/>
      <c r="BO284" s="77"/>
      <c r="BP284" s="77"/>
      <c r="BQ284" s="77"/>
      <c r="BR284" s="77"/>
      <c r="BS284" s="77"/>
      <c r="BT284" s="77"/>
      <c r="BU284" s="77"/>
      <c r="BV284" s="77"/>
      <c r="BW284" s="77"/>
      <c r="BX284" s="77"/>
      <c r="BY284" s="77"/>
      <c r="BZ284" s="77"/>
      <c r="CA284" s="77"/>
      <c r="CB284" s="77"/>
      <c r="CC284" s="77"/>
      <c r="CD284" s="77"/>
      <c r="CE284" s="77"/>
      <c r="CF284" s="77"/>
      <c r="CG284" s="77"/>
      <c r="CH284" s="77"/>
      <c r="CI284" s="77"/>
      <c r="CJ284" s="77"/>
      <c r="CK284" s="77"/>
      <c r="CL284" s="77"/>
      <c r="CM284" s="77"/>
      <c r="CN284" s="77"/>
      <c r="CO284" s="77"/>
      <c r="CP284" s="77"/>
      <c r="CQ284" s="77"/>
      <c r="CR284" s="77"/>
      <c r="CS284" s="77"/>
      <c r="CT284" s="77"/>
      <c r="CU284" s="77"/>
      <c r="CV284" s="77"/>
      <c r="CW284" s="77"/>
      <c r="CX284" s="77"/>
      <c r="CY284" s="77"/>
      <c r="CZ284" s="77"/>
      <c r="DA284" s="77"/>
      <c r="DB284" s="77"/>
      <c r="DC284" s="77"/>
      <c r="DD284" s="77"/>
      <c r="DE284" s="77"/>
      <c r="DF284" s="77"/>
      <c r="DG284" s="77"/>
      <c r="DH284" s="77"/>
      <c r="DI284" s="77"/>
      <c r="DJ284" s="77"/>
      <c r="DK284" s="77"/>
      <c r="DL284" s="77"/>
      <c r="DM284" s="77"/>
      <c r="DN284" s="77"/>
      <c r="DO284" s="77"/>
      <c r="DP284" s="77"/>
      <c r="DQ284" s="77"/>
      <c r="DR284" s="77"/>
      <c r="DS284" s="77"/>
      <c r="DT284" s="77"/>
      <c r="DU284" s="77"/>
      <c r="DV284" s="77"/>
      <c r="DW284" s="77"/>
      <c r="DX284" s="77"/>
      <c r="DY284" s="77"/>
      <c r="DZ284" s="77"/>
      <c r="EA284" s="77"/>
      <c r="EB284" s="77"/>
      <c r="EC284" s="77"/>
      <c r="ED284" s="77"/>
      <c r="EE284" s="77"/>
      <c r="EF284" s="77"/>
      <c r="EG284" s="77"/>
      <c r="EH284" s="77"/>
      <c r="EI284" s="77"/>
      <c r="EJ284" s="77"/>
      <c r="EK284" s="77"/>
      <c r="EL284" s="77"/>
    </row>
    <row r="285" spans="1:142" s="78" customFormat="1">
      <c r="A285" s="89"/>
      <c r="B285" s="79" t="s">
        <v>117</v>
      </c>
      <c r="C285" s="79"/>
      <c r="D285" s="129"/>
      <c r="E285" s="305">
        <v>0</v>
      </c>
      <c r="G285" s="79"/>
      <c r="H285" s="79"/>
      <c r="I285" s="79"/>
      <c r="J285" s="79"/>
      <c r="K285" s="77"/>
      <c r="L285" s="77"/>
      <c r="M285" s="77"/>
      <c r="N285" s="77"/>
      <c r="O285" s="77"/>
      <c r="P285" s="77"/>
      <c r="Q285" s="77"/>
      <c r="R285" s="77"/>
      <c r="S285" s="77"/>
      <c r="T285" s="77"/>
      <c r="U285" s="77"/>
      <c r="V285" s="77"/>
      <c r="W285" s="77"/>
      <c r="X285" s="77"/>
      <c r="Y285" s="77"/>
      <c r="Z285" s="77"/>
      <c r="AA285" s="77"/>
      <c r="AB285" s="77"/>
      <c r="AC285" s="77"/>
      <c r="AD285" s="77"/>
      <c r="AE285" s="77"/>
      <c r="AF285" s="77"/>
      <c r="AG285" s="77"/>
      <c r="AH285" s="77"/>
      <c r="AI285" s="77"/>
      <c r="AJ285" s="77"/>
      <c r="AK285" s="77"/>
      <c r="AL285" s="77"/>
      <c r="AM285" s="77"/>
      <c r="AN285" s="77"/>
      <c r="AO285" s="77"/>
      <c r="AP285" s="77"/>
      <c r="AQ285" s="77"/>
      <c r="AR285" s="77"/>
      <c r="AS285" s="77"/>
      <c r="AT285" s="77"/>
      <c r="AU285" s="77"/>
      <c r="AV285" s="77"/>
      <c r="AW285" s="77"/>
      <c r="AX285" s="77"/>
      <c r="AY285" s="77"/>
      <c r="AZ285" s="77"/>
      <c r="BA285" s="77"/>
      <c r="BB285" s="77"/>
      <c r="BC285" s="77"/>
      <c r="BD285" s="77"/>
      <c r="BE285" s="77"/>
      <c r="BF285" s="77"/>
      <c r="BG285" s="77"/>
      <c r="BH285" s="77"/>
      <c r="BI285" s="77"/>
      <c r="BJ285" s="77"/>
      <c r="BK285" s="77"/>
      <c r="BL285" s="77"/>
      <c r="BM285" s="77"/>
      <c r="BN285" s="77"/>
      <c r="BO285" s="77"/>
      <c r="BP285" s="77"/>
      <c r="BQ285" s="77"/>
      <c r="BR285" s="77"/>
      <c r="BS285" s="77"/>
      <c r="BT285" s="77"/>
      <c r="BU285" s="77"/>
      <c r="BV285" s="77"/>
      <c r="BW285" s="77"/>
      <c r="BX285" s="77"/>
      <c r="BY285" s="77"/>
      <c r="BZ285" s="77"/>
      <c r="CA285" s="77"/>
      <c r="CB285" s="77"/>
      <c r="CC285" s="77"/>
      <c r="CD285" s="77"/>
      <c r="CE285" s="77"/>
      <c r="CF285" s="77"/>
      <c r="CG285" s="77"/>
      <c r="CH285" s="77"/>
      <c r="CI285" s="77"/>
      <c r="CJ285" s="77"/>
      <c r="CK285" s="77"/>
      <c r="CL285" s="77"/>
      <c r="CM285" s="77"/>
      <c r="CN285" s="77"/>
      <c r="CO285" s="77"/>
      <c r="CP285" s="77"/>
      <c r="CQ285" s="77"/>
      <c r="CR285" s="77"/>
      <c r="CS285" s="77"/>
      <c r="CT285" s="77"/>
      <c r="CU285" s="77"/>
      <c r="CV285" s="77"/>
      <c r="CW285" s="77"/>
      <c r="CX285" s="77"/>
      <c r="CY285" s="77"/>
      <c r="CZ285" s="77"/>
      <c r="DA285" s="77"/>
      <c r="DB285" s="77"/>
      <c r="DC285" s="77"/>
      <c r="DD285" s="77"/>
      <c r="DE285" s="77"/>
      <c r="DF285" s="77"/>
      <c r="DG285" s="77"/>
      <c r="DH285" s="77"/>
      <c r="DI285" s="77"/>
      <c r="DJ285" s="77"/>
      <c r="DK285" s="77"/>
      <c r="DL285" s="77"/>
      <c r="DM285" s="77"/>
      <c r="DN285" s="77"/>
      <c r="DO285" s="77"/>
      <c r="DP285" s="77"/>
      <c r="DQ285" s="77"/>
      <c r="DR285" s="77"/>
      <c r="DS285" s="77"/>
      <c r="DT285" s="77"/>
      <c r="DU285" s="77"/>
      <c r="DV285" s="77"/>
      <c r="DW285" s="77"/>
      <c r="DX285" s="77"/>
      <c r="DY285" s="77"/>
      <c r="DZ285" s="77"/>
      <c r="EA285" s="77"/>
      <c r="EB285" s="77"/>
      <c r="EC285" s="77"/>
      <c r="ED285" s="77"/>
      <c r="EE285" s="77"/>
      <c r="EF285" s="77"/>
      <c r="EG285" s="77"/>
      <c r="EH285" s="77"/>
      <c r="EI285" s="77"/>
      <c r="EJ285" s="77"/>
      <c r="EK285" s="77"/>
      <c r="EL285" s="77"/>
    </row>
    <row r="286" spans="1:142" s="78" customFormat="1">
      <c r="A286" s="89"/>
      <c r="B286"/>
      <c r="C286" s="65"/>
      <c r="D286" s="129"/>
      <c r="E286" s="728"/>
      <c r="G286" s="79"/>
      <c r="H286" s="79"/>
      <c r="I286" s="79"/>
      <c r="J286" s="79"/>
      <c r="K286" s="77"/>
      <c r="L286" s="77"/>
      <c r="M286" s="77"/>
      <c r="N286" s="77"/>
      <c r="O286" s="77"/>
      <c r="P286" s="77"/>
      <c r="Q286" s="77"/>
      <c r="R286" s="77"/>
      <c r="S286" s="77"/>
      <c r="T286" s="77"/>
      <c r="U286" s="77"/>
      <c r="V286" s="77"/>
      <c r="W286" s="77"/>
      <c r="X286" s="77"/>
      <c r="Y286" s="77"/>
      <c r="Z286" s="77"/>
      <c r="AA286" s="77"/>
      <c r="AB286" s="77"/>
      <c r="AC286" s="77"/>
      <c r="AD286" s="77"/>
      <c r="AE286" s="77"/>
      <c r="AF286" s="77"/>
      <c r="AG286" s="77"/>
      <c r="AH286" s="77"/>
      <c r="AI286" s="77"/>
      <c r="AJ286" s="77"/>
      <c r="AK286" s="77"/>
      <c r="AL286" s="77"/>
      <c r="AM286" s="77"/>
      <c r="AN286" s="77"/>
      <c r="AO286" s="77"/>
      <c r="AP286" s="77"/>
      <c r="AQ286" s="77"/>
      <c r="AR286" s="77"/>
      <c r="AS286" s="77"/>
      <c r="AT286" s="77"/>
      <c r="AU286" s="77"/>
      <c r="AV286" s="77"/>
      <c r="AW286" s="77"/>
      <c r="AX286" s="77"/>
      <c r="AY286" s="77"/>
      <c r="AZ286" s="77"/>
      <c r="BA286" s="77"/>
      <c r="BB286" s="77"/>
      <c r="BC286" s="77"/>
      <c r="BD286" s="77"/>
      <c r="BE286" s="77"/>
      <c r="BF286" s="77"/>
      <c r="BG286" s="77"/>
      <c r="BH286" s="77"/>
      <c r="BI286" s="77"/>
      <c r="BJ286" s="77"/>
      <c r="BK286" s="77"/>
      <c r="BL286" s="77"/>
      <c r="BM286" s="77"/>
      <c r="BN286" s="77"/>
      <c r="BO286" s="77"/>
      <c r="BP286" s="77"/>
      <c r="BQ286" s="77"/>
      <c r="BR286" s="77"/>
      <c r="BS286" s="77"/>
      <c r="BT286" s="77"/>
      <c r="BU286" s="77"/>
      <c r="BV286" s="77"/>
      <c r="BW286" s="77"/>
      <c r="BX286" s="77"/>
      <c r="BY286" s="77"/>
      <c r="BZ286" s="77"/>
      <c r="CA286" s="77"/>
      <c r="CB286" s="77"/>
      <c r="CC286" s="77"/>
      <c r="CD286" s="77"/>
      <c r="CE286" s="77"/>
      <c r="CF286" s="77"/>
      <c r="CG286" s="77"/>
      <c r="CH286" s="77"/>
      <c r="CI286" s="77"/>
      <c r="CJ286" s="77"/>
      <c r="CK286" s="77"/>
      <c r="CL286" s="77"/>
      <c r="CM286" s="77"/>
      <c r="CN286" s="77"/>
      <c r="CO286" s="77"/>
      <c r="CP286" s="77"/>
      <c r="CQ286" s="77"/>
      <c r="CR286" s="77"/>
      <c r="CS286" s="77"/>
      <c r="CT286" s="77"/>
      <c r="CU286" s="77"/>
      <c r="CV286" s="77"/>
      <c r="CW286" s="77"/>
      <c r="CX286" s="77"/>
      <c r="CY286" s="77"/>
      <c r="CZ286" s="77"/>
      <c r="DA286" s="77"/>
      <c r="DB286" s="77"/>
      <c r="DC286" s="77"/>
      <c r="DD286" s="77"/>
      <c r="DE286" s="77"/>
      <c r="DF286" s="77"/>
      <c r="DG286" s="77"/>
      <c r="DH286" s="77"/>
      <c r="DI286" s="77"/>
      <c r="DJ286" s="77"/>
      <c r="DK286" s="77"/>
      <c r="DL286" s="77"/>
      <c r="DM286" s="77"/>
      <c r="DN286" s="77"/>
      <c r="DO286" s="77"/>
      <c r="DP286" s="77"/>
      <c r="DQ286" s="77"/>
      <c r="DR286" s="77"/>
      <c r="DS286" s="77"/>
      <c r="DT286" s="77"/>
      <c r="DU286" s="77"/>
      <c r="DV286" s="77"/>
      <c r="DW286" s="77"/>
      <c r="DX286" s="77"/>
      <c r="DY286" s="77"/>
      <c r="DZ286" s="77"/>
      <c r="EA286" s="77"/>
      <c r="EB286" s="77"/>
      <c r="EC286" s="77"/>
      <c r="ED286" s="77"/>
      <c r="EE286" s="77"/>
      <c r="EF286" s="77"/>
      <c r="EG286" s="77"/>
      <c r="EH286" s="77"/>
      <c r="EI286" s="77"/>
      <c r="EJ286" s="77"/>
      <c r="EK286" s="77"/>
      <c r="EL286" s="77"/>
    </row>
    <row r="287" spans="1:142" s="78" customFormat="1">
      <c r="A287" s="89"/>
      <c r="B287" s="68" t="s">
        <v>336</v>
      </c>
      <c r="C287" s="68"/>
      <c r="D287" s="129"/>
      <c r="E287" s="716">
        <v>10</v>
      </c>
      <c r="G287" s="79"/>
      <c r="H287" s="79"/>
      <c r="I287" s="79"/>
      <c r="J287" s="79"/>
      <c r="K287" s="77"/>
      <c r="L287" s="77"/>
      <c r="M287" s="77"/>
      <c r="N287" s="77"/>
      <c r="O287" s="77"/>
      <c r="P287" s="77"/>
      <c r="Q287" s="77"/>
      <c r="R287" s="77"/>
      <c r="S287" s="77"/>
      <c r="T287" s="77"/>
      <c r="U287" s="77"/>
      <c r="V287" s="77"/>
      <c r="W287" s="77"/>
      <c r="X287" s="77"/>
      <c r="Y287" s="77"/>
      <c r="Z287" s="77"/>
      <c r="AA287" s="77"/>
      <c r="AB287" s="77"/>
      <c r="AC287" s="77"/>
      <c r="AD287" s="77"/>
      <c r="AE287" s="77"/>
      <c r="AF287" s="77"/>
      <c r="AG287" s="77"/>
      <c r="AH287" s="77"/>
      <c r="AI287" s="77"/>
      <c r="AJ287" s="77"/>
      <c r="AK287" s="77"/>
      <c r="AL287" s="77"/>
      <c r="AM287" s="77"/>
      <c r="AN287" s="77"/>
      <c r="AO287" s="77"/>
      <c r="AP287" s="77"/>
      <c r="AQ287" s="77"/>
      <c r="AR287" s="77"/>
      <c r="AS287" s="77"/>
      <c r="AT287" s="77"/>
      <c r="AU287" s="77"/>
      <c r="AV287" s="77"/>
      <c r="AW287" s="77"/>
      <c r="AX287" s="77"/>
      <c r="AY287" s="77"/>
      <c r="AZ287" s="77"/>
      <c r="BA287" s="77"/>
      <c r="BB287" s="77"/>
      <c r="BC287" s="77"/>
      <c r="BD287" s="77"/>
      <c r="BE287" s="77"/>
      <c r="BF287" s="77"/>
      <c r="BG287" s="77"/>
      <c r="BH287" s="77"/>
      <c r="BI287" s="77"/>
      <c r="BJ287" s="77"/>
      <c r="BK287" s="77"/>
      <c r="BL287" s="77"/>
      <c r="BM287" s="77"/>
      <c r="BN287" s="77"/>
      <c r="BO287" s="77"/>
      <c r="BP287" s="77"/>
      <c r="BQ287" s="77"/>
      <c r="BR287" s="77"/>
      <c r="BS287" s="77"/>
      <c r="BT287" s="77"/>
      <c r="BU287" s="77"/>
      <c r="BV287" s="77"/>
      <c r="BW287" s="77"/>
      <c r="BX287" s="77"/>
      <c r="BY287" s="77"/>
      <c r="BZ287" s="77"/>
      <c r="CA287" s="77"/>
      <c r="CB287" s="77"/>
      <c r="CC287" s="77"/>
      <c r="CD287" s="77"/>
      <c r="CE287" s="77"/>
      <c r="CF287" s="77"/>
      <c r="CG287" s="77"/>
      <c r="CH287" s="77"/>
      <c r="CI287" s="77"/>
      <c r="CJ287" s="77"/>
      <c r="CK287" s="77"/>
      <c r="CL287" s="77"/>
      <c r="CM287" s="77"/>
      <c r="CN287" s="77"/>
      <c r="CO287" s="77"/>
      <c r="CP287" s="77"/>
      <c r="CQ287" s="77"/>
      <c r="CR287" s="77"/>
      <c r="CS287" s="77"/>
      <c r="CT287" s="77"/>
      <c r="CU287" s="77"/>
      <c r="CV287" s="77"/>
      <c r="CW287" s="77"/>
      <c r="CX287" s="77"/>
      <c r="CY287" s="77"/>
      <c r="CZ287" s="77"/>
      <c r="DA287" s="77"/>
      <c r="DB287" s="77"/>
      <c r="DC287" s="77"/>
      <c r="DD287" s="77"/>
      <c r="DE287" s="77"/>
      <c r="DF287" s="77"/>
      <c r="DG287" s="77"/>
      <c r="DH287" s="77"/>
      <c r="DI287" s="77"/>
      <c r="DJ287" s="77"/>
      <c r="DK287" s="77"/>
      <c r="DL287" s="77"/>
      <c r="DM287" s="77"/>
      <c r="DN287" s="77"/>
      <c r="DO287" s="77"/>
      <c r="DP287" s="77"/>
      <c r="DQ287" s="77"/>
      <c r="DR287" s="77"/>
      <c r="DS287" s="77"/>
      <c r="DT287" s="77"/>
      <c r="DU287" s="77"/>
      <c r="DV287" s="77"/>
      <c r="DW287" s="77"/>
      <c r="DX287" s="77"/>
      <c r="DY287" s="77"/>
      <c r="DZ287" s="77"/>
      <c r="EA287" s="77"/>
      <c r="EB287" s="77"/>
      <c r="EC287" s="77"/>
      <c r="ED287" s="77"/>
      <c r="EE287" s="77"/>
      <c r="EF287" s="77"/>
      <c r="EG287" s="77"/>
      <c r="EH287" s="77"/>
      <c r="EI287" s="77"/>
      <c r="EJ287" s="77"/>
      <c r="EK287" s="77"/>
      <c r="EL287" s="77"/>
    </row>
    <row r="288" spans="1:142" s="78" customFormat="1">
      <c r="A288" s="89"/>
      <c r="B288" s="68" t="s">
        <v>337</v>
      </c>
      <c r="C288" s="68"/>
      <c r="D288" s="129"/>
      <c r="E288" s="716">
        <v>-150</v>
      </c>
      <c r="G288" s="79"/>
      <c r="H288" s="79"/>
      <c r="I288" s="79"/>
      <c r="J288" s="79"/>
      <c r="K288" s="77"/>
      <c r="L288" s="77"/>
      <c r="M288" s="77"/>
      <c r="N288" s="77"/>
      <c r="O288" s="77"/>
      <c r="P288" s="77"/>
      <c r="Q288" s="77"/>
      <c r="R288" s="77"/>
      <c r="S288" s="77"/>
      <c r="T288" s="77"/>
      <c r="U288" s="77"/>
      <c r="V288" s="77"/>
      <c r="W288" s="77"/>
      <c r="X288" s="77"/>
      <c r="Y288" s="77"/>
      <c r="Z288" s="77"/>
      <c r="AA288" s="77"/>
      <c r="AB288" s="77"/>
      <c r="AC288" s="77"/>
      <c r="AD288" s="77"/>
      <c r="AE288" s="77"/>
      <c r="AF288" s="77"/>
      <c r="AG288" s="77"/>
      <c r="AH288" s="77"/>
      <c r="AI288" s="77"/>
      <c r="AJ288" s="77"/>
      <c r="AK288" s="77"/>
      <c r="AL288" s="77"/>
      <c r="AM288" s="77"/>
      <c r="AN288" s="77"/>
      <c r="AO288" s="77"/>
      <c r="AP288" s="77"/>
      <c r="AQ288" s="77"/>
      <c r="AR288" s="77"/>
      <c r="AS288" s="77"/>
      <c r="AT288" s="77"/>
      <c r="AU288" s="77"/>
      <c r="AV288" s="77"/>
      <c r="AW288" s="77"/>
      <c r="AX288" s="77"/>
      <c r="AY288" s="77"/>
      <c r="AZ288" s="77"/>
      <c r="BA288" s="77"/>
      <c r="BB288" s="77"/>
      <c r="BC288" s="77"/>
      <c r="BD288" s="77"/>
      <c r="BE288" s="77"/>
      <c r="BF288" s="77"/>
      <c r="BG288" s="77"/>
      <c r="BH288" s="77"/>
      <c r="BI288" s="77"/>
      <c r="BJ288" s="77"/>
      <c r="BK288" s="77"/>
      <c r="BL288" s="77"/>
      <c r="BM288" s="77"/>
      <c r="BN288" s="77"/>
      <c r="BO288" s="77"/>
      <c r="BP288" s="77"/>
      <c r="BQ288" s="77"/>
      <c r="BR288" s="77"/>
      <c r="BS288" s="77"/>
      <c r="BT288" s="77"/>
      <c r="BU288" s="77"/>
      <c r="BV288" s="77"/>
      <c r="BW288" s="77"/>
      <c r="BX288" s="77"/>
      <c r="BY288" s="77"/>
      <c r="BZ288" s="77"/>
      <c r="CA288" s="77"/>
      <c r="CB288" s="77"/>
      <c r="CC288" s="77"/>
      <c r="CD288" s="77"/>
      <c r="CE288" s="77"/>
      <c r="CF288" s="77"/>
      <c r="CG288" s="77"/>
      <c r="CH288" s="77"/>
      <c r="CI288" s="77"/>
      <c r="CJ288" s="77"/>
      <c r="CK288" s="77"/>
      <c r="CL288" s="77"/>
      <c r="CM288" s="77"/>
      <c r="CN288" s="77"/>
      <c r="CO288" s="77"/>
      <c r="CP288" s="77"/>
      <c r="CQ288" s="77"/>
      <c r="CR288" s="77"/>
      <c r="CS288" s="77"/>
      <c r="CT288" s="77"/>
      <c r="CU288" s="77"/>
      <c r="CV288" s="77"/>
      <c r="CW288" s="77"/>
      <c r="CX288" s="77"/>
      <c r="CY288" s="77"/>
      <c r="CZ288" s="77"/>
      <c r="DA288" s="77"/>
      <c r="DB288" s="77"/>
      <c r="DC288" s="77"/>
      <c r="DD288" s="77"/>
      <c r="DE288" s="77"/>
      <c r="DF288" s="77"/>
      <c r="DG288" s="77"/>
      <c r="DH288" s="77"/>
      <c r="DI288" s="77"/>
      <c r="DJ288" s="77"/>
      <c r="DK288" s="77"/>
      <c r="DL288" s="77"/>
      <c r="DM288" s="77"/>
      <c r="DN288" s="77"/>
      <c r="DO288" s="77"/>
      <c r="DP288" s="77"/>
      <c r="DQ288" s="77"/>
      <c r="DR288" s="77"/>
      <c r="DS288" s="77"/>
      <c r="DT288" s="77"/>
      <c r="DU288" s="77"/>
      <c r="DV288" s="77"/>
      <c r="DW288" s="77"/>
      <c r="DX288" s="77"/>
      <c r="DY288" s="77"/>
      <c r="DZ288" s="77"/>
      <c r="EA288" s="77"/>
      <c r="EB288" s="77"/>
      <c r="EC288" s="77"/>
      <c r="ED288" s="77"/>
      <c r="EE288" s="77"/>
      <c r="EF288" s="77"/>
      <c r="EG288" s="77"/>
      <c r="EH288" s="77"/>
      <c r="EI288" s="77"/>
      <c r="EJ288" s="77"/>
      <c r="EK288" s="77"/>
      <c r="EL288" s="77"/>
    </row>
    <row r="289" spans="1:142" s="78" customFormat="1">
      <c r="A289" s="89"/>
      <c r="B289" s="24" t="s">
        <v>428</v>
      </c>
      <c r="C289" s="166"/>
      <c r="E289" s="687">
        <v>360</v>
      </c>
      <c r="F289" s="79"/>
      <c r="G289" s="79"/>
      <c r="H289" s="79"/>
      <c r="I289" s="79"/>
      <c r="J289" s="79"/>
      <c r="K289" s="77"/>
      <c r="L289" s="77"/>
      <c r="M289" s="77"/>
      <c r="N289" s="77"/>
      <c r="O289" s="77"/>
      <c r="P289" s="77"/>
      <c r="Q289" s="77"/>
      <c r="R289" s="77"/>
      <c r="S289" s="77"/>
      <c r="T289" s="77"/>
      <c r="U289" s="77"/>
      <c r="V289" s="77"/>
      <c r="W289" s="77"/>
      <c r="X289" s="77"/>
      <c r="Y289" s="77"/>
      <c r="Z289" s="77"/>
      <c r="AA289" s="77"/>
      <c r="AB289" s="77"/>
      <c r="AC289" s="77"/>
      <c r="AD289" s="77"/>
      <c r="AE289" s="77"/>
      <c r="AF289" s="77"/>
      <c r="AG289" s="77"/>
      <c r="AH289" s="77"/>
      <c r="AI289" s="77"/>
      <c r="AJ289" s="77"/>
      <c r="AK289" s="77"/>
      <c r="AL289" s="77"/>
      <c r="AM289" s="77"/>
      <c r="AN289" s="77"/>
      <c r="AO289" s="77"/>
      <c r="AP289" s="77"/>
      <c r="AQ289" s="77"/>
      <c r="AR289" s="77"/>
      <c r="AS289" s="77"/>
      <c r="AT289" s="77"/>
      <c r="AU289" s="77"/>
      <c r="AV289" s="77"/>
      <c r="AW289" s="77"/>
      <c r="AX289" s="77"/>
      <c r="AY289" s="77"/>
      <c r="AZ289" s="77"/>
      <c r="BA289" s="77"/>
      <c r="BB289" s="77"/>
      <c r="BC289" s="77"/>
      <c r="BD289" s="77"/>
      <c r="BE289" s="77"/>
      <c r="BF289" s="77"/>
      <c r="BG289" s="77"/>
      <c r="BH289" s="77"/>
      <c r="BI289" s="77"/>
      <c r="BJ289" s="77"/>
      <c r="BK289" s="77"/>
      <c r="BL289" s="77"/>
      <c r="BM289" s="77"/>
      <c r="BN289" s="77"/>
      <c r="BO289" s="77"/>
      <c r="BP289" s="77"/>
      <c r="BQ289" s="77"/>
      <c r="BR289" s="77"/>
      <c r="BS289" s="77"/>
      <c r="BT289" s="77"/>
      <c r="BU289" s="77"/>
      <c r="BV289" s="77"/>
      <c r="BW289" s="77"/>
      <c r="BX289" s="77"/>
      <c r="BY289" s="77"/>
      <c r="BZ289" s="77"/>
      <c r="CA289" s="77"/>
      <c r="CB289" s="77"/>
      <c r="CC289" s="77"/>
      <c r="CD289" s="77"/>
      <c r="CE289" s="77"/>
      <c r="CF289" s="77"/>
      <c r="CG289" s="77"/>
      <c r="CH289" s="77"/>
      <c r="CI289" s="77"/>
      <c r="CJ289" s="77"/>
      <c r="CK289" s="77"/>
      <c r="CL289" s="77"/>
      <c r="CM289" s="77"/>
      <c r="CN289" s="77"/>
      <c r="CO289" s="77"/>
      <c r="CP289" s="77"/>
      <c r="CQ289" s="77"/>
      <c r="CR289" s="77"/>
      <c r="CS289" s="77"/>
      <c r="CT289" s="77"/>
      <c r="CU289" s="77"/>
      <c r="CV289" s="77"/>
      <c r="CW289" s="77"/>
      <c r="CX289" s="77"/>
      <c r="CY289" s="77"/>
      <c r="CZ289" s="77"/>
      <c r="DA289" s="77"/>
      <c r="DB289" s="77"/>
      <c r="DC289" s="77"/>
      <c r="DD289" s="77"/>
      <c r="DE289" s="77"/>
      <c r="DF289" s="77"/>
      <c r="DG289" s="77"/>
      <c r="DH289" s="77"/>
      <c r="DI289" s="77"/>
      <c r="DJ289" s="77"/>
      <c r="DK289" s="77"/>
      <c r="DL289" s="77"/>
      <c r="DM289" s="77"/>
      <c r="DN289" s="77"/>
      <c r="DO289" s="77"/>
      <c r="DP289" s="77"/>
      <c r="DQ289" s="77"/>
      <c r="DR289" s="77"/>
      <c r="DS289" s="77"/>
      <c r="DT289" s="77"/>
      <c r="DU289" s="77"/>
      <c r="DV289" s="77"/>
      <c r="DW289" s="77"/>
      <c r="DX289" s="77"/>
      <c r="DY289" s="77"/>
      <c r="DZ289" s="77"/>
      <c r="EA289" s="77"/>
      <c r="EB289" s="77"/>
      <c r="EC289" s="77"/>
      <c r="ED289" s="77"/>
      <c r="EE289" s="77"/>
      <c r="EF289" s="77"/>
      <c r="EG289" s="77"/>
      <c r="EH289" s="77"/>
      <c r="EI289" s="77"/>
      <c r="EJ289" s="77"/>
      <c r="EK289" s="77"/>
      <c r="EL289" s="77"/>
    </row>
    <row r="290" spans="1:142" s="78" customFormat="1">
      <c r="A290" s="89"/>
      <c r="B290" s="24" t="s">
        <v>724</v>
      </c>
      <c r="C290" s="166"/>
      <c r="E290" s="688">
        <f>EDATE($F$24,6)</f>
        <v>35976</v>
      </c>
      <c r="F290" s="79" t="s">
        <v>722</v>
      </c>
      <c r="G290" s="79"/>
      <c r="H290" s="79"/>
      <c r="I290" s="79"/>
      <c r="J290" s="79"/>
      <c r="K290" s="77"/>
      <c r="L290" s="77"/>
      <c r="M290" s="77"/>
      <c r="N290" s="77"/>
      <c r="O290" s="77"/>
      <c r="P290" s="77"/>
      <c r="Q290" s="77"/>
      <c r="R290" s="77"/>
      <c r="S290" s="77"/>
      <c r="T290" s="77"/>
      <c r="U290" s="77"/>
      <c r="V290" s="77"/>
      <c r="W290" s="77"/>
      <c r="X290" s="77"/>
      <c r="Y290" s="77"/>
      <c r="Z290" s="77"/>
      <c r="AA290" s="77"/>
      <c r="AB290" s="77"/>
      <c r="AC290" s="77"/>
      <c r="AD290" s="77"/>
      <c r="AE290" s="77"/>
      <c r="AF290" s="77"/>
      <c r="AG290" s="77"/>
      <c r="AH290" s="77"/>
      <c r="AI290" s="77"/>
      <c r="AJ290" s="77"/>
      <c r="AK290" s="77"/>
      <c r="AL290" s="77"/>
      <c r="AM290" s="77"/>
      <c r="AN290" s="77"/>
      <c r="AO290" s="77"/>
      <c r="AP290" s="77"/>
      <c r="AQ290" s="77"/>
      <c r="AR290" s="77"/>
      <c r="AS290" s="77"/>
      <c r="AT290" s="77"/>
      <c r="AU290" s="77"/>
      <c r="AV290" s="77"/>
      <c r="AW290" s="77"/>
      <c r="AX290" s="77"/>
      <c r="AY290" s="77"/>
      <c r="AZ290" s="77"/>
      <c r="BA290" s="77"/>
      <c r="BB290" s="77"/>
      <c r="BC290" s="77"/>
      <c r="BD290" s="77"/>
      <c r="BE290" s="77"/>
      <c r="BF290" s="77"/>
      <c r="BG290" s="77"/>
      <c r="BH290" s="77"/>
      <c r="BI290" s="77"/>
      <c r="BJ290" s="77"/>
      <c r="BK290" s="77"/>
      <c r="BL290" s="77"/>
      <c r="BM290" s="77"/>
      <c r="BN290" s="77"/>
      <c r="BO290" s="77"/>
      <c r="BP290" s="77"/>
      <c r="BQ290" s="77"/>
      <c r="BR290" s="77"/>
      <c r="BS290" s="77"/>
      <c r="BT290" s="77"/>
      <c r="BU290" s="77"/>
      <c r="BV290" s="77"/>
      <c r="BW290" s="77"/>
      <c r="BX290" s="77"/>
      <c r="BY290" s="77"/>
      <c r="BZ290" s="77"/>
      <c r="CA290" s="77"/>
      <c r="CB290" s="77"/>
      <c r="CC290" s="77"/>
      <c r="CD290" s="77"/>
      <c r="CE290" s="77"/>
      <c r="CF290" s="77"/>
      <c r="CG290" s="77"/>
      <c r="CH290" s="77"/>
      <c r="CI290" s="77"/>
      <c r="CJ290" s="77"/>
      <c r="CK290" s="77"/>
      <c r="CL290" s="77"/>
      <c r="CM290" s="77"/>
      <c r="CN290" s="77"/>
      <c r="CO290" s="77"/>
      <c r="CP290" s="77"/>
      <c r="CQ290" s="77"/>
      <c r="CR290" s="77"/>
      <c r="CS290" s="77"/>
      <c r="CT290" s="77"/>
      <c r="CU290" s="77"/>
      <c r="CV290" s="77"/>
      <c r="CW290" s="77"/>
      <c r="CX290" s="77"/>
      <c r="CY290" s="77"/>
      <c r="CZ290" s="77"/>
      <c r="DA290" s="77"/>
      <c r="DB290" s="77"/>
      <c r="DC290" s="77"/>
      <c r="DD290" s="77"/>
      <c r="DE290" s="77"/>
      <c r="DF290" s="77"/>
      <c r="DG290" s="77"/>
      <c r="DH290" s="77"/>
      <c r="DI290" s="77"/>
      <c r="DJ290" s="77"/>
      <c r="DK290" s="77"/>
      <c r="DL290" s="77"/>
      <c r="DM290" s="77"/>
      <c r="DN290" s="77"/>
      <c r="DO290" s="77"/>
      <c r="DP290" s="77"/>
      <c r="DQ290" s="77"/>
      <c r="DR290" s="77"/>
      <c r="DS290" s="77"/>
      <c r="DT290" s="77"/>
      <c r="DU290" s="77"/>
      <c r="DV290" s="77"/>
      <c r="DW290" s="77"/>
      <c r="DX290" s="77"/>
      <c r="DY290" s="77"/>
      <c r="DZ290" s="77"/>
      <c r="EA290" s="77"/>
      <c r="EB290" s="77"/>
      <c r="EC290" s="77"/>
      <c r="ED290" s="77"/>
      <c r="EE290" s="77"/>
      <c r="EF290" s="77"/>
      <c r="EG290" s="77"/>
      <c r="EH290" s="77"/>
      <c r="EI290" s="77"/>
      <c r="EJ290" s="77"/>
      <c r="EK290" s="77"/>
      <c r="EL290" s="77"/>
    </row>
    <row r="291" spans="1:142" s="78" customFormat="1">
      <c r="A291" s="89"/>
      <c r="B291" s="24" t="s">
        <v>725</v>
      </c>
      <c r="C291" s="166"/>
      <c r="E291" s="688">
        <f>EDATE(E290,6)</f>
        <v>36160</v>
      </c>
      <c r="F291" s="79" t="s">
        <v>723</v>
      </c>
      <c r="G291" s="79"/>
      <c r="H291" s="79"/>
      <c r="I291" s="79"/>
      <c r="J291" s="79"/>
      <c r="K291" s="77"/>
      <c r="L291" s="77"/>
      <c r="M291" s="77"/>
      <c r="N291" s="77"/>
      <c r="O291" s="77"/>
      <c r="P291" s="77"/>
      <c r="Q291" s="77"/>
      <c r="R291" s="77"/>
      <c r="S291" s="77"/>
      <c r="T291" s="77"/>
      <c r="U291" s="77"/>
      <c r="V291" s="77"/>
      <c r="W291" s="77"/>
      <c r="X291" s="77"/>
      <c r="Y291" s="77"/>
      <c r="Z291" s="77"/>
      <c r="AA291" s="77"/>
      <c r="AB291" s="77"/>
      <c r="AC291" s="77"/>
      <c r="AD291" s="77"/>
      <c r="AE291" s="77"/>
      <c r="AF291" s="77"/>
      <c r="AG291" s="77"/>
      <c r="AH291" s="77"/>
      <c r="AI291" s="77"/>
      <c r="AJ291" s="77"/>
      <c r="AK291" s="77"/>
      <c r="AL291" s="77"/>
      <c r="AM291" s="77"/>
      <c r="AN291" s="77"/>
      <c r="AO291" s="77"/>
      <c r="AP291" s="77"/>
      <c r="AQ291" s="77"/>
      <c r="AR291" s="77"/>
      <c r="AS291" s="77"/>
      <c r="AT291" s="77"/>
      <c r="AU291" s="77"/>
      <c r="AV291" s="77"/>
      <c r="AW291" s="77"/>
      <c r="AX291" s="77"/>
      <c r="AY291" s="77"/>
      <c r="AZ291" s="77"/>
      <c r="BA291" s="77"/>
      <c r="BB291" s="77"/>
      <c r="BC291" s="77"/>
      <c r="BD291" s="77"/>
      <c r="BE291" s="77"/>
      <c r="BF291" s="77"/>
      <c r="BG291" s="77"/>
      <c r="BH291" s="77"/>
      <c r="BI291" s="77"/>
      <c r="BJ291" s="77"/>
      <c r="BK291" s="77"/>
      <c r="BL291" s="77"/>
      <c r="BM291" s="77"/>
      <c r="BN291" s="77"/>
      <c r="BO291" s="77"/>
      <c r="BP291" s="77"/>
      <c r="BQ291" s="77"/>
      <c r="BR291" s="77"/>
      <c r="BS291" s="77"/>
      <c r="BT291" s="77"/>
      <c r="BU291" s="77"/>
      <c r="BV291" s="77"/>
      <c r="BW291" s="77"/>
      <c r="BX291" s="77"/>
      <c r="BY291" s="77"/>
      <c r="BZ291" s="77"/>
      <c r="CA291" s="77"/>
      <c r="CB291" s="77"/>
      <c r="CC291" s="77"/>
      <c r="CD291" s="77"/>
      <c r="CE291" s="77"/>
      <c r="CF291" s="77"/>
      <c r="CG291" s="77"/>
      <c r="CH291" s="77"/>
      <c r="CI291" s="77"/>
      <c r="CJ291" s="77"/>
      <c r="CK291" s="77"/>
      <c r="CL291" s="77"/>
      <c r="CM291" s="77"/>
      <c r="CN291" s="77"/>
      <c r="CO291" s="77"/>
      <c r="CP291" s="77"/>
      <c r="CQ291" s="77"/>
      <c r="CR291" s="77"/>
      <c r="CS291" s="77"/>
      <c r="CT291" s="77"/>
      <c r="CU291" s="77"/>
      <c r="CV291" s="77"/>
      <c r="CW291" s="77"/>
      <c r="CX291" s="77"/>
      <c r="CY291" s="77"/>
      <c r="CZ291" s="77"/>
      <c r="DA291" s="77"/>
      <c r="DB291" s="77"/>
      <c r="DC291" s="77"/>
      <c r="DD291" s="77"/>
      <c r="DE291" s="77"/>
      <c r="DF291" s="77"/>
      <c r="DG291" s="77"/>
      <c r="DH291" s="77"/>
      <c r="DI291" s="77"/>
      <c r="DJ291" s="77"/>
      <c r="DK291" s="77"/>
      <c r="DL291" s="77"/>
      <c r="DM291" s="77"/>
      <c r="DN291" s="77"/>
      <c r="DO291" s="77"/>
      <c r="DP291" s="77"/>
      <c r="DQ291" s="77"/>
      <c r="DR291" s="77"/>
      <c r="DS291" s="77"/>
      <c r="DT291" s="77"/>
      <c r="DU291" s="77"/>
      <c r="DV291" s="77"/>
      <c r="DW291" s="77"/>
      <c r="DX291" s="77"/>
      <c r="DY291" s="77"/>
      <c r="DZ291" s="77"/>
      <c r="EA291" s="77"/>
      <c r="EB291" s="77"/>
      <c r="EC291" s="77"/>
      <c r="ED291" s="77"/>
      <c r="EE291" s="77"/>
      <c r="EF291" s="77"/>
      <c r="EG291" s="77"/>
      <c r="EH291" s="77"/>
      <c r="EI291" s="77"/>
      <c r="EJ291" s="77"/>
      <c r="EK291" s="77"/>
      <c r="EL291" s="77"/>
    </row>
    <row r="292" spans="1:142" s="78" customFormat="1">
      <c r="A292" s="89"/>
      <c r="B292" s="24" t="s">
        <v>704</v>
      </c>
      <c r="C292" s="166"/>
      <c r="E292" s="367">
        <v>1</v>
      </c>
      <c r="F292" s="79"/>
      <c r="G292" s="79"/>
      <c r="H292" s="79"/>
      <c r="I292" s="79"/>
      <c r="J292" s="79"/>
      <c r="K292" s="77"/>
      <c r="L292" s="77"/>
      <c r="M292" s="77"/>
      <c r="N292" s="77"/>
      <c r="O292" s="77"/>
      <c r="P292" s="77"/>
      <c r="Q292" s="77"/>
      <c r="R292" s="77"/>
      <c r="S292" s="77"/>
      <c r="T292" s="77"/>
      <c r="U292" s="77"/>
      <c r="V292" s="77"/>
      <c r="W292" s="77"/>
      <c r="X292" s="77"/>
      <c r="Y292" s="77"/>
      <c r="Z292" s="77"/>
      <c r="AA292" s="77"/>
      <c r="AB292" s="77"/>
      <c r="AC292" s="77"/>
      <c r="AD292" s="77"/>
      <c r="AE292" s="77"/>
      <c r="AF292" s="77"/>
      <c r="AG292" s="77"/>
      <c r="AH292" s="77"/>
      <c r="AI292" s="77"/>
      <c r="AJ292" s="77"/>
      <c r="AK292" s="77"/>
      <c r="AL292" s="77"/>
      <c r="AM292" s="77"/>
      <c r="AN292" s="77"/>
      <c r="AO292" s="77"/>
      <c r="AP292" s="77"/>
      <c r="AQ292" s="77"/>
      <c r="AR292" s="77"/>
      <c r="AS292" s="77"/>
      <c r="AT292" s="77"/>
      <c r="AU292" s="77"/>
      <c r="AV292" s="77"/>
      <c r="AW292" s="77"/>
      <c r="AX292" s="77"/>
      <c r="AY292" s="77"/>
      <c r="AZ292" s="77"/>
      <c r="BA292" s="77"/>
      <c r="BB292" s="77"/>
      <c r="BC292" s="77"/>
      <c r="BD292" s="77"/>
      <c r="BE292" s="77"/>
      <c r="BF292" s="77"/>
      <c r="BG292" s="77"/>
      <c r="BH292" s="77"/>
      <c r="BI292" s="77"/>
      <c r="BJ292" s="77"/>
      <c r="BK292" s="77"/>
      <c r="BL292" s="77"/>
      <c r="BM292" s="77"/>
      <c r="BN292" s="77"/>
      <c r="BO292" s="77"/>
      <c r="BP292" s="77"/>
      <c r="BQ292" s="77"/>
      <c r="BR292" s="77"/>
      <c r="BS292" s="77"/>
      <c r="BT292" s="77"/>
      <c r="BU292" s="77"/>
      <c r="BV292" s="77"/>
      <c r="BW292" s="77"/>
      <c r="BX292" s="77"/>
      <c r="BY292" s="77"/>
      <c r="BZ292" s="77"/>
      <c r="CA292" s="77"/>
      <c r="CB292" s="77"/>
      <c r="CC292" s="77"/>
      <c r="CD292" s="77"/>
      <c r="CE292" s="77"/>
      <c r="CF292" s="77"/>
      <c r="CG292" s="77"/>
      <c r="CH292" s="77"/>
      <c r="CI292" s="77"/>
      <c r="CJ292" s="77"/>
      <c r="CK292" s="77"/>
      <c r="CL292" s="77"/>
      <c r="CM292" s="77"/>
      <c r="CN292" s="77"/>
      <c r="CO292" s="77"/>
      <c r="CP292" s="77"/>
      <c r="CQ292" s="77"/>
      <c r="CR292" s="77"/>
      <c r="CS292" s="77"/>
      <c r="CT292" s="77"/>
      <c r="CU292" s="77"/>
      <c r="CV292" s="77"/>
      <c r="CW292" s="77"/>
      <c r="CX292" s="77"/>
      <c r="CY292" s="77"/>
      <c r="CZ292" s="77"/>
      <c r="DA292" s="77"/>
      <c r="DB292" s="77"/>
      <c r="DC292" s="77"/>
      <c r="DD292" s="77"/>
      <c r="DE292" s="77"/>
      <c r="DF292" s="77"/>
      <c r="DG292" s="77"/>
      <c r="DH292" s="77"/>
      <c r="DI292" s="77"/>
      <c r="DJ292" s="77"/>
      <c r="DK292" s="77"/>
      <c r="DL292" s="77"/>
      <c r="DM292" s="77"/>
      <c r="DN292" s="77"/>
      <c r="DO292" s="77"/>
      <c r="DP292" s="77"/>
      <c r="DQ292" s="77"/>
      <c r="DR292" s="77"/>
      <c r="DS292" s="77"/>
      <c r="DT292" s="77"/>
      <c r="DU292" s="77"/>
      <c r="DV292" s="77"/>
      <c r="DW292" s="77"/>
      <c r="DX292" s="77"/>
      <c r="DY292" s="77"/>
      <c r="DZ292" s="77"/>
      <c r="EA292" s="77"/>
      <c r="EB292" s="77"/>
      <c r="EC292" s="77"/>
      <c r="ED292" s="77"/>
      <c r="EE292" s="77"/>
      <c r="EF292" s="77"/>
      <c r="EG292" s="77"/>
      <c r="EH292" s="77"/>
      <c r="EI292" s="77"/>
      <c r="EJ292" s="77"/>
      <c r="EK292" s="77"/>
      <c r="EL292" s="77"/>
    </row>
    <row r="293" spans="1:142" s="78" customFormat="1">
      <c r="A293" s="89"/>
      <c r="B293" s="24" t="s">
        <v>706</v>
      </c>
      <c r="C293" s="166"/>
      <c r="E293" s="1245">
        <f>E247</f>
        <v>0.5</v>
      </c>
      <c r="F293" s="79"/>
      <c r="G293" s="79"/>
      <c r="H293" s="79"/>
      <c r="I293" s="79"/>
      <c r="J293" s="79"/>
      <c r="K293" s="77"/>
      <c r="L293" s="77"/>
      <c r="M293" s="77"/>
      <c r="N293" s="77"/>
      <c r="O293" s="77"/>
      <c r="P293" s="77"/>
      <c r="Q293" s="77"/>
      <c r="R293" s="77"/>
      <c r="S293" s="77"/>
      <c r="T293" s="77"/>
      <c r="U293" s="77"/>
      <c r="V293" s="77"/>
      <c r="W293" s="77"/>
      <c r="X293" s="77"/>
      <c r="Y293" s="77"/>
      <c r="Z293" s="77"/>
      <c r="AA293" s="77"/>
      <c r="AB293" s="77"/>
      <c r="AC293" s="77"/>
      <c r="AD293" s="77"/>
      <c r="AE293" s="77"/>
      <c r="AF293" s="77"/>
      <c r="AG293" s="77"/>
      <c r="AH293" s="77"/>
      <c r="AI293" s="77"/>
      <c r="AJ293" s="77"/>
      <c r="AK293" s="77"/>
      <c r="AL293" s="77"/>
      <c r="AM293" s="77"/>
      <c r="AN293" s="77"/>
      <c r="AO293" s="77"/>
      <c r="AP293" s="77"/>
      <c r="AQ293" s="77"/>
      <c r="AR293" s="77"/>
      <c r="AS293" s="77"/>
      <c r="AT293" s="77"/>
      <c r="AU293" s="77"/>
      <c r="AV293" s="77"/>
      <c r="AW293" s="77"/>
      <c r="AX293" s="77"/>
      <c r="AY293" s="77"/>
      <c r="AZ293" s="77"/>
      <c r="BA293" s="77"/>
      <c r="BB293" s="77"/>
      <c r="BC293" s="77"/>
      <c r="BD293" s="77"/>
      <c r="BE293" s="77"/>
      <c r="BF293" s="77"/>
      <c r="BG293" s="77"/>
      <c r="BH293" s="77"/>
      <c r="BI293" s="77"/>
      <c r="BJ293" s="77"/>
      <c r="BK293" s="77"/>
      <c r="BL293" s="77"/>
      <c r="BM293" s="77"/>
      <c r="BN293" s="77"/>
      <c r="BO293" s="77"/>
      <c r="BP293" s="77"/>
      <c r="BQ293" s="77"/>
      <c r="BR293" s="77"/>
      <c r="BS293" s="77"/>
      <c r="BT293" s="77"/>
      <c r="BU293" s="77"/>
      <c r="BV293" s="77"/>
      <c r="BW293" s="77"/>
      <c r="BX293" s="77"/>
      <c r="BY293" s="77"/>
      <c r="BZ293" s="77"/>
      <c r="CA293" s="77"/>
      <c r="CB293" s="77"/>
      <c r="CC293" s="77"/>
      <c r="CD293" s="77"/>
      <c r="CE293" s="77"/>
      <c r="CF293" s="77"/>
      <c r="CG293" s="77"/>
      <c r="CH293" s="77"/>
      <c r="CI293" s="77"/>
      <c r="CJ293" s="77"/>
      <c r="CK293" s="77"/>
      <c r="CL293" s="77"/>
      <c r="CM293" s="77"/>
      <c r="CN293" s="77"/>
      <c r="CO293" s="77"/>
      <c r="CP293" s="77"/>
      <c r="CQ293" s="77"/>
      <c r="CR293" s="77"/>
      <c r="CS293" s="77"/>
      <c r="CT293" s="77"/>
      <c r="CU293" s="77"/>
      <c r="CV293" s="77"/>
      <c r="CW293" s="77"/>
      <c r="CX293" s="77"/>
      <c r="CY293" s="77"/>
      <c r="CZ293" s="77"/>
      <c r="DA293" s="77"/>
      <c r="DB293" s="77"/>
      <c r="DC293" s="77"/>
      <c r="DD293" s="77"/>
      <c r="DE293" s="77"/>
      <c r="DF293" s="77"/>
      <c r="DG293" s="77"/>
      <c r="DH293" s="77"/>
      <c r="DI293" s="77"/>
      <c r="DJ293" s="77"/>
      <c r="DK293" s="77"/>
      <c r="DL293" s="77"/>
      <c r="DM293" s="77"/>
      <c r="DN293" s="77"/>
      <c r="DO293" s="77"/>
      <c r="DP293" s="77"/>
      <c r="DQ293" s="77"/>
      <c r="DR293" s="77"/>
      <c r="DS293" s="77"/>
      <c r="DT293" s="77"/>
      <c r="DU293" s="77"/>
      <c r="DV293" s="77"/>
      <c r="DW293" s="77"/>
      <c r="DX293" s="77"/>
      <c r="DY293" s="77"/>
      <c r="DZ293" s="77"/>
      <c r="EA293" s="77"/>
      <c r="EB293" s="77"/>
      <c r="EC293" s="77"/>
      <c r="ED293" s="77"/>
      <c r="EE293" s="77"/>
      <c r="EF293" s="77"/>
      <c r="EG293" s="77"/>
      <c r="EH293" s="77"/>
      <c r="EI293" s="77"/>
      <c r="EJ293" s="77"/>
      <c r="EK293" s="77"/>
      <c r="EL293" s="77"/>
    </row>
    <row r="294" spans="1:142" s="78" customFormat="1">
      <c r="A294" s="89"/>
      <c r="B294" t="s">
        <v>705</v>
      </c>
      <c r="C294" s="65"/>
      <c r="E294" s="1246">
        <v>1</v>
      </c>
      <c r="F294" s="79"/>
      <c r="G294" s="79"/>
      <c r="H294" s="79"/>
      <c r="I294" s="79"/>
      <c r="J294" s="79"/>
      <c r="K294" s="77"/>
      <c r="L294" s="77"/>
      <c r="M294" s="77"/>
      <c r="N294" s="77"/>
      <c r="O294" s="77"/>
      <c r="P294" s="77"/>
      <c r="Q294" s="77"/>
      <c r="R294" s="77"/>
      <c r="S294" s="77"/>
      <c r="T294" s="77"/>
      <c r="U294" s="77"/>
      <c r="V294" s="77"/>
      <c r="W294" s="77"/>
      <c r="X294" s="77"/>
      <c r="Y294" s="77"/>
      <c r="Z294" s="77"/>
      <c r="AA294" s="77"/>
      <c r="AB294" s="77"/>
      <c r="AC294" s="77"/>
      <c r="AD294" s="77"/>
      <c r="AE294" s="77"/>
      <c r="AF294" s="77"/>
      <c r="AG294" s="77"/>
      <c r="AH294" s="77"/>
      <c r="AI294" s="77"/>
      <c r="AJ294" s="77"/>
      <c r="AK294" s="77"/>
      <c r="AL294" s="77"/>
      <c r="AM294" s="77"/>
      <c r="AN294" s="77"/>
      <c r="AO294" s="77"/>
      <c r="AP294" s="77"/>
      <c r="AQ294" s="77"/>
      <c r="AR294" s="77"/>
      <c r="AS294" s="77"/>
      <c r="AT294" s="77"/>
      <c r="AU294" s="77"/>
      <c r="AV294" s="77"/>
      <c r="AW294" s="77"/>
      <c r="AX294" s="77"/>
      <c r="AY294" s="77"/>
      <c r="AZ294" s="77"/>
      <c r="BA294" s="77"/>
      <c r="BB294" s="77"/>
      <c r="BC294" s="77"/>
      <c r="BD294" s="77"/>
      <c r="BE294" s="77"/>
      <c r="BF294" s="77"/>
      <c r="BG294" s="77"/>
      <c r="BH294" s="77"/>
      <c r="BI294" s="77"/>
      <c r="BJ294" s="77"/>
      <c r="BK294" s="77"/>
      <c r="BL294" s="77"/>
      <c r="BM294" s="77"/>
      <c r="BN294" s="77"/>
      <c r="BO294" s="77"/>
      <c r="BP294" s="77"/>
      <c r="BQ294" s="77"/>
      <c r="BR294" s="77"/>
      <c r="BS294" s="77"/>
      <c r="BT294" s="77"/>
      <c r="BU294" s="77"/>
      <c r="BV294" s="77"/>
      <c r="BW294" s="77"/>
      <c r="BX294" s="77"/>
      <c r="BY294" s="77"/>
      <c r="BZ294" s="77"/>
      <c r="CA294" s="77"/>
      <c r="CB294" s="77"/>
      <c r="CC294" s="77"/>
      <c r="CD294" s="77"/>
      <c r="CE294" s="77"/>
      <c r="CF294" s="77"/>
      <c r="CG294" s="77"/>
      <c r="CH294" s="77"/>
      <c r="CI294" s="77"/>
      <c r="CJ294" s="77"/>
      <c r="CK294" s="77"/>
      <c r="CL294" s="77"/>
      <c r="CM294" s="77"/>
      <c r="CN294" s="77"/>
      <c r="CO294" s="77"/>
      <c r="CP294" s="77"/>
      <c r="CQ294" s="77"/>
      <c r="CR294" s="77"/>
      <c r="CS294" s="77"/>
      <c r="CT294" s="77"/>
      <c r="CU294" s="77"/>
      <c r="CV294" s="77"/>
      <c r="CW294" s="77"/>
      <c r="CX294" s="77"/>
      <c r="CY294" s="77"/>
      <c r="CZ294" s="77"/>
      <c r="DA294" s="77"/>
      <c r="DB294" s="77"/>
      <c r="DC294" s="77"/>
      <c r="DD294" s="77"/>
      <c r="DE294" s="77"/>
      <c r="DF294" s="77"/>
      <c r="DG294" s="77"/>
      <c r="DH294" s="77"/>
      <c r="DI294" s="77"/>
      <c r="DJ294" s="77"/>
      <c r="DK294" s="77"/>
      <c r="DL294" s="77"/>
      <c r="DM294" s="77"/>
      <c r="DN294" s="77"/>
      <c r="DO294" s="77"/>
      <c r="DP294" s="77"/>
      <c r="DQ294" s="77"/>
      <c r="DR294" s="77"/>
      <c r="DS294" s="77"/>
      <c r="DT294" s="77"/>
      <c r="DU294" s="77"/>
      <c r="DV294" s="77"/>
      <c r="DW294" s="77"/>
      <c r="DX294" s="77"/>
      <c r="DY294" s="77"/>
      <c r="DZ294" s="77"/>
      <c r="EA294" s="77"/>
      <c r="EB294" s="77"/>
      <c r="EC294" s="77"/>
      <c r="ED294" s="77"/>
      <c r="EE294" s="77"/>
      <c r="EF294" s="77"/>
      <c r="EG294" s="77"/>
      <c r="EH294" s="77"/>
      <c r="EI294" s="77"/>
      <c r="EJ294" s="77"/>
      <c r="EK294" s="77"/>
      <c r="EL294" s="77"/>
    </row>
    <row r="295" spans="1:142" s="78" customFormat="1">
      <c r="A295" s="89"/>
      <c r="G295" s="79"/>
      <c r="H295" s="79"/>
      <c r="I295" s="79"/>
      <c r="J295" s="79"/>
      <c r="K295" s="77"/>
      <c r="L295" s="77"/>
      <c r="M295" s="77"/>
      <c r="N295" s="77"/>
      <c r="O295" s="77"/>
      <c r="P295" s="77"/>
      <c r="Q295" s="77"/>
      <c r="R295" s="77"/>
      <c r="S295" s="77"/>
      <c r="T295" s="77"/>
      <c r="U295" s="77"/>
      <c r="V295" s="77"/>
      <c r="W295" s="77"/>
      <c r="X295" s="77"/>
      <c r="Y295" s="77"/>
      <c r="Z295" s="77"/>
      <c r="AA295" s="77"/>
      <c r="AB295" s="77"/>
      <c r="AC295" s="77"/>
      <c r="AD295" s="77"/>
      <c r="AE295" s="77"/>
      <c r="AF295" s="77"/>
      <c r="AG295" s="77"/>
      <c r="AH295" s="77"/>
      <c r="AI295" s="77"/>
      <c r="AJ295" s="77"/>
      <c r="AK295" s="77"/>
      <c r="AL295" s="77"/>
      <c r="AM295" s="77"/>
      <c r="AN295" s="77"/>
      <c r="AO295" s="77"/>
      <c r="AP295" s="77"/>
      <c r="AQ295" s="77"/>
      <c r="AR295" s="77"/>
      <c r="AS295" s="77"/>
      <c r="AT295" s="77"/>
      <c r="AU295" s="77"/>
      <c r="AV295" s="77"/>
      <c r="AW295" s="77"/>
      <c r="AX295" s="77"/>
      <c r="AY295" s="77"/>
      <c r="AZ295" s="77"/>
      <c r="BA295" s="77"/>
      <c r="BB295" s="77"/>
      <c r="BC295" s="77"/>
      <c r="BD295" s="77"/>
      <c r="BE295" s="77"/>
      <c r="BF295" s="77"/>
      <c r="BG295" s="77"/>
      <c r="BH295" s="77"/>
      <c r="BI295" s="77"/>
      <c r="BJ295" s="77"/>
      <c r="BK295" s="77"/>
      <c r="BL295" s="77"/>
      <c r="BM295" s="77"/>
      <c r="BN295" s="77"/>
      <c r="BO295" s="77"/>
      <c r="BP295" s="77"/>
      <c r="BQ295" s="77"/>
      <c r="BR295" s="77"/>
      <c r="BS295" s="77"/>
      <c r="BT295" s="77"/>
      <c r="BU295" s="77"/>
      <c r="BV295" s="77"/>
      <c r="BW295" s="77"/>
      <c r="BX295" s="77"/>
      <c r="BY295" s="77"/>
      <c r="BZ295" s="77"/>
      <c r="CA295" s="77"/>
      <c r="CB295" s="77"/>
      <c r="CC295" s="77"/>
      <c r="CD295" s="77"/>
      <c r="CE295" s="77"/>
      <c r="CF295" s="77"/>
      <c r="CG295" s="77"/>
      <c r="CH295" s="77"/>
      <c r="CI295" s="77"/>
      <c r="CJ295" s="77"/>
      <c r="CK295" s="77"/>
      <c r="CL295" s="77"/>
      <c r="CM295" s="77"/>
      <c r="CN295" s="77"/>
      <c r="CO295" s="77"/>
      <c r="CP295" s="77"/>
      <c r="CQ295" s="77"/>
      <c r="CR295" s="77"/>
      <c r="CS295" s="77"/>
      <c r="CT295" s="77"/>
      <c r="CU295" s="77"/>
      <c r="CV295" s="77"/>
      <c r="CW295" s="77"/>
      <c r="CX295" s="77"/>
      <c r="CY295" s="77"/>
      <c r="CZ295" s="77"/>
      <c r="DA295" s="77"/>
      <c r="DB295" s="77"/>
      <c r="DC295" s="77"/>
      <c r="DD295" s="77"/>
      <c r="DE295" s="77"/>
      <c r="DF295" s="77"/>
      <c r="DG295" s="77"/>
      <c r="DH295" s="77"/>
      <c r="DI295" s="77"/>
      <c r="DJ295" s="77"/>
      <c r="DK295" s="77"/>
      <c r="DL295" s="77"/>
      <c r="DM295" s="77"/>
      <c r="DN295" s="77"/>
      <c r="DO295" s="77"/>
      <c r="DP295" s="77"/>
      <c r="DQ295" s="77"/>
      <c r="DR295" s="77"/>
      <c r="DS295" s="77"/>
      <c r="DT295" s="77"/>
      <c r="DU295" s="77"/>
      <c r="DV295" s="77"/>
      <c r="DW295" s="77"/>
      <c r="DX295" s="77"/>
      <c r="DY295" s="77"/>
      <c r="DZ295" s="77"/>
      <c r="EA295" s="77"/>
      <c r="EB295" s="77"/>
      <c r="EC295" s="77"/>
      <c r="ED295" s="77"/>
      <c r="EE295" s="77"/>
      <c r="EF295" s="77"/>
      <c r="EG295" s="77"/>
      <c r="EH295" s="77"/>
      <c r="EI295" s="77"/>
      <c r="EJ295" s="77"/>
      <c r="EK295" s="77"/>
      <c r="EL295" s="77"/>
    </row>
    <row r="296" spans="1:142" s="78" customFormat="1">
      <c r="A296" s="89"/>
      <c r="B296" s="79" t="s">
        <v>687</v>
      </c>
      <c r="C296" s="79"/>
      <c r="D296" s="79"/>
      <c r="E296" s="429">
        <v>5.5E-2</v>
      </c>
      <c r="F296" s="79" t="s">
        <v>132</v>
      </c>
      <c r="G296" s="79"/>
      <c r="H296" s="79"/>
      <c r="I296" s="79"/>
      <c r="J296" s="79"/>
      <c r="K296" s="77"/>
      <c r="L296" s="77"/>
      <c r="M296" s="77"/>
      <c r="N296" s="77"/>
      <c r="O296" s="77"/>
      <c r="P296" s="77"/>
      <c r="Q296" s="77"/>
      <c r="R296" s="77"/>
      <c r="S296" s="77"/>
      <c r="T296" s="77"/>
      <c r="U296" s="77"/>
      <c r="V296" s="77"/>
      <c r="W296" s="77"/>
      <c r="X296" s="77"/>
      <c r="Y296" s="77"/>
      <c r="Z296" s="77"/>
      <c r="AA296" s="77"/>
      <c r="AB296" s="77"/>
      <c r="AC296" s="77"/>
      <c r="AD296" s="77"/>
      <c r="AE296" s="77"/>
      <c r="AF296" s="77"/>
      <c r="AG296" s="77"/>
      <c r="AH296" s="77"/>
      <c r="AI296" s="77"/>
      <c r="AJ296" s="77"/>
      <c r="AK296" s="77"/>
      <c r="AL296" s="77"/>
      <c r="AM296" s="77"/>
      <c r="AN296" s="77"/>
      <c r="AO296" s="77"/>
      <c r="AP296" s="77"/>
      <c r="AQ296" s="77"/>
      <c r="AR296" s="77"/>
      <c r="AS296" s="77"/>
      <c r="AT296" s="77"/>
      <c r="AU296" s="77"/>
      <c r="AV296" s="77"/>
      <c r="AW296" s="77"/>
      <c r="AX296" s="77"/>
      <c r="AY296" s="77"/>
      <c r="AZ296" s="77"/>
      <c r="BA296" s="77"/>
      <c r="BB296" s="77"/>
      <c r="BC296" s="77"/>
      <c r="BD296" s="77"/>
      <c r="BE296" s="77"/>
      <c r="BF296" s="77"/>
      <c r="BG296" s="77"/>
      <c r="BH296" s="77"/>
      <c r="BI296" s="77"/>
      <c r="BJ296" s="77"/>
      <c r="BK296" s="77"/>
      <c r="BL296" s="77"/>
      <c r="BM296" s="77"/>
      <c r="BN296" s="77"/>
      <c r="BO296" s="77"/>
      <c r="BP296" s="77"/>
      <c r="BQ296" s="77"/>
      <c r="BR296" s="77"/>
      <c r="BS296" s="77"/>
      <c r="BT296" s="77"/>
      <c r="BU296" s="77"/>
      <c r="BV296" s="77"/>
      <c r="BW296" s="77"/>
      <c r="BX296" s="77"/>
      <c r="BY296" s="77"/>
      <c r="BZ296" s="77"/>
      <c r="CA296" s="77"/>
      <c r="CB296" s="77"/>
      <c r="CC296" s="77"/>
      <c r="CD296" s="77"/>
      <c r="CE296" s="77"/>
      <c r="CF296" s="77"/>
      <c r="CG296" s="77"/>
      <c r="CH296" s="77"/>
      <c r="CI296" s="77"/>
      <c r="CJ296" s="77"/>
      <c r="CK296" s="77"/>
      <c r="CL296" s="77"/>
      <c r="CM296" s="77"/>
      <c r="CN296" s="77"/>
      <c r="CO296" s="77"/>
      <c r="CP296" s="77"/>
      <c r="CQ296" s="77"/>
      <c r="CR296" s="77"/>
      <c r="CS296" s="77"/>
      <c r="CT296" s="77"/>
      <c r="CU296" s="77"/>
      <c r="CV296" s="77"/>
      <c r="CW296" s="77"/>
      <c r="CX296" s="77"/>
      <c r="CY296" s="77"/>
      <c r="CZ296" s="77"/>
      <c r="DA296" s="77"/>
      <c r="DB296" s="77"/>
      <c r="DC296" s="77"/>
      <c r="DD296" s="77"/>
      <c r="DE296" s="77"/>
      <c r="DF296" s="77"/>
      <c r="DG296" s="77"/>
      <c r="DH296" s="77"/>
      <c r="DI296" s="77"/>
      <c r="DJ296" s="77"/>
      <c r="DK296" s="77"/>
      <c r="DL296" s="77"/>
      <c r="DM296" s="77"/>
      <c r="DN296" s="77"/>
      <c r="DO296" s="77"/>
      <c r="DP296" s="77"/>
      <c r="DQ296" s="77"/>
      <c r="DR296" s="77"/>
      <c r="DS296" s="77"/>
      <c r="DT296" s="77"/>
      <c r="DU296" s="77"/>
      <c r="DV296" s="77"/>
      <c r="DW296" s="77"/>
      <c r="DX296" s="77"/>
      <c r="DY296" s="77"/>
      <c r="DZ296" s="77"/>
      <c r="EA296" s="77"/>
      <c r="EB296" s="77"/>
      <c r="EC296" s="77"/>
      <c r="ED296" s="77"/>
      <c r="EE296" s="77"/>
      <c r="EF296" s="77"/>
      <c r="EG296" s="77"/>
      <c r="EH296" s="77"/>
      <c r="EI296" s="77"/>
      <c r="EJ296" s="77"/>
      <c r="EK296" s="77"/>
      <c r="EL296" s="77"/>
    </row>
    <row r="297" spans="1:142" s="78" customFormat="1">
      <c r="A297" s="89"/>
      <c r="B297" s="79" t="s">
        <v>694</v>
      </c>
      <c r="C297" s="79"/>
      <c r="D297" s="79"/>
      <c r="E297" s="95">
        <v>0</v>
      </c>
      <c r="F297" s="124" t="s">
        <v>445</v>
      </c>
      <c r="G297" s="89"/>
      <c r="H297" s="124" t="s">
        <v>445</v>
      </c>
      <c r="I297" s="89"/>
      <c r="J297" s="89"/>
      <c r="K297" s="89"/>
      <c r="L297" s="89"/>
      <c r="M297" s="89"/>
      <c r="N297" s="89"/>
      <c r="O297" s="89"/>
      <c r="P297" s="89"/>
      <c r="Q297" s="77"/>
      <c r="R297" s="77"/>
      <c r="S297" s="77"/>
      <c r="T297" s="77"/>
      <c r="U297" s="77"/>
      <c r="V297" s="77"/>
      <c r="W297" s="77"/>
      <c r="X297" s="77"/>
      <c r="Y297" s="77"/>
      <c r="Z297" s="77"/>
      <c r="AA297" s="77"/>
      <c r="AB297" s="77"/>
      <c r="AC297" s="77"/>
      <c r="AD297" s="77"/>
      <c r="AE297" s="77"/>
      <c r="AF297" s="77"/>
      <c r="AG297" s="77"/>
      <c r="AH297" s="77"/>
      <c r="AI297" s="77"/>
      <c r="AJ297" s="77"/>
      <c r="AK297" s="77"/>
      <c r="AL297" s="77"/>
      <c r="AM297" s="77"/>
      <c r="AN297" s="77"/>
      <c r="AO297" s="77"/>
      <c r="AP297" s="77"/>
      <c r="AQ297" s="77"/>
      <c r="AR297" s="77"/>
      <c r="AS297" s="77"/>
      <c r="AT297" s="77"/>
      <c r="AU297" s="77"/>
      <c r="AV297" s="77"/>
      <c r="AW297" s="77"/>
      <c r="AX297" s="77"/>
      <c r="AY297" s="77"/>
      <c r="AZ297" s="77"/>
      <c r="BA297" s="77"/>
      <c r="BB297" s="77"/>
      <c r="BC297" s="77"/>
      <c r="BD297" s="77"/>
      <c r="BE297" s="77"/>
      <c r="BF297" s="77"/>
      <c r="BG297" s="77"/>
      <c r="BH297" s="77"/>
      <c r="BI297" s="77"/>
      <c r="BJ297" s="77"/>
      <c r="BK297" s="77"/>
      <c r="BL297" s="77"/>
      <c r="BM297" s="77"/>
      <c r="BN297" s="77"/>
      <c r="BO297" s="77"/>
      <c r="BP297" s="77"/>
      <c r="BQ297" s="77"/>
      <c r="BR297" s="77"/>
      <c r="BS297" s="77"/>
      <c r="BT297" s="77"/>
      <c r="BU297" s="77"/>
      <c r="BV297" s="77"/>
      <c r="BW297" s="77"/>
      <c r="BX297" s="77"/>
      <c r="BY297" s="77"/>
      <c r="BZ297" s="77"/>
      <c r="CA297" s="77"/>
      <c r="CB297" s="77"/>
      <c r="CC297" s="77"/>
      <c r="CD297" s="77"/>
      <c r="CE297" s="77"/>
      <c r="CF297" s="77"/>
      <c r="CG297" s="77"/>
      <c r="CH297" s="77"/>
      <c r="CI297" s="77"/>
      <c r="CJ297" s="77"/>
      <c r="CK297" s="77"/>
      <c r="CL297" s="77"/>
      <c r="CM297" s="77"/>
      <c r="CN297" s="77"/>
      <c r="CO297" s="77"/>
      <c r="CP297" s="77"/>
      <c r="CQ297" s="77"/>
      <c r="CR297" s="77"/>
      <c r="CS297" s="77"/>
      <c r="CT297" s="77"/>
      <c r="CU297" s="77"/>
      <c r="CV297" s="77"/>
      <c r="CW297" s="77"/>
      <c r="CX297" s="77"/>
      <c r="CY297" s="77"/>
      <c r="CZ297" s="77"/>
      <c r="DA297" s="77"/>
      <c r="DB297" s="77"/>
      <c r="DC297" s="77"/>
      <c r="DD297" s="77"/>
      <c r="DE297" s="77"/>
      <c r="DF297" s="77"/>
      <c r="DG297" s="77"/>
      <c r="DH297" s="77"/>
      <c r="DI297" s="77"/>
      <c r="DJ297" s="77"/>
      <c r="DK297" s="77"/>
      <c r="DL297" s="77"/>
      <c r="DM297" s="77"/>
      <c r="DN297" s="77"/>
      <c r="DO297" s="77"/>
      <c r="DP297" s="77"/>
      <c r="DQ297" s="77"/>
      <c r="DR297" s="77"/>
      <c r="DS297" s="77"/>
      <c r="DT297" s="77"/>
      <c r="DU297" s="77"/>
      <c r="DV297" s="77"/>
      <c r="DW297" s="77"/>
      <c r="DX297" s="77"/>
      <c r="DY297" s="77"/>
      <c r="DZ297" s="77"/>
      <c r="EA297" s="77"/>
      <c r="EB297" s="77"/>
      <c r="EC297" s="77"/>
      <c r="ED297" s="77"/>
      <c r="EE297" s="77"/>
      <c r="EF297" s="77"/>
      <c r="EG297" s="77"/>
      <c r="EH297" s="77"/>
      <c r="EI297" s="77"/>
      <c r="EJ297" s="77"/>
      <c r="EK297" s="77"/>
      <c r="EL297" s="77"/>
    </row>
    <row r="298" spans="1:142" s="78" customFormat="1">
      <c r="A298" s="89"/>
      <c r="B298" s="79" t="s">
        <v>133</v>
      </c>
      <c r="C298" s="79"/>
      <c r="D298" s="79"/>
      <c r="E298" s="130">
        <v>2.5000000000000001E-2</v>
      </c>
      <c r="F298" s="130">
        <f t="shared" ref="F298:AM298" si="65">E298</f>
        <v>2.5000000000000001E-2</v>
      </c>
      <c r="G298" s="130">
        <f t="shared" si="65"/>
        <v>2.5000000000000001E-2</v>
      </c>
      <c r="H298" s="130">
        <f t="shared" si="65"/>
        <v>2.5000000000000001E-2</v>
      </c>
      <c r="I298" s="130">
        <f t="shared" si="65"/>
        <v>2.5000000000000001E-2</v>
      </c>
      <c r="J298" s="130">
        <f t="shared" si="65"/>
        <v>2.5000000000000001E-2</v>
      </c>
      <c r="K298" s="130">
        <f t="shared" si="65"/>
        <v>2.5000000000000001E-2</v>
      </c>
      <c r="L298" s="130">
        <f t="shared" si="65"/>
        <v>2.5000000000000001E-2</v>
      </c>
      <c r="M298" s="130">
        <f t="shared" si="65"/>
        <v>2.5000000000000001E-2</v>
      </c>
      <c r="N298" s="130">
        <f t="shared" si="65"/>
        <v>2.5000000000000001E-2</v>
      </c>
      <c r="O298" s="130">
        <f t="shared" si="65"/>
        <v>2.5000000000000001E-2</v>
      </c>
      <c r="P298" s="130">
        <f t="shared" si="65"/>
        <v>2.5000000000000001E-2</v>
      </c>
      <c r="Q298" s="130">
        <f t="shared" si="65"/>
        <v>2.5000000000000001E-2</v>
      </c>
      <c r="R298" s="130">
        <f t="shared" si="65"/>
        <v>2.5000000000000001E-2</v>
      </c>
      <c r="S298" s="130">
        <f t="shared" si="65"/>
        <v>2.5000000000000001E-2</v>
      </c>
      <c r="T298" s="130">
        <f t="shared" si="65"/>
        <v>2.5000000000000001E-2</v>
      </c>
      <c r="U298" s="130">
        <f t="shared" si="65"/>
        <v>2.5000000000000001E-2</v>
      </c>
      <c r="V298" s="130">
        <f t="shared" si="65"/>
        <v>2.5000000000000001E-2</v>
      </c>
      <c r="W298" s="130">
        <f t="shared" si="65"/>
        <v>2.5000000000000001E-2</v>
      </c>
      <c r="X298" s="130">
        <f t="shared" si="65"/>
        <v>2.5000000000000001E-2</v>
      </c>
      <c r="Y298" s="130">
        <f t="shared" si="65"/>
        <v>2.5000000000000001E-2</v>
      </c>
      <c r="Z298" s="130">
        <f t="shared" si="65"/>
        <v>2.5000000000000001E-2</v>
      </c>
      <c r="AA298" s="130">
        <f t="shared" si="65"/>
        <v>2.5000000000000001E-2</v>
      </c>
      <c r="AB298" s="130">
        <f t="shared" si="65"/>
        <v>2.5000000000000001E-2</v>
      </c>
      <c r="AC298" s="130">
        <f t="shared" si="65"/>
        <v>2.5000000000000001E-2</v>
      </c>
      <c r="AD298" s="130">
        <f t="shared" si="65"/>
        <v>2.5000000000000001E-2</v>
      </c>
      <c r="AE298" s="130">
        <f t="shared" si="65"/>
        <v>2.5000000000000001E-2</v>
      </c>
      <c r="AF298" s="130">
        <f t="shared" si="65"/>
        <v>2.5000000000000001E-2</v>
      </c>
      <c r="AG298" s="130">
        <f t="shared" si="65"/>
        <v>2.5000000000000001E-2</v>
      </c>
      <c r="AH298" s="130">
        <f t="shared" si="65"/>
        <v>2.5000000000000001E-2</v>
      </c>
      <c r="AI298" s="130">
        <f t="shared" si="65"/>
        <v>2.5000000000000001E-2</v>
      </c>
      <c r="AJ298" s="130">
        <f t="shared" si="65"/>
        <v>2.5000000000000001E-2</v>
      </c>
      <c r="AK298" s="130">
        <f t="shared" si="65"/>
        <v>2.5000000000000001E-2</v>
      </c>
      <c r="AL298" s="130">
        <f t="shared" si="65"/>
        <v>2.5000000000000001E-2</v>
      </c>
      <c r="AM298" s="130">
        <f t="shared" si="65"/>
        <v>2.5000000000000001E-2</v>
      </c>
      <c r="AN298" s="77"/>
      <c r="AO298" s="77"/>
      <c r="AP298" s="77"/>
      <c r="AQ298" s="77"/>
      <c r="AR298" s="77"/>
      <c r="AS298" s="77"/>
      <c r="AT298" s="77"/>
      <c r="AU298" s="77"/>
      <c r="AV298" s="77"/>
      <c r="AW298" s="77"/>
      <c r="AX298" s="77"/>
      <c r="AY298" s="77"/>
      <c r="AZ298" s="77"/>
      <c r="BA298" s="77"/>
      <c r="BB298" s="77"/>
      <c r="BC298" s="77"/>
      <c r="BD298" s="77"/>
      <c r="BE298" s="77"/>
      <c r="BF298" s="77"/>
      <c r="BG298" s="77"/>
      <c r="BH298" s="77"/>
      <c r="BI298" s="77"/>
      <c r="BJ298" s="77"/>
      <c r="BK298" s="77"/>
      <c r="BL298" s="77"/>
      <c r="BM298" s="77"/>
      <c r="BN298" s="77"/>
      <c r="BO298" s="77"/>
      <c r="BP298" s="77"/>
      <c r="BQ298" s="77"/>
      <c r="BR298" s="77"/>
      <c r="BS298" s="77"/>
      <c r="BT298" s="77"/>
      <c r="BU298" s="77"/>
      <c r="BV298" s="77"/>
      <c r="BW298" s="77"/>
      <c r="BX298" s="77"/>
      <c r="BY298" s="77"/>
      <c r="BZ298" s="77"/>
      <c r="CA298" s="77"/>
      <c r="CB298" s="77"/>
      <c r="CC298" s="77"/>
      <c r="CD298" s="77"/>
      <c r="CE298" s="77"/>
      <c r="CF298" s="77"/>
      <c r="CG298" s="77"/>
      <c r="CH298" s="77"/>
      <c r="CI298" s="77"/>
      <c r="CJ298" s="77"/>
      <c r="CK298" s="77"/>
      <c r="CL298" s="77"/>
      <c r="CM298" s="77"/>
      <c r="CN298" s="77"/>
      <c r="CO298" s="77"/>
      <c r="CP298" s="77"/>
      <c r="CQ298" s="77"/>
      <c r="CR298" s="77"/>
      <c r="CS298" s="77"/>
      <c r="CT298" s="77"/>
      <c r="CU298" s="77"/>
      <c r="CV298" s="77"/>
      <c r="CW298" s="77"/>
      <c r="CX298" s="77"/>
      <c r="CY298" s="77"/>
      <c r="CZ298" s="77"/>
      <c r="DA298" s="77"/>
      <c r="DB298" s="77"/>
      <c r="DC298" s="77"/>
      <c r="DD298" s="77"/>
      <c r="DE298" s="77"/>
      <c r="DF298" s="77"/>
      <c r="DG298" s="77"/>
      <c r="DH298" s="77"/>
      <c r="DI298" s="77"/>
      <c r="DJ298" s="77"/>
      <c r="DK298" s="77"/>
      <c r="DL298" s="77"/>
      <c r="DM298" s="77"/>
      <c r="DN298" s="77"/>
      <c r="DO298" s="77"/>
      <c r="DP298" s="77"/>
      <c r="DQ298" s="77"/>
      <c r="DR298" s="77"/>
      <c r="DS298" s="77"/>
      <c r="DT298" s="77"/>
      <c r="DU298" s="77"/>
      <c r="DV298" s="77"/>
      <c r="DW298" s="77"/>
      <c r="DX298" s="77"/>
      <c r="DY298" s="77"/>
      <c r="DZ298" s="77"/>
      <c r="EA298" s="77"/>
      <c r="EB298" s="77"/>
      <c r="EC298" s="77"/>
      <c r="ED298" s="77"/>
      <c r="EE298" s="77"/>
      <c r="EF298" s="77"/>
      <c r="EG298" s="77"/>
      <c r="EH298" s="77"/>
      <c r="EI298" s="77"/>
      <c r="EJ298" s="77"/>
      <c r="EK298" s="77"/>
      <c r="EL298" s="77"/>
    </row>
    <row r="299" spans="1:142" s="78" customFormat="1">
      <c r="A299" s="89"/>
      <c r="B299" s="79" t="s">
        <v>557</v>
      </c>
      <c r="C299" s="79"/>
      <c r="D299" s="79"/>
      <c r="E299" s="137">
        <f t="shared" ref="E299:AM299" si="66">$E$296+$E$297+E298</f>
        <v>0.08</v>
      </c>
      <c r="F299" s="137">
        <f t="shared" si="66"/>
        <v>0.08</v>
      </c>
      <c r="G299" s="137">
        <f t="shared" si="66"/>
        <v>0.08</v>
      </c>
      <c r="H299" s="137">
        <f t="shared" si="66"/>
        <v>0.08</v>
      </c>
      <c r="I299" s="137">
        <f t="shared" si="66"/>
        <v>0.08</v>
      </c>
      <c r="J299" s="137">
        <f t="shared" si="66"/>
        <v>0.08</v>
      </c>
      <c r="K299" s="137">
        <f t="shared" si="66"/>
        <v>0.08</v>
      </c>
      <c r="L299" s="137">
        <f t="shared" si="66"/>
        <v>0.08</v>
      </c>
      <c r="M299" s="137">
        <f t="shared" si="66"/>
        <v>0.08</v>
      </c>
      <c r="N299" s="137">
        <f t="shared" si="66"/>
        <v>0.08</v>
      </c>
      <c r="O299" s="137">
        <f t="shared" si="66"/>
        <v>0.08</v>
      </c>
      <c r="P299" s="137">
        <f t="shared" si="66"/>
        <v>0.08</v>
      </c>
      <c r="Q299" s="137">
        <f t="shared" si="66"/>
        <v>0.08</v>
      </c>
      <c r="R299" s="137">
        <f t="shared" si="66"/>
        <v>0.08</v>
      </c>
      <c r="S299" s="137">
        <f t="shared" si="66"/>
        <v>0.08</v>
      </c>
      <c r="T299" s="137">
        <f t="shared" si="66"/>
        <v>0.08</v>
      </c>
      <c r="U299" s="137">
        <f t="shared" si="66"/>
        <v>0.08</v>
      </c>
      <c r="V299" s="137">
        <f t="shared" si="66"/>
        <v>0.08</v>
      </c>
      <c r="W299" s="137">
        <f t="shared" si="66"/>
        <v>0.08</v>
      </c>
      <c r="X299" s="137">
        <f t="shared" si="66"/>
        <v>0.08</v>
      </c>
      <c r="Y299" s="137">
        <f t="shared" si="66"/>
        <v>0.08</v>
      </c>
      <c r="Z299" s="137">
        <f t="shared" si="66"/>
        <v>0.08</v>
      </c>
      <c r="AA299" s="137">
        <f t="shared" si="66"/>
        <v>0.08</v>
      </c>
      <c r="AB299" s="137">
        <f t="shared" si="66"/>
        <v>0.08</v>
      </c>
      <c r="AC299" s="137">
        <f t="shared" si="66"/>
        <v>0.08</v>
      </c>
      <c r="AD299" s="137">
        <f t="shared" si="66"/>
        <v>0.08</v>
      </c>
      <c r="AE299" s="137">
        <f t="shared" si="66"/>
        <v>0.08</v>
      </c>
      <c r="AF299" s="137">
        <f t="shared" si="66"/>
        <v>0.08</v>
      </c>
      <c r="AG299" s="137">
        <f t="shared" si="66"/>
        <v>0.08</v>
      </c>
      <c r="AH299" s="137">
        <f t="shared" si="66"/>
        <v>0.08</v>
      </c>
      <c r="AI299" s="137">
        <f t="shared" si="66"/>
        <v>0.08</v>
      </c>
      <c r="AJ299" s="137">
        <f t="shared" si="66"/>
        <v>0.08</v>
      </c>
      <c r="AK299" s="137">
        <f t="shared" si="66"/>
        <v>0.08</v>
      </c>
      <c r="AL299" s="137">
        <f t="shared" si="66"/>
        <v>0.08</v>
      </c>
      <c r="AM299" s="137">
        <f t="shared" si="66"/>
        <v>0.08</v>
      </c>
      <c r="AN299" s="77"/>
      <c r="AO299" s="77"/>
      <c r="AP299" s="77"/>
      <c r="AQ299" s="77"/>
      <c r="AR299" s="77"/>
      <c r="AS299" s="77"/>
      <c r="AT299" s="77"/>
      <c r="AU299" s="77"/>
      <c r="AV299" s="77"/>
      <c r="AW299" s="77"/>
      <c r="AX299" s="77"/>
      <c r="AY299" s="77"/>
      <c r="AZ299" s="77"/>
      <c r="BA299" s="77"/>
      <c r="BB299" s="77"/>
      <c r="BC299" s="77"/>
      <c r="BD299" s="77"/>
      <c r="BE299" s="77"/>
      <c r="BF299" s="77"/>
      <c r="BG299" s="77"/>
      <c r="BH299" s="77"/>
      <c r="BI299" s="77"/>
      <c r="BJ299" s="77"/>
      <c r="BK299" s="77"/>
      <c r="BL299" s="77"/>
      <c r="BM299" s="77"/>
      <c r="BN299" s="77"/>
      <c r="BO299" s="77"/>
      <c r="BP299" s="77"/>
      <c r="BQ299" s="77"/>
      <c r="BR299" s="77"/>
      <c r="BS299" s="77"/>
      <c r="BT299" s="77"/>
      <c r="BU299" s="77"/>
      <c r="BV299" s="77"/>
      <c r="BW299" s="77"/>
      <c r="BX299" s="77"/>
      <c r="BY299" s="77"/>
      <c r="BZ299" s="77"/>
      <c r="CA299" s="77"/>
      <c r="CB299" s="77"/>
      <c r="CC299" s="77"/>
      <c r="CD299" s="77"/>
      <c r="CE299" s="77"/>
      <c r="CF299" s="77"/>
      <c r="CG299" s="77"/>
      <c r="CH299" s="77"/>
      <c r="CI299" s="77"/>
      <c r="CJ299" s="77"/>
      <c r="CK299" s="77"/>
      <c r="CL299" s="77"/>
      <c r="CM299" s="77"/>
      <c r="CN299" s="77"/>
      <c r="CO299" s="77"/>
      <c r="CP299" s="77"/>
      <c r="CQ299" s="77"/>
      <c r="CR299" s="77"/>
      <c r="CS299" s="77"/>
      <c r="CT299" s="77"/>
      <c r="CU299" s="77"/>
      <c r="CV299" s="77"/>
      <c r="CW299" s="77"/>
      <c r="CX299" s="77"/>
      <c r="CY299" s="77"/>
      <c r="CZ299" s="77"/>
      <c r="DA299" s="77"/>
      <c r="DB299" s="77"/>
      <c r="DC299" s="77"/>
      <c r="DD299" s="77"/>
      <c r="DE299" s="77"/>
      <c r="DF299" s="77"/>
      <c r="DG299" s="77"/>
      <c r="DH299" s="77"/>
      <c r="DI299" s="77"/>
      <c r="DJ299" s="77"/>
      <c r="DK299" s="77"/>
      <c r="DL299" s="77"/>
      <c r="DM299" s="77"/>
      <c r="DN299" s="77"/>
      <c r="DO299" s="77"/>
      <c r="DP299" s="77"/>
      <c r="DQ299" s="77"/>
      <c r="DR299" s="77"/>
      <c r="DS299" s="77"/>
      <c r="DT299" s="77"/>
      <c r="DU299" s="77"/>
      <c r="DV299" s="77"/>
      <c r="DW299" s="77"/>
      <c r="DX299" s="77"/>
      <c r="DY299" s="77"/>
      <c r="DZ299" s="77"/>
      <c r="EA299" s="77"/>
      <c r="EB299" s="77"/>
      <c r="EC299" s="77"/>
      <c r="ED299" s="77"/>
      <c r="EE299" s="77"/>
      <c r="EF299" s="77"/>
      <c r="EG299" s="77"/>
      <c r="EH299" s="77"/>
      <c r="EI299" s="77"/>
      <c r="EJ299" s="77"/>
      <c r="EK299" s="77"/>
      <c r="EL299" s="77"/>
    </row>
    <row r="300" spans="1:142" s="78" customFormat="1">
      <c r="A300" s="89"/>
      <c r="B300" s="129"/>
      <c r="C300" s="129"/>
      <c r="D300" s="79"/>
      <c r="E300" s="79"/>
      <c r="F300" s="124"/>
      <c r="G300" s="89"/>
      <c r="H300" s="124" t="s">
        <v>445</v>
      </c>
      <c r="I300" s="77"/>
      <c r="J300" s="77"/>
      <c r="K300" s="77"/>
      <c r="L300" s="77"/>
      <c r="M300" s="77"/>
      <c r="N300" s="77"/>
      <c r="O300" s="77"/>
      <c r="P300" s="77"/>
      <c r="Q300" s="77"/>
      <c r="R300" s="77"/>
      <c r="S300" s="77"/>
      <c r="T300" s="77"/>
      <c r="U300" s="77"/>
      <c r="V300" s="77"/>
      <c r="W300" s="77"/>
      <c r="X300" s="77"/>
      <c r="Y300" s="77"/>
      <c r="Z300" s="77"/>
      <c r="AA300" s="77"/>
      <c r="AB300" s="77"/>
      <c r="AC300" s="77"/>
      <c r="AD300" s="77"/>
      <c r="AE300" s="77"/>
      <c r="AF300" s="77"/>
      <c r="AG300" s="77"/>
      <c r="AH300" s="77"/>
      <c r="AI300" s="77"/>
      <c r="AJ300" s="77"/>
      <c r="AK300" s="77"/>
      <c r="AL300" s="77"/>
      <c r="AM300" s="77"/>
      <c r="AN300" s="77"/>
      <c r="AO300" s="77"/>
      <c r="AP300" s="77"/>
      <c r="AQ300" s="77"/>
      <c r="AR300" s="77"/>
      <c r="AS300" s="77"/>
      <c r="AT300" s="77"/>
      <c r="AU300" s="77"/>
      <c r="AV300" s="77"/>
      <c r="AW300" s="77"/>
      <c r="AX300" s="77"/>
      <c r="AY300" s="77"/>
      <c r="AZ300" s="77"/>
      <c r="BA300" s="77"/>
      <c r="BB300" s="77"/>
      <c r="BC300" s="77"/>
      <c r="BD300" s="77"/>
      <c r="BE300" s="77"/>
      <c r="BF300" s="77"/>
      <c r="BG300" s="77"/>
      <c r="BH300" s="77"/>
      <c r="BI300" s="77"/>
      <c r="BJ300" s="77"/>
      <c r="BK300" s="77"/>
      <c r="BL300" s="77"/>
      <c r="BM300" s="77"/>
      <c r="BN300" s="77"/>
      <c r="BO300" s="77"/>
      <c r="BP300" s="77"/>
      <c r="BQ300" s="77"/>
      <c r="BR300" s="77"/>
      <c r="BS300" s="77"/>
      <c r="BT300" s="77"/>
      <c r="BU300" s="77"/>
      <c r="BV300" s="77"/>
      <c r="BW300" s="77"/>
      <c r="BX300" s="77"/>
      <c r="BY300" s="77"/>
      <c r="BZ300" s="77"/>
      <c r="CA300" s="77"/>
      <c r="CB300" s="77"/>
      <c r="CC300" s="77"/>
      <c r="CD300" s="77"/>
      <c r="CE300" s="77"/>
      <c r="CF300" s="77"/>
      <c r="CG300" s="77"/>
      <c r="CH300" s="77"/>
      <c r="CI300" s="77"/>
      <c r="CJ300" s="77"/>
      <c r="CK300" s="77"/>
      <c r="CL300" s="77"/>
      <c r="CM300" s="77"/>
      <c r="CN300" s="77"/>
      <c r="CO300" s="77"/>
      <c r="CP300" s="77"/>
      <c r="CQ300" s="77"/>
      <c r="CR300" s="77"/>
      <c r="CS300" s="77"/>
      <c r="CT300" s="77"/>
      <c r="CU300" s="77"/>
      <c r="CV300" s="77"/>
      <c r="CW300" s="77"/>
      <c r="CX300" s="77"/>
      <c r="CY300" s="77"/>
      <c r="CZ300" s="77"/>
      <c r="DA300" s="77"/>
      <c r="DB300" s="77"/>
      <c r="DC300" s="77"/>
      <c r="DD300" s="77"/>
      <c r="DE300" s="77"/>
      <c r="DF300" s="77"/>
      <c r="DG300" s="77"/>
      <c r="DH300" s="77"/>
      <c r="DI300" s="77"/>
      <c r="DJ300" s="77"/>
      <c r="DK300" s="77"/>
      <c r="DL300" s="77"/>
      <c r="DM300" s="77"/>
      <c r="DN300" s="77"/>
      <c r="DO300" s="77"/>
      <c r="DP300" s="77"/>
      <c r="DQ300" s="77"/>
      <c r="DR300" s="77"/>
      <c r="DS300" s="77"/>
      <c r="DT300" s="77"/>
      <c r="DU300" s="77"/>
      <c r="DV300" s="77"/>
      <c r="DW300" s="77"/>
      <c r="DX300" s="77"/>
      <c r="DY300" s="77"/>
      <c r="DZ300" s="77"/>
      <c r="EA300" s="77"/>
      <c r="EB300" s="77"/>
      <c r="EC300" s="77"/>
      <c r="ED300" s="77"/>
      <c r="EE300" s="77"/>
      <c r="EF300" s="77"/>
      <c r="EG300" s="77"/>
      <c r="EH300" s="77"/>
      <c r="EI300" s="77"/>
      <c r="EJ300" s="77"/>
      <c r="EK300" s="77"/>
      <c r="EL300" s="77"/>
    </row>
    <row r="301" spans="1:142" s="549" customFormat="1">
      <c r="A301" s="546"/>
      <c r="B301" s="544" t="s">
        <v>115</v>
      </c>
      <c r="C301" s="544"/>
      <c r="D301" s="544"/>
      <c r="E301" s="547">
        <v>1</v>
      </c>
      <c r="F301" s="547">
        <f t="shared" ref="F301:AM301" si="67">E301</f>
        <v>1</v>
      </c>
      <c r="G301" s="547">
        <f t="shared" si="67"/>
        <v>1</v>
      </c>
      <c r="H301" s="547">
        <f t="shared" si="67"/>
        <v>1</v>
      </c>
      <c r="I301" s="547">
        <f t="shared" si="67"/>
        <v>1</v>
      </c>
      <c r="J301" s="547">
        <f t="shared" si="67"/>
        <v>1</v>
      </c>
      <c r="K301" s="547">
        <f t="shared" si="67"/>
        <v>1</v>
      </c>
      <c r="L301" s="547">
        <f t="shared" si="67"/>
        <v>1</v>
      </c>
      <c r="M301" s="547">
        <f t="shared" si="67"/>
        <v>1</v>
      </c>
      <c r="N301" s="547">
        <f t="shared" si="67"/>
        <v>1</v>
      </c>
      <c r="O301" s="547">
        <f t="shared" si="67"/>
        <v>1</v>
      </c>
      <c r="P301" s="547">
        <f t="shared" si="67"/>
        <v>1</v>
      </c>
      <c r="Q301" s="547">
        <f t="shared" si="67"/>
        <v>1</v>
      </c>
      <c r="R301" s="547">
        <f t="shared" si="67"/>
        <v>1</v>
      </c>
      <c r="S301" s="547">
        <f t="shared" si="67"/>
        <v>1</v>
      </c>
      <c r="T301" s="547">
        <f t="shared" si="67"/>
        <v>1</v>
      </c>
      <c r="U301" s="547">
        <f t="shared" si="67"/>
        <v>1</v>
      </c>
      <c r="V301" s="547">
        <f t="shared" si="67"/>
        <v>1</v>
      </c>
      <c r="W301" s="547">
        <f t="shared" si="67"/>
        <v>1</v>
      </c>
      <c r="X301" s="547">
        <f t="shared" si="67"/>
        <v>1</v>
      </c>
      <c r="Y301" s="547">
        <f t="shared" si="67"/>
        <v>1</v>
      </c>
      <c r="Z301" s="547">
        <f t="shared" si="67"/>
        <v>1</v>
      </c>
      <c r="AA301" s="547">
        <f t="shared" si="67"/>
        <v>1</v>
      </c>
      <c r="AB301" s="547">
        <f t="shared" si="67"/>
        <v>1</v>
      </c>
      <c r="AC301" s="547">
        <f t="shared" si="67"/>
        <v>1</v>
      </c>
      <c r="AD301" s="547">
        <f t="shared" si="67"/>
        <v>1</v>
      </c>
      <c r="AE301" s="547">
        <f t="shared" si="67"/>
        <v>1</v>
      </c>
      <c r="AF301" s="547">
        <f t="shared" si="67"/>
        <v>1</v>
      </c>
      <c r="AG301" s="547">
        <f t="shared" si="67"/>
        <v>1</v>
      </c>
      <c r="AH301" s="547">
        <f t="shared" si="67"/>
        <v>1</v>
      </c>
      <c r="AI301" s="547">
        <f t="shared" si="67"/>
        <v>1</v>
      </c>
      <c r="AJ301" s="547">
        <f t="shared" si="67"/>
        <v>1</v>
      </c>
      <c r="AK301" s="547">
        <f t="shared" si="67"/>
        <v>1</v>
      </c>
      <c r="AL301" s="547">
        <f t="shared" si="67"/>
        <v>1</v>
      </c>
      <c r="AM301" s="547">
        <f t="shared" si="67"/>
        <v>1</v>
      </c>
      <c r="AN301" s="548"/>
      <c r="AO301" s="548"/>
      <c r="AP301" s="548"/>
      <c r="AQ301" s="548"/>
      <c r="AR301" s="548"/>
      <c r="AS301" s="548"/>
      <c r="AT301" s="548"/>
      <c r="AU301" s="548"/>
      <c r="AV301" s="548"/>
      <c r="AW301" s="548"/>
      <c r="AX301" s="548"/>
      <c r="AY301" s="548"/>
      <c r="AZ301" s="548"/>
      <c r="BA301" s="548"/>
      <c r="BB301" s="548"/>
      <c r="BC301" s="548"/>
      <c r="BD301" s="548"/>
      <c r="BE301" s="548"/>
      <c r="BF301" s="548"/>
      <c r="BG301" s="548"/>
      <c r="BH301" s="548"/>
      <c r="BI301" s="548"/>
      <c r="BJ301" s="548"/>
      <c r="BK301" s="548"/>
      <c r="BL301" s="548"/>
      <c r="BM301" s="548"/>
      <c r="BN301" s="548"/>
      <c r="BO301" s="548"/>
      <c r="BP301" s="548"/>
      <c r="BQ301" s="548"/>
      <c r="BR301" s="548"/>
      <c r="BS301" s="548"/>
      <c r="BT301" s="548"/>
      <c r="BU301" s="548"/>
      <c r="BV301" s="548"/>
      <c r="BW301" s="548"/>
      <c r="BX301" s="548"/>
      <c r="BY301" s="548"/>
      <c r="BZ301" s="548"/>
      <c r="CA301" s="548"/>
      <c r="CB301" s="548"/>
      <c r="CC301" s="548"/>
      <c r="CD301" s="548"/>
      <c r="CE301" s="548"/>
      <c r="CF301" s="548"/>
      <c r="CG301" s="548"/>
      <c r="CH301" s="548"/>
      <c r="CI301" s="548"/>
      <c r="CJ301" s="548"/>
      <c r="CK301" s="548"/>
      <c r="CL301" s="548"/>
      <c r="CM301" s="548"/>
      <c r="CN301" s="548"/>
      <c r="CO301" s="548"/>
      <c r="CP301" s="548"/>
      <c r="CQ301" s="548"/>
      <c r="CR301" s="548"/>
      <c r="CS301" s="548"/>
      <c r="CT301" s="548"/>
      <c r="CU301" s="548"/>
      <c r="CV301" s="548"/>
      <c r="CW301" s="548"/>
      <c r="CX301" s="548"/>
      <c r="CY301" s="548"/>
      <c r="CZ301" s="548"/>
      <c r="DA301" s="548"/>
      <c r="DB301" s="548"/>
      <c r="DC301" s="548"/>
      <c r="DD301" s="548"/>
      <c r="DE301" s="548"/>
      <c r="DF301" s="548"/>
      <c r="DG301" s="548"/>
      <c r="DH301" s="548"/>
      <c r="DI301" s="548"/>
      <c r="DJ301" s="548"/>
      <c r="DK301" s="548"/>
      <c r="DL301" s="548"/>
      <c r="DM301" s="548"/>
      <c r="DN301" s="548"/>
      <c r="DO301" s="548"/>
      <c r="DP301" s="548"/>
      <c r="DQ301" s="548"/>
      <c r="DR301" s="548"/>
      <c r="DS301" s="548"/>
      <c r="DT301" s="548"/>
      <c r="DU301" s="548"/>
      <c r="DV301" s="548"/>
      <c r="DW301" s="548"/>
      <c r="DX301" s="548"/>
      <c r="DY301" s="548"/>
      <c r="DZ301" s="548"/>
      <c r="EA301" s="548"/>
      <c r="EB301" s="548"/>
      <c r="EC301" s="548"/>
      <c r="ED301" s="548"/>
      <c r="EE301" s="548"/>
      <c r="EF301" s="548"/>
      <c r="EG301" s="548"/>
      <c r="EH301" s="548"/>
      <c r="EI301" s="548"/>
      <c r="EJ301" s="548"/>
      <c r="EK301" s="548"/>
      <c r="EL301" s="548"/>
    </row>
    <row r="302" spans="1:142" s="549" customFormat="1">
      <c r="A302" s="546"/>
      <c r="B302" s="544" t="s">
        <v>527</v>
      </c>
      <c r="C302" s="544"/>
      <c r="D302" s="544"/>
      <c r="E302" s="547">
        <v>1.5</v>
      </c>
      <c r="F302" s="547">
        <f t="shared" ref="F302:AM302" si="68">E302</f>
        <v>1.5</v>
      </c>
      <c r="G302" s="547">
        <f t="shared" si="68"/>
        <v>1.5</v>
      </c>
      <c r="H302" s="547">
        <f t="shared" si="68"/>
        <v>1.5</v>
      </c>
      <c r="I302" s="547">
        <f t="shared" si="68"/>
        <v>1.5</v>
      </c>
      <c r="J302" s="547">
        <f t="shared" si="68"/>
        <v>1.5</v>
      </c>
      <c r="K302" s="547">
        <f t="shared" si="68"/>
        <v>1.5</v>
      </c>
      <c r="L302" s="547">
        <f t="shared" si="68"/>
        <v>1.5</v>
      </c>
      <c r="M302" s="547">
        <f t="shared" si="68"/>
        <v>1.5</v>
      </c>
      <c r="N302" s="547">
        <f t="shared" si="68"/>
        <v>1.5</v>
      </c>
      <c r="O302" s="547">
        <f t="shared" si="68"/>
        <v>1.5</v>
      </c>
      <c r="P302" s="547">
        <f t="shared" si="68"/>
        <v>1.5</v>
      </c>
      <c r="Q302" s="547">
        <f t="shared" si="68"/>
        <v>1.5</v>
      </c>
      <c r="R302" s="547">
        <f t="shared" si="68"/>
        <v>1.5</v>
      </c>
      <c r="S302" s="547">
        <f t="shared" si="68"/>
        <v>1.5</v>
      </c>
      <c r="T302" s="547">
        <f t="shared" si="68"/>
        <v>1.5</v>
      </c>
      <c r="U302" s="547">
        <f t="shared" si="68"/>
        <v>1.5</v>
      </c>
      <c r="V302" s="547">
        <f t="shared" si="68"/>
        <v>1.5</v>
      </c>
      <c r="W302" s="547">
        <f t="shared" si="68"/>
        <v>1.5</v>
      </c>
      <c r="X302" s="547">
        <f t="shared" si="68"/>
        <v>1.5</v>
      </c>
      <c r="Y302" s="547">
        <f t="shared" si="68"/>
        <v>1.5</v>
      </c>
      <c r="Z302" s="547">
        <f t="shared" si="68"/>
        <v>1.5</v>
      </c>
      <c r="AA302" s="547">
        <f t="shared" si="68"/>
        <v>1.5</v>
      </c>
      <c r="AB302" s="547">
        <f t="shared" si="68"/>
        <v>1.5</v>
      </c>
      <c r="AC302" s="547">
        <f t="shared" si="68"/>
        <v>1.5</v>
      </c>
      <c r="AD302" s="547">
        <f t="shared" si="68"/>
        <v>1.5</v>
      </c>
      <c r="AE302" s="547">
        <f t="shared" si="68"/>
        <v>1.5</v>
      </c>
      <c r="AF302" s="547">
        <f t="shared" si="68"/>
        <v>1.5</v>
      </c>
      <c r="AG302" s="547">
        <f t="shared" si="68"/>
        <v>1.5</v>
      </c>
      <c r="AH302" s="547">
        <f t="shared" si="68"/>
        <v>1.5</v>
      </c>
      <c r="AI302" s="547">
        <f t="shared" si="68"/>
        <v>1.5</v>
      </c>
      <c r="AJ302" s="547">
        <f t="shared" si="68"/>
        <v>1.5</v>
      </c>
      <c r="AK302" s="547">
        <f t="shared" si="68"/>
        <v>1.5</v>
      </c>
      <c r="AL302" s="547">
        <f t="shared" si="68"/>
        <v>1.5</v>
      </c>
      <c r="AM302" s="547">
        <f t="shared" si="68"/>
        <v>1.5</v>
      </c>
      <c r="AN302" s="548"/>
      <c r="AO302" s="548"/>
      <c r="AP302" s="548"/>
      <c r="AQ302" s="548"/>
      <c r="AR302" s="548"/>
      <c r="AS302" s="548"/>
      <c r="AT302" s="548"/>
      <c r="AU302" s="548"/>
      <c r="AV302" s="548"/>
      <c r="AW302" s="548"/>
      <c r="AX302" s="548"/>
      <c r="AY302" s="548"/>
      <c r="AZ302" s="548"/>
      <c r="BA302" s="548"/>
      <c r="BB302" s="548"/>
      <c r="BC302" s="548"/>
      <c r="BD302" s="548"/>
      <c r="BE302" s="548"/>
      <c r="BF302" s="548"/>
      <c r="BG302" s="548"/>
      <c r="BH302" s="548"/>
      <c r="BI302" s="548"/>
      <c r="BJ302" s="548"/>
      <c r="BK302" s="548"/>
      <c r="BL302" s="548"/>
      <c r="BM302" s="548"/>
      <c r="BN302" s="548"/>
      <c r="BO302" s="548"/>
      <c r="BP302" s="548"/>
      <c r="BQ302" s="548"/>
      <c r="BR302" s="548"/>
      <c r="BS302" s="548"/>
      <c r="BT302" s="548"/>
      <c r="BU302" s="548"/>
      <c r="BV302" s="548"/>
      <c r="BW302" s="548"/>
      <c r="BX302" s="548"/>
      <c r="BY302" s="548"/>
      <c r="BZ302" s="548"/>
      <c r="CA302" s="548"/>
      <c r="CB302" s="548"/>
      <c r="CC302" s="548"/>
      <c r="CD302" s="548"/>
      <c r="CE302" s="548"/>
      <c r="CF302" s="548"/>
      <c r="CG302" s="548"/>
      <c r="CH302" s="548"/>
      <c r="CI302" s="548"/>
      <c r="CJ302" s="548"/>
      <c r="CK302" s="548"/>
      <c r="CL302" s="548"/>
      <c r="CM302" s="548"/>
      <c r="CN302" s="548"/>
      <c r="CO302" s="548"/>
      <c r="CP302" s="548"/>
      <c r="CQ302" s="548"/>
      <c r="CR302" s="548"/>
      <c r="CS302" s="548"/>
      <c r="CT302" s="548"/>
      <c r="CU302" s="548"/>
      <c r="CV302" s="548"/>
      <c r="CW302" s="548"/>
      <c r="CX302" s="548"/>
      <c r="CY302" s="548"/>
      <c r="CZ302" s="548"/>
      <c r="DA302" s="548"/>
      <c r="DB302" s="548"/>
      <c r="DC302" s="548"/>
      <c r="DD302" s="548"/>
      <c r="DE302" s="548"/>
      <c r="DF302" s="548"/>
      <c r="DG302" s="548"/>
      <c r="DH302" s="548"/>
      <c r="DI302" s="548"/>
      <c r="DJ302" s="548"/>
      <c r="DK302" s="548"/>
      <c r="DL302" s="548"/>
      <c r="DM302" s="548"/>
      <c r="DN302" s="548"/>
      <c r="DO302" s="548"/>
      <c r="DP302" s="548"/>
      <c r="DQ302" s="548"/>
      <c r="DR302" s="548"/>
      <c r="DS302" s="548"/>
      <c r="DT302" s="548"/>
      <c r="DU302" s="548"/>
      <c r="DV302" s="548"/>
      <c r="DW302" s="548"/>
      <c r="DX302" s="548"/>
      <c r="DY302" s="548"/>
      <c r="DZ302" s="548"/>
      <c r="EA302" s="548"/>
      <c r="EB302" s="548"/>
      <c r="EC302" s="548"/>
      <c r="ED302" s="548"/>
      <c r="EE302" s="548"/>
      <c r="EF302" s="548"/>
      <c r="EG302" s="548"/>
      <c r="EH302" s="548"/>
      <c r="EI302" s="548"/>
      <c r="EJ302" s="548"/>
      <c r="EK302" s="548"/>
      <c r="EL302" s="548"/>
    </row>
    <row r="303" spans="1:142" s="549" customFormat="1">
      <c r="A303" s="546"/>
      <c r="B303" s="545" t="s">
        <v>31</v>
      </c>
      <c r="C303" s="545"/>
      <c r="D303" s="544"/>
      <c r="E303" s="550">
        <v>1</v>
      </c>
      <c r="F303" s="551">
        <f t="shared" ref="F303:AM303" si="69">E303</f>
        <v>1</v>
      </c>
      <c r="G303" s="551">
        <f t="shared" si="69"/>
        <v>1</v>
      </c>
      <c r="H303" s="551">
        <f t="shared" si="69"/>
        <v>1</v>
      </c>
      <c r="I303" s="551">
        <f t="shared" si="69"/>
        <v>1</v>
      </c>
      <c r="J303" s="551">
        <f t="shared" si="69"/>
        <v>1</v>
      </c>
      <c r="K303" s="551">
        <f t="shared" si="69"/>
        <v>1</v>
      </c>
      <c r="L303" s="551">
        <f t="shared" si="69"/>
        <v>1</v>
      </c>
      <c r="M303" s="551">
        <f t="shared" si="69"/>
        <v>1</v>
      </c>
      <c r="N303" s="551">
        <f t="shared" si="69"/>
        <v>1</v>
      </c>
      <c r="O303" s="551">
        <f t="shared" si="69"/>
        <v>1</v>
      </c>
      <c r="P303" s="551">
        <f t="shared" si="69"/>
        <v>1</v>
      </c>
      <c r="Q303" s="551">
        <f t="shared" si="69"/>
        <v>1</v>
      </c>
      <c r="R303" s="551">
        <f t="shared" si="69"/>
        <v>1</v>
      </c>
      <c r="S303" s="551">
        <f t="shared" si="69"/>
        <v>1</v>
      </c>
      <c r="T303" s="551">
        <f t="shared" si="69"/>
        <v>1</v>
      </c>
      <c r="U303" s="551">
        <f t="shared" si="69"/>
        <v>1</v>
      </c>
      <c r="V303" s="551">
        <f t="shared" si="69"/>
        <v>1</v>
      </c>
      <c r="W303" s="551">
        <f t="shared" si="69"/>
        <v>1</v>
      </c>
      <c r="X303" s="551">
        <f t="shared" si="69"/>
        <v>1</v>
      </c>
      <c r="Y303" s="551">
        <f t="shared" si="69"/>
        <v>1</v>
      </c>
      <c r="Z303" s="551">
        <f t="shared" si="69"/>
        <v>1</v>
      </c>
      <c r="AA303" s="551">
        <f t="shared" si="69"/>
        <v>1</v>
      </c>
      <c r="AB303" s="551">
        <f t="shared" si="69"/>
        <v>1</v>
      </c>
      <c r="AC303" s="551">
        <f t="shared" si="69"/>
        <v>1</v>
      </c>
      <c r="AD303" s="551">
        <f t="shared" si="69"/>
        <v>1</v>
      </c>
      <c r="AE303" s="551">
        <f t="shared" si="69"/>
        <v>1</v>
      </c>
      <c r="AF303" s="551">
        <f t="shared" si="69"/>
        <v>1</v>
      </c>
      <c r="AG303" s="551">
        <f t="shared" si="69"/>
        <v>1</v>
      </c>
      <c r="AH303" s="551">
        <f t="shared" si="69"/>
        <v>1</v>
      </c>
      <c r="AI303" s="551">
        <f t="shared" si="69"/>
        <v>1</v>
      </c>
      <c r="AJ303" s="551">
        <f t="shared" si="69"/>
        <v>1</v>
      </c>
      <c r="AK303" s="551">
        <f t="shared" si="69"/>
        <v>1</v>
      </c>
      <c r="AL303" s="551">
        <f t="shared" si="69"/>
        <v>1</v>
      </c>
      <c r="AM303" s="551">
        <f t="shared" si="69"/>
        <v>1</v>
      </c>
      <c r="AN303" s="548"/>
      <c r="AO303" s="548"/>
      <c r="AP303" s="548"/>
      <c r="AQ303" s="548"/>
      <c r="AR303" s="548"/>
      <c r="AS303" s="548"/>
      <c r="AT303" s="548"/>
      <c r="AU303" s="548"/>
      <c r="AV303" s="548"/>
      <c r="AW303" s="548"/>
      <c r="AX303" s="548"/>
      <c r="AY303" s="548"/>
      <c r="AZ303" s="548"/>
      <c r="BA303" s="548"/>
      <c r="BB303" s="548"/>
      <c r="BC303" s="548"/>
      <c r="BD303" s="548"/>
      <c r="BE303" s="548"/>
      <c r="BF303" s="548"/>
      <c r="BG303" s="548"/>
      <c r="BH303" s="548"/>
      <c r="BI303" s="548"/>
      <c r="BJ303" s="548"/>
      <c r="BK303" s="548"/>
      <c r="BL303" s="548"/>
      <c r="BM303" s="548"/>
      <c r="BN303" s="548"/>
      <c r="BO303" s="548"/>
      <c r="BP303" s="548"/>
      <c r="BQ303" s="548"/>
      <c r="BR303" s="548"/>
      <c r="BS303" s="548"/>
      <c r="BT303" s="548"/>
      <c r="BU303" s="548"/>
      <c r="BV303" s="548"/>
      <c r="BW303" s="548"/>
      <c r="BX303" s="548"/>
      <c r="BY303" s="548"/>
      <c r="BZ303" s="548"/>
      <c r="CA303" s="548"/>
      <c r="CB303" s="548"/>
      <c r="CC303" s="548"/>
      <c r="CD303" s="548"/>
      <c r="CE303" s="548"/>
      <c r="CF303" s="548"/>
      <c r="CG303" s="548"/>
      <c r="CH303" s="548"/>
      <c r="CI303" s="548"/>
      <c r="CJ303" s="548"/>
      <c r="CK303" s="548"/>
      <c r="CL303" s="548"/>
      <c r="CM303" s="548"/>
      <c r="CN303" s="548"/>
      <c r="CO303" s="548"/>
      <c r="CP303" s="548"/>
      <c r="CQ303" s="548"/>
      <c r="CR303" s="548"/>
      <c r="CS303" s="548"/>
      <c r="CT303" s="548"/>
      <c r="CU303" s="548"/>
      <c r="CV303" s="548"/>
      <c r="CW303" s="548"/>
      <c r="CX303" s="548"/>
      <c r="CY303" s="548"/>
      <c r="CZ303" s="548"/>
      <c r="DA303" s="548"/>
      <c r="DB303" s="548"/>
      <c r="DC303" s="548"/>
      <c r="DD303" s="548"/>
      <c r="DE303" s="548"/>
      <c r="DF303" s="548"/>
      <c r="DG303" s="548"/>
      <c r="DH303" s="548"/>
      <c r="DI303" s="548"/>
      <c r="DJ303" s="548"/>
      <c r="DK303" s="548"/>
      <c r="DL303" s="548"/>
      <c r="DM303" s="548"/>
      <c r="DN303" s="548"/>
      <c r="DO303" s="548"/>
      <c r="DP303" s="548"/>
      <c r="DQ303" s="548"/>
      <c r="DR303" s="548"/>
      <c r="DS303" s="548"/>
      <c r="DT303" s="548"/>
      <c r="DU303" s="548"/>
      <c r="DV303" s="548"/>
      <c r="DW303" s="548"/>
      <c r="DX303" s="548"/>
      <c r="DY303" s="548"/>
      <c r="DZ303" s="548"/>
      <c r="EA303" s="548"/>
      <c r="EB303" s="548"/>
      <c r="EC303" s="548"/>
      <c r="ED303" s="548"/>
      <c r="EE303" s="548"/>
      <c r="EF303" s="548"/>
      <c r="EG303" s="548"/>
      <c r="EH303" s="548"/>
      <c r="EI303" s="548"/>
      <c r="EJ303" s="548"/>
      <c r="EK303" s="548"/>
      <c r="EL303" s="548"/>
    </row>
    <row r="304" spans="1:142" s="549" customFormat="1">
      <c r="A304" s="546"/>
      <c r="B304" s="545" t="s">
        <v>29</v>
      </c>
      <c r="C304" s="545"/>
      <c r="D304" s="544"/>
      <c r="E304" s="550">
        <v>1.2</v>
      </c>
      <c r="F304" s="551">
        <f t="shared" ref="F304:AM304" si="70">E304</f>
        <v>1.2</v>
      </c>
      <c r="G304" s="551">
        <f t="shared" si="70"/>
        <v>1.2</v>
      </c>
      <c r="H304" s="551">
        <f t="shared" si="70"/>
        <v>1.2</v>
      </c>
      <c r="I304" s="551">
        <f t="shared" si="70"/>
        <v>1.2</v>
      </c>
      <c r="J304" s="551">
        <f t="shared" si="70"/>
        <v>1.2</v>
      </c>
      <c r="K304" s="551">
        <f t="shared" si="70"/>
        <v>1.2</v>
      </c>
      <c r="L304" s="551">
        <f t="shared" si="70"/>
        <v>1.2</v>
      </c>
      <c r="M304" s="551">
        <f t="shared" si="70"/>
        <v>1.2</v>
      </c>
      <c r="N304" s="551">
        <f t="shared" si="70"/>
        <v>1.2</v>
      </c>
      <c r="O304" s="551">
        <f t="shared" si="70"/>
        <v>1.2</v>
      </c>
      <c r="P304" s="551">
        <f t="shared" si="70"/>
        <v>1.2</v>
      </c>
      <c r="Q304" s="551">
        <f t="shared" si="70"/>
        <v>1.2</v>
      </c>
      <c r="R304" s="551">
        <f t="shared" si="70"/>
        <v>1.2</v>
      </c>
      <c r="S304" s="551">
        <f t="shared" si="70"/>
        <v>1.2</v>
      </c>
      <c r="T304" s="551">
        <f t="shared" si="70"/>
        <v>1.2</v>
      </c>
      <c r="U304" s="551">
        <f t="shared" si="70"/>
        <v>1.2</v>
      </c>
      <c r="V304" s="551">
        <f t="shared" si="70"/>
        <v>1.2</v>
      </c>
      <c r="W304" s="551">
        <f t="shared" si="70"/>
        <v>1.2</v>
      </c>
      <c r="X304" s="551">
        <f t="shared" si="70"/>
        <v>1.2</v>
      </c>
      <c r="Y304" s="551">
        <f t="shared" si="70"/>
        <v>1.2</v>
      </c>
      <c r="Z304" s="551">
        <f t="shared" si="70"/>
        <v>1.2</v>
      </c>
      <c r="AA304" s="551">
        <f t="shared" si="70"/>
        <v>1.2</v>
      </c>
      <c r="AB304" s="551">
        <f t="shared" si="70"/>
        <v>1.2</v>
      </c>
      <c r="AC304" s="551">
        <f t="shared" si="70"/>
        <v>1.2</v>
      </c>
      <c r="AD304" s="551">
        <f t="shared" si="70"/>
        <v>1.2</v>
      </c>
      <c r="AE304" s="551">
        <f t="shared" si="70"/>
        <v>1.2</v>
      </c>
      <c r="AF304" s="551">
        <f t="shared" si="70"/>
        <v>1.2</v>
      </c>
      <c r="AG304" s="551">
        <f t="shared" si="70"/>
        <v>1.2</v>
      </c>
      <c r="AH304" s="551">
        <f t="shared" si="70"/>
        <v>1.2</v>
      </c>
      <c r="AI304" s="551">
        <f t="shared" si="70"/>
        <v>1.2</v>
      </c>
      <c r="AJ304" s="551">
        <f t="shared" si="70"/>
        <v>1.2</v>
      </c>
      <c r="AK304" s="551">
        <f t="shared" si="70"/>
        <v>1.2</v>
      </c>
      <c r="AL304" s="551">
        <f t="shared" si="70"/>
        <v>1.2</v>
      </c>
      <c r="AM304" s="551">
        <f t="shared" si="70"/>
        <v>1.2</v>
      </c>
      <c r="AN304" s="548"/>
      <c r="AO304" s="548"/>
      <c r="AP304" s="548"/>
      <c r="AQ304" s="548"/>
      <c r="AR304" s="548"/>
      <c r="AS304" s="548"/>
      <c r="AT304" s="548"/>
      <c r="AU304" s="548"/>
      <c r="AV304" s="548"/>
      <c r="AW304" s="548"/>
      <c r="AX304" s="548"/>
      <c r="AY304" s="548"/>
      <c r="AZ304" s="548"/>
      <c r="BA304" s="548"/>
      <c r="BB304" s="548"/>
      <c r="BC304" s="548"/>
      <c r="BD304" s="548"/>
      <c r="BE304" s="548"/>
      <c r="BF304" s="548"/>
      <c r="BG304" s="548"/>
      <c r="BH304" s="548"/>
      <c r="BI304" s="548"/>
      <c r="BJ304" s="548"/>
      <c r="BK304" s="548"/>
      <c r="BL304" s="548"/>
      <c r="BM304" s="548"/>
      <c r="BN304" s="548"/>
      <c r="BO304" s="548"/>
      <c r="BP304" s="548"/>
      <c r="BQ304" s="548"/>
      <c r="BR304" s="548"/>
      <c r="BS304" s="548"/>
      <c r="BT304" s="548"/>
      <c r="BU304" s="548"/>
      <c r="BV304" s="548"/>
      <c r="BW304" s="548"/>
      <c r="BX304" s="548"/>
      <c r="BY304" s="548"/>
      <c r="BZ304" s="548"/>
      <c r="CA304" s="548"/>
      <c r="CB304" s="548"/>
      <c r="CC304" s="548"/>
      <c r="CD304" s="548"/>
      <c r="CE304" s="548"/>
      <c r="CF304" s="548"/>
      <c r="CG304" s="548"/>
      <c r="CH304" s="548"/>
      <c r="CI304" s="548"/>
      <c r="CJ304" s="548"/>
      <c r="CK304" s="548"/>
      <c r="CL304" s="548"/>
      <c r="CM304" s="548"/>
      <c r="CN304" s="548"/>
      <c r="CO304" s="548"/>
      <c r="CP304" s="548"/>
      <c r="CQ304" s="548"/>
      <c r="CR304" s="548"/>
      <c r="CS304" s="548"/>
      <c r="CT304" s="548"/>
      <c r="CU304" s="548"/>
      <c r="CV304" s="548"/>
      <c r="CW304" s="548"/>
      <c r="CX304" s="548"/>
      <c r="CY304" s="548"/>
      <c r="CZ304" s="548"/>
      <c r="DA304" s="548"/>
      <c r="DB304" s="548"/>
      <c r="DC304" s="548"/>
      <c r="DD304" s="548"/>
      <c r="DE304" s="548"/>
      <c r="DF304" s="548"/>
      <c r="DG304" s="548"/>
      <c r="DH304" s="548"/>
      <c r="DI304" s="548"/>
      <c r="DJ304" s="548"/>
      <c r="DK304" s="548"/>
      <c r="DL304" s="548"/>
      <c r="DM304" s="548"/>
      <c r="DN304" s="548"/>
      <c r="DO304" s="548"/>
      <c r="DP304" s="548"/>
      <c r="DQ304" s="548"/>
      <c r="DR304" s="548"/>
      <c r="DS304" s="548"/>
      <c r="DT304" s="548"/>
      <c r="DU304" s="548"/>
      <c r="DV304" s="548"/>
      <c r="DW304" s="548"/>
      <c r="DX304" s="548"/>
      <c r="DY304" s="548"/>
      <c r="DZ304" s="548"/>
      <c r="EA304" s="548"/>
      <c r="EB304" s="548"/>
      <c r="EC304" s="548"/>
      <c r="ED304" s="548"/>
      <c r="EE304" s="548"/>
      <c r="EF304" s="548"/>
      <c r="EG304" s="548"/>
      <c r="EH304" s="548"/>
      <c r="EI304" s="548"/>
      <c r="EJ304" s="548"/>
      <c r="EK304" s="548"/>
      <c r="EL304" s="548"/>
    </row>
    <row r="305" spans="1:142" s="549" customFormat="1">
      <c r="A305" s="546"/>
      <c r="B305" s="1178"/>
      <c r="C305" s="1178"/>
      <c r="D305" s="544"/>
      <c r="F305" s="1179"/>
      <c r="G305" s="546"/>
      <c r="H305" s="1180"/>
      <c r="I305" s="1180"/>
      <c r="J305" s="1180"/>
      <c r="K305" s="1180"/>
      <c r="L305" s="1180"/>
      <c r="M305" s="1180"/>
      <c r="N305" s="1180"/>
      <c r="O305" s="1180"/>
      <c r="P305" s="1180"/>
      <c r="Q305" s="1180"/>
      <c r="R305" s="1180"/>
      <c r="S305" s="1180"/>
      <c r="T305" s="1180"/>
      <c r="U305" s="1180"/>
      <c r="V305" s="1180"/>
      <c r="W305" s="1180"/>
      <c r="X305" s="1180"/>
      <c r="Y305" s="1180"/>
      <c r="Z305" s="1180"/>
      <c r="AA305" s="1180"/>
      <c r="AB305" s="1180"/>
      <c r="AC305" s="1180"/>
      <c r="AD305" s="1180"/>
      <c r="AE305" s="1180"/>
      <c r="AF305" s="1180"/>
      <c r="AG305" s="1180"/>
      <c r="AH305" s="1180"/>
      <c r="AI305" s="1180"/>
      <c r="AJ305" s="1180"/>
      <c r="AK305" s="548"/>
      <c r="AL305" s="548"/>
      <c r="AM305" s="548"/>
      <c r="AN305" s="548"/>
      <c r="AO305" s="548"/>
      <c r="AP305" s="548"/>
      <c r="AQ305" s="548"/>
      <c r="AR305" s="548"/>
      <c r="AS305" s="548"/>
      <c r="AT305" s="548"/>
      <c r="AU305" s="548"/>
      <c r="AV305" s="548"/>
      <c r="AW305" s="548"/>
      <c r="AX305" s="548"/>
      <c r="AY305" s="548"/>
      <c r="AZ305" s="548"/>
      <c r="BA305" s="548"/>
      <c r="BB305" s="548"/>
      <c r="BC305" s="548"/>
      <c r="BD305" s="548"/>
      <c r="BE305" s="548"/>
      <c r="BF305" s="548"/>
      <c r="BG305" s="548"/>
      <c r="BH305" s="548"/>
      <c r="BI305" s="548"/>
      <c r="BJ305" s="548"/>
      <c r="BK305" s="548"/>
      <c r="BL305" s="548"/>
      <c r="BM305" s="548"/>
      <c r="BN305" s="548"/>
      <c r="BO305" s="548"/>
      <c r="BP305" s="548"/>
      <c r="BQ305" s="548"/>
      <c r="BR305" s="548"/>
      <c r="BS305" s="548"/>
      <c r="BT305" s="548"/>
      <c r="BU305" s="548"/>
      <c r="BV305" s="548"/>
      <c r="BW305" s="548"/>
      <c r="BX305" s="548"/>
      <c r="BY305" s="548"/>
      <c r="BZ305" s="548"/>
      <c r="CA305" s="548"/>
      <c r="CB305" s="548"/>
      <c r="CC305" s="548"/>
      <c r="CD305" s="548"/>
      <c r="CE305" s="548"/>
      <c r="CF305" s="548"/>
      <c r="CG305" s="548"/>
      <c r="CH305" s="548"/>
      <c r="CI305" s="548"/>
      <c r="CJ305" s="548"/>
      <c r="CK305" s="548"/>
      <c r="CL305" s="548"/>
      <c r="CM305" s="548"/>
      <c r="CN305" s="548"/>
      <c r="CO305" s="548"/>
      <c r="CP305" s="548"/>
      <c r="CQ305" s="548"/>
      <c r="CR305" s="548"/>
      <c r="CS305" s="548"/>
      <c r="CT305" s="548"/>
      <c r="CU305" s="548"/>
      <c r="CV305" s="548"/>
      <c r="CW305" s="548"/>
      <c r="CX305" s="548"/>
      <c r="CY305" s="548"/>
      <c r="CZ305" s="548"/>
      <c r="DA305" s="548"/>
      <c r="DB305" s="548"/>
      <c r="DC305" s="548"/>
      <c r="DD305" s="548"/>
      <c r="DE305" s="548"/>
      <c r="DF305" s="548"/>
      <c r="DG305" s="548"/>
      <c r="DH305" s="548"/>
      <c r="DI305" s="548"/>
      <c r="DJ305" s="548"/>
      <c r="DK305" s="548"/>
      <c r="DL305" s="548"/>
      <c r="DM305" s="548"/>
      <c r="DN305" s="548"/>
      <c r="DO305" s="548"/>
      <c r="DP305" s="548"/>
      <c r="DQ305" s="548"/>
      <c r="DR305" s="548"/>
      <c r="DS305" s="548"/>
      <c r="DT305" s="548"/>
      <c r="DU305" s="548"/>
      <c r="DV305" s="548"/>
      <c r="DW305" s="548"/>
      <c r="DX305" s="548"/>
      <c r="DY305" s="548"/>
      <c r="DZ305" s="548"/>
      <c r="EA305" s="548"/>
      <c r="EB305" s="548"/>
      <c r="EC305" s="548"/>
      <c r="ED305" s="548"/>
      <c r="EE305" s="548"/>
      <c r="EF305" s="548"/>
      <c r="EG305" s="548"/>
      <c r="EH305" s="548"/>
      <c r="EI305" s="548"/>
      <c r="EJ305" s="548"/>
      <c r="EK305" s="548"/>
      <c r="EL305" s="548"/>
    </row>
    <row r="306" spans="1:142" s="549" customFormat="1">
      <c r="A306" s="546"/>
      <c r="B306" s="544" t="s">
        <v>146</v>
      </c>
      <c r="C306" s="544"/>
      <c r="D306" s="544"/>
      <c r="E306" s="1181">
        <v>0.41</v>
      </c>
      <c r="F306" s="1179" t="s">
        <v>445</v>
      </c>
      <c r="G306" s="546"/>
      <c r="H306" s="548"/>
      <c r="I306" s="548"/>
      <c r="J306" s="548"/>
      <c r="K306" s="548"/>
      <c r="L306" s="548"/>
      <c r="M306" s="548"/>
      <c r="N306" s="548"/>
      <c r="O306" s="548"/>
      <c r="P306" s="548"/>
      <c r="Q306" s="548"/>
      <c r="R306" s="548"/>
      <c r="S306" s="548"/>
      <c r="T306" s="548"/>
      <c r="U306" s="548"/>
      <c r="V306" s="548"/>
      <c r="W306" s="548"/>
      <c r="X306" s="548"/>
      <c r="Y306" s="548"/>
      <c r="Z306" s="548"/>
      <c r="AA306" s="548"/>
      <c r="AB306" s="548"/>
      <c r="AC306" s="548"/>
      <c r="AD306" s="548"/>
      <c r="AE306" s="548"/>
      <c r="AF306" s="548"/>
      <c r="AG306" s="548"/>
      <c r="AH306" s="548"/>
      <c r="AI306" s="548"/>
      <c r="AJ306" s="548"/>
      <c r="AK306" s="548"/>
      <c r="AL306" s="548"/>
      <c r="AM306" s="548"/>
      <c r="AN306" s="548"/>
      <c r="AO306" s="548"/>
      <c r="AP306" s="548"/>
      <c r="AQ306" s="548"/>
      <c r="AR306" s="548"/>
      <c r="AS306" s="548"/>
      <c r="AT306" s="548"/>
      <c r="AU306" s="548"/>
      <c r="AV306" s="548"/>
      <c r="AW306" s="548"/>
      <c r="AX306" s="548"/>
      <c r="AY306" s="548"/>
      <c r="AZ306" s="548"/>
      <c r="BA306" s="548"/>
      <c r="BB306" s="548"/>
      <c r="BC306" s="548"/>
      <c r="BD306" s="548"/>
      <c r="BE306" s="548"/>
      <c r="BF306" s="548"/>
      <c r="BG306" s="548"/>
      <c r="BH306" s="548"/>
      <c r="BI306" s="548"/>
      <c r="BJ306" s="548"/>
      <c r="BK306" s="548"/>
      <c r="BL306" s="548"/>
      <c r="BM306" s="548"/>
      <c r="BN306" s="548"/>
      <c r="BO306" s="548"/>
      <c r="BP306" s="548"/>
      <c r="BQ306" s="548"/>
      <c r="BR306" s="548"/>
      <c r="BS306" s="548"/>
      <c r="BT306" s="548"/>
      <c r="BU306" s="548"/>
      <c r="BV306" s="548"/>
      <c r="BW306" s="548"/>
      <c r="BX306" s="548"/>
      <c r="BY306" s="548"/>
      <c r="BZ306" s="548"/>
      <c r="CA306" s="548"/>
      <c r="CB306" s="548"/>
      <c r="CC306" s="548"/>
      <c r="CD306" s="548"/>
      <c r="CE306" s="548"/>
      <c r="CF306" s="548"/>
      <c r="CG306" s="548"/>
      <c r="CH306" s="548"/>
      <c r="CI306" s="548"/>
      <c r="CJ306" s="548"/>
      <c r="CK306" s="548"/>
      <c r="CL306" s="548"/>
      <c r="CM306" s="548"/>
      <c r="CN306" s="548"/>
      <c r="CO306" s="548"/>
      <c r="CP306" s="548"/>
      <c r="CQ306" s="548"/>
      <c r="CR306" s="548"/>
      <c r="CS306" s="548"/>
      <c r="CT306" s="548"/>
      <c r="CU306" s="548"/>
      <c r="CV306" s="548"/>
      <c r="CW306" s="548"/>
      <c r="CX306" s="548"/>
      <c r="CY306" s="548"/>
      <c r="CZ306" s="548"/>
      <c r="DA306" s="548"/>
      <c r="DB306" s="548"/>
      <c r="DC306" s="548"/>
      <c r="DD306" s="548"/>
      <c r="DE306" s="548"/>
      <c r="DF306" s="548"/>
      <c r="DG306" s="548"/>
      <c r="DH306" s="548"/>
      <c r="DI306" s="548"/>
      <c r="DJ306" s="548"/>
      <c r="DK306" s="548"/>
      <c r="DL306" s="548"/>
      <c r="DM306" s="548"/>
      <c r="DN306" s="548"/>
      <c r="DO306" s="548"/>
      <c r="DP306" s="548"/>
      <c r="DQ306" s="548"/>
      <c r="DR306" s="548"/>
      <c r="DS306" s="548"/>
      <c r="DT306" s="548"/>
      <c r="DU306" s="548"/>
      <c r="DV306" s="548"/>
      <c r="DW306" s="548"/>
      <c r="DX306" s="548"/>
      <c r="DY306" s="548"/>
      <c r="DZ306" s="548"/>
      <c r="EA306" s="548"/>
      <c r="EB306" s="548"/>
      <c r="EC306" s="548"/>
      <c r="ED306" s="548"/>
      <c r="EE306" s="548"/>
      <c r="EF306" s="548"/>
      <c r="EG306" s="548"/>
      <c r="EH306" s="548"/>
      <c r="EI306" s="548"/>
      <c r="EJ306" s="548"/>
      <c r="EK306" s="548"/>
      <c r="EL306" s="548"/>
    </row>
    <row r="307" spans="1:142" s="549" customFormat="1">
      <c r="A307" s="546"/>
      <c r="B307" s="544" t="s">
        <v>124</v>
      </c>
      <c r="C307" s="544"/>
      <c r="D307" s="544"/>
      <c r="E307" s="657">
        <v>5</v>
      </c>
      <c r="F307" s="1179" t="s">
        <v>445</v>
      </c>
      <c r="G307" s="546"/>
      <c r="H307" s="548"/>
      <c r="I307" s="548"/>
      <c r="J307" s="548"/>
      <c r="K307" s="548"/>
      <c r="L307" s="548"/>
      <c r="M307" s="548"/>
      <c r="N307" s="548"/>
      <c r="O307" s="548"/>
      <c r="P307" s="548"/>
      <c r="Q307" s="548"/>
      <c r="R307" s="548"/>
      <c r="S307" s="548"/>
      <c r="T307" s="548"/>
      <c r="U307" s="548"/>
      <c r="V307" s="548"/>
      <c r="W307" s="548"/>
      <c r="X307" s="548"/>
      <c r="Y307" s="548"/>
      <c r="Z307" s="548"/>
      <c r="AA307" s="548"/>
      <c r="AB307" s="548"/>
      <c r="AC307" s="548"/>
      <c r="AD307" s="548"/>
      <c r="AE307" s="548"/>
      <c r="AF307" s="548"/>
      <c r="AG307" s="548"/>
      <c r="AH307" s="548"/>
      <c r="AI307" s="548"/>
      <c r="AJ307" s="548"/>
      <c r="AK307" s="548"/>
      <c r="AL307" s="548"/>
      <c r="AM307" s="548"/>
      <c r="AN307" s="548"/>
      <c r="AO307" s="548"/>
      <c r="AP307" s="548"/>
      <c r="AQ307" s="548"/>
      <c r="AR307" s="548"/>
      <c r="AS307" s="548"/>
      <c r="AT307" s="548"/>
      <c r="AU307" s="548"/>
      <c r="AV307" s="548"/>
      <c r="AW307" s="548"/>
      <c r="AX307" s="548"/>
      <c r="AY307" s="548"/>
      <c r="AZ307" s="548"/>
      <c r="BA307" s="548"/>
      <c r="BB307" s="548"/>
      <c r="BC307" s="548"/>
      <c r="BD307" s="548"/>
      <c r="BE307" s="548"/>
      <c r="BF307" s="548"/>
      <c r="BG307" s="548"/>
      <c r="BH307" s="548"/>
      <c r="BI307" s="548"/>
      <c r="BJ307" s="548"/>
      <c r="BK307" s="548"/>
      <c r="BL307" s="548"/>
      <c r="BM307" s="548"/>
      <c r="BN307" s="548"/>
      <c r="BO307" s="548"/>
      <c r="BP307" s="548"/>
      <c r="BQ307" s="548"/>
      <c r="BR307" s="548"/>
      <c r="BS307" s="548"/>
      <c r="BT307" s="548"/>
      <c r="BU307" s="548"/>
      <c r="BV307" s="548"/>
      <c r="BW307" s="548"/>
      <c r="BX307" s="548"/>
      <c r="BY307" s="548"/>
      <c r="BZ307" s="548"/>
      <c r="CA307" s="548"/>
      <c r="CB307" s="548"/>
      <c r="CC307" s="548"/>
      <c r="CD307" s="548"/>
      <c r="CE307" s="548"/>
      <c r="CF307" s="548"/>
      <c r="CG307" s="548"/>
      <c r="CH307" s="548"/>
      <c r="CI307" s="548"/>
      <c r="CJ307" s="548"/>
      <c r="CK307" s="548"/>
      <c r="CL307" s="548"/>
      <c r="CM307" s="548"/>
      <c r="CN307" s="548"/>
      <c r="CO307" s="548"/>
      <c r="CP307" s="548"/>
      <c r="CQ307" s="548"/>
      <c r="CR307" s="548"/>
      <c r="CS307" s="548"/>
      <c r="CT307" s="548"/>
      <c r="CU307" s="548"/>
      <c r="CV307" s="548"/>
      <c r="CW307" s="548"/>
      <c r="CX307" s="548"/>
      <c r="CY307" s="548"/>
      <c r="CZ307" s="548"/>
      <c r="DA307" s="548"/>
      <c r="DB307" s="548"/>
      <c r="DC307" s="548"/>
      <c r="DD307" s="548"/>
      <c r="DE307" s="548"/>
      <c r="DF307" s="548"/>
      <c r="DG307" s="548"/>
      <c r="DH307" s="548"/>
      <c r="DI307" s="548"/>
      <c r="DJ307" s="548"/>
      <c r="DK307" s="548"/>
      <c r="DL307" s="548"/>
      <c r="DM307" s="548"/>
      <c r="DN307" s="548"/>
      <c r="DO307" s="548"/>
      <c r="DP307" s="548"/>
      <c r="DQ307" s="548"/>
      <c r="DR307" s="548"/>
      <c r="DS307" s="548"/>
      <c r="DT307" s="548"/>
      <c r="DU307" s="548"/>
      <c r="DV307" s="548"/>
      <c r="DW307" s="548"/>
      <c r="DX307" s="548"/>
      <c r="DY307" s="548"/>
      <c r="DZ307" s="548"/>
      <c r="EA307" s="548"/>
      <c r="EB307" s="548"/>
      <c r="EC307" s="548"/>
      <c r="ED307" s="548"/>
      <c r="EE307" s="548"/>
      <c r="EF307" s="548"/>
      <c r="EG307" s="548"/>
      <c r="EH307" s="548"/>
      <c r="EI307" s="548"/>
      <c r="EJ307" s="548"/>
      <c r="EK307" s="548"/>
      <c r="EL307" s="548"/>
    </row>
    <row r="308" spans="1:142" s="549" customFormat="1">
      <c r="A308" s="546"/>
      <c r="B308" s="544" t="s">
        <v>147</v>
      </c>
      <c r="C308" s="544"/>
      <c r="D308" s="544"/>
      <c r="E308" s="1181">
        <v>0.28000000000000003</v>
      </c>
      <c r="F308" s="1179" t="s">
        <v>445</v>
      </c>
      <c r="G308" s="544"/>
      <c r="H308" s="544"/>
      <c r="I308" s="544"/>
      <c r="J308" s="548"/>
      <c r="K308" s="548"/>
      <c r="L308" s="548"/>
      <c r="M308" s="548"/>
      <c r="N308" s="548"/>
      <c r="O308" s="548"/>
      <c r="P308" s="548"/>
      <c r="Q308" s="548"/>
      <c r="R308" s="548"/>
      <c r="S308" s="548"/>
      <c r="T308" s="548"/>
      <c r="U308" s="548"/>
      <c r="V308" s="548"/>
      <c r="W308" s="548"/>
      <c r="X308" s="548"/>
      <c r="Y308" s="548"/>
      <c r="Z308" s="548"/>
      <c r="AA308" s="548"/>
      <c r="AB308" s="548"/>
      <c r="AC308" s="548"/>
      <c r="AD308" s="548"/>
      <c r="AE308" s="548"/>
      <c r="AF308" s="548"/>
      <c r="AG308" s="548"/>
      <c r="AH308" s="548"/>
      <c r="AI308" s="548"/>
      <c r="AJ308" s="548"/>
      <c r="AK308" s="548"/>
      <c r="AL308" s="548"/>
      <c r="AM308" s="548"/>
      <c r="AN308" s="548"/>
      <c r="AO308" s="548"/>
      <c r="AP308" s="548"/>
      <c r="AQ308" s="548"/>
      <c r="AR308" s="548"/>
      <c r="AS308" s="548"/>
      <c r="AT308" s="548"/>
      <c r="AU308" s="548"/>
      <c r="AV308" s="548"/>
      <c r="AW308" s="548"/>
      <c r="AX308" s="548"/>
      <c r="AY308" s="548"/>
      <c r="AZ308" s="548"/>
      <c r="BA308" s="548"/>
      <c r="BB308" s="548"/>
      <c r="BC308" s="548"/>
      <c r="BD308" s="548"/>
      <c r="BE308" s="548"/>
      <c r="BF308" s="548"/>
      <c r="BG308" s="548"/>
      <c r="BH308" s="548"/>
      <c r="BI308" s="548"/>
      <c r="BJ308" s="548"/>
      <c r="BK308" s="548"/>
      <c r="BL308" s="548"/>
      <c r="BM308" s="548"/>
      <c r="BN308" s="548"/>
      <c r="BO308" s="548"/>
      <c r="BP308" s="548"/>
      <c r="BQ308" s="548"/>
      <c r="BR308" s="548"/>
      <c r="BS308" s="548"/>
      <c r="BT308" s="548"/>
      <c r="BU308" s="548"/>
      <c r="BV308" s="548"/>
      <c r="BW308" s="548"/>
      <c r="BX308" s="548"/>
      <c r="BY308" s="548"/>
      <c r="BZ308" s="548"/>
      <c r="CA308" s="548"/>
      <c r="CB308" s="548"/>
      <c r="CC308" s="548"/>
      <c r="CD308" s="548"/>
      <c r="CE308" s="548"/>
      <c r="CF308" s="548"/>
      <c r="CG308" s="548"/>
      <c r="CH308" s="548"/>
      <c r="CI308" s="548"/>
      <c r="CJ308" s="548"/>
      <c r="CK308" s="548"/>
      <c r="CL308" s="548"/>
      <c r="CM308" s="548"/>
      <c r="CN308" s="548"/>
      <c r="CO308" s="548"/>
      <c r="CP308" s="548"/>
      <c r="CQ308" s="548"/>
      <c r="CR308" s="548"/>
      <c r="CS308" s="548"/>
      <c r="CT308" s="548"/>
      <c r="CU308" s="548"/>
      <c r="CV308" s="548"/>
      <c r="CW308" s="548"/>
      <c r="CX308" s="548"/>
      <c r="CY308" s="548"/>
      <c r="CZ308" s="548"/>
      <c r="DA308" s="548"/>
      <c r="DB308" s="548"/>
      <c r="DC308" s="548"/>
      <c r="DD308" s="548"/>
      <c r="DE308" s="548"/>
      <c r="DF308" s="548"/>
      <c r="DG308" s="548"/>
      <c r="DH308" s="548"/>
      <c r="DI308" s="548"/>
      <c r="DJ308" s="548"/>
      <c r="DK308" s="548"/>
      <c r="DL308" s="548"/>
      <c r="DM308" s="548"/>
      <c r="DN308" s="548"/>
      <c r="DO308" s="548"/>
      <c r="DP308" s="548"/>
      <c r="DQ308" s="548"/>
      <c r="DR308" s="548"/>
      <c r="DS308" s="548"/>
      <c r="DT308" s="548"/>
      <c r="DU308" s="548"/>
      <c r="DV308" s="548"/>
      <c r="DW308" s="548"/>
      <c r="DX308" s="548"/>
      <c r="DY308" s="548"/>
      <c r="DZ308" s="548"/>
      <c r="EA308" s="548"/>
      <c r="EB308" s="548"/>
      <c r="EC308" s="548"/>
      <c r="ED308" s="548"/>
      <c r="EE308" s="548"/>
      <c r="EF308" s="548"/>
      <c r="EG308" s="548"/>
      <c r="EH308" s="548"/>
      <c r="EI308" s="548"/>
      <c r="EJ308" s="548"/>
      <c r="EK308" s="548"/>
      <c r="EL308" s="548"/>
    </row>
    <row r="309" spans="1:142" s="549" customFormat="1">
      <c r="A309" s="546"/>
      <c r="B309" s="544" t="s">
        <v>180</v>
      </c>
      <c r="C309" s="544"/>
      <c r="D309" s="544"/>
      <c r="E309" s="1182">
        <v>0.93</v>
      </c>
      <c r="F309" s="1179" t="s">
        <v>445</v>
      </c>
      <c r="G309" s="546"/>
      <c r="H309" s="548"/>
      <c r="I309" s="548"/>
      <c r="J309" s="548"/>
      <c r="K309" s="548"/>
      <c r="L309" s="548"/>
      <c r="M309" s="548"/>
      <c r="N309" s="548"/>
      <c r="O309" s="548"/>
      <c r="P309" s="548"/>
      <c r="Q309" s="548"/>
      <c r="R309" s="548"/>
      <c r="S309" s="548"/>
      <c r="T309" s="548"/>
      <c r="U309" s="548"/>
      <c r="V309" s="548"/>
      <c r="W309" s="548"/>
      <c r="X309" s="548"/>
      <c r="Y309" s="548"/>
      <c r="Z309" s="548"/>
      <c r="AA309" s="548"/>
      <c r="AB309" s="548"/>
      <c r="AC309" s="548"/>
      <c r="AD309" s="548"/>
      <c r="AE309" s="548"/>
      <c r="AF309" s="548"/>
      <c r="AG309" s="548"/>
      <c r="AH309" s="548"/>
      <c r="AI309" s="548"/>
      <c r="AJ309" s="548"/>
      <c r="AK309" s="548"/>
      <c r="AL309" s="548"/>
      <c r="AM309" s="548"/>
      <c r="AN309" s="548"/>
      <c r="AO309" s="548"/>
      <c r="AP309" s="548"/>
      <c r="AQ309" s="548"/>
      <c r="AR309" s="548"/>
      <c r="AS309" s="548"/>
      <c r="AT309" s="548"/>
      <c r="AU309" s="548"/>
      <c r="AV309" s="548"/>
      <c r="AW309" s="548"/>
      <c r="AX309" s="548"/>
      <c r="AY309" s="548"/>
      <c r="AZ309" s="548"/>
      <c r="BA309" s="548"/>
      <c r="BB309" s="548"/>
      <c r="BC309" s="548"/>
      <c r="BD309" s="548"/>
      <c r="BE309" s="548"/>
      <c r="BF309" s="548"/>
      <c r="BG309" s="548"/>
      <c r="BH309" s="548"/>
      <c r="BI309" s="548"/>
      <c r="BJ309" s="548"/>
      <c r="BK309" s="548"/>
      <c r="BL309" s="548"/>
      <c r="BM309" s="548"/>
      <c r="BN309" s="548"/>
      <c r="BO309" s="548"/>
      <c r="BP309" s="548"/>
      <c r="BQ309" s="548"/>
      <c r="BR309" s="548"/>
      <c r="BS309" s="548"/>
      <c r="BT309" s="548"/>
      <c r="BU309" s="548"/>
      <c r="BV309" s="548"/>
      <c r="BW309" s="548"/>
      <c r="BX309" s="548"/>
      <c r="BY309" s="548"/>
      <c r="BZ309" s="548"/>
      <c r="CA309" s="548"/>
      <c r="CB309" s="548"/>
      <c r="CC309" s="548"/>
      <c r="CD309" s="548"/>
      <c r="CE309" s="548"/>
      <c r="CF309" s="548"/>
      <c r="CG309" s="548"/>
      <c r="CH309" s="548"/>
      <c r="CI309" s="548"/>
      <c r="CJ309" s="548"/>
      <c r="CK309" s="548"/>
      <c r="CL309" s="548"/>
      <c r="CM309" s="548"/>
      <c r="CN309" s="548"/>
      <c r="CO309" s="548"/>
      <c r="CP309" s="548"/>
      <c r="CQ309" s="548"/>
      <c r="CR309" s="548"/>
      <c r="CS309" s="548"/>
      <c r="CT309" s="548"/>
      <c r="CU309" s="548"/>
      <c r="CV309" s="548"/>
      <c r="CW309" s="548"/>
      <c r="CX309" s="548"/>
      <c r="CY309" s="548"/>
      <c r="CZ309" s="548"/>
      <c r="DA309" s="548"/>
      <c r="DB309" s="548"/>
      <c r="DC309" s="548"/>
      <c r="DD309" s="548"/>
      <c r="DE309" s="548"/>
      <c r="DF309" s="548"/>
      <c r="DG309" s="548"/>
      <c r="DH309" s="548"/>
      <c r="DI309" s="548"/>
      <c r="DJ309" s="548"/>
      <c r="DK309" s="548"/>
      <c r="DL309" s="548"/>
      <c r="DM309" s="548"/>
      <c r="DN309" s="548"/>
      <c r="DO309" s="548"/>
      <c r="DP309" s="548"/>
      <c r="DQ309" s="548"/>
      <c r="DR309" s="548"/>
      <c r="DS309" s="548"/>
      <c r="DT309" s="548"/>
      <c r="DU309" s="548"/>
      <c r="DV309" s="548"/>
      <c r="DW309" s="548"/>
      <c r="DX309" s="548"/>
      <c r="DY309" s="548"/>
      <c r="DZ309" s="548"/>
      <c r="EA309" s="548"/>
      <c r="EB309" s="548"/>
      <c r="EC309" s="548"/>
      <c r="ED309" s="548"/>
      <c r="EE309" s="548"/>
      <c r="EF309" s="548"/>
      <c r="EG309" s="548"/>
      <c r="EH309" s="548"/>
      <c r="EI309" s="548"/>
      <c r="EJ309" s="548"/>
      <c r="EK309" s="548"/>
      <c r="EL309" s="548"/>
    </row>
    <row r="310" spans="1:142" s="549" customFormat="1">
      <c r="A310" s="546"/>
      <c r="B310" s="544" t="s">
        <v>181</v>
      </c>
      <c r="C310" s="544"/>
      <c r="D310" s="544"/>
      <c r="E310" s="1182">
        <v>0.93</v>
      </c>
      <c r="F310" s="1179" t="s">
        <v>445</v>
      </c>
      <c r="G310" s="546"/>
      <c r="H310" s="548"/>
      <c r="I310" s="548"/>
      <c r="J310" s="548"/>
      <c r="K310" s="548"/>
      <c r="L310" s="548"/>
      <c r="M310" s="548"/>
      <c r="N310" s="548"/>
      <c r="O310" s="548"/>
      <c r="P310" s="548"/>
      <c r="Q310" s="548"/>
      <c r="R310" s="548"/>
      <c r="S310" s="548"/>
      <c r="T310" s="548"/>
      <c r="U310" s="548"/>
      <c r="V310" s="548"/>
      <c r="W310" s="548"/>
      <c r="X310" s="548"/>
      <c r="Y310" s="548"/>
      <c r="Z310" s="548"/>
      <c r="AA310" s="548"/>
      <c r="AB310" s="548"/>
      <c r="AC310" s="548"/>
      <c r="AD310" s="548"/>
      <c r="AE310" s="548"/>
      <c r="AF310" s="548"/>
      <c r="AG310" s="548"/>
      <c r="AH310" s="548"/>
      <c r="AI310" s="548"/>
      <c r="AJ310" s="548"/>
      <c r="AK310" s="548"/>
      <c r="AL310" s="548"/>
      <c r="AM310" s="548"/>
      <c r="AN310" s="548"/>
      <c r="AO310" s="548"/>
      <c r="AP310" s="548"/>
      <c r="AQ310" s="548"/>
      <c r="AR310" s="548"/>
      <c r="AS310" s="548"/>
      <c r="AT310" s="548"/>
      <c r="AU310" s="548"/>
      <c r="AV310" s="548"/>
      <c r="AW310" s="548"/>
      <c r="AX310" s="548"/>
      <c r="AY310" s="548"/>
      <c r="AZ310" s="548"/>
      <c r="BA310" s="548"/>
      <c r="BB310" s="548"/>
      <c r="BC310" s="548"/>
      <c r="BD310" s="548"/>
      <c r="BE310" s="548"/>
      <c r="BF310" s="548"/>
      <c r="BG310" s="548"/>
      <c r="BH310" s="548"/>
      <c r="BI310" s="548"/>
      <c r="BJ310" s="548"/>
      <c r="BK310" s="548"/>
      <c r="BL310" s="548"/>
      <c r="BM310" s="548"/>
      <c r="BN310" s="548"/>
      <c r="BO310" s="548"/>
      <c r="BP310" s="548"/>
      <c r="BQ310" s="548"/>
      <c r="BR310" s="548"/>
      <c r="BS310" s="548"/>
      <c r="BT310" s="548"/>
      <c r="BU310" s="548"/>
      <c r="BV310" s="548"/>
      <c r="BW310" s="548"/>
      <c r="BX310" s="548"/>
      <c r="BY310" s="548"/>
      <c r="BZ310" s="548"/>
      <c r="CA310" s="548"/>
      <c r="CB310" s="548"/>
      <c r="CC310" s="548"/>
      <c r="CD310" s="548"/>
      <c r="CE310" s="548"/>
      <c r="CF310" s="548"/>
      <c r="CG310" s="548"/>
      <c r="CH310" s="548"/>
      <c r="CI310" s="548"/>
      <c r="CJ310" s="548"/>
      <c r="CK310" s="548"/>
      <c r="CL310" s="548"/>
      <c r="CM310" s="548"/>
      <c r="CN310" s="548"/>
      <c r="CO310" s="548"/>
      <c r="CP310" s="548"/>
      <c r="CQ310" s="548"/>
      <c r="CR310" s="548"/>
      <c r="CS310" s="548"/>
      <c r="CT310" s="548"/>
      <c r="CU310" s="548"/>
      <c r="CV310" s="548"/>
      <c r="CW310" s="548"/>
      <c r="CX310" s="548"/>
      <c r="CY310" s="548"/>
      <c r="CZ310" s="548"/>
      <c r="DA310" s="548"/>
      <c r="DB310" s="548"/>
      <c r="DC310" s="548"/>
      <c r="DD310" s="548"/>
      <c r="DE310" s="548"/>
      <c r="DF310" s="548"/>
      <c r="DG310" s="548"/>
      <c r="DH310" s="548"/>
      <c r="DI310" s="548"/>
      <c r="DJ310" s="548"/>
      <c r="DK310" s="548"/>
      <c r="DL310" s="548"/>
      <c r="DM310" s="548"/>
      <c r="DN310" s="548"/>
      <c r="DO310" s="548"/>
      <c r="DP310" s="548"/>
      <c r="DQ310" s="548"/>
      <c r="DR310" s="548"/>
      <c r="DS310" s="548"/>
      <c r="DT310" s="548"/>
      <c r="DU310" s="548"/>
      <c r="DV310" s="548"/>
      <c r="DW310" s="548"/>
      <c r="DX310" s="548"/>
      <c r="DY310" s="548"/>
      <c r="DZ310" s="548"/>
      <c r="EA310" s="548"/>
      <c r="EB310" s="548"/>
      <c r="EC310" s="548"/>
      <c r="ED310" s="548"/>
      <c r="EE310" s="548"/>
      <c r="EF310" s="548"/>
      <c r="EG310" s="548"/>
      <c r="EH310" s="548"/>
      <c r="EI310" s="548"/>
      <c r="EJ310" s="548"/>
      <c r="EK310" s="548"/>
      <c r="EL310" s="548"/>
    </row>
    <row r="311" spans="1:142" s="78" customFormat="1">
      <c r="A311" s="89"/>
      <c r="B311" s="79"/>
      <c r="C311" s="79"/>
      <c r="D311" s="79"/>
      <c r="F311" s="79"/>
      <c r="G311" s="89"/>
      <c r="H311" s="77"/>
      <c r="I311" s="77"/>
      <c r="J311" s="77"/>
      <c r="K311" s="77"/>
      <c r="L311" s="77"/>
      <c r="M311" s="77"/>
      <c r="N311" s="77"/>
      <c r="O311" s="77"/>
      <c r="P311" s="77"/>
      <c r="Q311" s="77"/>
      <c r="R311" s="77"/>
      <c r="S311" s="77"/>
      <c r="T311" s="77"/>
      <c r="U311" s="77"/>
      <c r="V311" s="77"/>
      <c r="W311" s="77"/>
      <c r="X311" s="77"/>
      <c r="Y311" s="77"/>
      <c r="Z311" s="77"/>
      <c r="AA311" s="77"/>
      <c r="AB311" s="77"/>
      <c r="AC311" s="77"/>
      <c r="AD311" s="77"/>
      <c r="AE311" s="77"/>
      <c r="AF311" s="77"/>
      <c r="AG311" s="77"/>
      <c r="AH311" s="77"/>
      <c r="AI311" s="77"/>
      <c r="AJ311" s="77"/>
      <c r="AK311" s="77"/>
      <c r="AL311" s="77"/>
      <c r="AM311" s="77"/>
      <c r="AN311" s="77"/>
      <c r="AO311" s="77"/>
      <c r="AP311" s="77"/>
      <c r="AQ311" s="77"/>
      <c r="AR311" s="77"/>
      <c r="AS311" s="77"/>
      <c r="AT311" s="77"/>
      <c r="AU311" s="77"/>
      <c r="AV311" s="77"/>
      <c r="AW311" s="77"/>
      <c r="AX311" s="77"/>
      <c r="AY311" s="77"/>
      <c r="AZ311" s="77"/>
      <c r="BA311" s="77"/>
      <c r="BB311" s="77"/>
      <c r="BC311" s="77"/>
      <c r="BD311" s="77"/>
      <c r="BE311" s="77"/>
      <c r="BF311" s="77"/>
      <c r="BG311" s="77"/>
      <c r="BH311" s="77"/>
      <c r="BI311" s="77"/>
      <c r="BJ311" s="77"/>
      <c r="BK311" s="77"/>
      <c r="BL311" s="77"/>
      <c r="BM311" s="77"/>
      <c r="BN311" s="77"/>
      <c r="BO311" s="77"/>
      <c r="BP311" s="77"/>
      <c r="BQ311" s="77"/>
      <c r="BR311" s="77"/>
      <c r="BS311" s="77"/>
      <c r="BT311" s="77"/>
      <c r="BU311" s="77"/>
      <c r="BV311" s="77"/>
      <c r="BW311" s="77"/>
      <c r="BX311" s="77"/>
      <c r="BY311" s="77"/>
      <c r="BZ311" s="77"/>
      <c r="CA311" s="77"/>
      <c r="CB311" s="77"/>
      <c r="CC311" s="77"/>
      <c r="CD311" s="77"/>
      <c r="CE311" s="77"/>
      <c r="CF311" s="77"/>
      <c r="CG311" s="77"/>
      <c r="CH311" s="77"/>
      <c r="CI311" s="77"/>
      <c r="CJ311" s="77"/>
      <c r="CK311" s="77"/>
      <c r="CL311" s="77"/>
      <c r="CM311" s="77"/>
      <c r="CN311" s="77"/>
      <c r="CO311" s="77"/>
      <c r="CP311" s="77"/>
      <c r="CQ311" s="77"/>
      <c r="CR311" s="77"/>
      <c r="CS311" s="77"/>
      <c r="CT311" s="77"/>
      <c r="CU311" s="77"/>
      <c r="CV311" s="77"/>
      <c r="CW311" s="77"/>
      <c r="CX311" s="77"/>
      <c r="CY311" s="77"/>
      <c r="CZ311" s="77"/>
      <c r="DA311" s="77"/>
      <c r="DB311" s="77"/>
      <c r="DC311" s="77"/>
      <c r="DD311" s="77"/>
      <c r="DE311" s="77"/>
      <c r="DF311" s="77"/>
      <c r="DG311" s="77"/>
      <c r="DH311" s="77"/>
      <c r="DI311" s="77"/>
      <c r="DJ311" s="77"/>
      <c r="DK311" s="77"/>
      <c r="DL311" s="77"/>
      <c r="DM311" s="77"/>
      <c r="DN311" s="77"/>
      <c r="DO311" s="77"/>
      <c r="DP311" s="77"/>
      <c r="DQ311" s="77"/>
      <c r="DR311" s="77"/>
      <c r="DS311" s="77"/>
      <c r="DT311" s="77"/>
      <c r="DU311" s="77"/>
      <c r="DV311" s="77"/>
      <c r="DW311" s="77"/>
      <c r="DX311" s="77"/>
      <c r="DY311" s="77"/>
      <c r="DZ311" s="77"/>
      <c r="EA311" s="77"/>
      <c r="EB311" s="77"/>
      <c r="EC311" s="77"/>
      <c r="ED311" s="77"/>
      <c r="EE311" s="77"/>
      <c r="EF311" s="77"/>
      <c r="EG311" s="77"/>
      <c r="EH311" s="77"/>
      <c r="EI311" s="77"/>
      <c r="EJ311" s="77"/>
      <c r="EK311" s="77"/>
      <c r="EL311" s="77"/>
    </row>
    <row r="312" spans="1:142" s="78" customFormat="1">
      <c r="A312" s="89"/>
      <c r="B312" s="79"/>
      <c r="C312" s="79"/>
      <c r="D312" s="79"/>
      <c r="E312" s="79"/>
      <c r="F312" s="79"/>
      <c r="G312" s="79"/>
      <c r="H312" s="79"/>
      <c r="I312" s="79"/>
      <c r="J312" s="79"/>
      <c r="K312" s="79"/>
      <c r="L312" s="79"/>
      <c r="M312" s="79"/>
      <c r="N312" s="79"/>
      <c r="O312" s="79"/>
      <c r="P312" s="79"/>
      <c r="Q312" s="79"/>
      <c r="R312" s="79"/>
      <c r="S312" s="79"/>
      <c r="T312" s="79"/>
      <c r="U312" s="79"/>
      <c r="V312" s="79"/>
      <c r="W312" s="79"/>
      <c r="X312" s="79"/>
      <c r="Y312" s="79"/>
      <c r="Z312" s="77"/>
      <c r="AA312" s="77"/>
      <c r="AB312" s="77"/>
      <c r="AC312" s="77"/>
      <c r="AD312" s="77"/>
      <c r="AE312" s="77"/>
      <c r="AF312" s="77"/>
      <c r="AG312" s="77"/>
      <c r="AH312" s="77"/>
      <c r="AI312" s="77"/>
      <c r="AJ312" s="77"/>
      <c r="AK312" s="77"/>
      <c r="AL312" s="77"/>
      <c r="AM312" s="77"/>
      <c r="AN312" s="77"/>
      <c r="AO312" s="77"/>
      <c r="AP312" s="77"/>
      <c r="AQ312" s="77"/>
      <c r="AR312" s="77"/>
      <c r="AS312" s="77"/>
      <c r="AT312" s="77"/>
      <c r="AU312" s="77"/>
      <c r="AV312" s="77"/>
      <c r="AW312" s="77"/>
      <c r="AX312" s="77"/>
      <c r="AY312" s="77"/>
      <c r="AZ312" s="77"/>
      <c r="BA312" s="77"/>
      <c r="BB312" s="77"/>
      <c r="BC312" s="77"/>
      <c r="BD312" s="77"/>
      <c r="BE312" s="77"/>
      <c r="BF312" s="77"/>
      <c r="BG312" s="77"/>
      <c r="BH312" s="77"/>
      <c r="BI312" s="77"/>
      <c r="BJ312" s="77"/>
      <c r="BK312" s="77"/>
      <c r="BL312" s="77"/>
      <c r="BM312" s="77"/>
      <c r="BN312" s="77"/>
      <c r="BO312" s="77"/>
      <c r="BP312" s="77"/>
      <c r="BQ312" s="77"/>
      <c r="BR312" s="77"/>
      <c r="BS312" s="77"/>
      <c r="BT312" s="77"/>
      <c r="BU312" s="77"/>
      <c r="BV312" s="77"/>
      <c r="BW312" s="77"/>
      <c r="BX312" s="77"/>
      <c r="BY312" s="77"/>
      <c r="BZ312" s="77"/>
      <c r="CA312" s="77"/>
      <c r="CB312" s="77"/>
      <c r="CC312" s="77"/>
      <c r="CD312" s="77"/>
      <c r="CE312" s="77"/>
      <c r="CF312" s="77"/>
      <c r="CG312" s="77"/>
      <c r="CH312" s="77"/>
      <c r="CI312" s="77"/>
      <c r="CJ312" s="77"/>
      <c r="CK312" s="77"/>
      <c r="CL312" s="77"/>
      <c r="CM312" s="77"/>
      <c r="CN312" s="77"/>
      <c r="CO312" s="77"/>
      <c r="CP312" s="77"/>
      <c r="CQ312" s="77"/>
      <c r="CR312" s="77"/>
      <c r="CS312" s="77"/>
      <c r="CT312" s="77"/>
      <c r="CU312" s="77"/>
      <c r="CV312" s="77"/>
      <c r="CW312" s="77"/>
      <c r="CX312" s="77"/>
      <c r="CY312" s="77"/>
      <c r="CZ312" s="77"/>
      <c r="DA312" s="77"/>
      <c r="DB312" s="77"/>
      <c r="DC312" s="77"/>
      <c r="DD312" s="77"/>
      <c r="DE312" s="77"/>
      <c r="DF312" s="77"/>
      <c r="DG312" s="77"/>
      <c r="DH312" s="77"/>
      <c r="DI312" s="77"/>
      <c r="DJ312" s="77"/>
      <c r="DK312" s="77"/>
      <c r="DL312" s="77"/>
      <c r="DM312" s="77"/>
      <c r="DN312" s="77"/>
      <c r="DO312" s="77"/>
      <c r="DP312" s="77"/>
      <c r="DQ312" s="77"/>
      <c r="DR312" s="77"/>
      <c r="DS312" s="77"/>
      <c r="DT312" s="77"/>
      <c r="DU312" s="77"/>
      <c r="DV312" s="77"/>
      <c r="DW312" s="77"/>
      <c r="DX312" s="77"/>
      <c r="DY312" s="77"/>
      <c r="DZ312" s="77"/>
      <c r="EA312" s="77"/>
      <c r="EB312" s="77"/>
      <c r="EC312" s="77"/>
      <c r="ED312" s="77"/>
      <c r="EE312" s="77"/>
      <c r="EF312" s="77"/>
      <c r="EG312" s="77"/>
      <c r="EH312" s="77"/>
      <c r="EI312" s="77"/>
      <c r="EJ312" s="77"/>
      <c r="EK312" s="77"/>
      <c r="EL312" s="77"/>
    </row>
    <row r="313" spans="1:142" s="78" customFormat="1">
      <c r="A313" s="89"/>
      <c r="B313" s="79"/>
      <c r="C313" s="79"/>
      <c r="D313" s="79"/>
      <c r="E313" s="77"/>
      <c r="F313" s="89"/>
      <c r="G313" s="89"/>
      <c r="H313" s="77"/>
      <c r="I313" s="77"/>
      <c r="J313" s="77"/>
      <c r="K313" s="77"/>
      <c r="L313" s="77"/>
      <c r="M313" s="77"/>
      <c r="N313" s="77"/>
      <c r="O313" s="77"/>
      <c r="P313" s="77"/>
      <c r="Q313" s="77"/>
      <c r="R313" s="77"/>
      <c r="S313" s="77"/>
      <c r="T313" s="77"/>
      <c r="U313" s="77"/>
      <c r="V313" s="77"/>
      <c r="W313" s="77"/>
      <c r="X313" s="77"/>
      <c r="Y313" s="77"/>
      <c r="Z313" s="77"/>
      <c r="AA313" s="77"/>
      <c r="AB313" s="77"/>
      <c r="AC313" s="77"/>
      <c r="AD313" s="77"/>
      <c r="AE313" s="77"/>
      <c r="AF313" s="77"/>
      <c r="AG313" s="77"/>
      <c r="AH313" s="77"/>
      <c r="AI313" s="77"/>
      <c r="AJ313" s="77"/>
      <c r="AK313" s="77"/>
      <c r="AL313" s="77"/>
      <c r="AM313" s="77"/>
      <c r="AN313" s="77"/>
      <c r="AO313" s="77"/>
      <c r="AP313" s="77"/>
      <c r="AQ313" s="77"/>
      <c r="AR313" s="77"/>
      <c r="AS313" s="77"/>
      <c r="AT313" s="77"/>
      <c r="AU313" s="77"/>
      <c r="AV313" s="77"/>
      <c r="AW313" s="77"/>
      <c r="AX313" s="77"/>
      <c r="AY313" s="77"/>
      <c r="AZ313" s="77"/>
      <c r="BA313" s="77"/>
      <c r="BB313" s="77"/>
      <c r="BC313" s="77"/>
      <c r="BD313" s="77"/>
      <c r="BE313" s="77"/>
      <c r="BF313" s="77"/>
      <c r="BG313" s="77"/>
      <c r="BH313" s="77"/>
      <c r="BI313" s="77"/>
      <c r="BJ313" s="77"/>
      <c r="BK313" s="77"/>
      <c r="BL313" s="77"/>
      <c r="BM313" s="77"/>
      <c r="BN313" s="77"/>
      <c r="BO313" s="77"/>
      <c r="BP313" s="77"/>
      <c r="BQ313" s="77"/>
      <c r="BR313" s="77"/>
      <c r="BS313" s="77"/>
      <c r="BT313" s="77"/>
      <c r="BU313" s="77"/>
      <c r="BV313" s="77"/>
      <c r="BW313" s="77"/>
      <c r="BX313" s="77"/>
      <c r="BY313" s="77"/>
      <c r="BZ313" s="77"/>
      <c r="CA313" s="77"/>
      <c r="CB313" s="77"/>
      <c r="CC313" s="77"/>
      <c r="CD313" s="77"/>
      <c r="CE313" s="77"/>
      <c r="CF313" s="77"/>
      <c r="CG313" s="77"/>
      <c r="CH313" s="77"/>
      <c r="CI313" s="77"/>
      <c r="CJ313" s="77"/>
      <c r="CK313" s="77"/>
      <c r="CL313" s="77"/>
      <c r="CM313" s="77"/>
      <c r="CN313" s="77"/>
      <c r="CO313" s="77"/>
      <c r="CP313" s="77"/>
      <c r="CQ313" s="77"/>
      <c r="CR313" s="77"/>
      <c r="CS313" s="77"/>
      <c r="CT313" s="77"/>
      <c r="CU313" s="77"/>
      <c r="CV313" s="77"/>
      <c r="CW313" s="77"/>
      <c r="CX313" s="77"/>
      <c r="CY313" s="77"/>
      <c r="CZ313" s="77"/>
      <c r="DA313" s="77"/>
      <c r="DB313" s="77"/>
      <c r="DC313" s="77"/>
      <c r="DD313" s="77"/>
      <c r="DE313" s="77"/>
      <c r="DF313" s="77"/>
      <c r="DG313" s="77"/>
      <c r="DH313" s="77"/>
      <c r="DI313" s="77"/>
      <c r="DJ313" s="77"/>
      <c r="DK313" s="77"/>
      <c r="DL313" s="77"/>
      <c r="DM313" s="77"/>
      <c r="DN313" s="77"/>
      <c r="DO313" s="77"/>
      <c r="DP313" s="77"/>
      <c r="DQ313" s="77"/>
      <c r="DR313" s="77"/>
      <c r="DS313" s="77"/>
      <c r="DT313" s="77"/>
      <c r="DU313" s="77"/>
      <c r="DV313" s="77"/>
      <c r="DW313" s="77"/>
      <c r="DX313" s="77"/>
      <c r="DY313" s="77"/>
      <c r="DZ313" s="77"/>
      <c r="EA313" s="77"/>
      <c r="EB313" s="77"/>
      <c r="EC313" s="77"/>
      <c r="ED313" s="77"/>
      <c r="EE313" s="77"/>
      <c r="EF313" s="77"/>
      <c r="EG313" s="77"/>
      <c r="EH313" s="77"/>
      <c r="EI313" s="77"/>
      <c r="EJ313" s="77"/>
      <c r="EK313" s="77"/>
      <c r="EL313" s="77"/>
    </row>
    <row r="314" spans="1:142" s="78" customFormat="1">
      <c r="B314" s="362" t="s">
        <v>125</v>
      </c>
      <c r="C314" s="66"/>
      <c r="D314" s="79"/>
      <c r="F314" s="79"/>
      <c r="G314" s="89"/>
      <c r="H314" s="77"/>
      <c r="I314" s="77"/>
      <c r="J314" s="77"/>
      <c r="K314" s="77"/>
      <c r="L314" s="77"/>
      <c r="M314" s="77"/>
      <c r="N314" s="77"/>
      <c r="O314" s="77"/>
      <c r="P314" s="77"/>
      <c r="Q314" s="77"/>
      <c r="R314" s="77"/>
      <c r="S314" s="77"/>
      <c r="T314" s="77"/>
      <c r="U314" s="77"/>
      <c r="V314" s="77"/>
      <c r="W314" s="77"/>
      <c r="X314" s="77"/>
      <c r="Y314" s="77"/>
      <c r="Z314" s="77"/>
      <c r="AA314" s="77"/>
      <c r="AB314" s="77"/>
      <c r="AC314" s="77"/>
      <c r="AD314" s="77"/>
      <c r="AE314" s="77"/>
      <c r="AF314" s="77"/>
      <c r="AG314" s="77"/>
      <c r="AH314" s="77"/>
      <c r="AI314" s="77"/>
      <c r="AJ314" s="77"/>
      <c r="AK314" s="77"/>
      <c r="AL314" s="77"/>
      <c r="AM314" s="77"/>
      <c r="AN314" s="77"/>
      <c r="AO314" s="77"/>
      <c r="AP314" s="77"/>
      <c r="AQ314" s="77"/>
      <c r="AR314" s="77"/>
      <c r="AS314" s="77"/>
      <c r="AT314" s="77"/>
      <c r="AU314" s="77"/>
      <c r="AV314" s="77"/>
      <c r="AW314" s="77"/>
      <c r="AX314" s="77"/>
      <c r="AY314" s="77"/>
      <c r="AZ314" s="77"/>
      <c r="BA314" s="77"/>
      <c r="BB314" s="77"/>
      <c r="BC314" s="77"/>
      <c r="BD314" s="77"/>
      <c r="BE314" s="77"/>
      <c r="BF314" s="77"/>
      <c r="BG314" s="77"/>
      <c r="BH314" s="77"/>
      <c r="BI314" s="77"/>
      <c r="BJ314" s="77"/>
      <c r="BK314" s="77"/>
      <c r="BL314" s="77"/>
      <c r="BM314" s="77"/>
      <c r="BN314" s="77"/>
      <c r="BO314" s="77"/>
      <c r="BP314" s="77"/>
      <c r="BQ314" s="77"/>
      <c r="BR314" s="77"/>
      <c r="BS314" s="77"/>
      <c r="BT314" s="77"/>
      <c r="BU314" s="77"/>
      <c r="BV314" s="77"/>
      <c r="BW314" s="77"/>
      <c r="BX314" s="77"/>
      <c r="BY314" s="77"/>
      <c r="BZ314" s="77"/>
      <c r="CA314" s="77"/>
      <c r="CB314" s="77"/>
      <c r="CC314" s="77"/>
      <c r="CD314" s="77"/>
      <c r="CE314" s="77"/>
      <c r="CF314" s="77"/>
      <c r="CG314" s="77"/>
      <c r="CH314" s="77"/>
      <c r="CI314" s="77"/>
      <c r="CJ314" s="77"/>
      <c r="CK314" s="77"/>
      <c r="CL314" s="77"/>
      <c r="CM314" s="77"/>
      <c r="CN314" s="77"/>
      <c r="CO314" s="77"/>
      <c r="CP314" s="77"/>
      <c r="CQ314" s="77"/>
      <c r="CR314" s="77"/>
      <c r="CS314" s="77"/>
      <c r="CT314" s="77"/>
      <c r="CU314" s="77"/>
      <c r="CV314" s="77"/>
      <c r="CW314" s="77"/>
      <c r="CX314" s="77"/>
      <c r="CY314" s="77"/>
      <c r="CZ314" s="77"/>
      <c r="DA314" s="77"/>
      <c r="DB314" s="77"/>
      <c r="DC314" s="77"/>
      <c r="DD314" s="77"/>
      <c r="DE314" s="77"/>
      <c r="DF314" s="77"/>
      <c r="DG314" s="77"/>
      <c r="DH314" s="77"/>
      <c r="DI314" s="77"/>
      <c r="DJ314" s="77"/>
      <c r="DK314" s="77"/>
      <c r="DL314" s="77"/>
      <c r="DM314" s="77"/>
      <c r="DN314" s="77"/>
      <c r="DO314" s="77"/>
      <c r="DP314" s="77"/>
      <c r="DQ314" s="77"/>
      <c r="DR314" s="77"/>
      <c r="DS314" s="77"/>
      <c r="DT314" s="77"/>
      <c r="DU314" s="77"/>
      <c r="DV314" s="77"/>
      <c r="DW314" s="77"/>
      <c r="DX314" s="77"/>
      <c r="DY314" s="77"/>
      <c r="DZ314" s="77"/>
      <c r="EA314" s="77"/>
      <c r="EB314" s="77"/>
      <c r="EC314" s="77"/>
      <c r="ED314" s="77"/>
      <c r="EE314" s="77"/>
      <c r="EF314" s="77"/>
      <c r="EG314" s="77"/>
      <c r="EH314" s="77"/>
      <c r="EI314" s="77"/>
      <c r="EJ314" s="77"/>
      <c r="EK314" s="77"/>
      <c r="EL314" s="77"/>
    </row>
    <row r="315" spans="1:142" s="78" customFormat="1">
      <c r="B315" s="77"/>
      <c r="C315" s="77"/>
      <c r="D315" s="79"/>
      <c r="E315" s="77"/>
      <c r="F315" s="79"/>
      <c r="G315" s="89"/>
      <c r="H315" s="77"/>
      <c r="I315" s="77"/>
      <c r="J315" s="77"/>
      <c r="K315" s="77"/>
      <c r="L315" s="77"/>
      <c r="M315" s="77"/>
      <c r="N315" s="77"/>
      <c r="O315" s="77"/>
      <c r="P315" s="77"/>
      <c r="Q315" s="77"/>
      <c r="R315" s="77"/>
      <c r="S315" s="77"/>
      <c r="T315" s="77"/>
      <c r="U315" s="77"/>
      <c r="V315" s="77"/>
      <c r="W315" s="77"/>
      <c r="X315" s="77"/>
      <c r="Y315" s="77"/>
      <c r="Z315" s="77"/>
      <c r="AA315" s="77"/>
      <c r="AB315" s="77"/>
      <c r="AC315" s="77"/>
      <c r="AD315" s="77"/>
      <c r="AE315" s="77"/>
      <c r="AF315" s="77"/>
      <c r="AG315" s="77"/>
      <c r="AH315" s="77"/>
      <c r="AI315" s="77"/>
      <c r="AJ315" s="77"/>
      <c r="AK315" s="77"/>
      <c r="AL315" s="77"/>
      <c r="AM315" s="77"/>
      <c r="AN315" s="77"/>
      <c r="AO315" s="77"/>
      <c r="AP315" s="77"/>
      <c r="AQ315" s="77"/>
      <c r="AR315" s="77"/>
      <c r="AS315" s="77"/>
      <c r="AT315" s="77"/>
      <c r="AU315" s="77"/>
      <c r="AV315" s="77"/>
      <c r="AW315" s="77"/>
      <c r="AX315" s="77"/>
      <c r="AY315" s="77"/>
      <c r="AZ315" s="77"/>
      <c r="BA315" s="77"/>
      <c r="BB315" s="77"/>
      <c r="BC315" s="77"/>
      <c r="BD315" s="77"/>
      <c r="BE315" s="77"/>
      <c r="BF315" s="77"/>
      <c r="BG315" s="77"/>
      <c r="BH315" s="77"/>
      <c r="BI315" s="77"/>
      <c r="BJ315" s="77"/>
      <c r="BK315" s="77"/>
      <c r="BL315" s="77"/>
      <c r="BM315" s="77"/>
      <c r="BN315" s="77"/>
      <c r="BO315" s="77"/>
      <c r="BP315" s="77"/>
      <c r="BQ315" s="77"/>
      <c r="BR315" s="77"/>
      <c r="BS315" s="77"/>
      <c r="BT315" s="77"/>
      <c r="BU315" s="77"/>
      <c r="BV315" s="77"/>
      <c r="BW315" s="77"/>
      <c r="BX315" s="77"/>
      <c r="BY315" s="77"/>
      <c r="BZ315" s="77"/>
      <c r="CA315" s="77"/>
      <c r="CB315" s="77"/>
      <c r="CC315" s="77"/>
      <c r="CD315" s="77"/>
      <c r="CE315" s="77"/>
      <c r="CF315" s="77"/>
      <c r="CG315" s="77"/>
      <c r="CH315" s="77"/>
      <c r="CI315" s="77"/>
      <c r="CJ315" s="77"/>
      <c r="CK315" s="77"/>
      <c r="CL315" s="77"/>
      <c r="CM315" s="77"/>
      <c r="CN315" s="77"/>
      <c r="CO315" s="77"/>
      <c r="CP315" s="77"/>
      <c r="CQ315" s="77"/>
      <c r="CR315" s="77"/>
      <c r="CS315" s="77"/>
      <c r="CT315" s="77"/>
      <c r="CU315" s="77"/>
      <c r="CV315" s="77"/>
      <c r="CW315" s="77"/>
      <c r="CX315" s="77"/>
      <c r="CY315" s="77"/>
      <c r="CZ315" s="77"/>
      <c r="DA315" s="77"/>
      <c r="DB315" s="77"/>
      <c r="DC315" s="77"/>
      <c r="DD315" s="77"/>
      <c r="DE315" s="77"/>
      <c r="DF315" s="77"/>
      <c r="DG315" s="77"/>
      <c r="DH315" s="77"/>
      <c r="DI315" s="77"/>
      <c r="DJ315" s="77"/>
      <c r="DK315" s="77"/>
      <c r="DL315" s="77"/>
      <c r="DM315" s="77"/>
      <c r="DN315" s="77"/>
      <c r="DO315" s="77"/>
      <c r="DP315" s="77"/>
      <c r="DQ315" s="77"/>
      <c r="DR315" s="77"/>
      <c r="DS315" s="77"/>
      <c r="DT315" s="77"/>
      <c r="DU315" s="77"/>
      <c r="DV315" s="77"/>
      <c r="DW315" s="77"/>
      <c r="DX315" s="77"/>
      <c r="DY315" s="77"/>
      <c r="DZ315" s="77"/>
      <c r="EA315" s="77"/>
      <c r="EB315" s="77"/>
      <c r="EC315" s="77"/>
      <c r="ED315" s="77"/>
      <c r="EE315" s="77"/>
      <c r="EF315" s="77"/>
      <c r="EG315" s="77"/>
      <c r="EH315" s="77"/>
      <c r="EI315" s="77"/>
      <c r="EJ315" s="77"/>
      <c r="EK315" s="77"/>
      <c r="EL315" s="77"/>
    </row>
    <row r="316" spans="1:142" s="78" customFormat="1">
      <c r="A316" s="89"/>
      <c r="B316" s="100" t="s">
        <v>126</v>
      </c>
      <c r="C316" s="100"/>
      <c r="D316" s="129"/>
      <c r="E316" s="79"/>
      <c r="F316" s="79"/>
      <c r="G316" s="89"/>
      <c r="H316" s="77"/>
      <c r="I316" s="77"/>
      <c r="J316" s="77"/>
      <c r="K316" s="77"/>
      <c r="L316" s="77"/>
      <c r="M316" s="77"/>
      <c r="N316" s="77"/>
      <c r="O316" s="77"/>
      <c r="P316" s="77"/>
      <c r="Q316" s="77"/>
      <c r="R316" s="77"/>
      <c r="S316" s="77"/>
      <c r="T316" s="77"/>
      <c r="U316" s="77"/>
      <c r="V316" s="77"/>
      <c r="W316" s="77"/>
      <c r="X316" s="77"/>
      <c r="Y316" s="77"/>
      <c r="Z316" s="77"/>
      <c r="AA316" s="77"/>
      <c r="AB316" s="77"/>
      <c r="AC316" s="77"/>
      <c r="AD316" s="77"/>
      <c r="AE316" s="77"/>
      <c r="AF316" s="77"/>
      <c r="AG316" s="77"/>
      <c r="AH316" s="77"/>
      <c r="AI316" s="77"/>
      <c r="AJ316" s="77"/>
      <c r="AK316" s="77"/>
      <c r="AL316" s="77"/>
      <c r="AM316" s="77"/>
      <c r="AN316" s="77"/>
      <c r="AO316" s="77"/>
      <c r="AP316" s="77"/>
      <c r="AQ316" s="77"/>
      <c r="AR316" s="77"/>
      <c r="AS316" s="77"/>
      <c r="AT316" s="77"/>
      <c r="AU316" s="77"/>
      <c r="AV316" s="77"/>
      <c r="AW316" s="77"/>
      <c r="AX316" s="77"/>
      <c r="AY316" s="77"/>
      <c r="AZ316" s="77"/>
      <c r="BA316" s="77"/>
      <c r="BB316" s="77"/>
      <c r="BC316" s="77"/>
      <c r="BD316" s="77"/>
      <c r="BE316" s="77"/>
      <c r="BF316" s="77"/>
      <c r="BG316" s="77"/>
      <c r="BH316" s="77"/>
      <c r="BI316" s="77"/>
      <c r="BJ316" s="77"/>
      <c r="BK316" s="77"/>
      <c r="BL316" s="77"/>
      <c r="BM316" s="77"/>
      <c r="BN316" s="77"/>
      <c r="BO316" s="77"/>
      <c r="BP316" s="77"/>
      <c r="BQ316" s="77"/>
      <c r="BR316" s="77"/>
      <c r="BS316" s="77"/>
      <c r="BT316" s="77"/>
      <c r="BU316" s="77"/>
      <c r="BV316" s="77"/>
      <c r="BW316" s="77"/>
      <c r="BX316" s="77"/>
      <c r="BY316" s="77"/>
      <c r="BZ316" s="77"/>
      <c r="CA316" s="77"/>
      <c r="CB316" s="77"/>
      <c r="CC316" s="77"/>
      <c r="CD316" s="77"/>
      <c r="CE316" s="77"/>
      <c r="CF316" s="77"/>
      <c r="CG316" s="77"/>
      <c r="CH316" s="77"/>
      <c r="CI316" s="77"/>
      <c r="CJ316" s="77"/>
      <c r="CK316" s="77"/>
      <c r="CL316" s="77"/>
      <c r="CM316" s="77"/>
      <c r="CN316" s="77"/>
      <c r="CO316" s="77"/>
      <c r="CP316" s="77"/>
      <c r="CQ316" s="77"/>
      <c r="CR316" s="77"/>
      <c r="CS316" s="77"/>
      <c r="CT316" s="77"/>
      <c r="CU316" s="77"/>
      <c r="CV316" s="77"/>
      <c r="CW316" s="77"/>
      <c r="CX316" s="77"/>
      <c r="CY316" s="77"/>
      <c r="CZ316" s="77"/>
      <c r="DA316" s="77"/>
      <c r="DB316" s="77"/>
      <c r="DC316" s="77"/>
      <c r="DD316" s="77"/>
      <c r="DE316" s="77"/>
      <c r="DF316" s="77"/>
      <c r="DG316" s="77"/>
      <c r="DH316" s="77"/>
      <c r="DI316" s="77"/>
      <c r="DJ316" s="77"/>
      <c r="DK316" s="77"/>
      <c r="DL316" s="77"/>
      <c r="DM316" s="77"/>
      <c r="DN316" s="77"/>
      <c r="DO316" s="77"/>
      <c r="DP316" s="77"/>
      <c r="DQ316" s="77"/>
      <c r="DR316" s="77"/>
      <c r="DS316" s="77"/>
      <c r="DT316" s="77"/>
      <c r="DU316" s="77"/>
      <c r="DV316" s="77"/>
      <c r="DW316" s="77"/>
      <c r="DX316" s="77"/>
      <c r="DY316" s="77"/>
      <c r="DZ316" s="77"/>
      <c r="EA316" s="77"/>
      <c r="EB316" s="77"/>
      <c r="EC316" s="77"/>
      <c r="ED316" s="77"/>
      <c r="EE316" s="77"/>
      <c r="EF316" s="77"/>
      <c r="EG316" s="77"/>
      <c r="EH316" s="77"/>
      <c r="EI316" s="77"/>
      <c r="EJ316" s="77"/>
      <c r="EK316" s="77"/>
      <c r="EL316" s="77"/>
    </row>
    <row r="317" spans="1:142" s="78" customFormat="1">
      <c r="A317" s="89"/>
      <c r="B317" s="169" t="s">
        <v>768</v>
      </c>
      <c r="C317" s="79"/>
      <c r="D317" s="79"/>
      <c r="E317" s="130">
        <v>1.4999999999999999E-2</v>
      </c>
      <c r="F317" s="124" t="s">
        <v>121</v>
      </c>
      <c r="G317" s="89"/>
      <c r="H317" s="77"/>
      <c r="I317" s="77"/>
      <c r="J317" s="77"/>
      <c r="K317" s="77"/>
      <c r="L317" s="77"/>
      <c r="M317" s="77"/>
      <c r="N317" s="77"/>
      <c r="O317" s="77"/>
      <c r="P317" s="77"/>
      <c r="Q317" s="77"/>
      <c r="R317" s="77"/>
      <c r="S317" s="77"/>
      <c r="T317" s="77"/>
      <c r="U317" s="77"/>
      <c r="V317" s="77"/>
      <c r="W317" s="77"/>
      <c r="X317" s="77"/>
      <c r="Y317" s="77"/>
      <c r="Z317" s="77"/>
      <c r="AA317" s="77"/>
      <c r="AB317" s="77"/>
      <c r="AC317" s="77"/>
      <c r="AD317" s="77"/>
      <c r="AE317" s="77"/>
      <c r="AF317" s="77"/>
      <c r="AG317" s="77"/>
      <c r="AH317" s="77"/>
      <c r="AI317" s="77"/>
      <c r="AJ317" s="77"/>
      <c r="AK317" s="77"/>
      <c r="AL317" s="77"/>
      <c r="AM317" s="77"/>
      <c r="AN317" s="77"/>
      <c r="AO317" s="77"/>
      <c r="AP317" s="77"/>
      <c r="AQ317" s="77"/>
      <c r="AR317" s="77"/>
      <c r="AS317" s="77"/>
      <c r="AT317" s="77"/>
      <c r="AU317" s="77"/>
      <c r="AV317" s="77"/>
      <c r="AW317" s="77"/>
      <c r="AX317" s="77"/>
      <c r="AY317" s="77"/>
      <c r="AZ317" s="77"/>
      <c r="BA317" s="77"/>
      <c r="BB317" s="77"/>
      <c r="BC317" s="77"/>
      <c r="BD317" s="77"/>
      <c r="BE317" s="77"/>
      <c r="BF317" s="77"/>
      <c r="BG317" s="77"/>
      <c r="BH317" s="77"/>
      <c r="BI317" s="77"/>
      <c r="BJ317" s="77"/>
      <c r="BK317" s="77"/>
      <c r="BL317" s="77"/>
      <c r="BM317" s="77"/>
      <c r="BN317" s="77"/>
      <c r="BO317" s="77"/>
      <c r="BP317" s="77"/>
      <c r="BQ317" s="77"/>
      <c r="BR317" s="77"/>
      <c r="BS317" s="77"/>
      <c r="BT317" s="77"/>
      <c r="BU317" s="77"/>
      <c r="BV317" s="77"/>
      <c r="BW317" s="77"/>
      <c r="BX317" s="77"/>
      <c r="BY317" s="77"/>
      <c r="BZ317" s="77"/>
      <c r="CA317" s="77"/>
      <c r="CB317" s="77"/>
      <c r="CC317" s="77"/>
      <c r="CD317" s="77"/>
      <c r="CE317" s="77"/>
      <c r="CF317" s="77"/>
      <c r="CG317" s="77"/>
      <c r="CH317" s="77"/>
      <c r="CI317" s="77"/>
      <c r="CJ317" s="77"/>
      <c r="CK317" s="77"/>
      <c r="CL317" s="77"/>
      <c r="CM317" s="77"/>
      <c r="CN317" s="77"/>
      <c r="CO317" s="77"/>
      <c r="CP317" s="77"/>
      <c r="CQ317" s="77"/>
      <c r="CR317" s="77"/>
      <c r="CS317" s="77"/>
      <c r="CT317" s="77"/>
      <c r="CU317" s="77"/>
      <c r="CV317" s="77"/>
      <c r="CW317" s="77"/>
      <c r="CX317" s="77"/>
      <c r="CY317" s="77"/>
      <c r="CZ317" s="77"/>
      <c r="DA317" s="77"/>
      <c r="DB317" s="77"/>
      <c r="DC317" s="77"/>
      <c r="DD317" s="77"/>
      <c r="DE317" s="77"/>
      <c r="DF317" s="77"/>
      <c r="DG317" s="77"/>
      <c r="DH317" s="77"/>
      <c r="DI317" s="77"/>
      <c r="DJ317" s="77"/>
      <c r="DK317" s="77"/>
      <c r="DL317" s="77"/>
      <c r="DM317" s="77"/>
      <c r="DN317" s="77"/>
      <c r="DO317" s="77"/>
      <c r="DP317" s="77"/>
      <c r="DQ317" s="77"/>
      <c r="DR317" s="77"/>
      <c r="DS317" s="77"/>
      <c r="DT317" s="77"/>
      <c r="DU317" s="77"/>
      <c r="DV317" s="77"/>
      <c r="DW317" s="77"/>
      <c r="DX317" s="77"/>
      <c r="DY317" s="77"/>
      <c r="DZ317" s="77"/>
      <c r="EA317" s="77"/>
      <c r="EB317" s="77"/>
      <c r="EC317" s="77"/>
      <c r="ED317" s="77"/>
      <c r="EE317" s="77"/>
      <c r="EF317" s="77"/>
      <c r="EG317" s="77"/>
      <c r="EH317" s="77"/>
      <c r="EI317" s="77"/>
      <c r="EJ317" s="77"/>
      <c r="EK317" s="77"/>
      <c r="EL317" s="77"/>
    </row>
    <row r="318" spans="1:142" s="78" customFormat="1">
      <c r="A318" s="89"/>
      <c r="B318" s="169" t="s">
        <v>769</v>
      </c>
      <c r="C318" s="79"/>
      <c r="D318" s="79"/>
      <c r="E318" s="130">
        <v>1.4999999999999999E-2</v>
      </c>
      <c r="F318" s="124" t="s">
        <v>121</v>
      </c>
      <c r="G318" s="89"/>
      <c r="H318" s="77"/>
      <c r="I318" s="77"/>
      <c r="J318" s="77"/>
      <c r="K318" s="77"/>
      <c r="L318" s="77"/>
      <c r="M318" s="77"/>
      <c r="N318" s="77"/>
      <c r="O318" s="77"/>
      <c r="P318" s="77"/>
      <c r="Q318" s="77"/>
      <c r="R318" s="77"/>
      <c r="S318" s="77"/>
      <c r="T318" s="77"/>
      <c r="U318" s="77"/>
      <c r="V318" s="77"/>
      <c r="W318" s="77"/>
      <c r="X318" s="77"/>
      <c r="Y318" s="77"/>
      <c r="Z318" s="77"/>
      <c r="AA318" s="77"/>
      <c r="AB318" s="77"/>
      <c r="AC318" s="77"/>
      <c r="AD318" s="77"/>
      <c r="AE318" s="77"/>
      <c r="AF318" s="77"/>
      <c r="AG318" s="77"/>
      <c r="AH318" s="77"/>
      <c r="AI318" s="77"/>
      <c r="AJ318" s="77"/>
      <c r="AK318" s="77"/>
      <c r="AL318" s="77"/>
      <c r="AM318" s="77"/>
      <c r="AN318" s="77"/>
      <c r="AO318" s="77"/>
      <c r="AP318" s="77"/>
      <c r="AQ318" s="77"/>
      <c r="AR318" s="77"/>
      <c r="AS318" s="77"/>
      <c r="AT318" s="77"/>
      <c r="AU318" s="77"/>
      <c r="AV318" s="77"/>
      <c r="AW318" s="77"/>
      <c r="AX318" s="77"/>
      <c r="AY318" s="77"/>
      <c r="AZ318" s="77"/>
      <c r="BA318" s="77"/>
      <c r="BB318" s="77"/>
      <c r="BC318" s="77"/>
      <c r="BD318" s="77"/>
      <c r="BE318" s="77"/>
      <c r="BF318" s="77"/>
      <c r="BG318" s="77"/>
      <c r="BH318" s="77"/>
      <c r="BI318" s="77"/>
      <c r="BJ318" s="77"/>
      <c r="BK318" s="77"/>
      <c r="BL318" s="77"/>
      <c r="BM318" s="77"/>
      <c r="BN318" s="77"/>
      <c r="BO318" s="77"/>
      <c r="BP318" s="77"/>
      <c r="BQ318" s="77"/>
      <c r="BR318" s="77"/>
      <c r="BS318" s="77"/>
      <c r="BT318" s="77"/>
      <c r="BU318" s="77"/>
      <c r="BV318" s="77"/>
      <c r="BW318" s="77"/>
      <c r="BX318" s="77"/>
      <c r="BY318" s="77"/>
      <c r="BZ318" s="77"/>
      <c r="CA318" s="77"/>
      <c r="CB318" s="77"/>
      <c r="CC318" s="77"/>
      <c r="CD318" s="77"/>
      <c r="CE318" s="77"/>
      <c r="CF318" s="77"/>
      <c r="CG318" s="77"/>
      <c r="CH318" s="77"/>
      <c r="CI318" s="77"/>
      <c r="CJ318" s="77"/>
      <c r="CK318" s="77"/>
      <c r="CL318" s="77"/>
      <c r="CM318" s="77"/>
      <c r="CN318" s="77"/>
      <c r="CO318" s="77"/>
      <c r="CP318" s="77"/>
      <c r="CQ318" s="77"/>
      <c r="CR318" s="77"/>
      <c r="CS318" s="77"/>
      <c r="CT318" s="77"/>
      <c r="CU318" s="77"/>
      <c r="CV318" s="77"/>
      <c r="CW318" s="77"/>
      <c r="CX318" s="77"/>
      <c r="CY318" s="77"/>
      <c r="CZ318" s="77"/>
      <c r="DA318" s="77"/>
      <c r="DB318" s="77"/>
      <c r="DC318" s="77"/>
      <c r="DD318" s="77"/>
      <c r="DE318" s="77"/>
      <c r="DF318" s="77"/>
      <c r="DG318" s="77"/>
      <c r="DH318" s="77"/>
      <c r="DI318" s="77"/>
      <c r="DJ318" s="77"/>
      <c r="DK318" s="77"/>
      <c r="DL318" s="77"/>
      <c r="DM318" s="77"/>
      <c r="DN318" s="77"/>
      <c r="DO318" s="77"/>
      <c r="DP318" s="77"/>
      <c r="DQ318" s="77"/>
      <c r="DR318" s="77"/>
      <c r="DS318" s="77"/>
      <c r="DT318" s="77"/>
      <c r="DU318" s="77"/>
      <c r="DV318" s="77"/>
      <c r="DW318" s="77"/>
      <c r="DX318" s="77"/>
      <c r="DY318" s="77"/>
      <c r="DZ318" s="77"/>
      <c r="EA318" s="77"/>
      <c r="EB318" s="77"/>
      <c r="EC318" s="77"/>
      <c r="ED318" s="77"/>
      <c r="EE318" s="77"/>
      <c r="EF318" s="77"/>
      <c r="EG318" s="77"/>
      <c r="EH318" s="77"/>
      <c r="EI318" s="77"/>
      <c r="EJ318" s="77"/>
      <c r="EK318" s="77"/>
      <c r="EL318" s="77"/>
    </row>
    <row r="319" spans="1:142" s="78" customFormat="1">
      <c r="A319" s="89"/>
      <c r="B319" s="169" t="s">
        <v>500</v>
      </c>
      <c r="C319" s="79"/>
      <c r="D319" s="79"/>
      <c r="E319" s="136">
        <v>0.5</v>
      </c>
      <c r="F319" s="124" t="s">
        <v>121</v>
      </c>
      <c r="G319" s="89"/>
      <c r="H319" s="77"/>
      <c r="I319" s="77"/>
      <c r="J319" s="77"/>
      <c r="K319" s="77"/>
      <c r="L319" s="77"/>
      <c r="M319" s="77"/>
      <c r="N319" s="77"/>
      <c r="O319" s="77"/>
      <c r="P319" s="77"/>
      <c r="Q319" s="77"/>
      <c r="R319" s="77"/>
      <c r="S319" s="77"/>
      <c r="T319" s="77"/>
      <c r="U319" s="77"/>
      <c r="V319" s="77"/>
      <c r="W319" s="77"/>
      <c r="X319" s="77"/>
      <c r="Y319" s="77"/>
      <c r="Z319" s="77"/>
      <c r="AA319" s="77"/>
      <c r="AB319" s="77"/>
      <c r="AC319" s="77"/>
      <c r="AD319" s="77"/>
      <c r="AE319" s="77"/>
      <c r="AF319" s="77"/>
      <c r="AG319" s="77"/>
      <c r="AH319" s="77"/>
      <c r="AI319" s="77"/>
      <c r="AJ319" s="77"/>
      <c r="AK319" s="77"/>
      <c r="AL319" s="77"/>
      <c r="AM319" s="77"/>
      <c r="AN319" s="77"/>
      <c r="AO319" s="77"/>
      <c r="AP319" s="77"/>
      <c r="AQ319" s="77"/>
      <c r="AR319" s="77"/>
      <c r="AS319" s="77"/>
      <c r="AT319" s="77"/>
      <c r="AU319" s="77"/>
      <c r="AV319" s="77"/>
      <c r="AW319" s="77"/>
      <c r="AX319" s="77"/>
      <c r="AY319" s="77"/>
      <c r="AZ319" s="77"/>
      <c r="BA319" s="77"/>
      <c r="BB319" s="77"/>
      <c r="BC319" s="77"/>
      <c r="BD319" s="77"/>
      <c r="BE319" s="77"/>
      <c r="BF319" s="77"/>
      <c r="BG319" s="77"/>
      <c r="BH319" s="77"/>
      <c r="BI319" s="77"/>
      <c r="BJ319" s="77"/>
      <c r="BK319" s="77"/>
      <c r="BL319" s="77"/>
      <c r="BM319" s="77"/>
      <c r="BN319" s="77"/>
      <c r="BO319" s="77"/>
      <c r="BP319" s="77"/>
      <c r="BQ319" s="77"/>
      <c r="BR319" s="77"/>
      <c r="BS319" s="77"/>
      <c r="BT319" s="77"/>
      <c r="BU319" s="77"/>
      <c r="BV319" s="77"/>
      <c r="BW319" s="77"/>
      <c r="BX319" s="77"/>
      <c r="BY319" s="77"/>
      <c r="BZ319" s="77"/>
      <c r="CA319" s="77"/>
      <c r="CB319" s="77"/>
      <c r="CC319" s="77"/>
      <c r="CD319" s="77"/>
      <c r="CE319" s="77"/>
      <c r="CF319" s="77"/>
      <c r="CG319" s="77"/>
      <c r="CH319" s="77"/>
      <c r="CI319" s="77"/>
      <c r="CJ319" s="77"/>
      <c r="CK319" s="77"/>
      <c r="CL319" s="77"/>
      <c r="CM319" s="77"/>
      <c r="CN319" s="77"/>
      <c r="CO319" s="77"/>
      <c r="CP319" s="77"/>
      <c r="CQ319" s="77"/>
      <c r="CR319" s="77"/>
      <c r="CS319" s="77"/>
      <c r="CT319" s="77"/>
      <c r="CU319" s="77"/>
      <c r="CV319" s="77"/>
      <c r="CW319" s="77"/>
      <c r="CX319" s="77"/>
      <c r="CY319" s="77"/>
      <c r="CZ319" s="77"/>
      <c r="DA319" s="77"/>
      <c r="DB319" s="77"/>
      <c r="DC319" s="77"/>
      <c r="DD319" s="77"/>
      <c r="DE319" s="77"/>
      <c r="DF319" s="77"/>
      <c r="DG319" s="77"/>
      <c r="DH319" s="77"/>
      <c r="DI319" s="77"/>
      <c r="DJ319" s="77"/>
      <c r="DK319" s="77"/>
      <c r="DL319" s="77"/>
      <c r="DM319" s="77"/>
      <c r="DN319" s="77"/>
      <c r="DO319" s="77"/>
      <c r="DP319" s="77"/>
      <c r="DQ319" s="77"/>
      <c r="DR319" s="77"/>
      <c r="DS319" s="77"/>
      <c r="DT319" s="77"/>
      <c r="DU319" s="77"/>
      <c r="DV319" s="77"/>
      <c r="DW319" s="77"/>
      <c r="DX319" s="77"/>
      <c r="DY319" s="77"/>
      <c r="DZ319" s="77"/>
      <c r="EA319" s="77"/>
      <c r="EB319" s="77"/>
      <c r="EC319" s="77"/>
      <c r="ED319" s="77"/>
      <c r="EE319" s="77"/>
      <c r="EF319" s="77"/>
      <c r="EG319" s="77"/>
      <c r="EH319" s="77"/>
      <c r="EI319" s="77"/>
      <c r="EJ319" s="77"/>
      <c r="EK319" s="77"/>
      <c r="EL319" s="77"/>
    </row>
    <row r="320" spans="1:142" s="78" customFormat="1">
      <c r="A320" s="89"/>
      <c r="B320" s="100" t="s">
        <v>447</v>
      </c>
      <c r="C320" s="100"/>
      <c r="D320" s="79"/>
      <c r="E320" s="176"/>
      <c r="F320" s="124"/>
      <c r="G320" s="89"/>
      <c r="H320" s="77"/>
      <c r="I320" s="77"/>
      <c r="J320" s="77"/>
      <c r="K320" s="77"/>
      <c r="L320" s="77"/>
      <c r="M320" s="77"/>
      <c r="N320" s="77"/>
      <c r="O320" s="77"/>
      <c r="P320" s="77"/>
      <c r="Q320" s="77"/>
      <c r="R320" s="77"/>
      <c r="S320" s="77"/>
      <c r="T320" s="77"/>
      <c r="U320" s="77"/>
      <c r="V320" s="77"/>
      <c r="W320" s="77"/>
      <c r="X320" s="77"/>
      <c r="Y320" s="77"/>
      <c r="Z320" s="77"/>
      <c r="AA320" s="77"/>
      <c r="AB320" s="77"/>
      <c r="AC320" s="77"/>
      <c r="AD320" s="77"/>
      <c r="AE320" s="77"/>
      <c r="AF320" s="77"/>
      <c r="AG320" s="77"/>
      <c r="AH320" s="77"/>
      <c r="AI320" s="77"/>
      <c r="AJ320" s="77"/>
      <c r="AK320" s="77"/>
      <c r="AL320" s="77"/>
      <c r="AM320" s="77"/>
      <c r="AN320" s="77"/>
      <c r="AO320" s="77"/>
      <c r="AP320" s="77"/>
      <c r="AQ320" s="77"/>
      <c r="AR320" s="77"/>
      <c r="AS320" s="77"/>
      <c r="AT320" s="77"/>
      <c r="AU320" s="77"/>
      <c r="AV320" s="77"/>
      <c r="AW320" s="77"/>
      <c r="AX320" s="77"/>
      <c r="AY320" s="77"/>
      <c r="AZ320" s="77"/>
      <c r="BA320" s="77"/>
      <c r="BB320" s="77"/>
      <c r="BC320" s="77"/>
      <c r="BD320" s="77"/>
      <c r="BE320" s="77"/>
      <c r="BF320" s="77"/>
      <c r="BG320" s="77"/>
      <c r="BH320" s="77"/>
      <c r="BI320" s="77"/>
      <c r="BJ320" s="77"/>
      <c r="BK320" s="77"/>
      <c r="BL320" s="77"/>
      <c r="BM320" s="77"/>
      <c r="BN320" s="77"/>
      <c r="BO320" s="77"/>
      <c r="BP320" s="77"/>
      <c r="BQ320" s="77"/>
      <c r="BR320" s="77"/>
      <c r="BS320" s="77"/>
      <c r="BT320" s="77"/>
      <c r="BU320" s="77"/>
      <c r="BV320" s="77"/>
      <c r="BW320" s="77"/>
      <c r="BX320" s="77"/>
      <c r="BY320" s="77"/>
      <c r="BZ320" s="77"/>
      <c r="CA320" s="77"/>
      <c r="CB320" s="77"/>
      <c r="CC320" s="77"/>
      <c r="CD320" s="77"/>
      <c r="CE320" s="77"/>
      <c r="CF320" s="77"/>
      <c r="CG320" s="77"/>
      <c r="CH320" s="77"/>
      <c r="CI320" s="77"/>
      <c r="CJ320" s="77"/>
      <c r="CK320" s="77"/>
      <c r="CL320" s="77"/>
      <c r="CM320" s="77"/>
      <c r="CN320" s="77"/>
      <c r="CO320" s="77"/>
      <c r="CP320" s="77"/>
      <c r="CQ320" s="77"/>
      <c r="CR320" s="77"/>
      <c r="CS320" s="77"/>
      <c r="CT320" s="77"/>
      <c r="CU320" s="77"/>
      <c r="CV320" s="77"/>
      <c r="CW320" s="77"/>
      <c r="CX320" s="77"/>
      <c r="CY320" s="77"/>
      <c r="CZ320" s="77"/>
      <c r="DA320" s="77"/>
      <c r="DB320" s="77"/>
      <c r="DC320" s="77"/>
      <c r="DD320" s="77"/>
      <c r="DE320" s="77"/>
      <c r="DF320" s="77"/>
      <c r="DG320" s="77"/>
      <c r="DH320" s="77"/>
      <c r="DI320" s="77"/>
      <c r="DJ320" s="77"/>
      <c r="DK320" s="77"/>
      <c r="DL320" s="77"/>
      <c r="DM320" s="77"/>
      <c r="DN320" s="77"/>
      <c r="DO320" s="77"/>
      <c r="DP320" s="77"/>
      <c r="DQ320" s="77"/>
      <c r="DR320" s="77"/>
      <c r="DS320" s="77"/>
      <c r="DT320" s="77"/>
      <c r="DU320" s="77"/>
      <c r="DV320" s="77"/>
      <c r="DW320" s="77"/>
      <c r="DX320" s="77"/>
      <c r="DY320" s="77"/>
      <c r="DZ320" s="77"/>
      <c r="EA320" s="77"/>
      <c r="EB320" s="77"/>
      <c r="EC320" s="77"/>
      <c r="ED320" s="77"/>
      <c r="EE320" s="77"/>
      <c r="EF320" s="77"/>
      <c r="EG320" s="77"/>
      <c r="EH320" s="77"/>
      <c r="EI320" s="77"/>
      <c r="EJ320" s="77"/>
      <c r="EK320" s="77"/>
      <c r="EL320" s="77"/>
    </row>
    <row r="321" spans="1:142" s="78" customFormat="1">
      <c r="A321" s="89"/>
      <c r="B321" s="168" t="s">
        <v>770</v>
      </c>
      <c r="C321" s="89"/>
      <c r="D321" s="89"/>
      <c r="E321" s="297">
        <v>1.4999999999999999E-2</v>
      </c>
      <c r="F321" s="124" t="s">
        <v>121</v>
      </c>
      <c r="G321" s="89"/>
      <c r="H321" s="77"/>
      <c r="I321" s="77"/>
      <c r="J321" s="77"/>
      <c r="K321" s="77"/>
      <c r="L321" s="77"/>
      <c r="M321" s="77"/>
      <c r="N321" s="77"/>
      <c r="O321" s="77"/>
      <c r="P321" s="77"/>
      <c r="Q321" s="77"/>
      <c r="R321" s="77"/>
      <c r="S321" s="77"/>
      <c r="T321" s="77"/>
      <c r="U321" s="77"/>
      <c r="V321" s="77"/>
      <c r="W321" s="77"/>
      <c r="X321" s="77"/>
      <c r="Y321" s="77"/>
      <c r="Z321" s="77"/>
      <c r="AA321" s="77"/>
      <c r="AB321" s="77"/>
      <c r="AC321" s="77"/>
      <c r="AD321" s="77"/>
      <c r="AE321" s="77"/>
      <c r="AF321" s="77"/>
      <c r="AG321" s="77"/>
      <c r="AH321" s="77"/>
      <c r="AI321" s="77"/>
      <c r="AJ321" s="77"/>
      <c r="AK321" s="77"/>
      <c r="AL321" s="77"/>
      <c r="AM321" s="77"/>
      <c r="AN321" s="77"/>
      <c r="AO321" s="77"/>
      <c r="AP321" s="77"/>
      <c r="AQ321" s="77"/>
      <c r="AR321" s="77"/>
      <c r="AS321" s="77"/>
      <c r="AT321" s="77"/>
      <c r="AU321" s="77"/>
      <c r="AV321" s="77"/>
      <c r="AW321" s="77"/>
      <c r="AX321" s="77"/>
      <c r="AY321" s="77"/>
      <c r="AZ321" s="77"/>
      <c r="BA321" s="77"/>
      <c r="BB321" s="77"/>
      <c r="BC321" s="77"/>
      <c r="BD321" s="77"/>
      <c r="BE321" s="77"/>
      <c r="BF321" s="77"/>
      <c r="BG321" s="77"/>
      <c r="BH321" s="77"/>
      <c r="BI321" s="77"/>
      <c r="BJ321" s="77"/>
      <c r="BK321" s="77"/>
      <c r="BL321" s="77"/>
      <c r="BM321" s="77"/>
      <c r="BN321" s="77"/>
      <c r="BO321" s="77"/>
      <c r="BP321" s="77"/>
      <c r="BQ321" s="77"/>
      <c r="BR321" s="77"/>
      <c r="BS321" s="77"/>
      <c r="BT321" s="77"/>
      <c r="BU321" s="77"/>
      <c r="BV321" s="77"/>
      <c r="BW321" s="77"/>
      <c r="BX321" s="77"/>
      <c r="BY321" s="77"/>
      <c r="BZ321" s="77"/>
      <c r="CA321" s="77"/>
      <c r="CB321" s="77"/>
      <c r="CC321" s="77"/>
      <c r="CD321" s="77"/>
      <c r="CE321" s="77"/>
      <c r="CF321" s="77"/>
      <c r="CG321" s="77"/>
      <c r="CH321" s="77"/>
      <c r="CI321" s="77"/>
      <c r="CJ321" s="77"/>
      <c r="CK321" s="77"/>
      <c r="CL321" s="77"/>
      <c r="CM321" s="77"/>
      <c r="CN321" s="77"/>
      <c r="CO321" s="77"/>
      <c r="CP321" s="77"/>
      <c r="CQ321" s="77"/>
      <c r="CR321" s="77"/>
      <c r="CS321" s="77"/>
      <c r="CT321" s="77"/>
      <c r="CU321" s="77"/>
      <c r="CV321" s="77"/>
      <c r="CW321" s="77"/>
      <c r="CX321" s="77"/>
      <c r="CY321" s="77"/>
      <c r="CZ321" s="77"/>
      <c r="DA321" s="77"/>
      <c r="DB321" s="77"/>
      <c r="DC321" s="77"/>
      <c r="DD321" s="77"/>
      <c r="DE321" s="77"/>
      <c r="DF321" s="77"/>
      <c r="DG321" s="77"/>
      <c r="DH321" s="77"/>
      <c r="DI321" s="77"/>
      <c r="DJ321" s="77"/>
      <c r="DK321" s="77"/>
      <c r="DL321" s="77"/>
      <c r="DM321" s="77"/>
      <c r="DN321" s="77"/>
      <c r="DO321" s="77"/>
      <c r="DP321" s="77"/>
      <c r="DQ321" s="77"/>
      <c r="DR321" s="77"/>
      <c r="DS321" s="77"/>
      <c r="DT321" s="77"/>
      <c r="DU321" s="77"/>
      <c r="DV321" s="77"/>
      <c r="DW321" s="77"/>
      <c r="DX321" s="77"/>
      <c r="DY321" s="77"/>
      <c r="DZ321" s="77"/>
      <c r="EA321" s="77"/>
      <c r="EB321" s="77"/>
      <c r="EC321" s="77"/>
      <c r="ED321" s="77"/>
      <c r="EE321" s="77"/>
      <c r="EF321" s="77"/>
      <c r="EG321" s="77"/>
      <c r="EH321" s="77"/>
      <c r="EI321" s="77"/>
      <c r="EJ321" s="77"/>
      <c r="EK321" s="77"/>
      <c r="EL321" s="77"/>
    </row>
    <row r="322" spans="1:142" s="78" customFormat="1">
      <c r="A322" s="89"/>
      <c r="B322" s="168" t="s">
        <v>771</v>
      </c>
      <c r="C322" s="89"/>
      <c r="D322" s="89"/>
      <c r="E322" s="296">
        <v>0.5</v>
      </c>
      <c r="F322" s="124" t="s">
        <v>121</v>
      </c>
      <c r="G322" s="89"/>
      <c r="H322" s="77"/>
      <c r="I322" s="77"/>
      <c r="J322" s="77"/>
      <c r="K322" s="77"/>
      <c r="L322" s="77"/>
      <c r="M322" s="77"/>
      <c r="N322" s="77"/>
      <c r="O322" s="77"/>
      <c r="P322" s="77"/>
      <c r="Q322" s="77"/>
      <c r="R322" s="77"/>
      <c r="S322" s="77"/>
      <c r="T322" s="77"/>
      <c r="U322" s="77"/>
      <c r="V322" s="77"/>
      <c r="W322" s="77"/>
      <c r="X322" s="77"/>
      <c r="Y322" s="77"/>
      <c r="Z322" s="77"/>
      <c r="AA322" s="77"/>
      <c r="AB322" s="77"/>
      <c r="AC322" s="77"/>
      <c r="AD322" s="77"/>
      <c r="AE322" s="77"/>
      <c r="AF322" s="77"/>
      <c r="AG322" s="77"/>
      <c r="AH322" s="77"/>
      <c r="AI322" s="77"/>
      <c r="AJ322" s="77"/>
      <c r="AK322" s="77"/>
      <c r="AL322" s="77"/>
      <c r="AM322" s="77"/>
      <c r="AN322" s="77"/>
      <c r="AO322" s="77"/>
      <c r="AP322" s="77"/>
      <c r="AQ322" s="77"/>
      <c r="AR322" s="77"/>
      <c r="AS322" s="77"/>
      <c r="AT322" s="77"/>
      <c r="AU322" s="77"/>
      <c r="AV322" s="77"/>
      <c r="AW322" s="77"/>
      <c r="AX322" s="77"/>
      <c r="AY322" s="77"/>
      <c r="AZ322" s="77"/>
      <c r="BA322" s="77"/>
      <c r="BB322" s="77"/>
      <c r="BC322" s="77"/>
      <c r="BD322" s="77"/>
      <c r="BE322" s="77"/>
      <c r="BF322" s="77"/>
      <c r="BG322" s="77"/>
      <c r="BH322" s="77"/>
      <c r="BI322" s="77"/>
      <c r="BJ322" s="77"/>
      <c r="BK322" s="77"/>
      <c r="BL322" s="77"/>
      <c r="BM322" s="77"/>
      <c r="BN322" s="77"/>
      <c r="BO322" s="77"/>
      <c r="BP322" s="77"/>
      <c r="BQ322" s="77"/>
      <c r="BR322" s="77"/>
      <c r="BS322" s="77"/>
      <c r="BT322" s="77"/>
      <c r="BU322" s="77"/>
      <c r="BV322" s="77"/>
      <c r="BW322" s="77"/>
      <c r="BX322" s="77"/>
      <c r="BY322" s="77"/>
      <c r="BZ322" s="77"/>
      <c r="CA322" s="77"/>
      <c r="CB322" s="77"/>
      <c r="CC322" s="77"/>
      <c r="CD322" s="77"/>
      <c r="CE322" s="77"/>
      <c r="CF322" s="77"/>
      <c r="CG322" s="77"/>
      <c r="CH322" s="77"/>
      <c r="CI322" s="77"/>
      <c r="CJ322" s="77"/>
      <c r="CK322" s="77"/>
      <c r="CL322" s="77"/>
      <c r="CM322" s="77"/>
      <c r="CN322" s="77"/>
      <c r="CO322" s="77"/>
      <c r="CP322" s="77"/>
      <c r="CQ322" s="77"/>
      <c r="CR322" s="77"/>
      <c r="CS322" s="77"/>
      <c r="CT322" s="77"/>
      <c r="CU322" s="77"/>
      <c r="CV322" s="77"/>
      <c r="CW322" s="77"/>
      <c r="CX322" s="77"/>
      <c r="CY322" s="77"/>
      <c r="CZ322" s="77"/>
      <c r="DA322" s="77"/>
      <c r="DB322" s="77"/>
      <c r="DC322" s="77"/>
      <c r="DD322" s="77"/>
      <c r="DE322" s="77"/>
      <c r="DF322" s="77"/>
      <c r="DG322" s="77"/>
      <c r="DH322" s="77"/>
      <c r="DI322" s="77"/>
      <c r="DJ322" s="77"/>
      <c r="DK322" s="77"/>
      <c r="DL322" s="77"/>
      <c r="DM322" s="77"/>
      <c r="DN322" s="77"/>
      <c r="DO322" s="77"/>
      <c r="DP322" s="77"/>
      <c r="DQ322" s="77"/>
      <c r="DR322" s="77"/>
      <c r="DS322" s="77"/>
      <c r="DT322" s="77"/>
      <c r="DU322" s="77"/>
      <c r="DV322" s="77"/>
      <c r="DW322" s="77"/>
      <c r="DX322" s="77"/>
      <c r="DY322" s="77"/>
      <c r="DZ322" s="77"/>
      <c r="EA322" s="77"/>
      <c r="EB322" s="77"/>
      <c r="EC322" s="77"/>
      <c r="ED322" s="77"/>
      <c r="EE322" s="77"/>
      <c r="EF322" s="77"/>
      <c r="EG322" s="77"/>
      <c r="EH322" s="77"/>
      <c r="EI322" s="77"/>
      <c r="EJ322" s="77"/>
      <c r="EK322" s="77"/>
      <c r="EL322" s="77"/>
    </row>
    <row r="323" spans="1:142" s="78" customFormat="1">
      <c r="A323" s="85"/>
      <c r="B323" s="79"/>
      <c r="C323" s="79"/>
      <c r="D323" s="79"/>
      <c r="E323" s="176"/>
      <c r="F323" s="79"/>
      <c r="G323" s="89"/>
      <c r="H323" s="82"/>
      <c r="I323" s="82"/>
      <c r="J323" s="77"/>
      <c r="K323" s="77"/>
      <c r="L323" s="77"/>
      <c r="M323" s="77"/>
      <c r="N323" s="77"/>
      <c r="O323" s="77"/>
      <c r="P323" s="77"/>
      <c r="Q323" s="77"/>
      <c r="R323" s="77"/>
      <c r="S323" s="77"/>
      <c r="T323" s="77"/>
      <c r="U323" s="77"/>
      <c r="V323" s="77"/>
      <c r="W323" s="77"/>
      <c r="X323" s="77"/>
      <c r="Y323" s="77"/>
      <c r="Z323" s="77"/>
      <c r="AA323" s="77"/>
      <c r="AB323" s="77"/>
      <c r="AC323" s="77"/>
      <c r="AD323" s="77"/>
      <c r="AE323" s="77"/>
      <c r="AF323" s="77"/>
      <c r="AG323" s="77"/>
      <c r="AH323" s="77"/>
      <c r="AI323" s="77"/>
      <c r="AJ323" s="77"/>
      <c r="AK323" s="77"/>
      <c r="AL323" s="77"/>
      <c r="AM323" s="77"/>
      <c r="AN323" s="77"/>
      <c r="AO323" s="77"/>
      <c r="AP323" s="77"/>
      <c r="AQ323" s="77"/>
      <c r="AR323" s="77"/>
      <c r="AS323" s="77"/>
      <c r="AT323" s="77"/>
      <c r="AU323" s="77"/>
      <c r="AV323" s="77"/>
      <c r="AW323" s="77"/>
      <c r="AX323" s="77"/>
      <c r="AY323" s="77"/>
      <c r="AZ323" s="77"/>
      <c r="BA323" s="77"/>
      <c r="BB323" s="77"/>
      <c r="BC323" s="77"/>
      <c r="BD323" s="77"/>
      <c r="BE323" s="77"/>
      <c r="BF323" s="77"/>
      <c r="BG323" s="77"/>
      <c r="BH323" s="77"/>
      <c r="BI323" s="77"/>
      <c r="BJ323" s="77"/>
      <c r="BK323" s="77"/>
      <c r="BL323" s="77"/>
      <c r="BM323" s="77"/>
      <c r="BN323" s="77"/>
      <c r="BO323" s="77"/>
      <c r="BP323" s="77"/>
      <c r="BQ323" s="77"/>
      <c r="BR323" s="77"/>
      <c r="BS323" s="77"/>
      <c r="BT323" s="77"/>
      <c r="BU323" s="77"/>
      <c r="BV323" s="77"/>
      <c r="BW323" s="77"/>
      <c r="BX323" s="77"/>
      <c r="BY323" s="77"/>
      <c r="BZ323" s="77"/>
      <c r="CA323" s="77"/>
      <c r="CB323" s="77"/>
      <c r="CC323" s="77"/>
      <c r="CD323" s="77"/>
      <c r="CE323" s="77"/>
      <c r="CF323" s="77"/>
      <c r="CG323" s="77"/>
      <c r="CH323" s="77"/>
      <c r="CI323" s="77"/>
      <c r="CJ323" s="77"/>
      <c r="CK323" s="77"/>
      <c r="CL323" s="77"/>
      <c r="CM323" s="77"/>
      <c r="CN323" s="77"/>
      <c r="CO323" s="77"/>
      <c r="CP323" s="77"/>
      <c r="CQ323" s="77"/>
      <c r="CR323" s="77"/>
      <c r="CS323" s="77"/>
      <c r="CT323" s="77"/>
      <c r="CU323" s="77"/>
      <c r="CV323" s="77"/>
      <c r="CW323" s="77"/>
      <c r="CX323" s="77"/>
      <c r="CY323" s="77"/>
      <c r="CZ323" s="77"/>
      <c r="DA323" s="77"/>
      <c r="DB323" s="77"/>
      <c r="DC323" s="77"/>
      <c r="DD323" s="77"/>
      <c r="DE323" s="77"/>
      <c r="DF323" s="77"/>
      <c r="DG323" s="77"/>
      <c r="DH323" s="77"/>
      <c r="DI323" s="77"/>
      <c r="DJ323" s="77"/>
      <c r="DK323" s="77"/>
      <c r="DL323" s="77"/>
      <c r="DM323" s="77"/>
      <c r="DN323" s="77"/>
      <c r="DO323" s="77"/>
      <c r="DP323" s="77"/>
      <c r="DQ323" s="77"/>
      <c r="DR323" s="77"/>
      <c r="DS323" s="77"/>
      <c r="DT323" s="77"/>
      <c r="DU323" s="77"/>
      <c r="DV323" s="77"/>
      <c r="DW323" s="77"/>
      <c r="DX323" s="77"/>
      <c r="DY323" s="77"/>
      <c r="DZ323" s="77"/>
      <c r="EA323" s="77"/>
      <c r="EB323" s="77"/>
      <c r="EC323" s="77"/>
      <c r="ED323" s="77"/>
      <c r="EE323" s="77"/>
      <c r="EF323" s="77"/>
      <c r="EG323" s="77"/>
      <c r="EH323" s="77"/>
      <c r="EI323" s="77"/>
      <c r="EJ323" s="77"/>
      <c r="EK323" s="77"/>
      <c r="EL323" s="77"/>
    </row>
    <row r="324" spans="1:142" s="78" customFormat="1">
      <c r="A324" s="85"/>
      <c r="B324" s="79"/>
      <c r="C324" s="79"/>
      <c r="D324" s="79"/>
      <c r="E324" s="176"/>
      <c r="F324" s="79"/>
      <c r="G324" s="89"/>
      <c r="H324" s="82"/>
      <c r="I324" s="82"/>
      <c r="J324" s="77"/>
      <c r="K324" s="77"/>
      <c r="L324" s="77"/>
      <c r="M324" s="77"/>
      <c r="N324" s="77"/>
      <c r="O324" s="77"/>
      <c r="P324" s="77"/>
      <c r="Q324" s="77"/>
      <c r="R324" s="77"/>
      <c r="S324" s="77"/>
      <c r="T324" s="77"/>
      <c r="U324" s="77"/>
      <c r="V324" s="77"/>
      <c r="W324" s="77"/>
      <c r="X324" s="77"/>
      <c r="Y324" s="77"/>
      <c r="Z324" s="77"/>
      <c r="AA324" s="77"/>
      <c r="AB324" s="77"/>
      <c r="AC324" s="77"/>
      <c r="AD324" s="77"/>
      <c r="AE324" s="77"/>
      <c r="AF324" s="77"/>
      <c r="AG324" s="77"/>
      <c r="AH324" s="77"/>
      <c r="AI324" s="77"/>
      <c r="AJ324" s="77"/>
      <c r="AK324" s="77"/>
      <c r="AL324" s="77"/>
      <c r="AM324" s="77"/>
      <c r="AN324" s="77"/>
      <c r="AO324" s="77"/>
      <c r="AP324" s="77"/>
      <c r="AQ324" s="77"/>
      <c r="AR324" s="77"/>
      <c r="AS324" s="77"/>
      <c r="AT324" s="77"/>
      <c r="AU324" s="77"/>
      <c r="AV324" s="77"/>
      <c r="AW324" s="77"/>
      <c r="AX324" s="77"/>
      <c r="AY324" s="77"/>
      <c r="AZ324" s="77"/>
      <c r="BA324" s="77"/>
      <c r="BB324" s="77"/>
      <c r="BC324" s="77"/>
      <c r="BD324" s="77"/>
      <c r="BE324" s="77"/>
      <c r="BF324" s="77"/>
      <c r="BG324" s="77"/>
      <c r="BH324" s="77"/>
      <c r="BI324" s="77"/>
      <c r="BJ324" s="77"/>
      <c r="BK324" s="77"/>
      <c r="BL324" s="77"/>
      <c r="BM324" s="77"/>
      <c r="BN324" s="77"/>
      <c r="BO324" s="77"/>
      <c r="BP324" s="77"/>
      <c r="BQ324" s="77"/>
      <c r="BR324" s="77"/>
      <c r="BS324" s="77"/>
      <c r="BT324" s="77"/>
      <c r="BU324" s="77"/>
      <c r="BV324" s="77"/>
      <c r="BW324" s="77"/>
      <c r="BX324" s="77"/>
      <c r="BY324" s="77"/>
      <c r="BZ324" s="77"/>
      <c r="CA324" s="77"/>
      <c r="CB324" s="77"/>
      <c r="CC324" s="77"/>
      <c r="CD324" s="77"/>
      <c r="CE324" s="77"/>
      <c r="CF324" s="77"/>
      <c r="CG324" s="77"/>
      <c r="CH324" s="77"/>
      <c r="CI324" s="77"/>
      <c r="CJ324" s="77"/>
      <c r="CK324" s="77"/>
      <c r="CL324" s="77"/>
      <c r="CM324" s="77"/>
      <c r="CN324" s="77"/>
      <c r="CO324" s="77"/>
      <c r="CP324" s="77"/>
      <c r="CQ324" s="77"/>
      <c r="CR324" s="77"/>
      <c r="CS324" s="77"/>
      <c r="CT324" s="77"/>
      <c r="CU324" s="77"/>
      <c r="CV324" s="77"/>
      <c r="CW324" s="77"/>
      <c r="CX324" s="77"/>
      <c r="CY324" s="77"/>
      <c r="CZ324" s="77"/>
      <c r="DA324" s="77"/>
      <c r="DB324" s="77"/>
      <c r="DC324" s="77"/>
      <c r="DD324" s="77"/>
      <c r="DE324" s="77"/>
      <c r="DF324" s="77"/>
      <c r="DG324" s="77"/>
      <c r="DH324" s="77"/>
      <c r="DI324" s="77"/>
      <c r="DJ324" s="77"/>
      <c r="DK324" s="77"/>
      <c r="DL324" s="77"/>
      <c r="DM324" s="77"/>
      <c r="DN324" s="77"/>
      <c r="DO324" s="77"/>
      <c r="DP324" s="77"/>
      <c r="DQ324" s="77"/>
      <c r="DR324" s="77"/>
      <c r="DS324" s="77"/>
      <c r="DT324" s="77"/>
      <c r="DU324" s="77"/>
      <c r="DV324" s="77"/>
      <c r="DW324" s="77"/>
      <c r="DX324" s="77"/>
      <c r="DY324" s="77"/>
      <c r="DZ324" s="77"/>
      <c r="EA324" s="77"/>
      <c r="EB324" s="77"/>
      <c r="EC324" s="77"/>
      <c r="ED324" s="77"/>
      <c r="EE324" s="77"/>
      <c r="EF324" s="77"/>
      <c r="EG324" s="77"/>
      <c r="EH324" s="77"/>
      <c r="EI324" s="77"/>
      <c r="EJ324" s="77"/>
      <c r="EK324" s="77"/>
      <c r="EL324" s="77"/>
    </row>
    <row r="325" spans="1:142" s="78" customFormat="1">
      <c r="B325" s="362" t="s">
        <v>305</v>
      </c>
      <c r="C325" s="66"/>
      <c r="D325" s="79"/>
      <c r="E325" s="218" t="s">
        <v>800</v>
      </c>
      <c r="F325" s="77"/>
      <c r="G325" s="77"/>
      <c r="H325" s="77"/>
      <c r="I325" s="77"/>
      <c r="J325" s="77"/>
      <c r="K325" s="77"/>
      <c r="L325" s="77"/>
      <c r="M325" s="77"/>
      <c r="N325" s="77"/>
      <c r="O325" s="77"/>
      <c r="P325" s="77"/>
      <c r="Q325" s="77"/>
      <c r="R325" s="77"/>
      <c r="S325" s="77"/>
      <c r="T325" s="77"/>
      <c r="U325" s="77"/>
      <c r="V325" s="77"/>
      <c r="W325" s="77"/>
      <c r="X325" s="77"/>
      <c r="Y325" s="77"/>
      <c r="Z325" s="77"/>
      <c r="AA325" s="77"/>
      <c r="AB325" s="77"/>
      <c r="AC325" s="77"/>
      <c r="AD325" s="77"/>
      <c r="AE325" s="77"/>
      <c r="AF325" s="77"/>
      <c r="AG325" s="77"/>
      <c r="AH325" s="77"/>
      <c r="AI325" s="77"/>
      <c r="AJ325" s="77"/>
      <c r="AK325" s="77"/>
      <c r="AL325" s="77"/>
      <c r="AM325" s="77"/>
      <c r="AN325" s="77"/>
      <c r="AO325" s="77"/>
      <c r="AP325" s="77"/>
      <c r="AQ325" s="77"/>
      <c r="AR325" s="77"/>
      <c r="AS325" s="77"/>
      <c r="AT325" s="77"/>
      <c r="AU325" s="77"/>
      <c r="AV325" s="77"/>
      <c r="AW325" s="77"/>
      <c r="AX325" s="77"/>
      <c r="AY325" s="77"/>
      <c r="AZ325" s="77"/>
      <c r="BA325" s="77"/>
      <c r="BB325" s="77"/>
      <c r="BC325" s="77"/>
      <c r="BD325" s="77"/>
      <c r="BE325" s="77"/>
      <c r="BF325" s="77"/>
      <c r="BG325" s="77"/>
      <c r="BH325" s="77"/>
      <c r="BI325" s="77"/>
      <c r="BJ325" s="77"/>
      <c r="BK325" s="77"/>
      <c r="BL325" s="77"/>
      <c r="BM325" s="77"/>
      <c r="BN325" s="77"/>
      <c r="BO325" s="77"/>
      <c r="BP325" s="77"/>
      <c r="BQ325" s="77"/>
      <c r="BR325" s="77"/>
      <c r="BS325" s="77"/>
      <c r="BT325" s="77"/>
      <c r="BU325" s="77"/>
      <c r="BV325" s="77"/>
      <c r="BW325" s="77"/>
      <c r="BX325" s="77"/>
      <c r="BY325" s="77"/>
      <c r="BZ325" s="77"/>
      <c r="CA325" s="77"/>
      <c r="CB325" s="77"/>
      <c r="CC325" s="77"/>
      <c r="CD325" s="77"/>
      <c r="CE325" s="77"/>
      <c r="CF325" s="77"/>
      <c r="CG325" s="77"/>
      <c r="CH325" s="77"/>
      <c r="CI325" s="77"/>
      <c r="CJ325" s="77"/>
      <c r="CK325" s="77"/>
      <c r="CL325" s="77"/>
      <c r="CM325" s="77"/>
      <c r="CN325" s="77"/>
      <c r="CO325" s="77"/>
      <c r="CP325" s="77"/>
      <c r="CQ325" s="77"/>
      <c r="CR325" s="77"/>
      <c r="CS325" s="77"/>
      <c r="CT325" s="77"/>
      <c r="CU325" s="77"/>
      <c r="CV325" s="77"/>
      <c r="CW325" s="77"/>
      <c r="CX325" s="77"/>
      <c r="CY325" s="77"/>
      <c r="CZ325" s="77"/>
      <c r="DA325" s="77"/>
      <c r="DB325" s="77"/>
      <c r="DC325" s="77"/>
      <c r="DD325" s="77"/>
      <c r="DE325" s="77"/>
      <c r="DF325" s="77"/>
      <c r="DG325" s="77"/>
      <c r="DH325" s="77"/>
      <c r="DI325" s="77"/>
      <c r="DJ325" s="77"/>
      <c r="DK325" s="77"/>
      <c r="DL325" s="77"/>
      <c r="DM325" s="77"/>
      <c r="DN325" s="77"/>
      <c r="DO325" s="77"/>
      <c r="DP325" s="77"/>
      <c r="DQ325" s="77"/>
      <c r="DR325" s="77"/>
      <c r="DS325" s="77"/>
      <c r="DT325" s="77"/>
      <c r="DU325" s="77"/>
      <c r="DV325" s="77"/>
      <c r="DW325" s="77"/>
      <c r="DX325" s="77"/>
      <c r="DY325" s="77"/>
      <c r="DZ325" s="77"/>
      <c r="EA325" s="77"/>
      <c r="EB325" s="77"/>
      <c r="EC325" s="77"/>
      <c r="ED325" s="77"/>
      <c r="EE325" s="77"/>
      <c r="EF325" s="77"/>
      <c r="EG325" s="77"/>
      <c r="EH325" s="77"/>
      <c r="EI325" s="77"/>
      <c r="EJ325" s="77"/>
      <c r="EK325" s="77"/>
      <c r="EL325" s="77"/>
    </row>
    <row r="326" spans="1:142" s="78" customFormat="1">
      <c r="B326" s="1514" t="s">
        <v>797</v>
      </c>
      <c r="C326" s="66"/>
      <c r="D326" s="79"/>
      <c r="E326" s="1523">
        <f>E246</f>
        <v>36158</v>
      </c>
      <c r="F326" s="77" t="s">
        <v>801</v>
      </c>
      <c r="G326" s="77"/>
      <c r="H326" s="77"/>
      <c r="I326" s="77"/>
      <c r="J326" s="77"/>
      <c r="K326" s="77"/>
      <c r="L326" s="77"/>
      <c r="M326" s="77"/>
      <c r="N326" s="77"/>
      <c r="O326" s="77"/>
      <c r="P326" s="77"/>
      <c r="Q326" s="77"/>
      <c r="R326" s="77"/>
      <c r="S326" s="77"/>
      <c r="T326" s="77"/>
      <c r="U326" s="77"/>
      <c r="V326" s="77"/>
      <c r="W326" s="77"/>
      <c r="X326" s="77"/>
      <c r="Y326" s="77"/>
      <c r="Z326" s="77"/>
      <c r="AA326" s="77"/>
      <c r="AB326" s="77"/>
      <c r="AC326" s="77"/>
      <c r="AD326" s="77"/>
      <c r="AE326" s="77"/>
      <c r="AF326" s="77"/>
      <c r="AG326" s="77"/>
      <c r="AH326" s="77"/>
      <c r="AI326" s="77"/>
      <c r="AJ326" s="77"/>
      <c r="AK326" s="77"/>
      <c r="AL326" s="77"/>
      <c r="AM326" s="77"/>
      <c r="AN326" s="77"/>
      <c r="AO326" s="77"/>
      <c r="AP326" s="77"/>
      <c r="AQ326" s="77"/>
      <c r="AR326" s="77"/>
      <c r="AS326" s="77"/>
      <c r="AT326" s="77"/>
      <c r="AU326" s="77"/>
      <c r="AV326" s="77"/>
      <c r="AW326" s="77"/>
      <c r="AX326" s="77"/>
      <c r="AY326" s="77"/>
      <c r="AZ326" s="77"/>
      <c r="BA326" s="77"/>
      <c r="BB326" s="77"/>
      <c r="BC326" s="77"/>
      <c r="BD326" s="77"/>
      <c r="BE326" s="77"/>
      <c r="BF326" s="77"/>
      <c r="BG326" s="77"/>
      <c r="BH326" s="77"/>
      <c r="BI326" s="77"/>
      <c r="BJ326" s="77"/>
      <c r="BK326" s="77"/>
      <c r="BL326" s="77"/>
      <c r="BM326" s="77"/>
      <c r="BN326" s="77"/>
      <c r="BO326" s="77"/>
      <c r="BP326" s="77"/>
      <c r="BQ326" s="77"/>
      <c r="BR326" s="77"/>
      <c r="BS326" s="77"/>
      <c r="BT326" s="77"/>
      <c r="BU326" s="77"/>
      <c r="BV326" s="77"/>
      <c r="BW326" s="77"/>
      <c r="BX326" s="77"/>
      <c r="BY326" s="77"/>
      <c r="BZ326" s="77"/>
      <c r="CA326" s="77"/>
      <c r="CB326" s="77"/>
      <c r="CC326" s="77"/>
      <c r="CD326" s="77"/>
      <c r="CE326" s="77"/>
      <c r="CF326" s="77"/>
      <c r="CG326" s="77"/>
      <c r="CH326" s="77"/>
      <c r="CI326" s="77"/>
      <c r="CJ326" s="77"/>
      <c r="CK326" s="77"/>
      <c r="CL326" s="77"/>
      <c r="CM326" s="77"/>
      <c r="CN326" s="77"/>
      <c r="CO326" s="77"/>
      <c r="CP326" s="77"/>
      <c r="CQ326" s="77"/>
      <c r="CR326" s="77"/>
      <c r="CS326" s="77"/>
      <c r="CT326" s="77"/>
      <c r="CU326" s="77"/>
      <c r="CV326" s="77"/>
      <c r="CW326" s="77"/>
      <c r="CX326" s="77"/>
      <c r="CY326" s="77"/>
      <c r="CZ326" s="77"/>
      <c r="DA326" s="77"/>
      <c r="DB326" s="77"/>
      <c r="DC326" s="77"/>
      <c r="DD326" s="77"/>
      <c r="DE326" s="77"/>
      <c r="DF326" s="77"/>
      <c r="DG326" s="77"/>
      <c r="DH326" s="77"/>
      <c r="DI326" s="77"/>
      <c r="DJ326" s="77"/>
      <c r="DK326" s="77"/>
      <c r="DL326" s="77"/>
      <c r="DM326" s="77"/>
      <c r="DN326" s="77"/>
      <c r="DO326" s="77"/>
      <c r="DP326" s="77"/>
      <c r="DQ326" s="77"/>
      <c r="DR326" s="77"/>
      <c r="DS326" s="77"/>
      <c r="DT326" s="77"/>
      <c r="DU326" s="77"/>
      <c r="DV326" s="77"/>
      <c r="DW326" s="77"/>
      <c r="DX326" s="77"/>
      <c r="DY326" s="77"/>
      <c r="DZ326" s="77"/>
      <c r="EA326" s="77"/>
      <c r="EB326" s="77"/>
      <c r="EC326" s="77"/>
      <c r="ED326" s="77"/>
      <c r="EE326" s="77"/>
      <c r="EF326" s="77"/>
      <c r="EG326" s="77"/>
      <c r="EH326" s="77"/>
      <c r="EI326" s="77"/>
      <c r="EJ326" s="77"/>
      <c r="EK326" s="77"/>
      <c r="EL326" s="77"/>
    </row>
    <row r="327" spans="1:142" s="78" customFormat="1">
      <c r="B327" s="1514"/>
      <c r="C327" s="1524"/>
      <c r="D327" s="79"/>
      <c r="E327" s="1515"/>
      <c r="F327" s="77"/>
      <c r="G327" s="77"/>
      <c r="H327" s="77"/>
      <c r="I327" s="77"/>
      <c r="J327" s="77"/>
      <c r="K327" s="77"/>
      <c r="L327" s="77"/>
      <c r="M327" s="77"/>
      <c r="N327" s="77"/>
      <c r="O327" s="77"/>
      <c r="P327" s="77"/>
      <c r="Q327" s="77"/>
      <c r="R327" s="77"/>
      <c r="S327" s="77"/>
      <c r="T327" s="77"/>
      <c r="U327" s="77"/>
      <c r="V327" s="77"/>
      <c r="W327" s="77"/>
      <c r="X327" s="77"/>
      <c r="Y327" s="77"/>
      <c r="Z327" s="77"/>
      <c r="AA327" s="77"/>
      <c r="AB327" s="77"/>
      <c r="AC327" s="77"/>
      <c r="AD327" s="77"/>
      <c r="AE327" s="77"/>
      <c r="AF327" s="77"/>
      <c r="AG327" s="77"/>
      <c r="AH327" s="77"/>
      <c r="AI327" s="77"/>
      <c r="AJ327" s="77"/>
      <c r="AK327" s="77"/>
      <c r="AL327" s="77"/>
      <c r="AM327" s="77"/>
      <c r="AN327" s="77"/>
      <c r="AO327" s="77"/>
      <c r="AP327" s="77"/>
      <c r="AQ327" s="77"/>
      <c r="AR327" s="77"/>
      <c r="AS327" s="77"/>
      <c r="AT327" s="77"/>
      <c r="AU327" s="77"/>
      <c r="AV327" s="77"/>
      <c r="AW327" s="77"/>
      <c r="AX327" s="77"/>
      <c r="AY327" s="77"/>
      <c r="AZ327" s="77"/>
      <c r="BA327" s="77"/>
      <c r="BB327" s="77"/>
      <c r="BC327" s="77"/>
      <c r="BD327" s="77"/>
      <c r="BE327" s="77"/>
      <c r="BF327" s="77"/>
      <c r="BG327" s="77"/>
      <c r="BH327" s="77"/>
      <c r="BI327" s="77"/>
      <c r="BJ327" s="77"/>
      <c r="BK327" s="77"/>
      <c r="BL327" s="77"/>
      <c r="BM327" s="77"/>
      <c r="BN327" s="77"/>
      <c r="BO327" s="77"/>
      <c r="BP327" s="77"/>
      <c r="BQ327" s="77"/>
      <c r="BR327" s="77"/>
      <c r="BS327" s="77"/>
      <c r="BT327" s="77"/>
      <c r="BU327" s="77"/>
      <c r="BV327" s="77"/>
      <c r="BW327" s="77"/>
      <c r="BX327" s="77"/>
      <c r="BY327" s="77"/>
      <c r="BZ327" s="77"/>
      <c r="CA327" s="77"/>
      <c r="CB327" s="77"/>
      <c r="CC327" s="77"/>
      <c r="CD327" s="77"/>
      <c r="CE327" s="77"/>
      <c r="CF327" s="77"/>
      <c r="CG327" s="77"/>
      <c r="CH327" s="77"/>
      <c r="CI327" s="77"/>
      <c r="CJ327" s="77"/>
      <c r="CK327" s="77"/>
      <c r="CL327" s="77"/>
      <c r="CM327" s="77"/>
      <c r="CN327" s="77"/>
      <c r="CO327" s="77"/>
      <c r="CP327" s="77"/>
      <c r="CQ327" s="77"/>
      <c r="CR327" s="77"/>
      <c r="CS327" s="77"/>
      <c r="CT327" s="77"/>
      <c r="CU327" s="77"/>
      <c r="CV327" s="77"/>
      <c r="CW327" s="77"/>
      <c r="CX327" s="77"/>
      <c r="CY327" s="77"/>
      <c r="CZ327" s="77"/>
      <c r="DA327" s="77"/>
      <c r="DB327" s="77"/>
      <c r="DC327" s="77"/>
      <c r="DD327" s="77"/>
      <c r="DE327" s="77"/>
      <c r="DF327" s="77"/>
      <c r="DG327" s="77"/>
      <c r="DH327" s="77"/>
      <c r="DI327" s="77"/>
      <c r="DJ327" s="77"/>
      <c r="DK327" s="77"/>
      <c r="DL327" s="77"/>
      <c r="DM327" s="77"/>
      <c r="DN327" s="77"/>
      <c r="DO327" s="77"/>
      <c r="DP327" s="77"/>
      <c r="DQ327" s="77"/>
      <c r="DR327" s="77"/>
      <c r="DS327" s="77"/>
      <c r="DT327" s="77"/>
      <c r="DU327" s="77"/>
      <c r="DV327" s="77"/>
      <c r="DW327" s="77"/>
      <c r="DX327" s="77"/>
      <c r="DY327" s="77"/>
      <c r="DZ327" s="77"/>
      <c r="EA327" s="77"/>
      <c r="EB327" s="77"/>
      <c r="EC327" s="77"/>
      <c r="ED327" s="77"/>
      <c r="EE327" s="77"/>
      <c r="EF327" s="77"/>
      <c r="EG327" s="77"/>
      <c r="EH327" s="77"/>
      <c r="EI327" s="77"/>
      <c r="EJ327" s="77"/>
      <c r="EK327" s="77"/>
      <c r="EL327" s="77"/>
    </row>
    <row r="328" spans="1:142" s="78" customFormat="1" ht="13.5" thickBot="1">
      <c r="B328" s="1514"/>
      <c r="C328" s="66"/>
      <c r="D328" s="79"/>
      <c r="E328" s="1515"/>
      <c r="F328" s="77"/>
      <c r="G328" s="77"/>
      <c r="H328" s="77"/>
      <c r="I328" s="77"/>
      <c r="J328" s="77"/>
      <c r="K328" s="77"/>
      <c r="L328" s="77"/>
      <c r="M328" s="77"/>
      <c r="N328" s="77"/>
      <c r="O328" s="77"/>
      <c r="P328" s="77"/>
      <c r="Q328" s="77"/>
      <c r="R328" s="77"/>
      <c r="S328" s="77"/>
      <c r="T328" s="77"/>
      <c r="U328" s="77"/>
      <c r="V328" s="77"/>
      <c r="W328" s="77"/>
      <c r="X328" s="77"/>
      <c r="Y328" s="77"/>
      <c r="Z328" s="77"/>
      <c r="AA328" s="77"/>
      <c r="AB328" s="77"/>
      <c r="AC328" s="77"/>
      <c r="AD328" s="77"/>
      <c r="AE328" s="77"/>
      <c r="AF328" s="77"/>
      <c r="AG328" s="77"/>
      <c r="AH328" s="77"/>
      <c r="AI328" s="77"/>
      <c r="AJ328" s="77"/>
      <c r="AK328" s="77"/>
      <c r="AL328" s="77"/>
      <c r="AM328" s="77"/>
      <c r="AN328" s="77"/>
      <c r="AO328" s="77"/>
      <c r="AP328" s="77"/>
      <c r="AQ328" s="77"/>
      <c r="AR328" s="77"/>
      <c r="AS328" s="77"/>
      <c r="AT328" s="77"/>
      <c r="AU328" s="77"/>
      <c r="AV328" s="77"/>
      <c r="AW328" s="77"/>
      <c r="AX328" s="77"/>
      <c r="AY328" s="77"/>
      <c r="AZ328" s="77"/>
      <c r="BA328" s="77"/>
      <c r="BB328" s="77"/>
      <c r="BC328" s="77"/>
      <c r="BD328" s="77"/>
      <c r="BE328" s="77"/>
      <c r="BF328" s="77"/>
      <c r="BG328" s="77"/>
      <c r="BH328" s="77"/>
      <c r="BI328" s="77"/>
      <c r="BJ328" s="77"/>
      <c r="BK328" s="77"/>
      <c r="BL328" s="77"/>
      <c r="BM328" s="77"/>
      <c r="BN328" s="77"/>
      <c r="BO328" s="77"/>
      <c r="BP328" s="77"/>
      <c r="BQ328" s="77"/>
      <c r="BR328" s="77"/>
      <c r="BS328" s="77"/>
      <c r="BT328" s="77"/>
      <c r="BU328" s="77"/>
      <c r="BV328" s="77"/>
      <c r="BW328" s="77"/>
      <c r="BX328" s="77"/>
      <c r="BY328" s="77"/>
      <c r="BZ328" s="77"/>
      <c r="CA328" s="77"/>
      <c r="CB328" s="77"/>
      <c r="CC328" s="77"/>
      <c r="CD328" s="77"/>
      <c r="CE328" s="77"/>
      <c r="CF328" s="77"/>
      <c r="CG328" s="77"/>
      <c r="CH328" s="77"/>
      <c r="CI328" s="77"/>
      <c r="CJ328" s="77"/>
      <c r="CK328" s="77"/>
      <c r="CL328" s="77"/>
      <c r="CM328" s="77"/>
      <c r="CN328" s="77"/>
      <c r="CO328" s="77"/>
      <c r="CP328" s="77"/>
      <c r="CQ328" s="77"/>
      <c r="CR328" s="77"/>
      <c r="CS328" s="77"/>
      <c r="CT328" s="77"/>
      <c r="CU328" s="77"/>
      <c r="CV328" s="77"/>
      <c r="CW328" s="77"/>
      <c r="CX328" s="77"/>
      <c r="CY328" s="77"/>
      <c r="CZ328" s="77"/>
      <c r="DA328" s="77"/>
      <c r="DB328" s="77"/>
      <c r="DC328" s="77"/>
      <c r="DD328" s="77"/>
      <c r="DE328" s="77"/>
      <c r="DF328" s="77"/>
      <c r="DG328" s="77"/>
      <c r="DH328" s="77"/>
      <c r="DI328" s="77"/>
      <c r="DJ328" s="77"/>
      <c r="DK328" s="77"/>
      <c r="DL328" s="77"/>
      <c r="DM328" s="77"/>
      <c r="DN328" s="77"/>
      <c r="DO328" s="77"/>
      <c r="DP328" s="77"/>
      <c r="DQ328" s="77"/>
      <c r="DR328" s="77"/>
      <c r="DS328" s="77"/>
      <c r="DT328" s="77"/>
      <c r="DU328" s="77"/>
      <c r="DV328" s="77"/>
      <c r="DW328" s="77"/>
      <c r="DX328" s="77"/>
      <c r="DY328" s="77"/>
      <c r="DZ328" s="77"/>
      <c r="EA328" s="77"/>
      <c r="EB328" s="77"/>
      <c r="EC328" s="77"/>
      <c r="ED328" s="77"/>
      <c r="EE328" s="77"/>
      <c r="EF328" s="77"/>
      <c r="EG328" s="77"/>
      <c r="EH328" s="77"/>
      <c r="EI328" s="77"/>
      <c r="EJ328" s="77"/>
      <c r="EK328" s="77"/>
      <c r="EL328" s="77"/>
    </row>
    <row r="329" spans="1:142" s="78" customFormat="1" ht="13.5" thickBot="1">
      <c r="A329" s="97"/>
      <c r="B329" s="556" t="s">
        <v>218</v>
      </c>
      <c r="C329" s="128"/>
      <c r="D329" s="86"/>
      <c r="E329" s="1016">
        <f ca="1">Outside!F66+EWC!F66</f>
        <v>91340.320992362249</v>
      </c>
      <c r="F329" s="77" t="s">
        <v>766</v>
      </c>
      <c r="G329" s="77"/>
      <c r="H329" s="77"/>
      <c r="I329" s="77"/>
      <c r="J329" s="77"/>
      <c r="K329" s="77"/>
      <c r="L329" s="77"/>
      <c r="M329" s="77"/>
      <c r="N329" s="77"/>
      <c r="O329" s="77"/>
      <c r="P329" s="77"/>
      <c r="Q329" s="77"/>
      <c r="R329" s="77"/>
      <c r="S329" s="77"/>
      <c r="T329" s="77"/>
      <c r="U329" s="77"/>
      <c r="V329" s="77"/>
      <c r="W329" s="77"/>
      <c r="X329" s="77"/>
      <c r="Y329" s="77"/>
      <c r="Z329" s="77"/>
      <c r="AA329" s="77"/>
      <c r="AB329" s="77"/>
      <c r="AC329" s="77"/>
      <c r="AD329" s="77"/>
      <c r="AE329" s="77"/>
      <c r="AF329" s="77"/>
      <c r="AG329" s="77"/>
      <c r="AH329" s="77"/>
      <c r="AI329" s="77"/>
      <c r="AJ329" s="77"/>
      <c r="AK329" s="77"/>
      <c r="AL329" s="77"/>
      <c r="AM329" s="77"/>
      <c r="AN329" s="77"/>
      <c r="AO329" s="77"/>
      <c r="AP329" s="77"/>
      <c r="AQ329" s="77"/>
      <c r="AR329" s="77"/>
      <c r="AS329" s="77"/>
      <c r="AT329" s="77"/>
      <c r="AU329" s="77"/>
      <c r="AV329" s="77"/>
      <c r="AW329" s="77"/>
      <c r="AX329" s="77"/>
      <c r="AY329" s="77"/>
      <c r="AZ329" s="77"/>
      <c r="BA329" s="77"/>
      <c r="BB329" s="77"/>
      <c r="BC329" s="77"/>
      <c r="BD329" s="77"/>
      <c r="BE329" s="77"/>
      <c r="BF329" s="77"/>
      <c r="BG329" s="77"/>
      <c r="BH329" s="77"/>
      <c r="BI329" s="77"/>
      <c r="BJ329" s="77"/>
      <c r="BK329" s="77"/>
      <c r="BL329" s="77"/>
      <c r="BM329" s="77"/>
      <c r="BN329" s="77"/>
      <c r="BO329" s="77"/>
      <c r="BP329" s="77"/>
      <c r="BQ329" s="77"/>
      <c r="BR329" s="77"/>
      <c r="BS329" s="77"/>
      <c r="BT329" s="77"/>
      <c r="BU329" s="77"/>
      <c r="BV329" s="77"/>
      <c r="BW329" s="77"/>
      <c r="BX329" s="77"/>
      <c r="BY329" s="77"/>
      <c r="BZ329" s="77"/>
      <c r="CA329" s="77"/>
      <c r="CB329" s="77"/>
      <c r="CC329" s="77"/>
      <c r="CD329" s="77"/>
      <c r="CE329" s="77"/>
      <c r="CF329" s="77"/>
      <c r="CG329" s="77"/>
      <c r="CH329" s="77"/>
      <c r="CI329" s="77"/>
      <c r="CJ329" s="77"/>
      <c r="CK329" s="77"/>
      <c r="CL329" s="77"/>
      <c r="CM329" s="77"/>
      <c r="CN329" s="77"/>
      <c r="CO329" s="77"/>
      <c r="CP329" s="77"/>
      <c r="CQ329" s="77"/>
      <c r="CR329" s="77"/>
      <c r="CS329" s="77"/>
      <c r="CT329" s="77"/>
      <c r="CU329" s="77"/>
      <c r="CV329" s="77"/>
      <c r="CW329" s="77"/>
      <c r="CX329" s="77"/>
      <c r="CY329" s="77"/>
      <c r="CZ329" s="77"/>
      <c r="DA329" s="77"/>
      <c r="DB329" s="77"/>
      <c r="DC329" s="77"/>
      <c r="DD329" s="77"/>
      <c r="DE329" s="77"/>
      <c r="DF329" s="77"/>
      <c r="DG329" s="77"/>
      <c r="DH329" s="77"/>
      <c r="DI329" s="77"/>
      <c r="DJ329" s="77"/>
      <c r="DK329" s="77"/>
      <c r="DL329" s="77"/>
      <c r="DM329" s="77"/>
      <c r="DN329" s="77"/>
      <c r="DO329" s="77"/>
      <c r="DP329" s="77"/>
      <c r="DQ329" s="77"/>
      <c r="DR329" s="77"/>
      <c r="DS329" s="77"/>
      <c r="DT329" s="77"/>
      <c r="DU329" s="77"/>
      <c r="DV329" s="77"/>
      <c r="DW329" s="77"/>
      <c r="DX329" s="77"/>
      <c r="DY329" s="77"/>
      <c r="DZ329" s="77"/>
      <c r="EA329" s="77"/>
      <c r="EB329" s="77"/>
      <c r="EC329" s="77"/>
      <c r="ED329" s="77"/>
      <c r="EE329" s="77"/>
      <c r="EF329" s="77"/>
      <c r="EG329" s="77"/>
      <c r="EH329" s="77"/>
      <c r="EI329" s="77"/>
      <c r="EJ329" s="77"/>
      <c r="EK329" s="77"/>
      <c r="EL329" s="77"/>
    </row>
    <row r="330" spans="1:142" s="78" customFormat="1">
      <c r="A330" s="97"/>
      <c r="B330" s="105" t="s">
        <v>669</v>
      </c>
      <c r="C330" s="89"/>
      <c r="D330" s="40"/>
      <c r="E330" s="114">
        <v>0.125</v>
      </c>
      <c r="F330" s="12" t="s">
        <v>690</v>
      </c>
      <c r="G330" s="77"/>
      <c r="H330" s="77"/>
      <c r="I330" s="77"/>
      <c r="J330" s="77"/>
      <c r="K330" s="77"/>
      <c r="L330" s="77"/>
      <c r="M330" s="77"/>
      <c r="N330" s="77"/>
      <c r="O330" s="77"/>
      <c r="P330" s="77"/>
      <c r="Q330" s="77"/>
      <c r="R330" s="77"/>
      <c r="S330" s="77"/>
      <c r="T330" s="77"/>
      <c r="U330" s="77"/>
      <c r="V330" s="77"/>
      <c r="W330" s="77"/>
      <c r="X330" s="77"/>
      <c r="Y330" s="77"/>
      <c r="Z330" s="77"/>
      <c r="AA330" s="77"/>
      <c r="AB330" s="77"/>
      <c r="AC330" s="77"/>
      <c r="AD330" s="77"/>
      <c r="AE330" s="77"/>
      <c r="AF330" s="77"/>
      <c r="AG330" s="77"/>
      <c r="AH330" s="77"/>
      <c r="AI330" s="77"/>
      <c r="AJ330" s="77"/>
      <c r="AK330" s="77"/>
      <c r="AL330" s="77"/>
      <c r="AM330" s="77"/>
      <c r="AN330" s="77"/>
      <c r="AO330" s="77"/>
      <c r="AP330" s="77"/>
      <c r="AQ330" s="77"/>
      <c r="AR330" s="77"/>
      <c r="AS330" s="77"/>
      <c r="AT330" s="77"/>
      <c r="AU330" s="77"/>
      <c r="AV330" s="77"/>
      <c r="AW330" s="77"/>
      <c r="AX330" s="77"/>
      <c r="AY330" s="77"/>
      <c r="AZ330" s="77"/>
      <c r="BA330" s="77"/>
      <c r="BB330" s="77"/>
      <c r="BC330" s="77"/>
      <c r="BD330" s="77"/>
      <c r="BE330" s="77"/>
      <c r="BF330" s="77"/>
      <c r="BG330" s="77"/>
      <c r="BH330" s="77"/>
      <c r="BI330" s="77"/>
      <c r="BJ330" s="77"/>
      <c r="BK330" s="77"/>
      <c r="BL330" s="77"/>
      <c r="BM330" s="77"/>
      <c r="BN330" s="77"/>
      <c r="BO330" s="77"/>
      <c r="BP330" s="77"/>
      <c r="BQ330" s="77"/>
      <c r="BR330" s="77"/>
      <c r="BS330" s="77"/>
      <c r="BT330" s="77"/>
      <c r="BU330" s="77"/>
      <c r="BV330" s="77"/>
      <c r="BW330" s="77"/>
      <c r="BX330" s="77"/>
      <c r="BY330" s="77"/>
      <c r="BZ330" s="77"/>
      <c r="CA330" s="77"/>
      <c r="CB330" s="77"/>
      <c r="CC330" s="77"/>
      <c r="CD330" s="77"/>
      <c r="CE330" s="77"/>
      <c r="CF330" s="77"/>
      <c r="CG330" s="77"/>
      <c r="CH330" s="77"/>
      <c r="CI330" s="77"/>
      <c r="CJ330" s="77"/>
      <c r="CK330" s="77"/>
      <c r="CL330" s="77"/>
      <c r="CM330" s="77"/>
      <c r="CN330" s="77"/>
      <c r="CO330" s="77"/>
      <c r="CP330" s="77"/>
      <c r="CQ330" s="77"/>
      <c r="CR330" s="77"/>
      <c r="CS330" s="77"/>
      <c r="CT330" s="77"/>
      <c r="CU330" s="77"/>
      <c r="CV330" s="77"/>
      <c r="CW330" s="77"/>
      <c r="CX330" s="77"/>
      <c r="CY330" s="77"/>
      <c r="CZ330" s="77"/>
      <c r="DA330" s="77"/>
      <c r="DB330" s="77"/>
      <c r="DC330" s="77"/>
      <c r="DD330" s="77"/>
      <c r="DE330" s="77"/>
      <c r="DF330" s="77"/>
      <c r="DG330" s="77"/>
      <c r="DH330" s="77"/>
      <c r="DI330" s="77"/>
      <c r="DJ330" s="77"/>
      <c r="DK330" s="77"/>
      <c r="DL330" s="77"/>
      <c r="DM330" s="77"/>
      <c r="DN330" s="77"/>
      <c r="DO330" s="77"/>
      <c r="DP330" s="77"/>
      <c r="DQ330" s="77"/>
      <c r="DR330" s="77"/>
      <c r="DS330" s="77"/>
      <c r="DT330" s="77"/>
      <c r="DU330" s="77"/>
      <c r="DV330" s="77"/>
      <c r="DW330" s="77"/>
      <c r="DX330" s="77"/>
      <c r="DY330" s="77"/>
      <c r="DZ330" s="77"/>
      <c r="EA330" s="77"/>
      <c r="EB330" s="77"/>
      <c r="EC330" s="77"/>
      <c r="ED330" s="77"/>
      <c r="EE330" s="77"/>
      <c r="EF330" s="77"/>
      <c r="EG330" s="77"/>
      <c r="EH330" s="77"/>
      <c r="EI330" s="77"/>
      <c r="EJ330" s="77"/>
      <c r="EK330" s="77"/>
      <c r="EL330" s="77"/>
    </row>
    <row r="331" spans="1:142" s="78" customFormat="1">
      <c r="A331" s="97"/>
      <c r="B331" s="237" t="s">
        <v>217</v>
      </c>
      <c r="C331" s="237"/>
      <c r="D331" s="96"/>
      <c r="E331" s="1015">
        <v>1</v>
      </c>
      <c r="F331" s="77"/>
      <c r="H331" s="77"/>
      <c r="I331" s="77"/>
      <c r="J331" s="77"/>
      <c r="K331" s="77"/>
      <c r="L331" s="77"/>
      <c r="M331" s="77"/>
      <c r="N331" s="77"/>
      <c r="O331" s="77"/>
      <c r="P331" s="77"/>
      <c r="Q331" s="77"/>
      <c r="R331" s="77"/>
      <c r="S331" s="77"/>
      <c r="T331" s="77"/>
      <c r="U331" s="77"/>
      <c r="V331" s="77"/>
      <c r="W331" s="77"/>
      <c r="X331" s="77"/>
      <c r="Y331" s="77"/>
      <c r="Z331" s="77"/>
      <c r="AA331" s="77"/>
      <c r="AB331" s="77"/>
      <c r="AC331" s="77"/>
      <c r="AD331" s="77"/>
      <c r="AE331" s="77"/>
      <c r="AF331" s="77"/>
      <c r="AG331" s="77"/>
      <c r="AH331" s="77"/>
      <c r="AI331" s="77"/>
      <c r="AJ331" s="77"/>
      <c r="AK331" s="77"/>
      <c r="AL331" s="77"/>
      <c r="AM331" s="77"/>
      <c r="AN331" s="77"/>
      <c r="AO331" s="77"/>
      <c r="AP331" s="77"/>
      <c r="AQ331" s="77"/>
      <c r="AR331" s="77"/>
      <c r="AS331" s="77"/>
      <c r="AT331" s="77"/>
      <c r="AU331" s="77"/>
      <c r="AV331" s="77"/>
      <c r="AW331" s="77"/>
      <c r="AX331" s="77"/>
      <c r="AY331" s="77"/>
      <c r="AZ331" s="77"/>
      <c r="BA331" s="77"/>
      <c r="BB331" s="77"/>
      <c r="BC331" s="77"/>
      <c r="BD331" s="77"/>
      <c r="BE331" s="77"/>
      <c r="BF331" s="77"/>
      <c r="BG331" s="77"/>
      <c r="BH331" s="77"/>
      <c r="BI331" s="77"/>
      <c r="BJ331" s="77"/>
      <c r="BK331" s="77"/>
      <c r="BL331" s="77"/>
      <c r="BM331" s="77"/>
      <c r="BN331" s="77"/>
      <c r="BO331" s="77"/>
      <c r="BP331" s="77"/>
      <c r="BQ331" s="77"/>
      <c r="BR331" s="77"/>
      <c r="BS331" s="77"/>
      <c r="BT331" s="77"/>
      <c r="BU331" s="77"/>
      <c r="BV331" s="77"/>
      <c r="BW331" s="77"/>
      <c r="BX331" s="77"/>
      <c r="BY331" s="77"/>
      <c r="BZ331" s="77"/>
      <c r="CA331" s="77"/>
      <c r="CB331" s="77"/>
      <c r="CC331" s="77"/>
      <c r="CD331" s="77"/>
      <c r="CE331" s="77"/>
      <c r="CF331" s="77"/>
      <c r="CG331" s="77"/>
      <c r="CH331" s="77"/>
      <c r="CI331" s="77"/>
      <c r="CJ331" s="77"/>
      <c r="CK331" s="77"/>
      <c r="CL331" s="77"/>
      <c r="CM331" s="77"/>
      <c r="CN331" s="77"/>
      <c r="CO331" s="77"/>
      <c r="CP331" s="77"/>
      <c r="CQ331" s="77"/>
      <c r="CR331" s="77"/>
      <c r="CS331" s="77"/>
      <c r="CT331" s="77"/>
      <c r="CU331" s="77"/>
      <c r="CV331" s="77"/>
      <c r="CW331" s="77"/>
      <c r="CX331" s="77"/>
      <c r="CY331" s="77"/>
      <c r="CZ331" s="77"/>
      <c r="DA331" s="77"/>
      <c r="DB331" s="77"/>
      <c r="DC331" s="77"/>
      <c r="DD331" s="77"/>
      <c r="DE331" s="77"/>
      <c r="DF331" s="77"/>
      <c r="DG331" s="77"/>
      <c r="DH331" s="77"/>
      <c r="DI331" s="77"/>
      <c r="DJ331" s="77"/>
      <c r="DK331" s="77"/>
      <c r="DL331" s="77"/>
      <c r="DM331" s="77"/>
      <c r="DN331" s="77"/>
      <c r="DO331" s="77"/>
      <c r="DP331" s="77"/>
      <c r="DQ331" s="77"/>
      <c r="DR331" s="77"/>
      <c r="DS331" s="77"/>
      <c r="DT331" s="77"/>
      <c r="DU331" s="77"/>
      <c r="DV331" s="77"/>
      <c r="DW331" s="77"/>
      <c r="DX331" s="77"/>
      <c r="DY331" s="77"/>
      <c r="DZ331" s="77"/>
      <c r="EA331" s="77"/>
      <c r="EB331" s="77"/>
      <c r="EC331" s="77"/>
      <c r="ED331" s="77"/>
      <c r="EE331" s="77"/>
      <c r="EF331" s="77"/>
      <c r="EG331" s="77"/>
      <c r="EH331" s="77"/>
      <c r="EI331" s="77"/>
      <c r="EJ331" s="77"/>
      <c r="EK331" s="77"/>
      <c r="EL331" s="77"/>
    </row>
    <row r="332" spans="1:142" s="78" customFormat="1">
      <c r="A332" s="85"/>
      <c r="F332" s="79"/>
      <c r="G332" s="226"/>
      <c r="H332" s="79"/>
      <c r="I332" s="79"/>
      <c r="J332" s="77"/>
      <c r="K332" s="77"/>
      <c r="L332" s="77"/>
      <c r="M332" s="77"/>
      <c r="N332" s="77"/>
      <c r="O332" s="77"/>
      <c r="P332" s="77"/>
      <c r="Q332" s="77"/>
      <c r="R332" s="77"/>
      <c r="S332" s="77"/>
      <c r="T332" s="77"/>
      <c r="U332" s="77"/>
      <c r="V332" s="77"/>
      <c r="W332" s="77"/>
      <c r="X332" s="77"/>
      <c r="Y332" s="77"/>
      <c r="Z332" s="77"/>
      <c r="AA332" s="77"/>
      <c r="AB332" s="77"/>
      <c r="AC332" s="77"/>
      <c r="AD332" s="77"/>
      <c r="AE332" s="77"/>
      <c r="AF332" s="77"/>
      <c r="AG332" s="77"/>
      <c r="AH332" s="77"/>
      <c r="AI332" s="77"/>
      <c r="AJ332" s="77"/>
      <c r="AK332" s="77"/>
      <c r="AL332" s="77"/>
      <c r="AM332" s="77"/>
      <c r="AN332" s="77"/>
      <c r="AO332" s="77"/>
      <c r="AP332" s="77"/>
      <c r="AQ332" s="77"/>
      <c r="AR332" s="77"/>
      <c r="AS332" s="77"/>
      <c r="AT332" s="77"/>
      <c r="AU332" s="77"/>
      <c r="AV332" s="77"/>
      <c r="AW332" s="77"/>
      <c r="AX332" s="77"/>
      <c r="AY332" s="77"/>
      <c r="AZ332" s="77"/>
      <c r="BA332" s="77"/>
      <c r="BB332" s="77"/>
      <c r="BC332" s="77"/>
      <c r="BD332" s="77"/>
      <c r="BE332" s="77"/>
      <c r="BF332" s="77"/>
      <c r="BG332" s="77"/>
      <c r="BH332" s="77"/>
      <c r="BI332" s="77"/>
      <c r="BJ332" s="77"/>
      <c r="BK332" s="77"/>
      <c r="BL332" s="77"/>
      <c r="BM332" s="77"/>
      <c r="BN332" s="77"/>
      <c r="BO332" s="77"/>
      <c r="BP332" s="77"/>
      <c r="BQ332" s="77"/>
      <c r="BR332" s="77"/>
      <c r="BS332" s="77"/>
      <c r="BT332" s="77"/>
      <c r="BU332" s="77"/>
      <c r="BV332" s="77"/>
      <c r="BW332" s="77"/>
      <c r="BX332" s="77"/>
      <c r="BY332" s="77"/>
      <c r="BZ332" s="77"/>
      <c r="CA332" s="77"/>
      <c r="CB332" s="77"/>
      <c r="CC332" s="77"/>
      <c r="CD332" s="77"/>
      <c r="CE332" s="77"/>
      <c r="CF332" s="77"/>
      <c r="CG332" s="77"/>
      <c r="CH332" s="77"/>
      <c r="CI332" s="77"/>
      <c r="CJ332" s="77"/>
      <c r="CK332" s="77"/>
      <c r="CL332" s="77"/>
      <c r="CM332" s="77"/>
      <c r="CN332" s="77"/>
      <c r="CO332" s="77"/>
      <c r="CP332" s="77"/>
      <c r="CQ332" s="77"/>
      <c r="CR332" s="77"/>
      <c r="CS332" s="77"/>
      <c r="CT332" s="77"/>
      <c r="CU332" s="77"/>
      <c r="CV332" s="77"/>
      <c r="CW332" s="77"/>
      <c r="CX332" s="77"/>
      <c r="CY332" s="77"/>
      <c r="CZ332" s="77"/>
      <c r="DA332" s="77"/>
      <c r="DB332" s="77"/>
      <c r="DC332" s="77"/>
      <c r="DD332" s="77"/>
      <c r="DE332" s="77"/>
      <c r="DF332" s="77"/>
      <c r="DG332" s="77"/>
      <c r="DH332" s="77"/>
      <c r="DI332" s="77"/>
      <c r="DJ332" s="77"/>
      <c r="DK332" s="77"/>
      <c r="DL332" s="77"/>
      <c r="DM332" s="77"/>
      <c r="DN332" s="77"/>
      <c r="DO332" s="77"/>
      <c r="DP332" s="77"/>
      <c r="DQ332" s="77"/>
      <c r="DR332" s="77"/>
      <c r="DS332" s="77"/>
      <c r="DT332" s="77"/>
      <c r="DU332" s="77"/>
      <c r="DV332" s="77"/>
      <c r="DW332" s="77"/>
      <c r="DX332" s="77"/>
      <c r="DY332" s="77"/>
      <c r="DZ332" s="77"/>
      <c r="EA332" s="77"/>
      <c r="EB332" s="77"/>
      <c r="EC332" s="77"/>
      <c r="ED332" s="77"/>
      <c r="EE332" s="77"/>
      <c r="EF332" s="77"/>
      <c r="EG332" s="77"/>
      <c r="EH332" s="77"/>
      <c r="EI332" s="77"/>
      <c r="EJ332" s="77"/>
      <c r="EK332" s="77"/>
      <c r="EL332" s="77"/>
    </row>
    <row r="333" spans="1:142" s="78" customFormat="1" ht="13.5" thickBot="1">
      <c r="A333" s="85"/>
      <c r="B333" s="85" t="s">
        <v>324</v>
      </c>
      <c r="C333" s="85"/>
      <c r="D333" s="86"/>
      <c r="E333" s="1041">
        <f ca="1">E329</f>
        <v>91340.320992362249</v>
      </c>
      <c r="F333" s="79"/>
      <c r="G333" s="887" t="s">
        <v>13</v>
      </c>
      <c r="H333" s="415" t="s">
        <v>244</v>
      </c>
      <c r="J333" s="77"/>
      <c r="K333" s="77"/>
      <c r="L333" s="77"/>
      <c r="M333" s="77"/>
      <c r="N333" s="77"/>
      <c r="O333" s="77"/>
      <c r="P333" s="77"/>
      <c r="Q333" s="77"/>
      <c r="R333" s="77"/>
      <c r="S333" s="77"/>
      <c r="T333" s="77"/>
      <c r="U333" s="77"/>
      <c r="V333" s="77"/>
      <c r="W333" s="77"/>
      <c r="X333" s="77"/>
      <c r="Y333" s="77"/>
      <c r="Z333" s="77"/>
      <c r="AA333" s="77"/>
      <c r="AB333" s="77"/>
      <c r="AC333" s="77"/>
      <c r="AD333" s="77"/>
      <c r="AE333" s="77"/>
      <c r="AF333" s="77"/>
      <c r="AG333" s="77"/>
      <c r="AH333" s="77"/>
      <c r="AI333" s="77"/>
      <c r="AJ333" s="77"/>
      <c r="AK333" s="77"/>
      <c r="AL333" s="77"/>
      <c r="AM333" s="77"/>
      <c r="AN333" s="77"/>
      <c r="AO333" s="77"/>
      <c r="AP333" s="77"/>
      <c r="AQ333" s="77"/>
      <c r="AR333" s="77"/>
      <c r="AS333" s="77"/>
      <c r="AT333" s="77"/>
      <c r="AU333" s="77"/>
      <c r="AV333" s="77"/>
      <c r="AW333" s="77"/>
      <c r="AX333" s="77"/>
      <c r="AY333" s="77"/>
      <c r="AZ333" s="77"/>
      <c r="BA333" s="77"/>
      <c r="BB333" s="77"/>
      <c r="BC333" s="77"/>
      <c r="BD333" s="77"/>
      <c r="BE333" s="77"/>
      <c r="BF333" s="77"/>
      <c r="BG333" s="77"/>
      <c r="BH333" s="77"/>
      <c r="BI333" s="77"/>
      <c r="BJ333" s="77"/>
      <c r="BK333" s="77"/>
      <c r="BL333" s="77"/>
      <c r="BM333" s="77"/>
      <c r="BN333" s="77"/>
      <c r="BO333" s="77"/>
      <c r="BP333" s="77"/>
      <c r="BQ333" s="77"/>
      <c r="BR333" s="77"/>
      <c r="BS333" s="77"/>
      <c r="BT333" s="77"/>
      <c r="BU333" s="77"/>
      <c r="BV333" s="77"/>
      <c r="BW333" s="77"/>
      <c r="BX333" s="77"/>
      <c r="BY333" s="77"/>
      <c r="BZ333" s="77"/>
      <c r="CA333" s="77"/>
      <c r="CB333" s="77"/>
      <c r="CC333" s="77"/>
      <c r="CD333" s="77"/>
      <c r="CE333" s="77"/>
      <c r="CF333" s="77"/>
      <c r="CG333" s="77"/>
      <c r="CH333" s="77"/>
      <c r="CI333" s="77"/>
      <c r="CJ333" s="77"/>
      <c r="CK333" s="77"/>
      <c r="CL333" s="77"/>
      <c r="CM333" s="77"/>
      <c r="CN333" s="77"/>
      <c r="CO333" s="77"/>
      <c r="CP333" s="77"/>
      <c r="CQ333" s="77"/>
      <c r="CR333" s="77"/>
      <c r="CS333" s="77"/>
      <c r="CT333" s="77"/>
      <c r="CU333" s="77"/>
      <c r="CV333" s="77"/>
      <c r="CW333" s="77"/>
      <c r="CX333" s="77"/>
      <c r="CY333" s="77"/>
      <c r="CZ333" s="77"/>
      <c r="DA333" s="77"/>
      <c r="DB333" s="77"/>
      <c r="DC333" s="77"/>
      <c r="DD333" s="77"/>
      <c r="DE333" s="77"/>
      <c r="DF333" s="77"/>
      <c r="DG333" s="77"/>
      <c r="DH333" s="77"/>
      <c r="DI333" s="77"/>
      <c r="DJ333" s="77"/>
      <c r="DK333" s="77"/>
      <c r="DL333" s="77"/>
      <c r="DM333" s="77"/>
      <c r="DN333" s="77"/>
      <c r="DO333" s="77"/>
      <c r="DP333" s="77"/>
      <c r="DQ333" s="77"/>
      <c r="DR333" s="77"/>
      <c r="DS333" s="77"/>
      <c r="DT333" s="77"/>
      <c r="DU333" s="77"/>
      <c r="DV333" s="77"/>
      <c r="DW333" s="77"/>
      <c r="DX333" s="77"/>
      <c r="DY333" s="77"/>
      <c r="DZ333" s="77"/>
      <c r="EA333" s="77"/>
      <c r="EB333" s="77"/>
      <c r="EC333" s="77"/>
      <c r="ED333" s="77"/>
      <c r="EE333" s="77"/>
      <c r="EF333" s="77"/>
      <c r="EG333" s="77"/>
      <c r="EH333" s="77"/>
      <c r="EI333" s="77"/>
      <c r="EJ333" s="77"/>
      <c r="EK333" s="77"/>
      <c r="EL333" s="77"/>
    </row>
    <row r="334" spans="1:142" s="78" customFormat="1">
      <c r="A334" s="85"/>
      <c r="B334" s="85" t="s">
        <v>325</v>
      </c>
      <c r="C334" s="85"/>
      <c r="D334" s="517">
        <f>1-D335</f>
        <v>0.99</v>
      </c>
      <c r="E334" s="1072">
        <f ca="1">E333*D334</f>
        <v>90426.917782438628</v>
      </c>
      <c r="F334" s="102"/>
      <c r="G334" s="1183">
        <f ca="1">Outside!D65</f>
        <v>0.12338958382606507</v>
      </c>
      <c r="H334" s="1477">
        <f ca="1">EWC!D65</f>
        <v>0.12338958382606507</v>
      </c>
      <c r="I334" s="1502" t="s">
        <v>793</v>
      </c>
      <c r="J334"/>
      <c r="K334"/>
      <c r="L334"/>
      <c r="M334"/>
      <c r="N334" s="77"/>
      <c r="O334" s="77"/>
      <c r="P334" s="77"/>
      <c r="Q334" s="77"/>
      <c r="R334" s="77"/>
      <c r="S334" s="77"/>
      <c r="T334" s="77"/>
      <c r="U334" s="77"/>
      <c r="V334" s="77"/>
      <c r="W334" s="77"/>
      <c r="X334" s="77"/>
      <c r="Y334" s="77"/>
      <c r="Z334" s="77"/>
      <c r="AA334" s="77"/>
      <c r="AB334" s="77"/>
      <c r="AC334" s="77"/>
      <c r="AD334" s="77"/>
      <c r="AE334" s="77"/>
      <c r="AF334" s="77"/>
      <c r="AG334" s="77"/>
      <c r="AH334" s="77"/>
      <c r="AI334" s="77"/>
      <c r="AJ334" s="77"/>
      <c r="AK334" s="77"/>
      <c r="AL334" s="77"/>
      <c r="AM334" s="77"/>
      <c r="AN334" s="77"/>
      <c r="AO334" s="77"/>
      <c r="AP334" s="77"/>
      <c r="AQ334" s="77"/>
      <c r="AR334" s="77"/>
      <c r="AS334" s="77"/>
      <c r="AT334" s="77"/>
      <c r="AU334" s="77"/>
      <c r="AV334" s="77"/>
      <c r="AW334" s="77"/>
      <c r="AX334" s="77"/>
      <c r="AY334" s="77"/>
      <c r="AZ334" s="77"/>
      <c r="BA334" s="77"/>
      <c r="BB334" s="77"/>
      <c r="BC334" s="77"/>
      <c r="BD334" s="77"/>
      <c r="BE334" s="77"/>
      <c r="BF334" s="77"/>
      <c r="BG334" s="77"/>
      <c r="BH334" s="77"/>
      <c r="BI334" s="77"/>
      <c r="BJ334" s="77"/>
      <c r="BK334" s="77"/>
      <c r="BL334" s="77"/>
      <c r="BM334" s="77"/>
      <c r="BN334" s="77"/>
      <c r="BO334" s="77"/>
      <c r="BP334" s="77"/>
      <c r="BQ334" s="77"/>
      <c r="BR334" s="77"/>
      <c r="BS334" s="77"/>
      <c r="BT334" s="77"/>
      <c r="BU334" s="77"/>
      <c r="BV334" s="77"/>
      <c r="BW334" s="77"/>
      <c r="BX334" s="77"/>
      <c r="BY334" s="77"/>
      <c r="BZ334" s="77"/>
      <c r="CA334" s="77"/>
      <c r="CB334" s="77"/>
      <c r="CC334" s="77"/>
      <c r="CD334" s="77"/>
      <c r="CE334" s="77"/>
      <c r="CF334" s="77"/>
      <c r="CG334" s="77"/>
      <c r="CH334" s="77"/>
      <c r="CI334" s="77"/>
      <c r="CJ334" s="77"/>
      <c r="CK334" s="77"/>
      <c r="CL334" s="77"/>
      <c r="CM334" s="77"/>
      <c r="CN334" s="77"/>
      <c r="CO334" s="77"/>
      <c r="CP334" s="77"/>
      <c r="CQ334" s="77"/>
      <c r="CR334" s="77"/>
      <c r="CS334" s="77"/>
      <c r="CT334" s="77"/>
      <c r="CU334" s="77"/>
      <c r="CV334" s="77"/>
      <c r="CW334" s="77"/>
      <c r="CX334" s="77"/>
      <c r="CY334" s="77"/>
      <c r="CZ334" s="77"/>
      <c r="DA334" s="77"/>
      <c r="DB334" s="77"/>
      <c r="DC334" s="77"/>
      <c r="DD334" s="77"/>
      <c r="DE334" s="77"/>
      <c r="DF334" s="77"/>
      <c r="DG334" s="77"/>
      <c r="DH334" s="77"/>
      <c r="DI334" s="77"/>
      <c r="DJ334" s="77"/>
      <c r="DK334" s="77"/>
      <c r="DL334" s="77"/>
      <c r="DM334" s="77"/>
      <c r="DN334" s="77"/>
      <c r="DO334" s="77"/>
      <c r="DP334" s="77"/>
      <c r="DQ334" s="77"/>
      <c r="DR334" s="77"/>
      <c r="DS334" s="77"/>
      <c r="DT334" s="77"/>
      <c r="DU334" s="77"/>
      <c r="DV334" s="77"/>
      <c r="DW334" s="77"/>
      <c r="DX334" s="77"/>
      <c r="DY334" s="77"/>
      <c r="DZ334" s="77"/>
      <c r="EA334" s="77"/>
      <c r="EB334" s="77"/>
      <c r="EC334" s="77"/>
      <c r="ED334" s="77"/>
      <c r="EE334" s="77"/>
      <c r="EF334" s="77"/>
      <c r="EG334" s="77"/>
      <c r="EH334" s="77"/>
      <c r="EI334" s="77"/>
      <c r="EJ334" s="77"/>
      <c r="EK334" s="77"/>
      <c r="EL334" s="77"/>
    </row>
    <row r="335" spans="1:142" s="78" customFormat="1" ht="13.5" thickBot="1">
      <c r="A335" s="85"/>
      <c r="B335" s="85" t="s">
        <v>326</v>
      </c>
      <c r="C335" s="85"/>
      <c r="D335" s="541">
        <v>0.01</v>
      </c>
      <c r="E335" s="1073">
        <f ca="1">E333*D335</f>
        <v>913.40320992362251</v>
      </c>
      <c r="F335" s="77"/>
      <c r="G335" s="1184">
        <f ca="1">Outside!D66</f>
        <v>0.12499999403953552</v>
      </c>
      <c r="H335" s="1478">
        <f ca="1">EWC!D66</f>
        <v>0.12499999403953552</v>
      </c>
      <c r="I335" s="1503" t="s">
        <v>794</v>
      </c>
      <c r="J335"/>
      <c r="K335"/>
      <c r="L335"/>
      <c r="M335"/>
      <c r="N335" s="77"/>
      <c r="O335" s="77"/>
      <c r="P335" s="77"/>
      <c r="Q335" s="77"/>
      <c r="R335" s="77"/>
      <c r="S335" s="77"/>
      <c r="T335" s="77"/>
      <c r="U335" s="77"/>
      <c r="V335" s="77"/>
      <c r="W335" s="77"/>
      <c r="X335" s="77"/>
      <c r="Y335" s="77"/>
      <c r="Z335" s="77"/>
      <c r="AA335" s="77"/>
      <c r="AB335" s="77"/>
      <c r="AC335" s="77"/>
      <c r="AD335" s="77"/>
      <c r="AE335" s="77"/>
      <c r="AF335" s="77"/>
      <c r="AG335" s="77"/>
      <c r="AH335" s="77"/>
      <c r="AI335" s="77"/>
      <c r="AJ335" s="77"/>
      <c r="AK335" s="77"/>
      <c r="AL335" s="77"/>
      <c r="AM335" s="77"/>
      <c r="AN335" s="77"/>
      <c r="AO335" s="77"/>
      <c r="AP335" s="77"/>
      <c r="AQ335" s="77"/>
      <c r="AR335" s="77"/>
      <c r="AS335" s="77"/>
      <c r="AT335" s="77"/>
      <c r="AU335" s="77"/>
      <c r="AV335" s="77"/>
      <c r="AW335" s="77"/>
      <c r="AX335" s="77"/>
      <c r="AY335" s="77"/>
      <c r="AZ335" s="77"/>
      <c r="BA335" s="77"/>
      <c r="BB335" s="77"/>
      <c r="BC335" s="77"/>
      <c r="BD335" s="77"/>
      <c r="BE335" s="77"/>
      <c r="BF335" s="77"/>
      <c r="BG335" s="77"/>
      <c r="BH335" s="77"/>
      <c r="BI335" s="77"/>
      <c r="BJ335" s="77"/>
      <c r="BK335" s="77"/>
      <c r="BL335" s="77"/>
      <c r="BM335" s="77"/>
      <c r="BN335" s="77"/>
      <c r="BO335" s="77"/>
      <c r="BP335" s="77"/>
      <c r="BQ335" s="77"/>
      <c r="BR335" s="77"/>
      <c r="BS335" s="77"/>
      <c r="BT335" s="77"/>
      <c r="BU335" s="77"/>
      <c r="BV335" s="77"/>
      <c r="BW335" s="77"/>
      <c r="BX335" s="77"/>
      <c r="BY335" s="77"/>
      <c r="BZ335" s="77"/>
      <c r="CA335" s="77"/>
      <c r="CB335" s="77"/>
      <c r="CC335" s="77"/>
      <c r="CD335" s="77"/>
      <c r="CE335" s="77"/>
      <c r="CF335" s="77"/>
      <c r="CG335" s="77"/>
      <c r="CH335" s="77"/>
      <c r="CI335" s="77"/>
      <c r="CJ335" s="77"/>
      <c r="CK335" s="77"/>
      <c r="CL335" s="77"/>
      <c r="CM335" s="77"/>
      <c r="CN335" s="77"/>
      <c r="CO335" s="77"/>
      <c r="CP335" s="77"/>
      <c r="CQ335" s="77"/>
      <c r="CR335" s="77"/>
      <c r="CS335" s="77"/>
      <c r="CT335" s="77"/>
      <c r="CU335" s="77"/>
      <c r="CV335" s="77"/>
      <c r="CW335" s="77"/>
      <c r="CX335" s="77"/>
      <c r="CY335" s="77"/>
      <c r="CZ335" s="77"/>
      <c r="DA335" s="77"/>
      <c r="DB335" s="77"/>
      <c r="DC335" s="77"/>
      <c r="DD335" s="77"/>
      <c r="DE335" s="77"/>
      <c r="DF335" s="77"/>
      <c r="DG335" s="77"/>
      <c r="DH335" s="77"/>
      <c r="DI335" s="77"/>
      <c r="DJ335" s="77"/>
      <c r="DK335" s="77"/>
      <c r="DL335" s="77"/>
      <c r="DM335" s="77"/>
      <c r="DN335" s="77"/>
      <c r="DO335" s="77"/>
      <c r="DP335" s="77"/>
      <c r="DQ335" s="77"/>
      <c r="DR335" s="77"/>
      <c r="DS335" s="77"/>
      <c r="DT335" s="77"/>
      <c r="DU335" s="77"/>
      <c r="DV335" s="77"/>
      <c r="DW335" s="77"/>
      <c r="DX335" s="77"/>
      <c r="DY335" s="77"/>
      <c r="DZ335" s="77"/>
      <c r="EA335" s="77"/>
      <c r="EB335" s="77"/>
      <c r="EC335" s="77"/>
      <c r="ED335" s="77"/>
      <c r="EE335" s="77"/>
      <c r="EF335" s="77"/>
      <c r="EG335" s="77"/>
      <c r="EH335" s="77"/>
      <c r="EI335" s="77"/>
      <c r="EJ335" s="77"/>
      <c r="EK335" s="77"/>
      <c r="EL335" s="77"/>
    </row>
    <row r="336" spans="1:142" s="76" customFormat="1">
      <c r="A336" s="40"/>
      <c r="B336" s="105"/>
      <c r="C336" s="89"/>
      <c r="D336" s="40"/>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c r="CF336" s="12"/>
      <c r="CG336" s="12"/>
      <c r="CH336" s="12"/>
      <c r="CI336" s="12"/>
      <c r="CJ336" s="12"/>
      <c r="CK336" s="12"/>
      <c r="CL336" s="12"/>
      <c r="CM336" s="12"/>
      <c r="CN336" s="12"/>
      <c r="CO336" s="12"/>
      <c r="CP336" s="12"/>
      <c r="CQ336" s="12"/>
      <c r="CR336" s="12"/>
      <c r="CS336" s="12"/>
      <c r="CT336" s="12"/>
      <c r="CU336" s="12"/>
      <c r="CV336" s="12"/>
      <c r="CW336" s="12"/>
      <c r="CX336" s="12"/>
      <c r="CY336" s="12"/>
      <c r="CZ336" s="12"/>
      <c r="DA336" s="12"/>
      <c r="DB336" s="12"/>
      <c r="DC336" s="12"/>
      <c r="DD336" s="12"/>
      <c r="DE336" s="12"/>
      <c r="DF336" s="12"/>
      <c r="DG336" s="12"/>
      <c r="DH336" s="12"/>
      <c r="DI336" s="12"/>
      <c r="DJ336" s="12"/>
      <c r="DK336" s="12"/>
      <c r="DL336" s="12"/>
      <c r="DM336" s="12"/>
      <c r="DN336" s="12"/>
      <c r="DO336" s="12"/>
      <c r="DP336" s="12"/>
      <c r="DQ336" s="12"/>
      <c r="DR336" s="12"/>
      <c r="DS336" s="12"/>
      <c r="DT336" s="12"/>
      <c r="DU336" s="12"/>
      <c r="DV336" s="12"/>
      <c r="DW336" s="12"/>
      <c r="DX336" s="12"/>
      <c r="DY336" s="12"/>
      <c r="DZ336" s="12"/>
      <c r="EA336" s="12"/>
      <c r="EB336" s="12"/>
      <c r="EC336" s="12"/>
      <c r="ED336" s="12"/>
      <c r="EE336" s="12"/>
      <c r="EF336" s="12"/>
      <c r="EG336" s="12"/>
      <c r="EH336" s="12"/>
      <c r="EI336" s="12"/>
      <c r="EJ336" s="12"/>
      <c r="EK336" s="12"/>
      <c r="EL336" s="12"/>
    </row>
    <row r="337" spans="1:142" s="76" customFormat="1">
      <c r="A337" s="40"/>
      <c r="B337" s="105"/>
      <c r="C337" s="89"/>
      <c r="D337" s="40"/>
      <c r="E337" s="298"/>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c r="BP337" s="12"/>
      <c r="BQ337" s="12"/>
      <c r="BR337" s="12"/>
      <c r="BS337" s="12"/>
      <c r="BT337" s="12"/>
      <c r="BU337" s="12"/>
      <c r="BV337" s="12"/>
      <c r="BW337" s="12"/>
      <c r="BX337" s="12"/>
      <c r="BY337" s="12"/>
      <c r="BZ337" s="12"/>
      <c r="CA337" s="12"/>
      <c r="CB337" s="12"/>
      <c r="CC337" s="12"/>
      <c r="CD337" s="12"/>
      <c r="CE337" s="12"/>
      <c r="CF337" s="12"/>
      <c r="CG337" s="12"/>
      <c r="CH337" s="12"/>
      <c r="CI337" s="12"/>
      <c r="CJ337" s="12"/>
      <c r="CK337" s="12"/>
      <c r="CL337" s="12"/>
      <c r="CM337" s="12"/>
      <c r="CN337" s="12"/>
      <c r="CO337" s="12"/>
      <c r="CP337" s="12"/>
      <c r="CQ337" s="12"/>
      <c r="CR337" s="12"/>
      <c r="CS337" s="12"/>
      <c r="CT337" s="12"/>
      <c r="CU337" s="12"/>
      <c r="CV337" s="12"/>
      <c r="CW337" s="12"/>
      <c r="CX337" s="12"/>
      <c r="CY337" s="12"/>
      <c r="CZ337" s="12"/>
      <c r="DA337" s="12"/>
      <c r="DB337" s="12"/>
      <c r="DC337" s="12"/>
      <c r="DD337" s="12"/>
      <c r="DE337" s="12"/>
      <c r="DF337" s="12"/>
      <c r="DG337" s="12"/>
      <c r="DH337" s="12"/>
      <c r="DI337" s="12"/>
      <c r="DJ337" s="12"/>
      <c r="DK337" s="12"/>
      <c r="DL337" s="12"/>
      <c r="DM337" s="12"/>
      <c r="DN337" s="12"/>
      <c r="DO337" s="12"/>
      <c r="DP337" s="12"/>
      <c r="DQ337" s="12"/>
      <c r="DR337" s="12"/>
      <c r="DS337" s="12"/>
      <c r="DT337" s="12"/>
      <c r="DU337" s="12"/>
      <c r="DV337" s="12"/>
      <c r="DW337" s="12"/>
      <c r="DX337" s="12"/>
      <c r="DY337" s="12"/>
      <c r="DZ337" s="12"/>
      <c r="EA337" s="12"/>
      <c r="EB337" s="12"/>
      <c r="EC337" s="12"/>
      <c r="ED337" s="12"/>
      <c r="EE337" s="12"/>
      <c r="EF337" s="12"/>
      <c r="EG337" s="12"/>
      <c r="EH337" s="12"/>
      <c r="EI337" s="12"/>
      <c r="EJ337" s="12"/>
      <c r="EK337" s="12"/>
      <c r="EL337" s="12"/>
    </row>
    <row r="338" spans="1:142" s="76" customFormat="1">
      <c r="A338" s="40"/>
      <c r="B338" s="105"/>
      <c r="C338" s="89"/>
      <c r="D338" s="40"/>
      <c r="E338" s="244">
        <v>1</v>
      </c>
      <c r="F338" s="245">
        <v>2</v>
      </c>
      <c r="G338" s="245">
        <v>3</v>
      </c>
      <c r="H338" s="245">
        <v>4</v>
      </c>
      <c r="I338" s="245">
        <v>5</v>
      </c>
      <c r="J338" s="245">
        <v>6</v>
      </c>
      <c r="K338" s="245">
        <v>7</v>
      </c>
      <c r="L338" s="245">
        <v>8</v>
      </c>
      <c r="M338" s="245">
        <v>9</v>
      </c>
      <c r="N338" s="245">
        <v>10</v>
      </c>
      <c r="O338" s="245">
        <v>11</v>
      </c>
      <c r="P338" s="245">
        <v>12</v>
      </c>
      <c r="Q338" s="245">
        <v>13</v>
      </c>
      <c r="R338" s="245">
        <v>14</v>
      </c>
      <c r="S338" s="245">
        <v>15</v>
      </c>
      <c r="T338" s="245">
        <v>16</v>
      </c>
      <c r="U338" s="245">
        <v>17</v>
      </c>
      <c r="V338" s="245">
        <v>18</v>
      </c>
      <c r="W338" s="245">
        <v>19</v>
      </c>
      <c r="X338" s="245">
        <v>20</v>
      </c>
      <c r="Y338" s="245">
        <v>21</v>
      </c>
      <c r="Z338" s="245">
        <v>22</v>
      </c>
      <c r="AA338" s="245">
        <v>23</v>
      </c>
      <c r="AB338" s="245">
        <v>24</v>
      </c>
      <c r="AC338" s="245">
        <v>25</v>
      </c>
      <c r="AD338" s="245">
        <v>26</v>
      </c>
      <c r="AE338" s="245">
        <v>27</v>
      </c>
      <c r="AF338" s="245">
        <v>28</v>
      </c>
      <c r="AG338" s="245">
        <v>29</v>
      </c>
      <c r="AH338" s="246">
        <v>30</v>
      </c>
      <c r="AI338" s="246">
        <v>31</v>
      </c>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c r="BY338" s="12"/>
      <c r="BZ338" s="12"/>
      <c r="CA338" s="12"/>
      <c r="CB338" s="12"/>
      <c r="CC338" s="12"/>
      <c r="CD338" s="12"/>
      <c r="CE338" s="12"/>
      <c r="CF338" s="12"/>
      <c r="CG338" s="12"/>
      <c r="CH338" s="12"/>
      <c r="CI338" s="12"/>
      <c r="CJ338" s="12"/>
      <c r="CK338" s="12"/>
      <c r="CL338" s="12"/>
      <c r="CM338" s="12"/>
      <c r="CN338" s="12"/>
      <c r="CO338" s="12"/>
      <c r="CP338" s="12"/>
      <c r="CQ338" s="12"/>
      <c r="CR338" s="12"/>
      <c r="CS338" s="12"/>
      <c r="CT338" s="12"/>
      <c r="CU338" s="12"/>
      <c r="CV338" s="12"/>
      <c r="CW338" s="12"/>
      <c r="CX338" s="12"/>
      <c r="CY338" s="12"/>
      <c r="CZ338" s="12"/>
      <c r="DA338" s="12"/>
      <c r="DB338" s="12"/>
      <c r="DC338" s="12"/>
      <c r="DD338" s="12"/>
      <c r="DE338" s="12"/>
      <c r="DF338" s="12"/>
      <c r="DG338" s="12"/>
      <c r="DH338" s="12"/>
      <c r="DI338" s="12"/>
      <c r="DJ338" s="12"/>
      <c r="DK338" s="12"/>
      <c r="DL338" s="12"/>
      <c r="DM338" s="12"/>
      <c r="DN338" s="12"/>
      <c r="DO338" s="12"/>
      <c r="DP338" s="12"/>
      <c r="DQ338" s="12"/>
      <c r="DR338" s="12"/>
      <c r="DS338" s="12"/>
      <c r="DT338" s="12"/>
      <c r="DU338" s="12"/>
      <c r="DV338" s="12"/>
      <c r="DW338" s="12"/>
      <c r="DX338" s="12"/>
      <c r="DY338" s="12"/>
      <c r="DZ338" s="12"/>
      <c r="EA338" s="12"/>
      <c r="EB338" s="12"/>
      <c r="EC338" s="12"/>
      <c r="ED338" s="12"/>
      <c r="EE338" s="12"/>
      <c r="EF338" s="12"/>
      <c r="EG338" s="12"/>
      <c r="EH338" s="12"/>
      <c r="EI338" s="12"/>
      <c r="EJ338" s="12"/>
      <c r="EK338" s="12"/>
      <c r="EL338" s="12"/>
    </row>
    <row r="339" spans="1:142" s="76" customFormat="1">
      <c r="A339" s="52"/>
      <c r="B339" s="127"/>
      <c r="C339" s="128"/>
      <c r="D339" s="40"/>
      <c r="E339" s="247">
        <f>Assum!$H$25</f>
        <v>2002</v>
      </c>
      <c r="F339" s="248">
        <f t="shared" ref="F339:AI339" si="71">E339+1</f>
        <v>2003</v>
      </c>
      <c r="G339" s="248">
        <f t="shared" si="71"/>
        <v>2004</v>
      </c>
      <c r="H339" s="248">
        <f t="shared" si="71"/>
        <v>2005</v>
      </c>
      <c r="I339" s="248">
        <f t="shared" si="71"/>
        <v>2006</v>
      </c>
      <c r="J339" s="248">
        <f t="shared" si="71"/>
        <v>2007</v>
      </c>
      <c r="K339" s="248">
        <f t="shared" si="71"/>
        <v>2008</v>
      </c>
      <c r="L339" s="248">
        <f t="shared" si="71"/>
        <v>2009</v>
      </c>
      <c r="M339" s="248">
        <f t="shared" si="71"/>
        <v>2010</v>
      </c>
      <c r="N339" s="248">
        <f t="shared" si="71"/>
        <v>2011</v>
      </c>
      <c r="O339" s="248">
        <f t="shared" si="71"/>
        <v>2012</v>
      </c>
      <c r="P339" s="248">
        <f t="shared" si="71"/>
        <v>2013</v>
      </c>
      <c r="Q339" s="248">
        <f t="shared" si="71"/>
        <v>2014</v>
      </c>
      <c r="R339" s="248">
        <f t="shared" si="71"/>
        <v>2015</v>
      </c>
      <c r="S339" s="248">
        <f t="shared" si="71"/>
        <v>2016</v>
      </c>
      <c r="T339" s="248">
        <f t="shared" si="71"/>
        <v>2017</v>
      </c>
      <c r="U339" s="248">
        <f t="shared" si="71"/>
        <v>2018</v>
      </c>
      <c r="V339" s="248">
        <f t="shared" si="71"/>
        <v>2019</v>
      </c>
      <c r="W339" s="248">
        <f t="shared" si="71"/>
        <v>2020</v>
      </c>
      <c r="X339" s="248">
        <f t="shared" si="71"/>
        <v>2021</v>
      </c>
      <c r="Y339" s="248">
        <f t="shared" si="71"/>
        <v>2022</v>
      </c>
      <c r="Z339" s="248">
        <f t="shared" si="71"/>
        <v>2023</v>
      </c>
      <c r="AA339" s="248">
        <f t="shared" si="71"/>
        <v>2024</v>
      </c>
      <c r="AB339" s="248">
        <f t="shared" si="71"/>
        <v>2025</v>
      </c>
      <c r="AC339" s="248">
        <f t="shared" si="71"/>
        <v>2026</v>
      </c>
      <c r="AD339" s="248">
        <f t="shared" si="71"/>
        <v>2027</v>
      </c>
      <c r="AE339" s="248">
        <f t="shared" si="71"/>
        <v>2028</v>
      </c>
      <c r="AF339" s="248">
        <f t="shared" si="71"/>
        <v>2029</v>
      </c>
      <c r="AG339" s="248">
        <f t="shared" si="71"/>
        <v>2030</v>
      </c>
      <c r="AH339" s="249">
        <f t="shared" si="71"/>
        <v>2031</v>
      </c>
      <c r="AI339" s="249">
        <f t="shared" si="71"/>
        <v>2032</v>
      </c>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c r="BP339" s="12"/>
      <c r="BQ339" s="12"/>
      <c r="BR339" s="12"/>
      <c r="BS339" s="12"/>
      <c r="BT339" s="12"/>
      <c r="BU339" s="12"/>
      <c r="BV339" s="12"/>
      <c r="BW339" s="12"/>
      <c r="BX339" s="12"/>
      <c r="BY339" s="12"/>
      <c r="BZ339" s="12"/>
      <c r="CA339" s="12"/>
      <c r="CB339" s="12"/>
      <c r="CC339" s="12"/>
      <c r="CD339" s="12"/>
      <c r="CE339" s="12"/>
      <c r="CF339" s="12"/>
      <c r="CG339" s="12"/>
      <c r="CH339" s="12"/>
      <c r="CI339" s="12"/>
      <c r="CJ339" s="12"/>
      <c r="CK339" s="12"/>
      <c r="CL339" s="12"/>
      <c r="CM339" s="12"/>
      <c r="CN339" s="12"/>
      <c r="CO339" s="12"/>
      <c r="CP339" s="12"/>
      <c r="CQ339" s="12"/>
      <c r="CR339" s="12"/>
      <c r="CS339" s="12"/>
      <c r="CT339" s="12"/>
      <c r="CU339" s="12"/>
      <c r="CV339" s="12"/>
      <c r="CW339" s="12"/>
      <c r="CX339" s="12"/>
      <c r="CY339" s="12"/>
      <c r="CZ339" s="12"/>
      <c r="DA339" s="12"/>
      <c r="DB339" s="12"/>
      <c r="DC339" s="12"/>
      <c r="DD339" s="12"/>
      <c r="DE339" s="12"/>
      <c r="DF339" s="12"/>
      <c r="DG339" s="12"/>
      <c r="DH339" s="12"/>
      <c r="DI339" s="12"/>
      <c r="DJ339" s="12"/>
      <c r="DK339" s="12"/>
      <c r="DL339" s="12"/>
      <c r="DM339" s="12"/>
      <c r="DN339" s="12"/>
      <c r="DO339" s="12"/>
      <c r="DP339" s="12"/>
      <c r="DQ339" s="12"/>
      <c r="DR339" s="12"/>
      <c r="DS339" s="12"/>
      <c r="DT339" s="12"/>
      <c r="DU339" s="12"/>
      <c r="DV339" s="12"/>
      <c r="DW339" s="12"/>
      <c r="DX339" s="12"/>
      <c r="DY339" s="12"/>
      <c r="DZ339" s="12"/>
      <c r="EA339" s="12"/>
      <c r="EB339" s="12"/>
      <c r="EC339" s="12"/>
      <c r="ED339" s="12"/>
      <c r="EE339" s="12"/>
      <c r="EF339" s="12"/>
      <c r="EG339" s="12"/>
      <c r="EH339" s="12"/>
      <c r="EI339" s="12"/>
      <c r="EJ339" s="12"/>
      <c r="EK339" s="12"/>
      <c r="EL339" s="12"/>
    </row>
    <row r="340" spans="1:142" s="76" customFormat="1">
      <c r="A340" s="52"/>
      <c r="B340" s="127" t="s">
        <v>450</v>
      </c>
      <c r="C340" s="128"/>
      <c r="D340" s="53"/>
      <c r="E340" s="12" t="s">
        <v>43</v>
      </c>
      <c r="F340" s="108"/>
      <c r="G340" s="108"/>
      <c r="H340" s="108"/>
      <c r="I340" s="108"/>
      <c r="J340" s="108"/>
      <c r="K340" s="108"/>
      <c r="L340" s="108"/>
      <c r="M340" s="108"/>
      <c r="N340" s="108"/>
      <c r="O340" s="108"/>
      <c r="P340" s="108"/>
      <c r="Q340" s="108"/>
      <c r="R340" s="108"/>
      <c r="S340" s="108"/>
      <c r="T340" s="108"/>
      <c r="U340" s="108"/>
      <c r="V340" s="108"/>
      <c r="W340" s="108"/>
      <c r="X340" s="108"/>
      <c r="Y340" s="108"/>
      <c r="Z340" s="108"/>
      <c r="AA340" s="108"/>
      <c r="AB340" s="108"/>
      <c r="AC340" s="108"/>
      <c r="AD340" s="108"/>
      <c r="AE340" s="108"/>
      <c r="AF340" s="108"/>
      <c r="AG340" s="108"/>
      <c r="AH340" s="108"/>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12"/>
      <c r="BO340" s="12"/>
      <c r="BP340" s="12"/>
      <c r="BQ340" s="12"/>
      <c r="BR340" s="12"/>
      <c r="BS340" s="12"/>
      <c r="BT340" s="12"/>
      <c r="BU340" s="12"/>
      <c r="BV340" s="12"/>
      <c r="BW340" s="12"/>
      <c r="BX340" s="12"/>
      <c r="BY340" s="12"/>
      <c r="BZ340" s="12"/>
      <c r="CA340" s="12"/>
      <c r="CB340" s="12"/>
      <c r="CC340" s="12"/>
      <c r="CD340" s="12"/>
      <c r="CE340" s="12"/>
      <c r="CF340" s="12"/>
      <c r="CG340" s="12"/>
      <c r="CH340" s="12"/>
      <c r="CI340" s="12"/>
      <c r="CJ340" s="12"/>
      <c r="CK340" s="12"/>
      <c r="CL340" s="12"/>
      <c r="CM340" s="12"/>
      <c r="CN340" s="12"/>
      <c r="CO340" s="12"/>
      <c r="CP340" s="12"/>
      <c r="CQ340" s="12"/>
      <c r="CR340" s="12"/>
      <c r="CS340" s="12"/>
      <c r="CT340" s="12"/>
      <c r="CU340" s="12"/>
      <c r="CV340" s="12"/>
      <c r="CW340" s="12"/>
      <c r="CX340" s="12"/>
      <c r="CY340" s="12"/>
      <c r="CZ340" s="12"/>
      <c r="DA340" s="12"/>
      <c r="DB340" s="12"/>
      <c r="DC340" s="12"/>
      <c r="DD340" s="12"/>
      <c r="DE340" s="12"/>
      <c r="DF340" s="12"/>
      <c r="DG340" s="12"/>
      <c r="DH340" s="12"/>
      <c r="DI340" s="12"/>
      <c r="DJ340" s="12"/>
      <c r="DK340" s="12"/>
      <c r="DL340" s="12"/>
      <c r="DM340" s="12"/>
      <c r="DN340" s="12"/>
      <c r="DO340" s="12"/>
      <c r="DP340" s="12"/>
      <c r="DQ340" s="12"/>
      <c r="DR340" s="12"/>
      <c r="DS340" s="12"/>
      <c r="DT340" s="12"/>
      <c r="DU340" s="12"/>
      <c r="DV340" s="12"/>
      <c r="DW340" s="12"/>
      <c r="DX340" s="12"/>
      <c r="DY340" s="12"/>
      <c r="DZ340" s="12"/>
      <c r="EA340" s="12"/>
      <c r="EB340" s="12"/>
      <c r="EC340" s="12"/>
      <c r="ED340" s="12"/>
      <c r="EE340" s="12"/>
      <c r="EF340" s="12"/>
      <c r="EG340" s="12"/>
      <c r="EH340" s="12"/>
      <c r="EI340" s="12"/>
      <c r="EJ340" s="12"/>
      <c r="EK340" s="12"/>
      <c r="EL340" s="12"/>
    </row>
    <row r="341" spans="1:142" s="142" customFormat="1">
      <c r="A341" s="140"/>
      <c r="B341" s="141" t="s">
        <v>666</v>
      </c>
      <c r="C341" s="827"/>
      <c r="D341" s="141"/>
      <c r="E341" s="119">
        <f t="shared" ref="E341:AH341" si="72">1-E342</f>
        <v>0.99</v>
      </c>
      <c r="F341" s="119">
        <f t="shared" si="72"/>
        <v>0.99</v>
      </c>
      <c r="G341" s="119">
        <f t="shared" si="72"/>
        <v>0.99</v>
      </c>
      <c r="H341" s="119">
        <f t="shared" si="72"/>
        <v>0.99</v>
      </c>
      <c r="I341" s="119">
        <f t="shared" si="72"/>
        <v>0.99</v>
      </c>
      <c r="J341" s="119">
        <f t="shared" si="72"/>
        <v>0.99</v>
      </c>
      <c r="K341" s="119">
        <f t="shared" si="72"/>
        <v>0.99</v>
      </c>
      <c r="L341" s="119">
        <f t="shared" si="72"/>
        <v>0.99</v>
      </c>
      <c r="M341" s="119">
        <f t="shared" si="72"/>
        <v>0.99</v>
      </c>
      <c r="N341" s="119">
        <f t="shared" si="72"/>
        <v>0.99</v>
      </c>
      <c r="O341" s="119">
        <f t="shared" si="72"/>
        <v>0.99</v>
      </c>
      <c r="P341" s="119">
        <f t="shared" si="72"/>
        <v>0.99</v>
      </c>
      <c r="Q341" s="119">
        <f t="shared" si="72"/>
        <v>0.99</v>
      </c>
      <c r="R341" s="119">
        <f t="shared" si="72"/>
        <v>0.99</v>
      </c>
      <c r="S341" s="119">
        <f t="shared" si="72"/>
        <v>0.99</v>
      </c>
      <c r="T341" s="119">
        <f t="shared" si="72"/>
        <v>0.99</v>
      </c>
      <c r="U341" s="119">
        <f t="shared" si="72"/>
        <v>0.99</v>
      </c>
      <c r="V341" s="119">
        <f t="shared" si="72"/>
        <v>0.99</v>
      </c>
      <c r="W341" s="119">
        <f t="shared" si="72"/>
        <v>0.99</v>
      </c>
      <c r="X341" s="119">
        <f t="shared" si="72"/>
        <v>0.99</v>
      </c>
      <c r="Y341" s="119">
        <f t="shared" si="72"/>
        <v>0.99</v>
      </c>
      <c r="Z341" s="119">
        <f t="shared" si="72"/>
        <v>0.99</v>
      </c>
      <c r="AA341" s="119">
        <f t="shared" si="72"/>
        <v>0.99</v>
      </c>
      <c r="AB341" s="119">
        <f t="shared" si="72"/>
        <v>0.99</v>
      </c>
      <c r="AC341" s="119">
        <f t="shared" si="72"/>
        <v>0.99</v>
      </c>
      <c r="AD341" s="119">
        <f t="shared" si="72"/>
        <v>0.99</v>
      </c>
      <c r="AE341" s="119">
        <f t="shared" si="72"/>
        <v>0.99</v>
      </c>
      <c r="AF341" s="119">
        <f t="shared" si="72"/>
        <v>0.99</v>
      </c>
      <c r="AG341" s="119">
        <f t="shared" si="72"/>
        <v>0.99</v>
      </c>
      <c r="AH341" s="119">
        <f t="shared" si="72"/>
        <v>0.99</v>
      </c>
      <c r="AI341" s="119"/>
      <c r="AJ341" s="119"/>
      <c r="AK341" s="119"/>
      <c r="AL341" s="119"/>
      <c r="AM341" s="119"/>
      <c r="AN341" s="119"/>
      <c r="AO341" s="119"/>
      <c r="AP341" s="119"/>
      <c r="AQ341" s="119"/>
      <c r="AR341" s="119"/>
      <c r="AS341" s="119"/>
      <c r="AT341" s="119"/>
      <c r="AU341" s="119"/>
      <c r="AV341" s="119"/>
      <c r="AW341" s="119"/>
      <c r="AX341" s="119"/>
      <c r="AY341" s="119"/>
      <c r="AZ341" s="119"/>
      <c r="BA341" s="119"/>
      <c r="BB341" s="119"/>
      <c r="BC341" s="119"/>
      <c r="BD341" s="119"/>
      <c r="BE341" s="119"/>
      <c r="BF341" s="119"/>
      <c r="BG341" s="119"/>
      <c r="BH341" s="119"/>
      <c r="BI341" s="119"/>
      <c r="BJ341" s="119"/>
      <c r="BK341" s="119"/>
      <c r="BL341" s="119"/>
      <c r="BM341" s="119"/>
      <c r="BN341" s="119"/>
      <c r="BO341" s="119"/>
      <c r="BP341" s="119"/>
      <c r="BQ341" s="119"/>
      <c r="BR341" s="119"/>
      <c r="BS341" s="119"/>
      <c r="BT341" s="119"/>
      <c r="BU341" s="119"/>
      <c r="BV341" s="119"/>
      <c r="BW341" s="119"/>
      <c r="BX341" s="119"/>
      <c r="BY341" s="119"/>
      <c r="BZ341" s="119"/>
      <c r="CA341" s="119"/>
      <c r="CB341" s="119"/>
      <c r="CC341" s="119"/>
      <c r="CD341" s="119"/>
      <c r="CE341" s="119"/>
      <c r="CF341" s="119"/>
      <c r="CG341" s="119"/>
      <c r="CH341" s="119"/>
      <c r="CI341" s="119"/>
      <c r="CJ341" s="119"/>
      <c r="CK341" s="119"/>
      <c r="CL341" s="119"/>
      <c r="CM341" s="119"/>
      <c r="CN341" s="119"/>
      <c r="CO341" s="119"/>
      <c r="CP341" s="119"/>
      <c r="CQ341" s="119"/>
      <c r="CR341" s="119"/>
      <c r="CS341" s="119"/>
      <c r="CT341" s="119"/>
      <c r="CU341" s="119"/>
      <c r="CV341" s="119"/>
      <c r="CW341" s="119"/>
      <c r="CX341" s="119"/>
      <c r="CY341" s="119"/>
      <c r="CZ341" s="119"/>
      <c r="DA341" s="119"/>
      <c r="DB341" s="119"/>
      <c r="DC341" s="119"/>
      <c r="DD341" s="119"/>
      <c r="DE341" s="119"/>
      <c r="DF341" s="119"/>
      <c r="DG341" s="119"/>
      <c r="DH341" s="119"/>
      <c r="DI341" s="119"/>
      <c r="DJ341" s="119"/>
      <c r="DK341" s="119"/>
      <c r="DL341" s="119"/>
      <c r="DM341" s="119"/>
      <c r="DN341" s="119"/>
      <c r="DO341" s="119"/>
      <c r="DP341" s="119"/>
      <c r="DQ341" s="119"/>
      <c r="DR341" s="119"/>
      <c r="DS341" s="119"/>
      <c r="DT341" s="119"/>
      <c r="DU341" s="119"/>
      <c r="DV341" s="119"/>
      <c r="DW341" s="119"/>
      <c r="DX341" s="119"/>
      <c r="DY341" s="119"/>
      <c r="DZ341" s="119"/>
      <c r="EA341" s="119"/>
      <c r="EB341" s="119"/>
      <c r="EC341" s="119"/>
      <c r="ED341" s="119"/>
      <c r="EE341" s="119"/>
      <c r="EF341" s="119"/>
      <c r="EG341" s="119"/>
      <c r="EH341" s="119"/>
      <c r="EI341" s="119"/>
      <c r="EJ341" s="119"/>
      <c r="EK341" s="119"/>
      <c r="EL341" s="119"/>
    </row>
    <row r="342" spans="1:142" s="142" customFormat="1">
      <c r="A342" s="140"/>
      <c r="B342" s="141" t="s">
        <v>667</v>
      </c>
      <c r="D342" s="141"/>
      <c r="E342" s="136">
        <f>D335</f>
        <v>0.01</v>
      </c>
      <c r="F342" s="139">
        <f t="shared" ref="F342:AH342" si="73">E342</f>
        <v>0.01</v>
      </c>
      <c r="G342" s="139">
        <f t="shared" si="73"/>
        <v>0.01</v>
      </c>
      <c r="H342" s="139">
        <f t="shared" si="73"/>
        <v>0.01</v>
      </c>
      <c r="I342" s="139">
        <f t="shared" si="73"/>
        <v>0.01</v>
      </c>
      <c r="J342" s="139">
        <f t="shared" si="73"/>
        <v>0.01</v>
      </c>
      <c r="K342" s="139">
        <f t="shared" si="73"/>
        <v>0.01</v>
      </c>
      <c r="L342" s="139">
        <f t="shared" si="73"/>
        <v>0.01</v>
      </c>
      <c r="M342" s="139">
        <f t="shared" si="73"/>
        <v>0.01</v>
      </c>
      <c r="N342" s="139">
        <f t="shared" si="73"/>
        <v>0.01</v>
      </c>
      <c r="O342" s="139">
        <f t="shared" si="73"/>
        <v>0.01</v>
      </c>
      <c r="P342" s="139">
        <f t="shared" si="73"/>
        <v>0.01</v>
      </c>
      <c r="Q342" s="139">
        <f t="shared" si="73"/>
        <v>0.01</v>
      </c>
      <c r="R342" s="139">
        <f t="shared" si="73"/>
        <v>0.01</v>
      </c>
      <c r="S342" s="139">
        <f t="shared" si="73"/>
        <v>0.01</v>
      </c>
      <c r="T342" s="139">
        <f t="shared" si="73"/>
        <v>0.01</v>
      </c>
      <c r="U342" s="139">
        <f t="shared" si="73"/>
        <v>0.01</v>
      </c>
      <c r="V342" s="139">
        <f t="shared" si="73"/>
        <v>0.01</v>
      </c>
      <c r="W342" s="139">
        <f t="shared" si="73"/>
        <v>0.01</v>
      </c>
      <c r="X342" s="139">
        <f t="shared" si="73"/>
        <v>0.01</v>
      </c>
      <c r="Y342" s="139">
        <f t="shared" si="73"/>
        <v>0.01</v>
      </c>
      <c r="Z342" s="139">
        <f t="shared" si="73"/>
        <v>0.01</v>
      </c>
      <c r="AA342" s="139">
        <f t="shared" si="73"/>
        <v>0.01</v>
      </c>
      <c r="AB342" s="139">
        <f t="shared" si="73"/>
        <v>0.01</v>
      </c>
      <c r="AC342" s="139">
        <f t="shared" si="73"/>
        <v>0.01</v>
      </c>
      <c r="AD342" s="139">
        <f t="shared" si="73"/>
        <v>0.01</v>
      </c>
      <c r="AE342" s="139">
        <f t="shared" si="73"/>
        <v>0.01</v>
      </c>
      <c r="AF342" s="139">
        <f t="shared" si="73"/>
        <v>0.01</v>
      </c>
      <c r="AG342" s="139">
        <f t="shared" si="73"/>
        <v>0.01</v>
      </c>
      <c r="AH342" s="139">
        <f t="shared" si="73"/>
        <v>0.01</v>
      </c>
      <c r="AI342" s="119"/>
      <c r="AJ342" s="119"/>
      <c r="AK342" s="119"/>
      <c r="AL342" s="119"/>
      <c r="AM342" s="119"/>
      <c r="AN342" s="119"/>
      <c r="AO342" s="119"/>
      <c r="AP342" s="119"/>
      <c r="AQ342" s="119"/>
      <c r="AR342" s="119"/>
      <c r="AS342" s="119"/>
      <c r="AT342" s="119"/>
      <c r="AU342" s="119"/>
      <c r="AV342" s="119"/>
      <c r="AW342" s="119"/>
      <c r="AX342" s="119"/>
      <c r="AY342" s="119"/>
      <c r="AZ342" s="119"/>
      <c r="BA342" s="119"/>
      <c r="BB342" s="119"/>
      <c r="BC342" s="119"/>
      <c r="BD342" s="119"/>
      <c r="BE342" s="119"/>
      <c r="BF342" s="119"/>
      <c r="BG342" s="119"/>
      <c r="BH342" s="119"/>
      <c r="BI342" s="119"/>
      <c r="BJ342" s="119"/>
      <c r="BK342" s="119"/>
      <c r="BL342" s="119"/>
      <c r="BM342" s="119"/>
      <c r="BN342" s="119"/>
      <c r="BO342" s="119"/>
      <c r="BP342" s="119"/>
      <c r="BQ342" s="119"/>
      <c r="BR342" s="119"/>
      <c r="BS342" s="119"/>
      <c r="BT342" s="119"/>
      <c r="BU342" s="119"/>
      <c r="BV342" s="119"/>
      <c r="BW342" s="119"/>
      <c r="BX342" s="119"/>
      <c r="BY342" s="119"/>
      <c r="BZ342" s="119"/>
      <c r="CA342" s="119"/>
      <c r="CB342" s="119"/>
      <c r="CC342" s="119"/>
      <c r="CD342" s="119"/>
      <c r="CE342" s="119"/>
      <c r="CF342" s="119"/>
      <c r="CG342" s="119"/>
      <c r="CH342" s="119"/>
      <c r="CI342" s="119"/>
      <c r="CJ342" s="119"/>
      <c r="CK342" s="119"/>
      <c r="CL342" s="119"/>
      <c r="CM342" s="119"/>
      <c r="CN342" s="119"/>
      <c r="CO342" s="119"/>
      <c r="CP342" s="119"/>
      <c r="CQ342" s="119"/>
      <c r="CR342" s="119"/>
      <c r="CS342" s="119"/>
      <c r="CT342" s="119"/>
      <c r="CU342" s="119"/>
      <c r="CV342" s="119"/>
      <c r="CW342" s="119"/>
      <c r="CX342" s="119"/>
      <c r="CY342" s="119"/>
      <c r="CZ342" s="119"/>
      <c r="DA342" s="119"/>
      <c r="DB342" s="119"/>
      <c r="DC342" s="119"/>
      <c r="DD342" s="119"/>
      <c r="DE342" s="119"/>
      <c r="DF342" s="119"/>
      <c r="DG342" s="119"/>
      <c r="DH342" s="119"/>
      <c r="DI342" s="119"/>
      <c r="DJ342" s="119"/>
      <c r="DK342" s="119"/>
      <c r="DL342" s="119"/>
      <c r="DM342" s="119"/>
      <c r="DN342" s="119"/>
      <c r="DO342" s="119"/>
      <c r="DP342" s="119"/>
      <c r="DQ342" s="119"/>
      <c r="DR342" s="119"/>
      <c r="DS342" s="119"/>
      <c r="DT342" s="119"/>
      <c r="DU342" s="119"/>
      <c r="DV342" s="119"/>
      <c r="DW342" s="119"/>
      <c r="DX342" s="119"/>
      <c r="DY342" s="119"/>
      <c r="DZ342" s="119"/>
      <c r="EA342" s="119"/>
      <c r="EB342" s="119"/>
      <c r="EC342" s="119"/>
      <c r="ED342" s="119"/>
      <c r="EE342" s="119"/>
      <c r="EF342" s="119"/>
      <c r="EG342" s="119"/>
      <c r="EH342" s="119"/>
      <c r="EI342" s="119"/>
      <c r="EJ342" s="119"/>
      <c r="EK342" s="119"/>
      <c r="EL342" s="119"/>
    </row>
    <row r="343" spans="1:142" s="142" customFormat="1">
      <c r="A343" s="140"/>
      <c r="B343" s="141"/>
      <c r="D343" s="141"/>
      <c r="F343" s="298"/>
      <c r="G343" s="298"/>
      <c r="H343" s="298"/>
      <c r="I343" s="298"/>
      <c r="J343" s="298"/>
      <c r="K343" s="298"/>
      <c r="L343" s="298"/>
      <c r="M343" s="298"/>
      <c r="N343" s="298"/>
      <c r="O343" s="298"/>
      <c r="P343" s="298"/>
      <c r="Q343" s="298"/>
      <c r="R343" s="298"/>
      <c r="S343" s="298"/>
      <c r="T343" s="298"/>
      <c r="U343" s="298"/>
      <c r="V343" s="298"/>
      <c r="W343" s="298"/>
      <c r="X343" s="298"/>
      <c r="Y343" s="298"/>
      <c r="Z343" s="298"/>
      <c r="AA343" s="298"/>
      <c r="AB343" s="298"/>
      <c r="AC343" s="298"/>
      <c r="AD343" s="298"/>
      <c r="AE343" s="298"/>
      <c r="AF343" s="298"/>
      <c r="AG343" s="298"/>
      <c r="AH343" s="298"/>
      <c r="AI343" s="119"/>
      <c r="AJ343" s="119"/>
      <c r="AK343" s="119"/>
      <c r="AL343" s="119"/>
      <c r="AM343" s="119"/>
      <c r="AN343" s="119"/>
      <c r="AO343" s="119"/>
      <c r="AP343" s="119"/>
      <c r="AQ343" s="119"/>
      <c r="AR343" s="119"/>
      <c r="AS343" s="119"/>
      <c r="AT343" s="119"/>
      <c r="AU343" s="119"/>
      <c r="AV343" s="119"/>
      <c r="AW343" s="119"/>
      <c r="AX343" s="119"/>
      <c r="AY343" s="119"/>
      <c r="AZ343" s="119"/>
      <c r="BA343" s="119"/>
      <c r="BB343" s="119"/>
      <c r="BC343" s="119"/>
      <c r="BD343" s="119"/>
      <c r="BE343" s="119"/>
      <c r="BF343" s="119"/>
      <c r="BG343" s="119"/>
      <c r="BH343" s="119"/>
      <c r="BI343" s="119"/>
      <c r="BJ343" s="119"/>
      <c r="BK343" s="119"/>
      <c r="BL343" s="119"/>
      <c r="BM343" s="119"/>
      <c r="BN343" s="119"/>
      <c r="BO343" s="119"/>
      <c r="BP343" s="119"/>
      <c r="BQ343" s="119"/>
      <c r="BR343" s="119"/>
      <c r="BS343" s="119"/>
      <c r="BT343" s="119"/>
      <c r="BU343" s="119"/>
      <c r="BV343" s="119"/>
      <c r="BW343" s="119"/>
      <c r="BX343" s="119"/>
      <c r="BY343" s="119"/>
      <c r="BZ343" s="119"/>
      <c r="CA343" s="119"/>
      <c r="CB343" s="119"/>
      <c r="CC343" s="119"/>
      <c r="CD343" s="119"/>
      <c r="CE343" s="119"/>
      <c r="CF343" s="119"/>
      <c r="CG343" s="119"/>
      <c r="CH343" s="119"/>
      <c r="CI343" s="119"/>
      <c r="CJ343" s="119"/>
      <c r="CK343" s="119"/>
      <c r="CL343" s="119"/>
      <c r="CM343" s="119"/>
      <c r="CN343" s="119"/>
      <c r="CO343" s="119"/>
      <c r="CP343" s="119"/>
      <c r="CQ343" s="119"/>
      <c r="CR343" s="119"/>
      <c r="CS343" s="119"/>
      <c r="CT343" s="119"/>
      <c r="CU343" s="119"/>
      <c r="CV343" s="119"/>
      <c r="CW343" s="119"/>
      <c r="CX343" s="119"/>
      <c r="CY343" s="119"/>
      <c r="CZ343" s="119"/>
      <c r="DA343" s="119"/>
      <c r="DB343" s="119"/>
      <c r="DC343" s="119"/>
      <c r="DD343" s="119"/>
      <c r="DE343" s="119"/>
      <c r="DF343" s="119"/>
      <c r="DG343" s="119"/>
      <c r="DH343" s="119"/>
      <c r="DI343" s="119"/>
      <c r="DJ343" s="119"/>
      <c r="DK343" s="119"/>
      <c r="DL343" s="119"/>
      <c r="DM343" s="119"/>
      <c r="DN343" s="119"/>
      <c r="DO343" s="119"/>
      <c r="DP343" s="119"/>
      <c r="DQ343" s="119"/>
      <c r="DR343" s="119"/>
      <c r="DS343" s="119"/>
      <c r="DT343" s="119"/>
      <c r="DU343" s="119"/>
      <c r="DV343" s="119"/>
      <c r="DW343" s="119"/>
      <c r="DX343" s="119"/>
      <c r="DY343" s="119"/>
      <c r="DZ343" s="119"/>
      <c r="EA343" s="119"/>
      <c r="EB343" s="119"/>
      <c r="EC343" s="119"/>
      <c r="ED343" s="119"/>
      <c r="EE343" s="119"/>
      <c r="EF343" s="119"/>
      <c r="EG343" s="119"/>
      <c r="EH343" s="119"/>
      <c r="EI343" s="119"/>
      <c r="EJ343" s="119"/>
      <c r="EK343" s="119"/>
      <c r="EL343" s="119"/>
    </row>
    <row r="344" spans="1:142" s="142" customFormat="1">
      <c r="A344" s="140"/>
      <c r="B344" s="143" t="s">
        <v>668</v>
      </c>
      <c r="C344" s="828"/>
      <c r="D344" s="141"/>
      <c r="E344" s="12" t="s">
        <v>43</v>
      </c>
      <c r="F344" s="119"/>
      <c r="G344" s="119"/>
      <c r="H344" s="119"/>
      <c r="I344" s="119"/>
      <c r="J344" s="119"/>
      <c r="K344" s="119"/>
      <c r="L344" s="119"/>
      <c r="M344" s="119"/>
      <c r="N344" s="119"/>
      <c r="O344" s="119"/>
      <c r="P344" s="119"/>
      <c r="Q344" s="119"/>
      <c r="R344" s="119"/>
      <c r="S344" s="119"/>
      <c r="T344" s="119"/>
      <c r="U344" s="119"/>
      <c r="V344" s="119"/>
      <c r="W344" s="119"/>
      <c r="X344" s="119"/>
      <c r="Y344" s="119"/>
      <c r="Z344" s="119"/>
      <c r="AA344" s="119"/>
      <c r="AB344" s="119"/>
      <c r="AC344" s="119"/>
      <c r="AD344" s="119"/>
      <c r="AE344" s="119"/>
      <c r="AF344" s="119"/>
      <c r="AG344" s="119"/>
      <c r="AH344" s="119"/>
      <c r="AI344" s="119"/>
      <c r="AJ344" s="119"/>
      <c r="AK344" s="119"/>
      <c r="AL344" s="119"/>
      <c r="AM344" s="119"/>
      <c r="AN344" s="119"/>
      <c r="AO344" s="119"/>
      <c r="AP344" s="119"/>
      <c r="AQ344" s="119"/>
      <c r="AR344" s="119"/>
      <c r="AS344" s="119"/>
      <c r="AT344" s="119"/>
      <c r="AU344" s="119"/>
      <c r="AV344" s="119"/>
      <c r="AW344" s="119"/>
      <c r="AX344" s="119"/>
      <c r="AY344" s="119"/>
      <c r="AZ344" s="119"/>
      <c r="BA344" s="119"/>
      <c r="BB344" s="119"/>
      <c r="BC344" s="119"/>
      <c r="BD344" s="119"/>
      <c r="BE344" s="119"/>
      <c r="BF344" s="119"/>
      <c r="BG344" s="119"/>
      <c r="BH344" s="119"/>
      <c r="BI344" s="119"/>
      <c r="BJ344" s="119"/>
      <c r="BK344" s="119"/>
      <c r="BL344" s="119"/>
      <c r="BM344" s="119"/>
      <c r="BN344" s="119"/>
      <c r="BO344" s="119"/>
      <c r="BP344" s="119"/>
      <c r="BQ344" s="119"/>
      <c r="BR344" s="119"/>
      <c r="BS344" s="119"/>
      <c r="BT344" s="119"/>
      <c r="BU344" s="119"/>
      <c r="BV344" s="119"/>
      <c r="BW344" s="119"/>
      <c r="BX344" s="119"/>
      <c r="BY344" s="119"/>
      <c r="BZ344" s="119"/>
      <c r="CA344" s="119"/>
      <c r="CB344" s="119"/>
      <c r="CC344" s="119"/>
      <c r="CD344" s="119"/>
      <c r="CE344" s="119"/>
      <c r="CF344" s="119"/>
      <c r="CG344" s="119"/>
      <c r="CH344" s="119"/>
      <c r="CI344" s="119"/>
      <c r="CJ344" s="119"/>
      <c r="CK344" s="119"/>
      <c r="CL344" s="119"/>
      <c r="CM344" s="119"/>
      <c r="CN344" s="119"/>
      <c r="CO344" s="119"/>
      <c r="CP344" s="119"/>
      <c r="CQ344" s="119"/>
      <c r="CR344" s="119"/>
      <c r="CS344" s="119"/>
      <c r="CT344" s="119"/>
      <c r="CU344" s="119"/>
      <c r="CV344" s="119"/>
      <c r="CW344" s="119"/>
      <c r="CX344" s="119"/>
      <c r="CY344" s="119"/>
      <c r="CZ344" s="119"/>
      <c r="DA344" s="119"/>
      <c r="DB344" s="119"/>
      <c r="DC344" s="119"/>
      <c r="DD344" s="119"/>
      <c r="DE344" s="119"/>
      <c r="DF344" s="119"/>
      <c r="DG344" s="119"/>
      <c r="DH344" s="119"/>
      <c r="DI344" s="119"/>
      <c r="DJ344" s="119"/>
      <c r="DK344" s="119"/>
      <c r="DL344" s="119"/>
      <c r="DM344" s="119"/>
      <c r="DN344" s="119"/>
      <c r="DO344" s="119"/>
      <c r="DP344" s="119"/>
      <c r="DQ344" s="119"/>
      <c r="DR344" s="119"/>
      <c r="DS344" s="119"/>
      <c r="DT344" s="119"/>
      <c r="DU344" s="119"/>
      <c r="DV344" s="119"/>
      <c r="DW344" s="119"/>
      <c r="DX344" s="119"/>
      <c r="DY344" s="119"/>
      <c r="DZ344" s="119"/>
      <c r="EA344" s="119"/>
      <c r="EB344" s="119"/>
      <c r="EC344" s="119"/>
      <c r="ED344" s="119"/>
      <c r="EE344" s="119"/>
      <c r="EF344" s="119"/>
      <c r="EG344" s="119"/>
      <c r="EH344" s="119"/>
      <c r="EI344" s="119"/>
      <c r="EJ344" s="119"/>
      <c r="EK344" s="119"/>
      <c r="EL344" s="119"/>
    </row>
    <row r="345" spans="1:142" s="142" customFormat="1">
      <c r="A345" s="140"/>
      <c r="B345" s="141" t="s">
        <v>666</v>
      </c>
      <c r="C345" s="827"/>
      <c r="D345" s="141"/>
      <c r="E345" s="119">
        <f t="shared" ref="E345:AH345" si="74">1-E346</f>
        <v>0.99</v>
      </c>
      <c r="F345" s="119">
        <f t="shared" si="74"/>
        <v>0.99</v>
      </c>
      <c r="G345" s="119">
        <f t="shared" si="74"/>
        <v>0.99</v>
      </c>
      <c r="H345" s="119">
        <f t="shared" si="74"/>
        <v>0.99</v>
      </c>
      <c r="I345" s="119">
        <f t="shared" si="74"/>
        <v>0.99</v>
      </c>
      <c r="J345" s="119">
        <f t="shared" si="74"/>
        <v>0.99</v>
      </c>
      <c r="K345" s="119">
        <f t="shared" si="74"/>
        <v>0.99</v>
      </c>
      <c r="L345" s="119">
        <f t="shared" si="74"/>
        <v>0.99</v>
      </c>
      <c r="M345" s="119">
        <f t="shared" si="74"/>
        <v>0.99</v>
      </c>
      <c r="N345" s="119">
        <f t="shared" si="74"/>
        <v>0.99</v>
      </c>
      <c r="O345" s="119">
        <f t="shared" si="74"/>
        <v>0.99</v>
      </c>
      <c r="P345" s="119">
        <f t="shared" si="74"/>
        <v>0.99</v>
      </c>
      <c r="Q345" s="119">
        <f t="shared" si="74"/>
        <v>0.99</v>
      </c>
      <c r="R345" s="119">
        <f t="shared" si="74"/>
        <v>0.99</v>
      </c>
      <c r="S345" s="119">
        <f t="shared" si="74"/>
        <v>0.99</v>
      </c>
      <c r="T345" s="119">
        <f t="shared" si="74"/>
        <v>0.99</v>
      </c>
      <c r="U345" s="119">
        <f t="shared" si="74"/>
        <v>0.99</v>
      </c>
      <c r="V345" s="119">
        <f t="shared" si="74"/>
        <v>0.99</v>
      </c>
      <c r="W345" s="119">
        <f t="shared" si="74"/>
        <v>0.99</v>
      </c>
      <c r="X345" s="119">
        <f t="shared" si="74"/>
        <v>0.99</v>
      </c>
      <c r="Y345" s="119">
        <f t="shared" si="74"/>
        <v>0.99</v>
      </c>
      <c r="Z345" s="119">
        <f t="shared" si="74"/>
        <v>0.99</v>
      </c>
      <c r="AA345" s="119">
        <f t="shared" si="74"/>
        <v>0.99</v>
      </c>
      <c r="AB345" s="119">
        <f t="shared" si="74"/>
        <v>0.99</v>
      </c>
      <c r="AC345" s="119">
        <f t="shared" si="74"/>
        <v>0.99</v>
      </c>
      <c r="AD345" s="119">
        <f t="shared" si="74"/>
        <v>0.99</v>
      </c>
      <c r="AE345" s="119">
        <f t="shared" si="74"/>
        <v>0.99</v>
      </c>
      <c r="AF345" s="119">
        <f t="shared" si="74"/>
        <v>0.99</v>
      </c>
      <c r="AG345" s="119">
        <f t="shared" si="74"/>
        <v>0.99</v>
      </c>
      <c r="AH345" s="119">
        <f t="shared" si="74"/>
        <v>0.99</v>
      </c>
      <c r="AI345" s="119"/>
      <c r="AJ345" s="119"/>
      <c r="AK345" s="119"/>
      <c r="AL345" s="119"/>
      <c r="AM345" s="119"/>
      <c r="AN345" s="119"/>
      <c r="AO345" s="119"/>
      <c r="AP345" s="119"/>
      <c r="AQ345" s="119"/>
      <c r="AR345" s="119"/>
      <c r="AS345" s="119"/>
      <c r="AT345" s="119"/>
      <c r="AU345" s="119"/>
      <c r="AV345" s="119"/>
      <c r="AW345" s="119"/>
      <c r="AX345" s="119"/>
      <c r="AY345" s="119"/>
      <c r="AZ345" s="119"/>
      <c r="BA345" s="119"/>
      <c r="BB345" s="119"/>
      <c r="BC345" s="119"/>
      <c r="BD345" s="119"/>
      <c r="BE345" s="119"/>
      <c r="BF345" s="119"/>
      <c r="BG345" s="119"/>
      <c r="BH345" s="119"/>
      <c r="BI345" s="119"/>
      <c r="BJ345" s="119"/>
      <c r="BK345" s="119"/>
      <c r="BL345" s="119"/>
      <c r="BM345" s="119"/>
      <c r="BN345" s="119"/>
      <c r="BO345" s="119"/>
      <c r="BP345" s="119"/>
      <c r="BQ345" s="119"/>
      <c r="BR345" s="119"/>
      <c r="BS345" s="119"/>
      <c r="BT345" s="119"/>
      <c r="BU345" s="119"/>
      <c r="BV345" s="119"/>
      <c r="BW345" s="119"/>
      <c r="BX345" s="119"/>
      <c r="BY345" s="119"/>
      <c r="BZ345" s="119"/>
      <c r="CA345" s="119"/>
      <c r="CB345" s="119"/>
      <c r="CC345" s="119"/>
      <c r="CD345" s="119"/>
      <c r="CE345" s="119"/>
      <c r="CF345" s="119"/>
      <c r="CG345" s="119"/>
      <c r="CH345" s="119"/>
      <c r="CI345" s="119"/>
      <c r="CJ345" s="119"/>
      <c r="CK345" s="119"/>
      <c r="CL345" s="119"/>
      <c r="CM345" s="119"/>
      <c r="CN345" s="119"/>
      <c r="CO345" s="119"/>
      <c r="CP345" s="119"/>
      <c r="CQ345" s="119"/>
      <c r="CR345" s="119"/>
      <c r="CS345" s="119"/>
      <c r="CT345" s="119"/>
      <c r="CU345" s="119"/>
      <c r="CV345" s="119"/>
      <c r="CW345" s="119"/>
      <c r="CX345" s="119"/>
      <c r="CY345" s="119"/>
      <c r="CZ345" s="119"/>
      <c r="DA345" s="119"/>
      <c r="DB345" s="119"/>
      <c r="DC345" s="119"/>
      <c r="DD345" s="119"/>
      <c r="DE345" s="119"/>
      <c r="DF345" s="119"/>
      <c r="DG345" s="119"/>
      <c r="DH345" s="119"/>
      <c r="DI345" s="119"/>
      <c r="DJ345" s="119"/>
      <c r="DK345" s="119"/>
      <c r="DL345" s="119"/>
      <c r="DM345" s="119"/>
      <c r="DN345" s="119"/>
      <c r="DO345" s="119"/>
      <c r="DP345" s="119"/>
      <c r="DQ345" s="119"/>
      <c r="DR345" s="119"/>
      <c r="DS345" s="119"/>
      <c r="DT345" s="119"/>
      <c r="DU345" s="119"/>
      <c r="DV345" s="119"/>
      <c r="DW345" s="119"/>
      <c r="DX345" s="119"/>
      <c r="DY345" s="119"/>
      <c r="DZ345" s="119"/>
      <c r="EA345" s="119"/>
      <c r="EB345" s="119"/>
      <c r="EC345" s="119"/>
      <c r="ED345" s="119"/>
      <c r="EE345" s="119"/>
      <c r="EF345" s="119"/>
      <c r="EG345" s="119"/>
      <c r="EH345" s="119"/>
      <c r="EI345" s="119"/>
      <c r="EJ345" s="119"/>
      <c r="EK345" s="119"/>
      <c r="EL345" s="119"/>
    </row>
    <row r="346" spans="1:142" s="142" customFormat="1">
      <c r="A346" s="140"/>
      <c r="B346" s="141" t="s">
        <v>667</v>
      </c>
      <c r="C346" s="827"/>
      <c r="D346" s="141"/>
      <c r="E346" s="136">
        <f>D335</f>
        <v>0.01</v>
      </c>
      <c r="F346" s="139">
        <f t="shared" ref="F346:AH346" si="75">E346</f>
        <v>0.01</v>
      </c>
      <c r="G346" s="139">
        <f t="shared" si="75"/>
        <v>0.01</v>
      </c>
      <c r="H346" s="139">
        <f t="shared" si="75"/>
        <v>0.01</v>
      </c>
      <c r="I346" s="139">
        <f t="shared" si="75"/>
        <v>0.01</v>
      </c>
      <c r="J346" s="139">
        <f t="shared" si="75"/>
        <v>0.01</v>
      </c>
      <c r="K346" s="139">
        <f t="shared" si="75"/>
        <v>0.01</v>
      </c>
      <c r="L346" s="139">
        <f t="shared" si="75"/>
        <v>0.01</v>
      </c>
      <c r="M346" s="139">
        <f t="shared" si="75"/>
        <v>0.01</v>
      </c>
      <c r="N346" s="139">
        <f t="shared" si="75"/>
        <v>0.01</v>
      </c>
      <c r="O346" s="139">
        <f t="shared" si="75"/>
        <v>0.01</v>
      </c>
      <c r="P346" s="139">
        <f t="shared" si="75"/>
        <v>0.01</v>
      </c>
      <c r="Q346" s="139">
        <f t="shared" si="75"/>
        <v>0.01</v>
      </c>
      <c r="R346" s="139">
        <f t="shared" si="75"/>
        <v>0.01</v>
      </c>
      <c r="S346" s="139">
        <f t="shared" si="75"/>
        <v>0.01</v>
      </c>
      <c r="T346" s="139">
        <f t="shared" si="75"/>
        <v>0.01</v>
      </c>
      <c r="U346" s="139">
        <f t="shared" si="75"/>
        <v>0.01</v>
      </c>
      <c r="V346" s="139">
        <f t="shared" si="75"/>
        <v>0.01</v>
      </c>
      <c r="W346" s="139">
        <f t="shared" si="75"/>
        <v>0.01</v>
      </c>
      <c r="X346" s="139">
        <f t="shared" si="75"/>
        <v>0.01</v>
      </c>
      <c r="Y346" s="139">
        <f t="shared" si="75"/>
        <v>0.01</v>
      </c>
      <c r="Z346" s="139">
        <f t="shared" si="75"/>
        <v>0.01</v>
      </c>
      <c r="AA346" s="139">
        <f t="shared" si="75"/>
        <v>0.01</v>
      </c>
      <c r="AB346" s="139">
        <f t="shared" si="75"/>
        <v>0.01</v>
      </c>
      <c r="AC346" s="139">
        <f t="shared" si="75"/>
        <v>0.01</v>
      </c>
      <c r="AD346" s="139">
        <f t="shared" si="75"/>
        <v>0.01</v>
      </c>
      <c r="AE346" s="139">
        <f t="shared" si="75"/>
        <v>0.01</v>
      </c>
      <c r="AF346" s="139">
        <f t="shared" si="75"/>
        <v>0.01</v>
      </c>
      <c r="AG346" s="139">
        <f t="shared" si="75"/>
        <v>0.01</v>
      </c>
      <c r="AH346" s="139">
        <f t="shared" si="75"/>
        <v>0.01</v>
      </c>
      <c r="AI346" s="119"/>
      <c r="AJ346" s="119"/>
      <c r="AK346" s="119"/>
      <c r="AL346" s="119"/>
      <c r="AM346" s="119"/>
      <c r="AN346" s="119"/>
      <c r="AO346" s="119"/>
      <c r="AP346" s="119"/>
      <c r="AQ346" s="119"/>
      <c r="AR346" s="119"/>
      <c r="AS346" s="119"/>
      <c r="AT346" s="119"/>
      <c r="AU346" s="119"/>
      <c r="AV346" s="119"/>
      <c r="AW346" s="119"/>
      <c r="AX346" s="119"/>
      <c r="AY346" s="119"/>
      <c r="AZ346" s="119"/>
      <c r="BA346" s="119"/>
      <c r="BB346" s="119"/>
      <c r="BC346" s="119"/>
      <c r="BD346" s="119"/>
      <c r="BE346" s="119"/>
      <c r="BF346" s="119"/>
      <c r="BG346" s="119"/>
      <c r="BH346" s="119"/>
      <c r="BI346" s="119"/>
      <c r="BJ346" s="119"/>
      <c r="BK346" s="119"/>
      <c r="BL346" s="119"/>
      <c r="BM346" s="119"/>
      <c r="BN346" s="119"/>
      <c r="BO346" s="119"/>
      <c r="BP346" s="119"/>
      <c r="BQ346" s="119"/>
      <c r="BR346" s="119"/>
      <c r="BS346" s="119"/>
      <c r="BT346" s="119"/>
      <c r="BU346" s="119"/>
      <c r="BV346" s="119"/>
      <c r="BW346" s="119"/>
      <c r="BX346" s="119"/>
      <c r="BY346" s="119"/>
      <c r="BZ346" s="119"/>
      <c r="CA346" s="119"/>
      <c r="CB346" s="119"/>
      <c r="CC346" s="119"/>
      <c r="CD346" s="119"/>
      <c r="CE346" s="119"/>
      <c r="CF346" s="119"/>
      <c r="CG346" s="119"/>
      <c r="CH346" s="119"/>
      <c r="CI346" s="119"/>
      <c r="CJ346" s="119"/>
      <c r="CK346" s="119"/>
      <c r="CL346" s="119"/>
      <c r="CM346" s="119"/>
      <c r="CN346" s="119"/>
      <c r="CO346" s="119"/>
      <c r="CP346" s="119"/>
      <c r="CQ346" s="119"/>
      <c r="CR346" s="119"/>
      <c r="CS346" s="119"/>
      <c r="CT346" s="119"/>
      <c r="CU346" s="119"/>
      <c r="CV346" s="119"/>
      <c r="CW346" s="119"/>
      <c r="CX346" s="119"/>
      <c r="CY346" s="119"/>
      <c r="CZ346" s="119"/>
      <c r="DA346" s="119"/>
      <c r="DB346" s="119"/>
      <c r="DC346" s="119"/>
      <c r="DD346" s="119"/>
      <c r="DE346" s="119"/>
      <c r="DF346" s="119"/>
      <c r="DG346" s="119"/>
      <c r="DH346" s="119"/>
      <c r="DI346" s="119"/>
      <c r="DJ346" s="119"/>
      <c r="DK346" s="119"/>
      <c r="DL346" s="119"/>
      <c r="DM346" s="119"/>
      <c r="DN346" s="119"/>
      <c r="DO346" s="119"/>
      <c r="DP346" s="119"/>
      <c r="DQ346" s="119"/>
      <c r="DR346" s="119"/>
      <c r="DS346" s="119"/>
      <c r="DT346" s="119"/>
      <c r="DU346" s="119"/>
      <c r="DV346" s="119"/>
      <c r="DW346" s="119"/>
      <c r="DX346" s="119"/>
      <c r="DY346" s="119"/>
      <c r="DZ346" s="119"/>
      <c r="EA346" s="119"/>
      <c r="EB346" s="119"/>
      <c r="EC346" s="119"/>
      <c r="ED346" s="119"/>
      <c r="EE346" s="119"/>
      <c r="EF346" s="119"/>
      <c r="EG346" s="119"/>
      <c r="EH346" s="119"/>
      <c r="EI346" s="119"/>
      <c r="EJ346" s="119"/>
      <c r="EK346" s="119"/>
      <c r="EL346" s="119"/>
    </row>
    <row r="347" spans="1:142" s="76" customFormat="1">
      <c r="A347" s="105"/>
      <c r="B347" s="108"/>
      <c r="D347" s="108"/>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05"/>
      <c r="AR347" s="105"/>
      <c r="AS347" s="105"/>
      <c r="AT347" s="105"/>
      <c r="AU347" s="105"/>
      <c r="AV347" s="105"/>
      <c r="AW347" s="105"/>
      <c r="AX347" s="105"/>
      <c r="AY347" s="105"/>
      <c r="AZ347" s="105"/>
      <c r="BA347" s="105"/>
      <c r="BB347" s="105"/>
      <c r="BC347" s="105"/>
      <c r="BD347" s="105"/>
      <c r="BE347" s="105"/>
      <c r="BF347" s="105"/>
      <c r="BG347" s="105"/>
      <c r="BH347" s="105"/>
      <c r="BI347" s="105"/>
      <c r="BJ347" s="105"/>
      <c r="BK347" s="105"/>
      <c r="BL347" s="105"/>
      <c r="BM347" s="105"/>
      <c r="BN347" s="105"/>
      <c r="BO347" s="105"/>
      <c r="BP347" s="105"/>
      <c r="BQ347" s="105"/>
      <c r="BR347" s="105"/>
      <c r="BS347" s="105"/>
      <c r="BT347" s="105"/>
      <c r="BU347" s="105"/>
      <c r="BV347" s="105"/>
      <c r="BW347" s="105"/>
      <c r="BX347" s="105"/>
      <c r="BY347" s="105"/>
      <c r="BZ347" s="105"/>
      <c r="CA347" s="105"/>
      <c r="CB347" s="105"/>
      <c r="CC347" s="105"/>
      <c r="CD347" s="105"/>
      <c r="CE347" s="105"/>
      <c r="CF347" s="105"/>
      <c r="CG347" s="105"/>
      <c r="CH347" s="105"/>
      <c r="CI347" s="105"/>
      <c r="CJ347" s="105"/>
      <c r="CK347" s="105"/>
      <c r="CL347" s="105"/>
      <c r="CM347" s="105"/>
      <c r="CN347" s="105"/>
      <c r="CO347" s="105"/>
      <c r="CP347" s="105"/>
      <c r="CQ347" s="105"/>
      <c r="CR347" s="105"/>
      <c r="CS347" s="105"/>
      <c r="CT347" s="105"/>
      <c r="CU347" s="105"/>
      <c r="CV347" s="105"/>
      <c r="CW347" s="105"/>
      <c r="CX347" s="105"/>
      <c r="CY347" s="105"/>
      <c r="CZ347" s="105"/>
      <c r="DA347" s="105"/>
      <c r="DB347" s="105"/>
      <c r="DC347" s="105"/>
      <c r="DD347" s="105"/>
      <c r="DE347" s="105"/>
      <c r="DF347" s="105"/>
      <c r="DG347" s="105"/>
      <c r="DH347" s="105"/>
      <c r="DI347" s="105"/>
      <c r="DJ347" s="105"/>
      <c r="DK347" s="105"/>
      <c r="DL347" s="105"/>
      <c r="DM347" s="105"/>
      <c r="DN347" s="105"/>
      <c r="DO347" s="105"/>
      <c r="DP347" s="105"/>
      <c r="DQ347" s="105"/>
      <c r="DR347" s="105"/>
      <c r="DS347" s="105"/>
      <c r="DT347" s="105"/>
      <c r="DU347" s="105"/>
      <c r="DV347" s="105"/>
      <c r="DW347" s="105"/>
      <c r="DX347" s="105"/>
      <c r="DY347" s="105"/>
      <c r="DZ347" s="105"/>
      <c r="EA347" s="105"/>
      <c r="EB347" s="105"/>
      <c r="EC347" s="105"/>
      <c r="ED347" s="105"/>
      <c r="EE347" s="105"/>
      <c r="EF347" s="105"/>
      <c r="EG347" s="105"/>
      <c r="EH347" s="105"/>
      <c r="EI347" s="105"/>
      <c r="EJ347" s="105"/>
      <c r="EK347" s="105"/>
      <c r="EL347" s="105"/>
    </row>
    <row r="348" spans="1:142" s="76" customFormat="1">
      <c r="A348" s="105"/>
      <c r="B348" s="105" t="s">
        <v>670</v>
      </c>
      <c r="C348" s="89"/>
      <c r="D348" s="40"/>
      <c r="E348" s="139">
        <f>D335</f>
        <v>0.01</v>
      </c>
      <c r="F348" s="12" t="s">
        <v>43</v>
      </c>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05"/>
      <c r="AR348" s="105"/>
      <c r="AS348" s="105"/>
      <c r="AT348" s="105"/>
      <c r="AU348" s="105"/>
      <c r="AV348" s="105"/>
      <c r="AW348" s="105"/>
      <c r="AX348" s="105"/>
      <c r="AY348" s="105"/>
      <c r="AZ348" s="105"/>
      <c r="BA348" s="105"/>
      <c r="BB348" s="105"/>
      <c r="BC348" s="105"/>
      <c r="BD348" s="105"/>
      <c r="BE348" s="105"/>
      <c r="BF348" s="105"/>
      <c r="BG348" s="105"/>
      <c r="BH348" s="105"/>
      <c r="BI348" s="105"/>
      <c r="BJ348" s="105"/>
      <c r="BK348" s="105"/>
      <c r="BL348" s="105"/>
      <c r="BM348" s="105"/>
      <c r="BN348" s="105"/>
      <c r="BO348" s="105"/>
      <c r="BP348" s="105"/>
      <c r="BQ348" s="105"/>
      <c r="BR348" s="105"/>
      <c r="BS348" s="105"/>
      <c r="BT348" s="105"/>
      <c r="BU348" s="105"/>
      <c r="BV348" s="105"/>
      <c r="BW348" s="105"/>
      <c r="BX348" s="105"/>
      <c r="BY348" s="105"/>
      <c r="BZ348" s="105"/>
      <c r="CA348" s="105"/>
      <c r="CB348" s="105"/>
      <c r="CC348" s="105"/>
      <c r="CD348" s="105"/>
      <c r="CE348" s="105"/>
      <c r="CF348" s="105"/>
      <c r="CG348" s="105"/>
      <c r="CH348" s="105"/>
      <c r="CI348" s="105"/>
      <c r="CJ348" s="105"/>
      <c r="CK348" s="105"/>
      <c r="CL348" s="105"/>
      <c r="CM348" s="105"/>
      <c r="CN348" s="105"/>
      <c r="CO348" s="105"/>
      <c r="CP348" s="105"/>
      <c r="CQ348" s="105"/>
      <c r="CR348" s="105"/>
      <c r="CS348" s="105"/>
      <c r="CT348" s="105"/>
      <c r="CU348" s="105"/>
      <c r="CV348" s="105"/>
      <c r="CW348" s="105"/>
      <c r="CX348" s="105"/>
      <c r="CY348" s="105"/>
      <c r="CZ348" s="105"/>
      <c r="DA348" s="105"/>
      <c r="DB348" s="105"/>
      <c r="DC348" s="105"/>
      <c r="DD348" s="105"/>
      <c r="DE348" s="105"/>
      <c r="DF348" s="105"/>
      <c r="DG348" s="105"/>
      <c r="DH348" s="105"/>
      <c r="DI348" s="105"/>
      <c r="DJ348" s="105"/>
      <c r="DK348" s="105"/>
      <c r="DL348" s="105"/>
      <c r="DM348" s="105"/>
      <c r="DN348" s="105"/>
      <c r="DO348" s="105"/>
      <c r="DP348" s="105"/>
      <c r="DQ348" s="105"/>
      <c r="DR348" s="105"/>
      <c r="DS348" s="105"/>
      <c r="DT348" s="105"/>
      <c r="DU348" s="105"/>
      <c r="DV348" s="105"/>
      <c r="DW348" s="105"/>
      <c r="DX348" s="105"/>
      <c r="DY348" s="105"/>
      <c r="DZ348" s="105"/>
      <c r="EA348" s="105"/>
      <c r="EB348" s="105"/>
      <c r="EC348" s="105"/>
      <c r="ED348" s="105"/>
      <c r="EE348" s="105"/>
      <c r="EF348" s="105"/>
      <c r="EG348" s="105"/>
      <c r="EH348" s="105"/>
      <c r="EI348" s="105"/>
      <c r="EJ348" s="105"/>
      <c r="EK348" s="105"/>
      <c r="EL348" s="105"/>
    </row>
    <row r="349" spans="1:142" s="76" customFormat="1">
      <c r="A349" s="105"/>
      <c r="B349" s="105"/>
      <c r="C349" s="89"/>
      <c r="D349" s="40"/>
      <c r="E349" s="298"/>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05"/>
      <c r="AR349" s="105"/>
      <c r="AS349" s="105"/>
      <c r="AT349" s="105"/>
      <c r="AU349" s="105"/>
      <c r="AV349" s="105"/>
      <c r="AW349" s="105"/>
      <c r="AX349" s="105"/>
      <c r="AY349" s="105"/>
      <c r="AZ349" s="105"/>
      <c r="BA349" s="105"/>
      <c r="BB349" s="105"/>
      <c r="BC349" s="105"/>
      <c r="BD349" s="105"/>
      <c r="BE349" s="105"/>
      <c r="BF349" s="105"/>
      <c r="BG349" s="105"/>
      <c r="BH349" s="105"/>
      <c r="BI349" s="105"/>
      <c r="BJ349" s="105"/>
      <c r="BK349" s="105"/>
      <c r="BL349" s="105"/>
      <c r="BM349" s="105"/>
      <c r="BN349" s="105"/>
      <c r="BO349" s="105"/>
      <c r="BP349" s="105"/>
      <c r="BQ349" s="105"/>
      <c r="BR349" s="105"/>
      <c r="BS349" s="105"/>
      <c r="BT349" s="105"/>
      <c r="BU349" s="105"/>
      <c r="BV349" s="105"/>
      <c r="BW349" s="105"/>
      <c r="BX349" s="105"/>
      <c r="BY349" s="105"/>
      <c r="BZ349" s="105"/>
      <c r="CA349" s="105"/>
      <c r="CB349" s="105"/>
      <c r="CC349" s="105"/>
      <c r="CD349" s="105"/>
      <c r="CE349" s="105"/>
      <c r="CF349" s="105"/>
      <c r="CG349" s="105"/>
      <c r="CH349" s="105"/>
      <c r="CI349" s="105"/>
      <c r="CJ349" s="105"/>
      <c r="CK349" s="105"/>
      <c r="CL349" s="105"/>
      <c r="CM349" s="105"/>
      <c r="CN349" s="105"/>
      <c r="CO349" s="105"/>
      <c r="CP349" s="105"/>
      <c r="CQ349" s="105"/>
      <c r="CR349" s="105"/>
      <c r="CS349" s="105"/>
      <c r="CT349" s="105"/>
      <c r="CU349" s="105"/>
      <c r="CV349" s="105"/>
      <c r="CW349" s="105"/>
      <c r="CX349" s="105"/>
      <c r="CY349" s="105"/>
      <c r="CZ349" s="105"/>
      <c r="DA349" s="105"/>
      <c r="DB349" s="105"/>
      <c r="DC349" s="105"/>
      <c r="DD349" s="105"/>
      <c r="DE349" s="105"/>
      <c r="DF349" s="105"/>
      <c r="DG349" s="105"/>
      <c r="DH349" s="105"/>
      <c r="DI349" s="105"/>
      <c r="DJ349" s="105"/>
      <c r="DK349" s="105"/>
      <c r="DL349" s="105"/>
      <c r="DM349" s="105"/>
      <c r="DN349" s="105"/>
      <c r="DO349" s="105"/>
      <c r="DP349" s="105"/>
      <c r="DQ349" s="105"/>
      <c r="DR349" s="105"/>
      <c r="DS349" s="105"/>
      <c r="DT349" s="105"/>
      <c r="DU349" s="105"/>
      <c r="DV349" s="105"/>
      <c r="DW349" s="105"/>
      <c r="DX349" s="105"/>
      <c r="DY349" s="105"/>
      <c r="DZ349" s="105"/>
      <c r="EA349" s="105"/>
      <c r="EB349" s="105"/>
      <c r="EC349" s="105"/>
      <c r="ED349" s="105"/>
      <c r="EE349" s="105"/>
      <c r="EF349" s="105"/>
      <c r="EG349" s="105"/>
      <c r="EH349" s="105"/>
      <c r="EI349" s="105"/>
      <c r="EJ349" s="105"/>
      <c r="EK349" s="105"/>
      <c r="EL349" s="105"/>
    </row>
    <row r="350" spans="1:142" s="350" customFormat="1">
      <c r="A350" s="346"/>
      <c r="B350" s="346"/>
      <c r="C350" s="346"/>
      <c r="D350" s="347"/>
      <c r="E350" s="348"/>
      <c r="F350" s="349"/>
      <c r="G350" s="349"/>
      <c r="H350" s="349"/>
      <c r="I350" s="349"/>
      <c r="J350" s="349"/>
      <c r="K350" s="349"/>
      <c r="L350" s="349"/>
      <c r="M350" s="349"/>
      <c r="N350" s="349"/>
      <c r="O350" s="349"/>
      <c r="P350" s="349"/>
      <c r="Q350" s="349"/>
      <c r="R350" s="349"/>
      <c r="S350" s="349"/>
      <c r="T350" s="349"/>
      <c r="U350" s="349"/>
      <c r="V350" s="349"/>
      <c r="W350" s="349"/>
      <c r="X350" s="349"/>
      <c r="Y350" s="349"/>
      <c r="Z350" s="349"/>
      <c r="AA350" s="349"/>
      <c r="AB350" s="349"/>
      <c r="AC350" s="349"/>
      <c r="AD350" s="349"/>
      <c r="AE350" s="349"/>
      <c r="AF350" s="349"/>
      <c r="AG350" s="349"/>
      <c r="AH350" s="349"/>
      <c r="AI350" s="349"/>
      <c r="AJ350" s="349"/>
      <c r="AK350" s="349"/>
      <c r="AL350" s="349"/>
      <c r="AM350" s="349"/>
      <c r="AN350" s="349"/>
      <c r="AO350" s="349"/>
      <c r="AP350" s="349"/>
      <c r="AQ350" s="349"/>
      <c r="AR350" s="349"/>
      <c r="AS350" s="349"/>
      <c r="AT350" s="349"/>
      <c r="AU350" s="349"/>
      <c r="AV350" s="349"/>
      <c r="AW350" s="349"/>
      <c r="AX350" s="349"/>
      <c r="AY350" s="349"/>
      <c r="AZ350" s="349"/>
      <c r="BA350" s="349"/>
      <c r="BB350" s="349"/>
      <c r="BC350" s="349"/>
      <c r="BD350" s="349"/>
      <c r="BE350" s="349"/>
      <c r="BF350" s="349"/>
      <c r="BG350" s="349"/>
      <c r="BH350" s="349"/>
      <c r="BI350" s="349"/>
      <c r="BJ350" s="349"/>
      <c r="BK350" s="349"/>
      <c r="BL350" s="349"/>
      <c r="BM350" s="349"/>
      <c r="BN350" s="349"/>
      <c r="BO350" s="349"/>
      <c r="BP350" s="349"/>
      <c r="BQ350" s="349"/>
      <c r="BR350" s="349"/>
      <c r="BS350" s="349"/>
      <c r="BT350" s="349"/>
      <c r="BU350" s="349"/>
      <c r="BV350" s="349"/>
      <c r="BW350" s="349"/>
      <c r="BX350" s="349"/>
      <c r="BY350" s="349"/>
      <c r="BZ350" s="349"/>
      <c r="CA350" s="349"/>
      <c r="CB350" s="349"/>
      <c r="CC350" s="349"/>
      <c r="CD350" s="349"/>
      <c r="CE350" s="349"/>
      <c r="CF350" s="349"/>
      <c r="CG350" s="349"/>
      <c r="CH350" s="349"/>
      <c r="CI350" s="349"/>
      <c r="CJ350" s="349"/>
      <c r="CK350" s="349"/>
      <c r="CL350" s="349"/>
      <c r="CM350" s="349"/>
      <c r="CN350" s="349"/>
      <c r="CO350" s="349"/>
      <c r="CP350" s="349"/>
      <c r="CQ350" s="349"/>
      <c r="CR350" s="349"/>
      <c r="CS350" s="349"/>
      <c r="CT350" s="349"/>
      <c r="CU350" s="349"/>
      <c r="CV350" s="349"/>
      <c r="CW350" s="349"/>
      <c r="CX350" s="349"/>
      <c r="CY350" s="349"/>
      <c r="CZ350" s="349"/>
      <c r="DA350" s="349"/>
      <c r="DB350" s="349"/>
      <c r="DC350" s="349"/>
      <c r="DD350" s="349"/>
      <c r="DE350" s="349"/>
      <c r="DF350" s="349"/>
      <c r="DG350" s="349"/>
      <c r="DH350" s="349"/>
      <c r="DI350" s="349"/>
      <c r="DJ350" s="349"/>
      <c r="DK350" s="349"/>
      <c r="DL350" s="349"/>
      <c r="DM350" s="349"/>
      <c r="DN350" s="349"/>
      <c r="DO350" s="349"/>
      <c r="DP350" s="349"/>
      <c r="DQ350" s="349"/>
      <c r="DR350" s="349"/>
      <c r="DS350" s="349"/>
      <c r="DT350" s="349"/>
      <c r="DU350" s="349"/>
      <c r="DV350" s="349"/>
      <c r="DW350" s="349"/>
      <c r="DX350" s="349"/>
      <c r="DY350" s="349"/>
      <c r="DZ350" s="349"/>
      <c r="EA350" s="349"/>
      <c r="EB350" s="349"/>
      <c r="EC350" s="349"/>
      <c r="ED350" s="349"/>
      <c r="EE350" s="349"/>
      <c r="EF350" s="349"/>
      <c r="EG350" s="349"/>
      <c r="EH350" s="349"/>
      <c r="EI350" s="349"/>
      <c r="EJ350" s="349"/>
      <c r="EK350" s="349"/>
      <c r="EL350" s="349"/>
    </row>
    <row r="352" spans="1:142" ht="13.5" thickBot="1">
      <c r="B352" s="241" t="s">
        <v>645</v>
      </c>
      <c r="C352" s="524"/>
    </row>
    <row r="353" spans="2:3">
      <c r="B353" s="696">
        <v>0</v>
      </c>
      <c r="C353" s="829"/>
    </row>
    <row r="354" spans="2:3">
      <c r="B354" s="697">
        <v>1</v>
      </c>
      <c r="C354" s="829"/>
    </row>
    <row r="355" spans="2:3">
      <c r="B355" s="697">
        <v>2</v>
      </c>
      <c r="C355" s="829"/>
    </row>
    <row r="356" spans="2:3">
      <c r="B356" s="697">
        <v>3</v>
      </c>
    </row>
    <row r="357" spans="2:3">
      <c r="B357" s="697">
        <v>4</v>
      </c>
    </row>
    <row r="358" spans="2:3">
      <c r="B358" s="697">
        <v>5</v>
      </c>
    </row>
    <row r="359" spans="2:3">
      <c r="B359" s="697">
        <v>6</v>
      </c>
    </row>
    <row r="360" spans="2:3">
      <c r="B360" s="697">
        <v>7</v>
      </c>
    </row>
    <row r="361" spans="2:3">
      <c r="B361" s="697">
        <v>8</v>
      </c>
    </row>
    <row r="362" spans="2:3">
      <c r="B362" s="697">
        <v>9</v>
      </c>
    </row>
    <row r="363" spans="2:3" ht="13.5" thickBot="1">
      <c r="B363" s="698">
        <v>10</v>
      </c>
    </row>
  </sheetData>
  <dataValidations count="7">
    <dataValidation type="list" showInputMessage="1" showErrorMessage="1" error="The data entered must be either 1 or 2" sqref="E248 E294 E267">
      <formula1>$B$354:$B$355</formula1>
    </dataValidation>
    <dataValidation type="list" showInputMessage="1" showErrorMessage="1" error="The data entered must be 0 or 1" sqref="D179">
      <formula1>$B$353:$B$354</formula1>
    </dataValidation>
    <dataValidation type="list" allowBlank="1" showInputMessage="1" showErrorMessage="1" error="The data entered must be 0 or 1" sqref="E331">
      <formula1>$B$353:$B$354</formula1>
    </dataValidation>
    <dataValidation type="list" allowBlank="1" showInputMessage="1" showErrorMessage="1" sqref="E285 E292">
      <formula1>$B$353:$B$354</formula1>
    </dataValidation>
    <dataValidation type="decimal" operator="notEqual" showInputMessage="1" showErrorMessage="1" errorTitle="TRANCHE WEIGHT FACTORS" error="If only one Tranche is needed, please use Tranche A." sqref="E258">
      <formula1>0</formula1>
    </dataValidation>
    <dataValidation type="decimal" operator="greaterThanOrEqual" allowBlank="1" showInputMessage="1" showErrorMessage="1" errorTitle="Tranche B Term" error="Tranche B Term should be greater than or equal to Tranch A Term so that proper debt service cash flow can be assigned." sqref="E261">
      <formula1>E242</formula1>
    </dataValidation>
    <dataValidation type="decimal" operator="lessThanOrEqual" allowBlank="1" showInputMessage="1" showErrorMessage="1" errorTitle="Tranche A Term" error="Tranche A Term should be less than or equal to Tranche B Term so that proper debt service cashflow can be assigned. -- If Tranche B is not used set B Term to 40 years" sqref="E242">
      <formula1>$E$261</formula1>
    </dataValidation>
  </dataValidations>
  <printOptions headings="1"/>
  <pageMargins left="0.3" right="0.28000000000000003" top="0.27" bottom="0.26" header="0.5" footer="0.31"/>
  <pageSetup scale="48" orientation="landscape" verticalDpi="300" r:id="rId1"/>
  <headerFooter alignWithMargins="0">
    <oddFooter>&amp;R&amp;F</oddFooter>
  </headerFooter>
  <rowBreaks count="2" manualBreakCount="2">
    <brk id="82" max="49" man="1"/>
    <brk id="229" max="16383" man="1"/>
  </rowBreaks>
  <colBreaks count="1" manualBreakCount="1">
    <brk id="19" max="1048575" man="1"/>
  </colBreaks>
  <drawing r:id="rId2"/>
  <legacyDrawing r:id="rId3"/>
  <oleObjects>
    <mc:AlternateContent xmlns:mc="http://schemas.openxmlformats.org/markup-compatibility/2006">
      <mc:Choice Requires="x14">
        <oleObject progId="WPDraw30.Drawing" shapeId="1036" r:id="rId4">
          <objectPr defaultSize="0" autoPict="0" r:id="rId5">
            <anchor moveWithCells="1">
              <from>
                <xdr:col>1</xdr:col>
                <xdr:colOff>47625</xdr:colOff>
                <xdr:row>0</xdr:row>
                <xdr:rowOff>57150</xdr:rowOff>
              </from>
              <to>
                <xdr:col>1</xdr:col>
                <xdr:colOff>1333500</xdr:colOff>
                <xdr:row>8</xdr:row>
                <xdr:rowOff>9525</xdr:rowOff>
              </to>
            </anchor>
          </objectPr>
        </oleObject>
      </mc:Choice>
      <mc:Fallback>
        <oleObject progId="WPDraw30.Drawing" shapeId="1036" r:id="rId4"/>
      </mc:Fallback>
    </mc:AlternateContent>
  </oleObjects>
  <mc:AlternateContent xmlns:mc="http://schemas.openxmlformats.org/markup-compatibility/2006">
    <mc:Choice Requires="x14">
      <controls>
        <mc:AlternateContent xmlns:mc="http://schemas.openxmlformats.org/markup-compatibility/2006">
          <mc:Choice Requires="x14">
            <control shapeId="1034" r:id="rId6" name="Button 10">
              <controlPr defaultSize="0" print="0" autoFill="0" autoPict="0" macro="[0]!Print_Assumptions">
                <anchor moveWithCells="1">
                  <from>
                    <xdr:col>5</xdr:col>
                    <xdr:colOff>9525</xdr:colOff>
                    <xdr:row>12</xdr:row>
                    <xdr:rowOff>161925</xdr:rowOff>
                  </from>
                  <to>
                    <xdr:col>5</xdr:col>
                    <xdr:colOff>1381125</xdr:colOff>
                    <xdr:row>15</xdr:row>
                    <xdr:rowOff>123825</xdr:rowOff>
                  </to>
                </anchor>
              </controlPr>
            </control>
          </mc:Choice>
        </mc:AlternateContent>
        <mc:AlternateContent xmlns:mc="http://schemas.openxmlformats.org/markup-compatibility/2006">
          <mc:Choice Requires="x14">
            <control shapeId="17493" r:id="rId7" name="Button 1109">
              <controlPr defaultSize="0" print="0" autoFill="0" autoPict="0" macro="[0]!Print_Standard">
                <anchor moveWithCells="1">
                  <from>
                    <xdr:col>5</xdr:col>
                    <xdr:colOff>0</xdr:colOff>
                    <xdr:row>5</xdr:row>
                    <xdr:rowOff>0</xdr:rowOff>
                  </from>
                  <to>
                    <xdr:col>5</xdr:col>
                    <xdr:colOff>1371600</xdr:colOff>
                    <xdr:row>7</xdr:row>
                    <xdr:rowOff>123825</xdr:rowOff>
                  </to>
                </anchor>
              </controlPr>
            </control>
          </mc:Choice>
        </mc:AlternateContent>
        <mc:AlternateContent xmlns:mc="http://schemas.openxmlformats.org/markup-compatibility/2006">
          <mc:Choice Requires="x14">
            <control shapeId="17494" r:id="rId8" name="Button 1110">
              <controlPr defaultSize="0" print="0" autoFill="0" autoPict="0" macro="[0]!Print_All">
                <anchor moveWithCells="1">
                  <from>
                    <xdr:col>5</xdr:col>
                    <xdr:colOff>0</xdr:colOff>
                    <xdr:row>9</xdr:row>
                    <xdr:rowOff>9525</xdr:rowOff>
                  </from>
                  <to>
                    <xdr:col>5</xdr:col>
                    <xdr:colOff>1371600</xdr:colOff>
                    <xdr:row>11</xdr:row>
                    <xdr:rowOff>161925</xdr:rowOff>
                  </to>
                </anchor>
              </controlPr>
            </control>
          </mc:Choice>
        </mc:AlternateContent>
        <mc:AlternateContent xmlns:mc="http://schemas.openxmlformats.org/markup-compatibility/2006">
          <mc:Choice Requires="x14">
            <control shapeId="17515" r:id="rId9" name="Button 1131">
              <controlPr defaultSize="0" print="0" autoFill="0" autoPict="0" macro="[0]!secure">
                <anchor moveWithCells="1">
                  <from>
                    <xdr:col>7</xdr:col>
                    <xdr:colOff>0</xdr:colOff>
                    <xdr:row>5</xdr:row>
                    <xdr:rowOff>28575</xdr:rowOff>
                  </from>
                  <to>
                    <xdr:col>8</xdr:col>
                    <xdr:colOff>114300</xdr:colOff>
                    <xdr:row>8</xdr:row>
                    <xdr:rowOff>0</xdr:rowOff>
                  </to>
                </anchor>
              </controlPr>
            </control>
          </mc:Choice>
        </mc:AlternateContent>
        <mc:AlternateContent xmlns:mc="http://schemas.openxmlformats.org/markup-compatibility/2006">
          <mc:Choice Requires="x14">
            <control shapeId="17516" r:id="rId10" name="Button 1132">
              <controlPr defaultSize="0" print="0" autoFill="0" autoPict="0" macro="[0]!unsecure">
                <anchor moveWithCells="1">
                  <from>
                    <xdr:col>6</xdr:col>
                    <xdr:colOff>1943100</xdr:colOff>
                    <xdr:row>9</xdr:row>
                    <xdr:rowOff>28575</xdr:rowOff>
                  </from>
                  <to>
                    <xdr:col>8</xdr:col>
                    <xdr:colOff>95250</xdr:colOff>
                    <xdr:row>11</xdr:row>
                    <xdr:rowOff>161925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4"/>
  <sheetViews>
    <sheetView topLeftCell="B43" zoomScale="75" workbookViewId="0">
      <selection activeCell="H71" sqref="H71"/>
    </sheetView>
  </sheetViews>
  <sheetFormatPr defaultRowHeight="12.75"/>
  <cols>
    <col min="2" max="2" width="16.85546875" customWidth="1"/>
    <col min="3" max="3" width="20.28515625" customWidth="1"/>
    <col min="4" max="4" width="19.5703125" customWidth="1"/>
    <col min="5" max="5" width="17.85546875" customWidth="1"/>
    <col min="6" max="6" width="17.5703125" customWidth="1"/>
    <col min="7" max="7" width="12.85546875" customWidth="1"/>
  </cols>
  <sheetData>
    <row r="1" spans="2:7">
      <c r="B1" t="s">
        <v>913</v>
      </c>
    </row>
    <row r="2" spans="2:7">
      <c r="B2" s="1649">
        <f>EWCIRR!G3</f>
        <v>0.15</v>
      </c>
    </row>
    <row r="4" spans="2:7">
      <c r="B4" s="188" t="s">
        <v>908</v>
      </c>
      <c r="C4" s="188" t="s">
        <v>909</v>
      </c>
      <c r="D4" s="188" t="s">
        <v>910</v>
      </c>
      <c r="E4" s="188" t="s">
        <v>911</v>
      </c>
      <c r="F4" s="188" t="s">
        <v>912</v>
      </c>
      <c r="G4" s="188" t="s">
        <v>358</v>
      </c>
    </row>
    <row r="5" spans="2:7">
      <c r="B5" s="475">
        <f>-C5</f>
        <v>68955.688803655008</v>
      </c>
      <c r="C5" s="1647">
        <f>-NPV(B2,CashFlow!E11:X11)</f>
        <v>-68955.688803655008</v>
      </c>
      <c r="D5" s="475">
        <f>EWCIRR!G13</f>
        <v>24184.412061342769</v>
      </c>
      <c r="E5" s="475">
        <f ca="1">EWCIRR!E12</f>
        <v>131611.67485312273</v>
      </c>
      <c r="F5" s="475">
        <f ca="1">EWCIRR!E6</f>
        <v>-131695.53852738941</v>
      </c>
      <c r="G5" s="475">
        <f ca="1">SUM(B5:F5)</f>
        <v>24100.548387076095</v>
      </c>
    </row>
    <row r="7" spans="2:7">
      <c r="B7" s="1641" t="str">
        <f>B4</f>
        <v>PV(Market Price)</v>
      </c>
      <c r="C7" s="1641" t="str">
        <f>C4</f>
        <v>PV(Contract Price)</v>
      </c>
      <c r="D7" s="1641" t="str">
        <f>D4</f>
        <v>PV(Green Premium)</v>
      </c>
    </row>
    <row r="8" spans="2:7">
      <c r="B8" s="1641">
        <f>B5</f>
        <v>68955.688803655008</v>
      </c>
      <c r="C8" s="1641">
        <f>C5</f>
        <v>-68955.688803655008</v>
      </c>
      <c r="D8" s="1641">
        <f>D5*0.5</f>
        <v>12092.206030671385</v>
      </c>
    </row>
    <row r="10" spans="2:7">
      <c r="D10" t="str">
        <f>D4</f>
        <v>PV(Green Premium)</v>
      </c>
      <c r="E10" t="str">
        <f>E4</f>
        <v>FMV(Project)</v>
      </c>
      <c r="F10" t="str">
        <f>F4</f>
        <v>Cost(Project)</v>
      </c>
    </row>
    <row r="11" spans="2:7">
      <c r="D11" s="59">
        <f>D5*0.5</f>
        <v>12092.206030671385</v>
      </c>
      <c r="E11" s="59">
        <f ca="1">E5</f>
        <v>131611.67485312273</v>
      </c>
      <c r="F11" s="59">
        <f ca="1">F5</f>
        <v>-131695.53852738941</v>
      </c>
    </row>
    <row r="13" spans="2:7">
      <c r="D13" t="str">
        <f t="shared" ref="D13:G14" si="0">D4</f>
        <v>PV(Green Premium)</v>
      </c>
      <c r="E13" t="str">
        <f t="shared" si="0"/>
        <v>FMV(Project)</v>
      </c>
      <c r="F13" t="str">
        <f t="shared" si="0"/>
        <v>Cost(Project)</v>
      </c>
      <c r="G13" t="str">
        <f t="shared" si="0"/>
        <v>Total</v>
      </c>
    </row>
    <row r="14" spans="2:7">
      <c r="D14" s="59">
        <f t="shared" si="0"/>
        <v>24184.412061342769</v>
      </c>
      <c r="E14" s="59">
        <f t="shared" ca="1" si="0"/>
        <v>131611.67485312273</v>
      </c>
      <c r="F14" s="59">
        <f t="shared" ca="1" si="0"/>
        <v>-131695.53852738941</v>
      </c>
      <c r="G14" s="59">
        <f t="shared" ca="1" si="0"/>
        <v>24100.548387076095</v>
      </c>
    </row>
  </sheetData>
  <pageMargins left="0.75" right="0.75" top="1" bottom="1" header="0.5" footer="0.5"/>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91"/>
  <sheetViews>
    <sheetView topLeftCell="I1" zoomScale="75" workbookViewId="0">
      <selection activeCell="X5" sqref="X5"/>
    </sheetView>
  </sheetViews>
  <sheetFormatPr defaultRowHeight="12.75"/>
  <cols>
    <col min="1" max="1" width="9.140625" style="188"/>
    <col min="2" max="2" width="10.42578125" style="1643" customWidth="1"/>
    <col min="3" max="3" width="3.42578125" style="1643" customWidth="1"/>
    <col min="4" max="4" width="15" customWidth="1"/>
    <col min="5" max="5" width="10.7109375" style="188" customWidth="1"/>
    <col min="6" max="6" width="12.42578125" customWidth="1"/>
    <col min="7" max="7" width="15" style="188" customWidth="1"/>
    <col min="8" max="8" width="5" customWidth="1"/>
    <col min="9" max="9" width="11.28515625" style="400" bestFit="1" customWidth="1"/>
    <col min="10" max="10" width="4.85546875" customWidth="1"/>
    <col min="12" max="12" width="6.5703125" style="1202" customWidth="1"/>
    <col min="13" max="13" width="14" customWidth="1"/>
    <col min="14" max="14" width="5.85546875" style="1202" customWidth="1"/>
    <col min="15" max="15" width="11.140625" customWidth="1"/>
    <col min="16" max="16" width="4.85546875" style="1202" customWidth="1"/>
    <col min="18" max="18" width="6.42578125" style="1202" customWidth="1"/>
    <col min="20" max="20" width="2.85546875" customWidth="1"/>
  </cols>
  <sheetData>
    <row r="2" spans="1:21">
      <c r="E2" s="188" t="s">
        <v>902</v>
      </c>
      <c r="F2" s="188" t="s">
        <v>765</v>
      </c>
      <c r="G2" s="188" t="s">
        <v>784</v>
      </c>
      <c r="I2" s="1643" t="s">
        <v>265</v>
      </c>
    </row>
    <row r="3" spans="1:21">
      <c r="G3" s="1645">
        <v>0.15</v>
      </c>
      <c r="I3" s="1646">
        <f>(1+G3)^(1/4)-1</f>
        <v>3.5558076341622114E-2</v>
      </c>
    </row>
    <row r="4" spans="1:21">
      <c r="F4" s="1642">
        <f ca="1">(1+IRR(F6:F91))^4-1</f>
        <v>0.23033530463356877</v>
      </c>
      <c r="G4" s="475">
        <f ca="1">SUM(G6:G13)</f>
        <v>13057.502247991233</v>
      </c>
      <c r="K4" t="s">
        <v>900</v>
      </c>
      <c r="M4" t="s">
        <v>903</v>
      </c>
      <c r="O4" t="s">
        <v>904</v>
      </c>
      <c r="Q4" t="s">
        <v>905</v>
      </c>
      <c r="S4" t="s">
        <v>906</v>
      </c>
      <c r="U4" t="s">
        <v>358</v>
      </c>
    </row>
    <row r="5" spans="1:21">
      <c r="A5" s="188" t="s">
        <v>900</v>
      </c>
      <c r="B5" s="1643" t="s">
        <v>901</v>
      </c>
      <c r="G5" s="475"/>
      <c r="M5" s="59">
        <f>Assum!F52</f>
        <v>3069.92</v>
      </c>
      <c r="O5" s="59">
        <f ca="1">Internal!G77+Assum!F60</f>
        <v>43890.77021985787</v>
      </c>
      <c r="Q5" s="59">
        <f>Internal!G49</f>
        <v>81249.777999999991</v>
      </c>
      <c r="S5" s="59">
        <f>Assum!F77</f>
        <v>3485.0703079899586</v>
      </c>
      <c r="U5" s="1641">
        <f ca="1">M5+O5+Q5+S5</f>
        <v>131695.53852784782</v>
      </c>
    </row>
    <row r="6" spans="1:21">
      <c r="A6" s="188">
        <v>1</v>
      </c>
      <c r="B6" s="1644">
        <v>35246</v>
      </c>
      <c r="C6" s="1644"/>
      <c r="D6" t="s">
        <v>898</v>
      </c>
      <c r="E6" s="475">
        <f ca="1">SUM(F6:F11)</f>
        <v>-131695.53852738941</v>
      </c>
      <c r="F6" s="59">
        <f t="shared" ref="F6:F11" ca="1" si="0">-U6</f>
        <v>-5264.4585109762884</v>
      </c>
      <c r="G6" s="1647">
        <f ca="1">SUMPRODUCT(F6:F11,I6:I11)</f>
        <v>-114182.88927257221</v>
      </c>
      <c r="I6" s="1646">
        <f t="shared" ref="I6:I37" si="1">1/(1+$I$3)^A6</f>
        <v>0.96566288540065248</v>
      </c>
      <c r="K6">
        <v>1</v>
      </c>
      <c r="L6" s="1202">
        <v>1</v>
      </c>
      <c r="M6" s="59">
        <f>M$5*L6</f>
        <v>3069.92</v>
      </c>
      <c r="N6" s="1202">
        <v>0.05</v>
      </c>
      <c r="O6" s="59">
        <f ca="1">O$5*N6</f>
        <v>2194.5385109928934</v>
      </c>
      <c r="Q6" s="59">
        <f>Q$5*P6</f>
        <v>0</v>
      </c>
      <c r="S6" s="59">
        <f t="shared" ref="S6:S11" si="2">S$5*R6</f>
        <v>0</v>
      </c>
      <c r="U6" s="1641">
        <f t="shared" ref="U6:U11" ca="1" si="3">M6+O6+Q6+S6</f>
        <v>5264.4585109928939</v>
      </c>
    </row>
    <row r="7" spans="1:21">
      <c r="A7" s="188">
        <v>2</v>
      </c>
      <c r="B7" s="1644">
        <f t="shared" ref="B7:B38" si="4">EDATE(B6,3)</f>
        <v>35338</v>
      </c>
      <c r="C7" s="1644"/>
      <c r="F7" s="59">
        <f t="shared" ca="1" si="0"/>
        <v>-12514.054821952575</v>
      </c>
      <c r="I7" s="1646">
        <f t="shared" si="1"/>
        <v>0.93250480824031379</v>
      </c>
      <c r="K7">
        <v>2</v>
      </c>
      <c r="M7" s="59">
        <f>$M$5*L7</f>
        <v>0</v>
      </c>
      <c r="N7" s="1202">
        <v>0.1</v>
      </c>
      <c r="O7" s="59">
        <f t="shared" ref="O7:Q11" ca="1" si="5">O$5*N7</f>
        <v>4389.0770219857868</v>
      </c>
      <c r="P7" s="1202">
        <v>0.1</v>
      </c>
      <c r="Q7" s="59">
        <f t="shared" si="5"/>
        <v>8124.9777999999997</v>
      </c>
      <c r="S7" s="59">
        <f t="shared" si="2"/>
        <v>0</v>
      </c>
      <c r="U7" s="1641">
        <f t="shared" ca="1" si="3"/>
        <v>12514.054821985786</v>
      </c>
    </row>
    <row r="8" spans="1:21">
      <c r="A8" s="188">
        <v>3</v>
      </c>
      <c r="B8" s="1644">
        <f t="shared" si="4"/>
        <v>35430</v>
      </c>
      <c r="C8" s="1644"/>
      <c r="F8" s="59">
        <f t="shared" ca="1" si="0"/>
        <v>-14708.593332928862</v>
      </c>
      <c r="I8" s="1646">
        <f t="shared" si="1"/>
        <v>0.90048528377532355</v>
      </c>
      <c r="K8">
        <v>3</v>
      </c>
      <c r="M8" s="59">
        <f>$M$5*L8</f>
        <v>0</v>
      </c>
      <c r="N8" s="1202">
        <v>0.15</v>
      </c>
      <c r="O8" s="59">
        <f t="shared" ca="1" si="5"/>
        <v>6583.6155329786807</v>
      </c>
      <c r="P8" s="1202">
        <v>0.1</v>
      </c>
      <c r="Q8" s="59">
        <f t="shared" si="5"/>
        <v>8124.9777999999997</v>
      </c>
      <c r="S8" s="59">
        <f t="shared" si="2"/>
        <v>0</v>
      </c>
      <c r="U8" s="1641">
        <f t="shared" ca="1" si="3"/>
        <v>14708.59333297868</v>
      </c>
    </row>
    <row r="9" spans="1:21">
      <c r="A9" s="188">
        <v>4</v>
      </c>
      <c r="B9" s="1644">
        <f t="shared" si="4"/>
        <v>35520</v>
      </c>
      <c r="C9" s="1644"/>
      <c r="F9" s="59">
        <f t="shared" ca="1" si="0"/>
        <v>-41278.065243905148</v>
      </c>
      <c r="I9" s="1646">
        <f t="shared" si="1"/>
        <v>0.86956521739130421</v>
      </c>
      <c r="K9">
        <v>4</v>
      </c>
      <c r="M9" s="59">
        <f>$M$5*L9</f>
        <v>0</v>
      </c>
      <c r="N9" s="1202">
        <v>0.2</v>
      </c>
      <c r="O9" s="59">
        <f t="shared" ca="1" si="5"/>
        <v>8778.1540439715736</v>
      </c>
      <c r="P9" s="1202">
        <v>0.4</v>
      </c>
      <c r="Q9" s="59">
        <f t="shared" si="5"/>
        <v>32499.911199999999</v>
      </c>
      <c r="S9" s="59">
        <f t="shared" si="2"/>
        <v>0</v>
      </c>
      <c r="U9" s="1641">
        <f t="shared" ca="1" si="3"/>
        <v>41278.06524397157</v>
      </c>
    </row>
    <row r="10" spans="1:21">
      <c r="A10" s="188">
        <v>5</v>
      </c>
      <c r="B10" s="1644">
        <f t="shared" si="4"/>
        <v>35611</v>
      </c>
      <c r="C10" s="1644"/>
      <c r="F10" s="59">
        <f t="shared" ca="1" si="0"/>
        <v>-45667.142265857721</v>
      </c>
      <c r="I10" s="1646">
        <f t="shared" si="1"/>
        <v>0.83970685687013258</v>
      </c>
      <c r="K10">
        <v>5</v>
      </c>
      <c r="M10" s="59">
        <f>$M$5*L10</f>
        <v>0</v>
      </c>
      <c r="N10" s="1202">
        <v>0.3</v>
      </c>
      <c r="O10" s="59">
        <f t="shared" ca="1" si="5"/>
        <v>13167.231065957361</v>
      </c>
      <c r="P10" s="1202">
        <v>0.4</v>
      </c>
      <c r="Q10" s="59">
        <f t="shared" si="5"/>
        <v>32499.911199999999</v>
      </c>
      <c r="S10" s="59">
        <f t="shared" si="2"/>
        <v>0</v>
      </c>
      <c r="U10" s="1641">
        <f t="shared" ca="1" si="3"/>
        <v>45667.142265957358</v>
      </c>
    </row>
    <row r="11" spans="1:21">
      <c r="A11" s="188">
        <v>6</v>
      </c>
      <c r="B11" s="1644">
        <f t="shared" si="4"/>
        <v>35703</v>
      </c>
      <c r="C11" s="1644"/>
      <c r="D11" s="1641"/>
      <c r="E11" s="475"/>
      <c r="F11" s="59">
        <f t="shared" ca="1" si="0"/>
        <v>-12263.224351895111</v>
      </c>
      <c r="I11" s="1646">
        <f t="shared" si="1"/>
        <v>0.8108737462959249</v>
      </c>
      <c r="K11">
        <v>6</v>
      </c>
      <c r="M11" s="59">
        <f>$M$5*L11</f>
        <v>0</v>
      </c>
      <c r="N11" s="1202">
        <v>0.2</v>
      </c>
      <c r="O11" s="59">
        <f t="shared" ca="1" si="5"/>
        <v>8778.1540439715736</v>
      </c>
      <c r="Q11" s="59">
        <f t="shared" si="5"/>
        <v>0</v>
      </c>
      <c r="R11" s="1202">
        <v>1</v>
      </c>
      <c r="S11" s="59">
        <f t="shared" si="2"/>
        <v>3485.0703079899586</v>
      </c>
      <c r="U11" s="1641">
        <f t="shared" ca="1" si="3"/>
        <v>12263.224351961533</v>
      </c>
    </row>
    <row r="12" spans="1:21">
      <c r="A12" s="188">
        <v>7</v>
      </c>
      <c r="B12" s="1644">
        <f t="shared" si="4"/>
        <v>35795</v>
      </c>
      <c r="C12" s="1644"/>
      <c r="D12" t="s">
        <v>907</v>
      </c>
      <c r="E12" s="585">
        <f ca="1">F12</f>
        <v>131611.67485312273</v>
      </c>
      <c r="F12" s="45">
        <f ca="1">EWCSum!C41</f>
        <v>131611.67485811526</v>
      </c>
      <c r="G12" s="1647">
        <f ca="1">F12*I12</f>
        <v>103055.97946326568</v>
      </c>
      <c r="H12" s="59"/>
      <c r="I12" s="1646">
        <f t="shared" si="1"/>
        <v>0.78303068154375954</v>
      </c>
    </row>
    <row r="13" spans="1:21">
      <c r="A13" s="188">
        <v>8</v>
      </c>
      <c r="B13" s="1644">
        <f t="shared" si="4"/>
        <v>35885</v>
      </c>
      <c r="C13" s="1644"/>
      <c r="D13" t="s">
        <v>899</v>
      </c>
      <c r="E13" s="1648">
        <v>10</v>
      </c>
      <c r="F13" s="59">
        <f>$E$13*EWCSum!$D$8/4/1000</f>
        <v>1172.4165</v>
      </c>
      <c r="G13" s="1647">
        <f>SUMPRODUCT(F13:F91,I13:I91)</f>
        <v>24184.412061342769</v>
      </c>
      <c r="I13" s="1646">
        <f t="shared" si="1"/>
        <v>0.75614366729678628</v>
      </c>
    </row>
    <row r="14" spans="1:21">
      <c r="A14" s="188">
        <v>9</v>
      </c>
      <c r="B14" s="1644">
        <f t="shared" si="4"/>
        <v>35976</v>
      </c>
      <c r="C14" s="1644"/>
      <c r="F14" s="59">
        <f>$E$13*EWCSum!$D$8/4/1000</f>
        <v>1172.4165</v>
      </c>
      <c r="I14" s="1646">
        <f t="shared" si="1"/>
        <v>0.73017987553924557</v>
      </c>
    </row>
    <row r="15" spans="1:21">
      <c r="A15" s="188">
        <v>10</v>
      </c>
      <c r="B15" s="1644">
        <f t="shared" si="4"/>
        <v>36068</v>
      </c>
      <c r="C15" s="1644"/>
      <c r="F15" s="59">
        <f>$E$13*EWCSum!$D$8/4/1000</f>
        <v>1172.4165</v>
      </c>
      <c r="I15" s="1646">
        <f t="shared" si="1"/>
        <v>0.70510760547471729</v>
      </c>
    </row>
    <row r="16" spans="1:21">
      <c r="A16" s="188">
        <v>11</v>
      </c>
      <c r="B16" s="1644">
        <f t="shared" si="4"/>
        <v>36160</v>
      </c>
      <c r="C16" s="1644"/>
      <c r="F16" s="59">
        <f>$E$13*EWCSum!$D$8/4/1000</f>
        <v>1172.4165</v>
      </c>
      <c r="I16" s="1646">
        <f t="shared" si="1"/>
        <v>0.68089624482066047</v>
      </c>
    </row>
    <row r="17" spans="1:9">
      <c r="A17" s="188">
        <v>12</v>
      </c>
      <c r="B17" s="1644">
        <f t="shared" si="4"/>
        <v>36250</v>
      </c>
      <c r="C17" s="1644"/>
      <c r="E17" s="1647"/>
      <c r="F17" s="59">
        <f>$E$13*EWCSum!$D$8/4/1000</f>
        <v>1172.4165</v>
      </c>
      <c r="I17" s="1646">
        <f t="shared" si="1"/>
        <v>0.65751623243198798</v>
      </c>
    </row>
    <row r="18" spans="1:9">
      <c r="A18" s="188">
        <v>13</v>
      </c>
      <c r="B18" s="1644">
        <f t="shared" si="4"/>
        <v>36341</v>
      </c>
      <c r="C18" s="1644"/>
      <c r="F18" s="59">
        <f>$E$13*EWCSum!$D$8/4/1000</f>
        <v>1172.4165</v>
      </c>
      <c r="I18" s="1646">
        <f t="shared" si="1"/>
        <v>0.63493902220803966</v>
      </c>
    </row>
    <row r="19" spans="1:9">
      <c r="A19" s="188">
        <v>14</v>
      </c>
      <c r="B19" s="1644">
        <f t="shared" si="4"/>
        <v>36433</v>
      </c>
      <c r="C19" s="1644"/>
      <c r="F19" s="59">
        <f>$E$13*EWCSum!$D$8/4/1000</f>
        <v>1172.4165</v>
      </c>
      <c r="I19" s="1646">
        <f t="shared" si="1"/>
        <v>0.61313704823888449</v>
      </c>
    </row>
    <row r="20" spans="1:9">
      <c r="A20" s="188">
        <v>15</v>
      </c>
      <c r="B20" s="1644">
        <f t="shared" si="4"/>
        <v>36525</v>
      </c>
      <c r="C20" s="1644"/>
      <c r="F20" s="59">
        <f>$E$13*EWCSum!$D$8/4/1000</f>
        <v>1172.4165</v>
      </c>
      <c r="I20" s="1646">
        <f t="shared" si="1"/>
        <v>0.59208369114840032</v>
      </c>
    </row>
    <row r="21" spans="1:9">
      <c r="A21" s="188">
        <v>16</v>
      </c>
      <c r="B21" s="1644">
        <f t="shared" si="4"/>
        <v>36616</v>
      </c>
      <c r="C21" s="1644"/>
      <c r="F21" s="59">
        <f>$E$13*EWCSum!$D$8/4/1000</f>
        <v>1172.4165</v>
      </c>
      <c r="I21" s="1646">
        <f t="shared" si="1"/>
        <v>0.57175324559303298</v>
      </c>
    </row>
    <row r="22" spans="1:9">
      <c r="A22" s="188">
        <v>17</v>
      </c>
      <c r="B22" s="1644">
        <f t="shared" si="4"/>
        <v>36707</v>
      </c>
      <c r="C22" s="1644"/>
      <c r="F22" s="59">
        <f>$E$13*EWCSum!$D$8/4/1000</f>
        <v>1172.4165</v>
      </c>
      <c r="I22" s="1646">
        <f t="shared" si="1"/>
        <v>0.55212088887655619</v>
      </c>
    </row>
    <row r="23" spans="1:9">
      <c r="A23" s="188">
        <v>18</v>
      </c>
      <c r="B23" s="1644">
        <f t="shared" si="4"/>
        <v>36799</v>
      </c>
      <c r="C23" s="1644"/>
      <c r="F23" s="59">
        <f>$E$13*EWCSum!$D$8/4/1000</f>
        <v>1172.4165</v>
      </c>
      <c r="I23" s="1646">
        <f t="shared" si="1"/>
        <v>0.53316265064250823</v>
      </c>
    </row>
    <row r="24" spans="1:9">
      <c r="A24" s="188">
        <v>19</v>
      </c>
      <c r="B24" s="1644">
        <f t="shared" si="4"/>
        <v>36891</v>
      </c>
      <c r="C24" s="1644"/>
      <c r="F24" s="59">
        <f>$E$13*EWCSum!$D$8/4/1000</f>
        <v>1172.4165</v>
      </c>
      <c r="I24" s="1646">
        <f t="shared" si="1"/>
        <v>0.51485538360730465</v>
      </c>
    </row>
    <row r="25" spans="1:9">
      <c r="A25" s="188">
        <v>20</v>
      </c>
      <c r="B25" s="1644">
        <f t="shared" si="4"/>
        <v>36981</v>
      </c>
      <c r="C25" s="1644"/>
      <c r="F25" s="59">
        <f>$E$13*EWCSum!$D$8/4/1000</f>
        <v>1172.4165</v>
      </c>
      <c r="I25" s="1646">
        <f t="shared" si="1"/>
        <v>0.49717673529828954</v>
      </c>
    </row>
    <row r="26" spans="1:9">
      <c r="A26" s="188">
        <v>21</v>
      </c>
      <c r="B26" s="1644">
        <f t="shared" si="4"/>
        <v>37072</v>
      </c>
      <c r="C26" s="1644"/>
      <c r="F26" s="59">
        <f>$E$13*EWCSum!$D$8/4/1000</f>
        <v>1172.4165</v>
      </c>
      <c r="I26" s="1646">
        <f t="shared" si="1"/>
        <v>0.48010512076222273</v>
      </c>
    </row>
    <row r="27" spans="1:9">
      <c r="A27" s="188">
        <v>22</v>
      </c>
      <c r="B27" s="1644">
        <f t="shared" si="4"/>
        <v>37164</v>
      </c>
      <c r="C27" s="1644"/>
      <c r="F27" s="59">
        <f>$E$13*EWCSum!$D$8/4/1000</f>
        <v>1172.4165</v>
      </c>
      <c r="I27" s="1646">
        <f t="shared" si="1"/>
        <v>0.46361969621087662</v>
      </c>
    </row>
    <row r="28" spans="1:9">
      <c r="A28" s="188">
        <v>23</v>
      </c>
      <c r="B28" s="1644">
        <f t="shared" si="4"/>
        <v>37256</v>
      </c>
      <c r="C28" s="1644"/>
      <c r="F28" s="59">
        <f>$E$13*EWCSum!$D$8/4/1000</f>
        <v>1172.4165</v>
      </c>
      <c r="I28" s="1646">
        <f t="shared" si="1"/>
        <v>0.44770033357156913</v>
      </c>
    </row>
    <row r="29" spans="1:9">
      <c r="A29" s="188">
        <v>24</v>
      </c>
      <c r="B29" s="1644">
        <f t="shared" si="4"/>
        <v>37346</v>
      </c>
      <c r="C29" s="1644"/>
      <c r="F29" s="59">
        <f>$E$13*EWCSum!$D$8/4/1000</f>
        <v>1172.4165</v>
      </c>
      <c r="I29" s="1646">
        <f t="shared" si="1"/>
        <v>0.43232759591155606</v>
      </c>
    </row>
    <row r="30" spans="1:9">
      <c r="A30" s="188">
        <v>25</v>
      </c>
      <c r="B30" s="1644">
        <f t="shared" si="4"/>
        <v>37437</v>
      </c>
      <c r="C30" s="1644"/>
      <c r="F30" s="59">
        <f>$E$13*EWCSum!$D$8/4/1000</f>
        <v>1172.4165</v>
      </c>
      <c r="I30" s="1646">
        <f t="shared" si="1"/>
        <v>0.41748271370628054</v>
      </c>
    </row>
    <row r="31" spans="1:9">
      <c r="A31" s="188">
        <v>26</v>
      </c>
      <c r="B31" s="1644">
        <f t="shared" si="4"/>
        <v>37529</v>
      </c>
      <c r="C31" s="1644"/>
      <c r="F31" s="59">
        <f>$E$13*EWCSum!$D$8/4/1000</f>
        <v>1172.4165</v>
      </c>
      <c r="I31" s="1646">
        <f t="shared" si="1"/>
        <v>0.40314756192250145</v>
      </c>
    </row>
    <row r="32" spans="1:9">
      <c r="A32" s="188">
        <v>27</v>
      </c>
      <c r="B32" s="1644">
        <f t="shared" si="4"/>
        <v>37621</v>
      </c>
      <c r="C32" s="1644"/>
      <c r="F32" s="59">
        <f>$E$13*EWCSum!$D$8/4/1000</f>
        <v>1172.4165</v>
      </c>
      <c r="I32" s="1646">
        <f t="shared" si="1"/>
        <v>0.38930463788832098</v>
      </c>
    </row>
    <row r="33" spans="1:9">
      <c r="A33" s="188">
        <v>28</v>
      </c>
      <c r="B33" s="1644">
        <f t="shared" si="4"/>
        <v>37711</v>
      </c>
      <c r="C33" s="1644"/>
      <c r="F33" s="59">
        <f>$E$13*EWCSum!$D$8/4/1000</f>
        <v>1172.4165</v>
      </c>
      <c r="I33" s="1646">
        <f t="shared" si="1"/>
        <v>0.37593703992309224</v>
      </c>
    </row>
    <row r="34" spans="1:9">
      <c r="A34" s="188">
        <v>29</v>
      </c>
      <c r="B34" s="1644">
        <f t="shared" si="4"/>
        <v>37802</v>
      </c>
      <c r="C34" s="1644"/>
      <c r="F34" s="59">
        <f>$E$13*EWCSum!$D$8/4/1000</f>
        <v>1172.4165</v>
      </c>
      <c r="I34" s="1646">
        <f t="shared" si="1"/>
        <v>0.36302844670111351</v>
      </c>
    </row>
    <row r="35" spans="1:9">
      <c r="A35" s="188">
        <v>30</v>
      </c>
      <c r="B35" s="1644">
        <f t="shared" si="4"/>
        <v>37894</v>
      </c>
      <c r="C35" s="1644"/>
      <c r="F35" s="59">
        <f>$E$13*EWCSum!$D$8/4/1000</f>
        <v>1172.4165</v>
      </c>
      <c r="I35" s="1646">
        <f t="shared" si="1"/>
        <v>0.35056309732391427</v>
      </c>
    </row>
    <row r="36" spans="1:9">
      <c r="A36" s="188">
        <v>31</v>
      </c>
      <c r="B36" s="1644">
        <f t="shared" si="4"/>
        <v>37986</v>
      </c>
      <c r="C36" s="1644"/>
      <c r="F36" s="59">
        <f>$E$13*EWCSum!$D$8/4/1000</f>
        <v>1172.4165</v>
      </c>
      <c r="I36" s="1646">
        <f t="shared" si="1"/>
        <v>0.33852577207680085</v>
      </c>
    </row>
    <row r="37" spans="1:9">
      <c r="A37" s="188">
        <v>32</v>
      </c>
      <c r="B37" s="1644">
        <f t="shared" si="4"/>
        <v>38077</v>
      </c>
      <c r="C37" s="1644"/>
      <c r="F37" s="59">
        <f>$E$13*EWCSum!$D$8/4/1000</f>
        <v>1172.4165</v>
      </c>
      <c r="I37" s="1646">
        <f t="shared" si="1"/>
        <v>0.32690177384616714</v>
      </c>
    </row>
    <row r="38" spans="1:9">
      <c r="A38" s="188">
        <v>33</v>
      </c>
      <c r="B38" s="1644">
        <f t="shared" si="4"/>
        <v>38168</v>
      </c>
      <c r="C38" s="1644"/>
      <c r="F38" s="59">
        <f>$E$13*EWCSum!$D$8/4/1000</f>
        <v>1172.4165</v>
      </c>
      <c r="I38" s="1646">
        <f t="shared" ref="I38:I69" si="6">1/(1+$I$3)^A38</f>
        <v>0.31567691017488131</v>
      </c>
    </row>
    <row r="39" spans="1:9">
      <c r="A39" s="188">
        <v>34</v>
      </c>
      <c r="B39" s="1644">
        <f t="shared" ref="B39:B70" si="7">EDATE(B38,3)</f>
        <v>38260</v>
      </c>
      <c r="C39" s="1644"/>
      <c r="F39" s="59">
        <f>$E$13*EWCSum!$D$8/4/1000</f>
        <v>1172.4165</v>
      </c>
      <c r="I39" s="1646">
        <f t="shared" si="6"/>
        <v>0.30483747593383848</v>
      </c>
    </row>
    <row r="40" spans="1:9">
      <c r="A40" s="188">
        <v>35</v>
      </c>
      <c r="B40" s="1644">
        <f t="shared" si="7"/>
        <v>38352</v>
      </c>
      <c r="C40" s="1644"/>
      <c r="F40" s="59">
        <f>$E$13*EWCSum!$D$8/4/1000</f>
        <v>1172.4165</v>
      </c>
      <c r="I40" s="1646">
        <f t="shared" si="6"/>
        <v>0.29437023658852246</v>
      </c>
    </row>
    <row r="41" spans="1:9">
      <c r="A41" s="188">
        <v>36</v>
      </c>
      <c r="B41" s="1644">
        <f t="shared" si="7"/>
        <v>38442</v>
      </c>
      <c r="C41" s="1644"/>
      <c r="F41" s="59">
        <f>$E$13*EWCSum!$D$8/4/1000</f>
        <v>1172.4165</v>
      </c>
      <c r="I41" s="1646">
        <f t="shared" si="6"/>
        <v>0.2842624120401453</v>
      </c>
    </row>
    <row r="42" spans="1:9">
      <c r="A42" s="188">
        <v>37</v>
      </c>
      <c r="B42" s="1644">
        <f t="shared" si="7"/>
        <v>38533</v>
      </c>
      <c r="C42" s="1644"/>
      <c r="F42" s="59">
        <f>$E$13*EWCSum!$D$8/4/1000</f>
        <v>1172.4165</v>
      </c>
      <c r="I42" s="1646">
        <f t="shared" si="6"/>
        <v>0.27450166102163592</v>
      </c>
    </row>
    <row r="43" spans="1:9">
      <c r="A43" s="188">
        <v>38</v>
      </c>
      <c r="B43" s="1644">
        <f t="shared" si="7"/>
        <v>38625</v>
      </c>
      <c r="C43" s="1644"/>
      <c r="F43" s="59">
        <f>$E$13*EWCSum!$D$8/4/1000</f>
        <v>1172.4165</v>
      </c>
      <c r="I43" s="1646">
        <f t="shared" si="6"/>
        <v>0.26507606602942474</v>
      </c>
    </row>
    <row r="44" spans="1:9">
      <c r="A44" s="188">
        <v>39</v>
      </c>
      <c r="B44" s="1644">
        <f t="shared" si="7"/>
        <v>38717</v>
      </c>
      <c r="C44" s="1644"/>
      <c r="F44" s="59">
        <f>$E$13*EWCSum!$D$8/4/1000</f>
        <v>1172.4165</v>
      </c>
      <c r="I44" s="1646">
        <f t="shared" si="6"/>
        <v>0.25597411877262821</v>
      </c>
    </row>
    <row r="45" spans="1:9">
      <c r="A45" s="188">
        <v>40</v>
      </c>
      <c r="B45" s="1644">
        <f t="shared" si="7"/>
        <v>38807</v>
      </c>
      <c r="C45" s="1644"/>
      <c r="F45" s="59">
        <f>$E$13*EWCSum!$D$8/4/1000</f>
        <v>1172.4165</v>
      </c>
      <c r="I45" s="1646">
        <f t="shared" si="6"/>
        <v>0.24718470612186549</v>
      </c>
    </row>
    <row r="46" spans="1:9">
      <c r="A46" s="188">
        <v>41</v>
      </c>
      <c r="B46" s="1644">
        <f t="shared" si="7"/>
        <v>38898</v>
      </c>
      <c r="C46" s="1644"/>
      <c r="F46" s="59">
        <f>$E$13*EWCSum!$D$8/4/1000</f>
        <v>1172.4165</v>
      </c>
      <c r="I46" s="1646">
        <f t="shared" si="6"/>
        <v>0.23869709654055291</v>
      </c>
    </row>
    <row r="47" spans="1:9">
      <c r="A47" s="188">
        <v>42</v>
      </c>
      <c r="B47" s="1644">
        <f t="shared" si="7"/>
        <v>38990</v>
      </c>
      <c r="C47" s="1644"/>
      <c r="F47" s="59">
        <f>$E$13*EWCSum!$D$8/4/1000</f>
        <v>1172.4165</v>
      </c>
      <c r="I47" s="1646">
        <f t="shared" si="6"/>
        <v>0.23050092698210844</v>
      </c>
    </row>
    <row r="48" spans="1:9">
      <c r="A48" s="188">
        <v>43</v>
      </c>
      <c r="B48" s="1644">
        <f t="shared" si="7"/>
        <v>39082</v>
      </c>
      <c r="C48" s="1644"/>
      <c r="F48" s="59">
        <f>$E$13*EWCSum!$D$8/4/1000</f>
        <v>1172.4165</v>
      </c>
      <c r="I48" s="1646">
        <f t="shared" si="6"/>
        <v>0.22258619023706799</v>
      </c>
    </row>
    <row r="49" spans="1:9">
      <c r="A49" s="188">
        <v>44</v>
      </c>
      <c r="B49" s="1644">
        <f t="shared" si="7"/>
        <v>39172</v>
      </c>
      <c r="C49" s="1644"/>
      <c r="F49" s="59">
        <f>$E$13*EWCSum!$D$8/4/1000</f>
        <v>1172.4165</v>
      </c>
      <c r="I49" s="1646">
        <f t="shared" si="6"/>
        <v>0.21494322271466562</v>
      </c>
    </row>
    <row r="50" spans="1:9">
      <c r="A50" s="188">
        <v>45</v>
      </c>
      <c r="B50" s="1644">
        <f t="shared" si="7"/>
        <v>39263</v>
      </c>
      <c r="C50" s="1644"/>
      <c r="F50" s="59">
        <f>$E$13*EWCSum!$D$8/4/1000</f>
        <v>1172.4165</v>
      </c>
      <c r="I50" s="1646">
        <f t="shared" si="6"/>
        <v>0.20756269264395905</v>
      </c>
    </row>
    <row r="51" spans="1:9">
      <c r="A51" s="188">
        <v>46</v>
      </c>
      <c r="B51" s="1644">
        <f t="shared" si="7"/>
        <v>39355</v>
      </c>
      <c r="C51" s="1644"/>
      <c r="F51" s="59">
        <f>$E$13*EWCSum!$D$8/4/1000</f>
        <v>1172.4165</v>
      </c>
      <c r="I51" s="1646">
        <f t="shared" si="6"/>
        <v>0.20043558868009428</v>
      </c>
    </row>
    <row r="52" spans="1:9">
      <c r="A52" s="188">
        <v>47</v>
      </c>
      <c r="B52" s="1644">
        <f t="shared" si="7"/>
        <v>39447</v>
      </c>
      <c r="C52" s="1644"/>
      <c r="F52" s="59">
        <f>$E$13*EWCSum!$D$8/4/1000</f>
        <v>1172.4165</v>
      </c>
      <c r="I52" s="1646">
        <f t="shared" si="6"/>
        <v>0.19355320890179822</v>
      </c>
    </row>
    <row r="53" spans="1:9">
      <c r="A53" s="188">
        <v>48</v>
      </c>
      <c r="B53" s="1644">
        <f t="shared" si="7"/>
        <v>39538</v>
      </c>
      <c r="C53" s="1644"/>
      <c r="F53" s="59">
        <f>$E$13*EWCSum!$D$8/4/1000</f>
        <v>1172.4165</v>
      </c>
      <c r="I53" s="1646">
        <f t="shared" si="6"/>
        <v>0.18690715018666573</v>
      </c>
    </row>
    <row r="54" spans="1:9">
      <c r="A54" s="188">
        <v>49</v>
      </c>
      <c r="B54" s="1644">
        <f t="shared" si="7"/>
        <v>39629</v>
      </c>
      <c r="C54" s="1644"/>
      <c r="F54" s="59">
        <f>$E$13*EWCSum!$D$8/4/1000</f>
        <v>1172.4165</v>
      </c>
      <c r="I54" s="1646">
        <f t="shared" si="6"/>
        <v>0.18048929795126872</v>
      </c>
    </row>
    <row r="55" spans="1:9">
      <c r="A55" s="188">
        <v>50</v>
      </c>
      <c r="B55" s="1644">
        <f t="shared" si="7"/>
        <v>39721</v>
      </c>
      <c r="C55" s="1644"/>
      <c r="F55" s="59">
        <f>$E$13*EWCSum!$D$8/4/1000</f>
        <v>1172.4165</v>
      </c>
      <c r="I55" s="1646">
        <f t="shared" si="6"/>
        <v>0.17429181624356024</v>
      </c>
    </row>
    <row r="56" spans="1:9">
      <c r="A56" s="188">
        <v>51</v>
      </c>
      <c r="B56" s="1644">
        <f t="shared" si="7"/>
        <v>39813</v>
      </c>
      <c r="C56" s="1644"/>
      <c r="F56" s="59">
        <f>$E$13*EWCSum!$D$8/4/1000</f>
        <v>1172.4165</v>
      </c>
      <c r="I56" s="1646">
        <f t="shared" si="6"/>
        <v>0.16830713817547671</v>
      </c>
    </row>
    <row r="57" spans="1:9">
      <c r="A57" s="188">
        <v>52</v>
      </c>
      <c r="B57" s="1644">
        <f t="shared" si="7"/>
        <v>39903</v>
      </c>
      <c r="C57" s="1644"/>
      <c r="F57" s="59">
        <f>$E$13*EWCSum!$D$8/4/1000</f>
        <v>1172.4165</v>
      </c>
      <c r="I57" s="1646">
        <f t="shared" si="6"/>
        <v>0.16252795668405715</v>
      </c>
    </row>
    <row r="58" spans="1:9">
      <c r="A58" s="188">
        <v>53</v>
      </c>
      <c r="B58" s="1644">
        <f t="shared" si="7"/>
        <v>39994</v>
      </c>
      <c r="C58" s="1644"/>
      <c r="F58" s="59">
        <f>$E$13*EWCSum!$D$8/4/1000</f>
        <v>1172.4165</v>
      </c>
      <c r="I58" s="1646">
        <f t="shared" si="6"/>
        <v>0.15694721560979888</v>
      </c>
    </row>
    <row r="59" spans="1:9">
      <c r="A59" s="188">
        <v>54</v>
      </c>
      <c r="B59" s="1644">
        <f t="shared" si="7"/>
        <v>40086</v>
      </c>
      <c r="C59" s="1644"/>
      <c r="F59" s="59">
        <f>$E$13*EWCSum!$D$8/4/1000</f>
        <v>1172.4165</v>
      </c>
      <c r="I59" s="1646">
        <f t="shared" si="6"/>
        <v>0.1515581010813567</v>
      </c>
    </row>
    <row r="60" spans="1:9">
      <c r="A60" s="188">
        <v>55</v>
      </c>
      <c r="B60" s="1644">
        <f t="shared" si="7"/>
        <v>40178</v>
      </c>
      <c r="C60" s="1644"/>
      <c r="F60" s="59">
        <f>$E$13*EWCSum!$D$8/4/1000</f>
        <v>1172.4165</v>
      </c>
      <c r="I60" s="1646">
        <f t="shared" si="6"/>
        <v>0.14635403319606669</v>
      </c>
    </row>
    <row r="61" spans="1:9">
      <c r="A61" s="188">
        <v>56</v>
      </c>
      <c r="B61" s="1644">
        <f t="shared" si="7"/>
        <v>40268</v>
      </c>
      <c r="C61" s="1644"/>
      <c r="F61" s="59">
        <f>$E$13*EWCSum!$D$8/4/1000</f>
        <v>1172.4165</v>
      </c>
      <c r="I61" s="1646">
        <f t="shared" si="6"/>
        <v>0.14132865798613661</v>
      </c>
    </row>
    <row r="62" spans="1:9">
      <c r="A62" s="188">
        <v>57</v>
      </c>
      <c r="B62" s="1644">
        <f t="shared" si="7"/>
        <v>40359</v>
      </c>
      <c r="C62" s="1644"/>
      <c r="F62" s="59">
        <f>$E$13*EWCSum!$D$8/4/1000</f>
        <v>1172.4165</v>
      </c>
      <c r="I62" s="1646">
        <f t="shared" si="6"/>
        <v>0.13647583966069465</v>
      </c>
    </row>
    <row r="63" spans="1:9">
      <c r="A63" s="188">
        <v>58</v>
      </c>
      <c r="B63" s="1644">
        <f t="shared" si="7"/>
        <v>40451</v>
      </c>
      <c r="C63" s="1644"/>
      <c r="F63" s="59">
        <f>$E$13*EWCSum!$D$8/4/1000</f>
        <v>1172.4165</v>
      </c>
      <c r="I63" s="1646">
        <f t="shared" si="6"/>
        <v>0.13178965311422322</v>
      </c>
    </row>
    <row r="64" spans="1:9">
      <c r="A64" s="188">
        <v>59</v>
      </c>
      <c r="B64" s="1644">
        <f t="shared" si="7"/>
        <v>40543</v>
      </c>
      <c r="C64" s="1644"/>
      <c r="F64" s="59">
        <f>$E$13*EWCSum!$D$8/4/1000</f>
        <v>1172.4165</v>
      </c>
      <c r="I64" s="1646">
        <f t="shared" si="6"/>
        <v>0.1272643766922319</v>
      </c>
    </row>
    <row r="65" spans="1:9">
      <c r="A65" s="188">
        <v>60</v>
      </c>
      <c r="B65" s="1644">
        <f t="shared" si="7"/>
        <v>40633</v>
      </c>
      <c r="C65" s="1644"/>
      <c r="F65" s="59">
        <f>$E$13*EWCSum!$D$8/4/1000</f>
        <v>1172.4165</v>
      </c>
      <c r="I65" s="1646">
        <f t="shared" si="6"/>
        <v>0.1228944852053362</v>
      </c>
    </row>
    <row r="66" spans="1:9">
      <c r="A66" s="188">
        <v>61</v>
      </c>
      <c r="B66" s="1644">
        <f t="shared" si="7"/>
        <v>40724</v>
      </c>
      <c r="C66" s="1644"/>
      <c r="F66" s="59">
        <f>$E$13*EWCSum!$D$8/4/1000</f>
        <v>1172.4165</v>
      </c>
      <c r="I66" s="1646">
        <f t="shared" si="6"/>
        <v>0.11867464318321275</v>
      </c>
    </row>
    <row r="67" spans="1:9">
      <c r="A67" s="188">
        <v>62</v>
      </c>
      <c r="B67" s="1644">
        <f t="shared" si="7"/>
        <v>40816</v>
      </c>
      <c r="C67" s="1644"/>
      <c r="F67" s="59">
        <f>$E$13*EWCSum!$D$8/4/1000</f>
        <v>1172.4165</v>
      </c>
      <c r="I67" s="1646">
        <f t="shared" si="6"/>
        <v>0.1145996983601941</v>
      </c>
    </row>
    <row r="68" spans="1:9">
      <c r="A68" s="188">
        <v>63</v>
      </c>
      <c r="B68" s="1644">
        <f t="shared" si="7"/>
        <v>40908</v>
      </c>
      <c r="C68" s="1644"/>
      <c r="F68" s="59">
        <f>$E$13*EWCSum!$D$8/4/1000</f>
        <v>1172.4165</v>
      </c>
      <c r="I68" s="1646">
        <f t="shared" si="6"/>
        <v>0.11066467538454948</v>
      </c>
    </row>
    <row r="69" spans="1:9">
      <c r="A69" s="188">
        <v>64</v>
      </c>
      <c r="B69" s="1644">
        <f t="shared" si="7"/>
        <v>40999</v>
      </c>
      <c r="C69" s="1644"/>
      <c r="F69" s="59">
        <f>$E$13*EWCSum!$D$8/4/1000</f>
        <v>1172.4165</v>
      </c>
      <c r="I69" s="1646">
        <f t="shared" si="6"/>
        <v>0.1068647697437706</v>
      </c>
    </row>
    <row r="70" spans="1:9">
      <c r="A70" s="188">
        <v>65</v>
      </c>
      <c r="B70" s="1644">
        <f t="shared" si="7"/>
        <v>41090</v>
      </c>
      <c r="C70" s="1644"/>
      <c r="F70" s="59">
        <f>$E$13*EWCSum!$D$8/4/1000</f>
        <v>1172.4165</v>
      </c>
      <c r="I70" s="1646">
        <f t="shared" ref="I70:I91" si="8">1/(1+$I$3)^A70</f>
        <v>0.10319534189844587</v>
      </c>
    </row>
    <row r="71" spans="1:9">
      <c r="A71" s="188">
        <v>66</v>
      </c>
      <c r="B71" s="1644">
        <f t="shared" ref="B71:B91" si="9">EDATE(B70,3)</f>
        <v>41182</v>
      </c>
      <c r="C71" s="1644"/>
      <c r="F71" s="59">
        <f>$E$13*EWCSum!$D$8/4/1000</f>
        <v>1172.4165</v>
      </c>
      <c r="I71" s="1646">
        <f t="shared" si="8"/>
        <v>9.9651911617560096E-2</v>
      </c>
    </row>
    <row r="72" spans="1:9">
      <c r="A72" s="188">
        <v>67</v>
      </c>
      <c r="B72" s="1644">
        <f t="shared" si="9"/>
        <v>41274</v>
      </c>
      <c r="C72" s="1644"/>
      <c r="F72" s="59">
        <f>$E$13*EWCSum!$D$8/4/1000</f>
        <v>1172.4165</v>
      </c>
      <c r="I72" s="1646">
        <f t="shared" si="8"/>
        <v>9.6230152508303884E-2</v>
      </c>
    </row>
    <row r="73" spans="1:9">
      <c r="A73" s="188">
        <v>68</v>
      </c>
      <c r="B73" s="1644">
        <f t="shared" si="9"/>
        <v>41364</v>
      </c>
      <c r="C73" s="1644"/>
      <c r="F73" s="59">
        <f>$E$13*EWCSum!$D$8/4/1000</f>
        <v>1172.4165</v>
      </c>
      <c r="I73" s="1646">
        <f t="shared" si="8"/>
        <v>9.2925886733713561E-2</v>
      </c>
    </row>
    <row r="74" spans="1:9">
      <c r="A74" s="188">
        <v>69</v>
      </c>
      <c r="B74" s="1644">
        <f t="shared" si="9"/>
        <v>41455</v>
      </c>
      <c r="C74" s="1644"/>
      <c r="F74" s="59">
        <f>$E$13*EWCSum!$D$8/4/1000</f>
        <v>1172.4165</v>
      </c>
      <c r="I74" s="1646">
        <f t="shared" si="8"/>
        <v>8.9735079911692064E-2</v>
      </c>
    </row>
    <row r="75" spans="1:9">
      <c r="A75" s="188">
        <v>70</v>
      </c>
      <c r="B75" s="1644">
        <f t="shared" si="9"/>
        <v>41547</v>
      </c>
      <c r="C75" s="1644"/>
      <c r="F75" s="59">
        <f>$E$13*EWCSum!$D$8/4/1000</f>
        <v>1172.4165</v>
      </c>
      <c r="I75" s="1646">
        <f t="shared" si="8"/>
        <v>8.6653836189182668E-2</v>
      </c>
    </row>
    <row r="76" spans="1:9">
      <c r="A76" s="188">
        <v>71</v>
      </c>
      <c r="B76" s="1644">
        <f t="shared" si="9"/>
        <v>41639</v>
      </c>
      <c r="C76" s="1644"/>
      <c r="F76" s="59">
        <f>$E$13*EWCSum!$D$8/4/1000</f>
        <v>1172.4165</v>
      </c>
      <c r="I76" s="1646">
        <f t="shared" si="8"/>
        <v>8.3678393485481631E-2</v>
      </c>
    </row>
    <row r="77" spans="1:9">
      <c r="A77" s="188">
        <v>72</v>
      </c>
      <c r="B77" s="1644">
        <f t="shared" si="9"/>
        <v>41729</v>
      </c>
      <c r="C77" s="1644"/>
      <c r="F77" s="59">
        <f>$E$13*EWCSum!$D$8/4/1000</f>
        <v>1172.4165</v>
      </c>
      <c r="I77" s="1646">
        <f t="shared" si="8"/>
        <v>8.0805118898881353E-2</v>
      </c>
    </row>
    <row r="78" spans="1:9">
      <c r="A78" s="188">
        <v>73</v>
      </c>
      <c r="B78" s="1644">
        <f t="shared" si="9"/>
        <v>41820</v>
      </c>
      <c r="C78" s="1644"/>
      <c r="F78" s="59">
        <f>$E$13*EWCSum!$D$8/4/1000</f>
        <v>1172.4165</v>
      </c>
      <c r="I78" s="1646">
        <f t="shared" si="8"/>
        <v>7.8030504271036555E-2</v>
      </c>
    </row>
    <row r="79" spans="1:9">
      <c r="A79" s="188">
        <v>74</v>
      </c>
      <c r="B79" s="1644">
        <f t="shared" si="9"/>
        <v>41912</v>
      </c>
      <c r="C79" s="1644"/>
      <c r="F79" s="59">
        <f>$E$13*EWCSum!$D$8/4/1000</f>
        <v>1172.4165</v>
      </c>
      <c r="I79" s="1646">
        <f t="shared" si="8"/>
        <v>7.5351161903637109E-2</v>
      </c>
    </row>
    <row r="80" spans="1:9">
      <c r="A80" s="188">
        <v>75</v>
      </c>
      <c r="B80" s="1644">
        <f t="shared" si="9"/>
        <v>42004</v>
      </c>
      <c r="C80" s="1644"/>
      <c r="F80" s="59">
        <f>$E$13*EWCSum!$D$8/4/1000</f>
        <v>1172.4165</v>
      </c>
      <c r="I80" s="1646">
        <f t="shared" si="8"/>
        <v>7.276382042215794E-2</v>
      </c>
    </row>
    <row r="81" spans="1:9">
      <c r="A81" s="188">
        <v>76</v>
      </c>
      <c r="B81" s="1644">
        <f t="shared" si="9"/>
        <v>42094</v>
      </c>
      <c r="C81" s="1644"/>
      <c r="F81" s="59">
        <f>$E$13*EWCSum!$D$8/4/1000</f>
        <v>1172.4165</v>
      </c>
      <c r="I81" s="1646">
        <f t="shared" si="8"/>
        <v>7.0265320781635943E-2</v>
      </c>
    </row>
    <row r="82" spans="1:9">
      <c r="A82" s="188">
        <v>77</v>
      </c>
      <c r="B82" s="1644">
        <f t="shared" si="9"/>
        <v>42185</v>
      </c>
      <c r="C82" s="1644"/>
      <c r="F82" s="59">
        <f>$E$13*EWCSum!$D$8/4/1000</f>
        <v>1172.4165</v>
      </c>
      <c r="I82" s="1646">
        <f t="shared" si="8"/>
        <v>6.7852612409597002E-2</v>
      </c>
    </row>
    <row r="83" spans="1:9">
      <c r="A83" s="188">
        <v>78</v>
      </c>
      <c r="B83" s="1644">
        <f t="shared" si="9"/>
        <v>42277</v>
      </c>
      <c r="C83" s="1644"/>
      <c r="F83" s="59">
        <f>$E$13*EWCSum!$D$8/4/1000</f>
        <v>1172.4165</v>
      </c>
      <c r="I83" s="1646">
        <f t="shared" si="8"/>
        <v>6.5522749481423559E-2</v>
      </c>
    </row>
    <row r="84" spans="1:9">
      <c r="A84" s="188">
        <v>79</v>
      </c>
      <c r="B84" s="1644">
        <f t="shared" si="9"/>
        <v>42369</v>
      </c>
      <c r="C84" s="1644"/>
      <c r="F84" s="59">
        <f>$E$13*EWCSum!$D$8/4/1000</f>
        <v>1172.4165</v>
      </c>
      <c r="I84" s="1646">
        <f t="shared" si="8"/>
        <v>6.3272887323615593E-2</v>
      </c>
    </row>
    <row r="85" spans="1:9">
      <c r="A85" s="188">
        <v>80</v>
      </c>
      <c r="B85" s="1644">
        <f t="shared" si="9"/>
        <v>42460</v>
      </c>
      <c r="C85" s="1644"/>
      <c r="F85" s="59">
        <f>$E$13*EWCSum!$D$8/4/1000</f>
        <v>1172.4165</v>
      </c>
      <c r="I85" s="1646">
        <f t="shared" si="8"/>
        <v>6.1100278940553004E-2</v>
      </c>
    </row>
    <row r="86" spans="1:9">
      <c r="A86" s="188">
        <v>81</v>
      </c>
      <c r="B86" s="1644">
        <f t="shared" si="9"/>
        <v>42551</v>
      </c>
      <c r="C86" s="1644"/>
      <c r="F86" s="59">
        <f>$E$13*EWCSum!$D$8/4/1000</f>
        <v>1172.4165</v>
      </c>
      <c r="I86" s="1646">
        <f t="shared" si="8"/>
        <v>5.9002271660519134E-2</v>
      </c>
    </row>
    <row r="87" spans="1:9">
      <c r="A87" s="188">
        <v>82</v>
      </c>
      <c r="B87" s="1644">
        <f t="shared" si="9"/>
        <v>42643</v>
      </c>
      <c r="C87" s="1644"/>
      <c r="F87" s="59">
        <f>$E$13*EWCSum!$D$8/4/1000</f>
        <v>1172.4165</v>
      </c>
      <c r="I87" s="1646">
        <f t="shared" si="8"/>
        <v>5.6976303896890047E-2</v>
      </c>
    </row>
    <row r="88" spans="1:9">
      <c r="A88" s="188">
        <v>83</v>
      </c>
      <c r="B88" s="1644">
        <f t="shared" si="9"/>
        <v>42735</v>
      </c>
      <c r="C88" s="1644"/>
      <c r="F88" s="59">
        <f>$E$13*EWCSum!$D$8/4/1000</f>
        <v>1172.4165</v>
      </c>
      <c r="I88" s="1646">
        <f t="shared" si="8"/>
        <v>5.5019902020535291E-2</v>
      </c>
    </row>
    <row r="89" spans="1:9">
      <c r="A89" s="188">
        <v>84</v>
      </c>
      <c r="B89" s="1644">
        <f t="shared" si="9"/>
        <v>42825</v>
      </c>
      <c r="C89" s="1644"/>
      <c r="F89" s="59">
        <f>$E$13*EWCSum!$D$8/4/1000</f>
        <v>1172.4165</v>
      </c>
      <c r="I89" s="1646">
        <f t="shared" si="8"/>
        <v>5.3130677339611299E-2</v>
      </c>
    </row>
    <row r="90" spans="1:9">
      <c r="A90" s="188">
        <v>85</v>
      </c>
      <c r="B90" s="1644">
        <f t="shared" si="9"/>
        <v>42916</v>
      </c>
      <c r="C90" s="1644"/>
      <c r="F90" s="59">
        <f>$E$13*EWCSum!$D$8/4/1000</f>
        <v>1172.4165</v>
      </c>
      <c r="I90" s="1646">
        <f t="shared" si="8"/>
        <v>5.1306323183060117E-2</v>
      </c>
    </row>
    <row r="91" spans="1:9">
      <c r="A91" s="188">
        <v>86</v>
      </c>
      <c r="B91" s="1644">
        <f t="shared" si="9"/>
        <v>43008</v>
      </c>
      <c r="C91" s="1644"/>
      <c r="F91" s="59">
        <f>$E$13*EWCSum!$D$8/4/1000</f>
        <v>1172.4165</v>
      </c>
      <c r="I91" s="1646">
        <f t="shared" si="8"/>
        <v>4.9544612084252204E-2</v>
      </c>
    </row>
  </sheetData>
  <pageMargins left="0.75" right="0.75" top="1" bottom="1" header="0.5" footer="0.5"/>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AS100"/>
  <sheetViews>
    <sheetView tabSelected="1" topLeftCell="A12" zoomScale="75" workbookViewId="0">
      <selection activeCell="E36" sqref="E36"/>
    </sheetView>
  </sheetViews>
  <sheetFormatPr defaultColWidth="8.7109375" defaultRowHeight="12.75"/>
  <cols>
    <col min="1" max="1" width="5.28515625" style="308" customWidth="1"/>
    <col min="2" max="2" width="39.42578125" style="308" customWidth="1"/>
    <col min="3" max="3" width="16" style="308" customWidth="1"/>
    <col min="4" max="4" width="14.28515625" style="308" customWidth="1"/>
    <col min="5" max="5" width="11.7109375" style="308" customWidth="1"/>
    <col min="6" max="6" width="12.7109375" style="308" customWidth="1"/>
    <col min="7" max="8" width="13.7109375" style="308" customWidth="1"/>
    <col min="9" max="9" width="16" style="308" customWidth="1"/>
    <col min="10" max="10" width="14.85546875" style="308" customWidth="1"/>
    <col min="11" max="11" width="14.42578125" style="308" customWidth="1"/>
    <col min="12" max="12" width="16.85546875" style="308" customWidth="1"/>
    <col min="13" max="13" width="17.28515625" style="308" customWidth="1"/>
    <col min="14" max="14" width="16.140625" style="308" customWidth="1"/>
    <col min="15" max="15" width="18.28515625" style="308" customWidth="1"/>
    <col min="16" max="16" width="22.42578125" style="308" customWidth="1"/>
    <col min="17" max="17" width="19" style="308" customWidth="1"/>
    <col min="18" max="18" width="14" style="308" customWidth="1"/>
    <col min="19" max="19" width="13.42578125" style="308" customWidth="1"/>
    <col min="20" max="20" width="11.7109375" style="308" customWidth="1"/>
    <col min="21" max="21" width="14.140625" style="308" customWidth="1"/>
    <col min="22" max="22" width="11.7109375" style="308" customWidth="1"/>
    <col min="23" max="16384" width="8.7109375" style="308"/>
  </cols>
  <sheetData>
    <row r="1" spans="1:45" ht="18">
      <c r="B1" s="338" t="str">
        <f>Assum!$F$19&amp;" "&amp;FIXED(Assum!$F$31,2,TRUE)&amp;"  MW Project"</f>
        <v>Sweetwater 129.00  MW Project</v>
      </c>
      <c r="C1" s="1018"/>
      <c r="E1" s="1019"/>
      <c r="G1" s="738"/>
      <c r="H1" s="738"/>
      <c r="J1" s="737"/>
      <c r="K1" s="737"/>
      <c r="L1" s="737"/>
      <c r="M1" s="737"/>
      <c r="N1" s="737"/>
      <c r="O1" s="737"/>
      <c r="P1" s="737"/>
      <c r="Q1" s="737"/>
      <c r="R1" s="737"/>
      <c r="S1" s="737"/>
      <c r="T1" s="737"/>
      <c r="U1" s="737"/>
      <c r="V1" s="737"/>
      <c r="Y1" s="737"/>
      <c r="Z1" s="737"/>
      <c r="AA1" s="737"/>
      <c r="AB1" s="737"/>
      <c r="AC1" s="737"/>
      <c r="AD1" s="737"/>
      <c r="AE1" s="737"/>
      <c r="AF1" s="737"/>
      <c r="AG1" s="737"/>
      <c r="AH1" s="737"/>
      <c r="AI1" s="737"/>
      <c r="AJ1" s="737"/>
      <c r="AK1" s="737"/>
      <c r="AL1" s="737"/>
      <c r="AM1" s="737"/>
      <c r="AN1" s="737"/>
      <c r="AO1" s="737"/>
      <c r="AP1" s="737"/>
      <c r="AQ1" s="737"/>
      <c r="AR1" s="737"/>
      <c r="AS1" s="737"/>
    </row>
    <row r="2" spans="1:45" ht="15.75">
      <c r="B2" s="338" t="s">
        <v>460</v>
      </c>
      <c r="C2" s="739"/>
      <c r="D2" s="740"/>
      <c r="E2" s="738"/>
      <c r="N2" s="737"/>
      <c r="O2" s="737"/>
      <c r="P2" s="737"/>
      <c r="Q2" s="737"/>
      <c r="R2" s="737"/>
      <c r="S2" s="737"/>
      <c r="T2" s="737"/>
      <c r="U2" s="737"/>
      <c r="V2" s="737"/>
      <c r="Y2" s="737"/>
      <c r="Z2" s="737"/>
      <c r="AA2" s="737"/>
      <c r="AB2" s="737"/>
      <c r="AC2" s="737"/>
      <c r="AD2" s="737"/>
      <c r="AE2" s="737"/>
      <c r="AF2" s="737"/>
      <c r="AG2" s="737"/>
      <c r="AH2" s="737"/>
      <c r="AI2" s="737"/>
      <c r="AJ2" s="737"/>
      <c r="AK2" s="737"/>
      <c r="AL2" s="737"/>
      <c r="AM2" s="737"/>
      <c r="AN2" s="737"/>
      <c r="AO2" s="737"/>
      <c r="AP2" s="737"/>
      <c r="AQ2" s="737"/>
      <c r="AR2" s="737"/>
      <c r="AS2" s="737"/>
    </row>
    <row r="3" spans="1:45">
      <c r="N3" s="737"/>
      <c r="O3" s="737"/>
      <c r="P3" s="737"/>
      <c r="Q3" s="737"/>
      <c r="R3" s="737"/>
      <c r="S3" s="737"/>
      <c r="T3" s="737"/>
      <c r="U3" s="737"/>
      <c r="V3" s="737"/>
      <c r="Y3" s="737"/>
      <c r="Z3" s="737"/>
      <c r="AA3" s="737"/>
      <c r="AB3" s="737"/>
      <c r="AC3" s="737"/>
      <c r="AD3" s="737"/>
      <c r="AE3" s="737"/>
      <c r="AF3" s="737"/>
      <c r="AG3" s="737"/>
      <c r="AH3" s="737"/>
      <c r="AI3" s="737"/>
      <c r="AJ3" s="737"/>
      <c r="AK3" s="737"/>
      <c r="AL3" s="737"/>
      <c r="AM3" s="737"/>
      <c r="AN3" s="737"/>
      <c r="AO3" s="737"/>
      <c r="AP3" s="737"/>
      <c r="AQ3" s="737"/>
      <c r="AR3" s="737"/>
      <c r="AS3" s="737"/>
    </row>
    <row r="4" spans="1:45">
      <c r="N4" s="737"/>
      <c r="O4" s="737"/>
      <c r="P4" s="737"/>
      <c r="Q4" s="737"/>
      <c r="R4" s="737"/>
      <c r="S4" s="737"/>
      <c r="T4" s="737"/>
      <c r="U4" s="737"/>
      <c r="V4" s="737"/>
      <c r="Y4" s="737"/>
      <c r="Z4" s="737"/>
      <c r="AA4" s="737"/>
      <c r="AB4" s="737"/>
      <c r="AC4" s="737"/>
      <c r="AD4" s="737"/>
      <c r="AE4" s="737"/>
      <c r="AF4" s="737"/>
      <c r="AG4" s="737"/>
      <c r="AH4" s="737"/>
      <c r="AI4" s="737"/>
      <c r="AJ4" s="737"/>
      <c r="AK4" s="737"/>
      <c r="AL4" s="737"/>
      <c r="AM4" s="737"/>
      <c r="AN4" s="737"/>
      <c r="AO4" s="737"/>
      <c r="AP4" s="737"/>
      <c r="AQ4" s="737"/>
      <c r="AR4" s="737"/>
      <c r="AS4" s="737"/>
    </row>
    <row r="5" spans="1:45">
      <c r="B5" s="737"/>
      <c r="C5" s="737"/>
      <c r="D5" s="740"/>
      <c r="E5" s="737"/>
      <c r="F5" s="943" t="str">
        <f>Internal!F16</f>
        <v>-</v>
      </c>
      <c r="G5" s="943" t="str">
        <f>Internal!G16</f>
        <v>TZ 1.5</v>
      </c>
      <c r="H5" s="943" t="str">
        <f>Internal!H16</f>
        <v>-</v>
      </c>
      <c r="N5" s="737"/>
      <c r="O5" s="737"/>
      <c r="P5" s="737"/>
      <c r="Q5" s="737"/>
      <c r="R5" s="737"/>
      <c r="S5" s="737"/>
      <c r="T5" s="737"/>
      <c r="U5" s="737"/>
      <c r="V5" s="737"/>
      <c r="Y5" s="737"/>
      <c r="Z5" s="737"/>
      <c r="AA5" s="737"/>
      <c r="AB5" s="737"/>
      <c r="AC5" s="737"/>
      <c r="AD5" s="737"/>
      <c r="AE5" s="737"/>
      <c r="AF5" s="737"/>
      <c r="AG5" s="737"/>
      <c r="AH5" s="737"/>
      <c r="AI5" s="737"/>
      <c r="AJ5" s="737"/>
      <c r="AK5" s="737"/>
      <c r="AL5" s="737"/>
      <c r="AM5" s="737"/>
      <c r="AN5" s="737"/>
      <c r="AO5" s="737"/>
      <c r="AP5" s="737"/>
      <c r="AQ5" s="737"/>
      <c r="AR5" s="737"/>
      <c r="AS5" s="737"/>
    </row>
    <row r="6" spans="1:45">
      <c r="B6" s="741" t="s">
        <v>590</v>
      </c>
      <c r="C6" s="285"/>
      <c r="D6" s="742">
        <f>Assum!F30</f>
        <v>86</v>
      </c>
      <c r="E6" s="743" t="s">
        <v>202</v>
      </c>
      <c r="F6" s="943">
        <f>Internal!F18</f>
        <v>0</v>
      </c>
      <c r="G6" s="943">
        <f>Internal!G18</f>
        <v>86</v>
      </c>
      <c r="H6" s="943">
        <f>Internal!H18</f>
        <v>0</v>
      </c>
      <c r="J6" s="948"/>
      <c r="K6" s="519"/>
      <c r="L6" s="755"/>
      <c r="M6" s="965"/>
      <c r="N6" s="737"/>
      <c r="O6" s="737"/>
      <c r="P6" s="737"/>
      <c r="Q6" s="737"/>
      <c r="R6" s="737"/>
      <c r="S6" s="737"/>
      <c r="T6" s="737"/>
      <c r="U6" s="737"/>
      <c r="V6" s="737"/>
      <c r="Y6" s="737"/>
      <c r="Z6" s="737"/>
      <c r="AA6" s="737"/>
      <c r="AB6" s="737"/>
      <c r="AC6" s="737"/>
      <c r="AD6" s="737"/>
      <c r="AE6" s="737"/>
      <c r="AF6" s="737"/>
      <c r="AG6" s="737"/>
      <c r="AH6" s="737"/>
      <c r="AI6" s="737"/>
      <c r="AJ6" s="737"/>
      <c r="AK6" s="737"/>
      <c r="AL6" s="737"/>
      <c r="AM6" s="737"/>
      <c r="AN6" s="737"/>
      <c r="AO6" s="737"/>
      <c r="AP6" s="737"/>
      <c r="AQ6" s="737"/>
      <c r="AR6" s="737"/>
      <c r="AS6" s="737"/>
    </row>
    <row r="7" spans="1:45">
      <c r="B7" s="1020" t="s">
        <v>236</v>
      </c>
      <c r="C7" s="1021"/>
      <c r="D7" s="1022">
        <f>Assum!I99</f>
        <v>0.41499999999999998</v>
      </c>
      <c r="E7" s="745"/>
      <c r="F7" s="742"/>
      <c r="G7" s="744"/>
      <c r="H7" s="742"/>
      <c r="J7" s="737"/>
      <c r="K7" s="737"/>
      <c r="L7" s="737"/>
      <c r="M7" s="737"/>
      <c r="N7" s="737"/>
      <c r="O7" s="737"/>
      <c r="P7" s="737"/>
      <c r="Q7" s="737"/>
      <c r="R7" s="737"/>
      <c r="S7" s="737"/>
      <c r="T7" s="737"/>
      <c r="U7" s="737"/>
      <c r="V7" s="737"/>
      <c r="Y7" s="737"/>
      <c r="Z7" s="737"/>
      <c r="AA7" s="737"/>
      <c r="AB7" s="737"/>
      <c r="AC7" s="737"/>
      <c r="AD7" s="737"/>
      <c r="AE7" s="737"/>
      <c r="AF7" s="737"/>
      <c r="AG7" s="737"/>
      <c r="AH7" s="737"/>
      <c r="AI7" s="737"/>
      <c r="AJ7" s="737"/>
      <c r="AK7" s="737"/>
      <c r="AL7" s="737"/>
      <c r="AM7" s="737"/>
      <c r="AN7" s="737"/>
      <c r="AO7" s="737"/>
      <c r="AP7" s="737"/>
      <c r="AQ7" s="737"/>
      <c r="AR7" s="737"/>
      <c r="AS7" s="737"/>
    </row>
    <row r="8" spans="1:45">
      <c r="B8" s="744" t="s">
        <v>201</v>
      </c>
      <c r="C8" s="285"/>
      <c r="D8" s="966">
        <f>Assum!I102</f>
        <v>468966.6</v>
      </c>
      <c r="E8" s="745"/>
      <c r="F8" s="742"/>
      <c r="G8" s="744"/>
      <c r="H8" s="742"/>
      <c r="J8" s="737"/>
      <c r="K8" s="737"/>
      <c r="L8" s="737"/>
      <c r="M8" s="737"/>
      <c r="N8" s="737"/>
      <c r="O8" s="737"/>
      <c r="P8" s="737"/>
      <c r="Q8" s="737"/>
      <c r="R8" s="737"/>
      <c r="S8" s="737"/>
      <c r="T8" s="737"/>
      <c r="U8" s="737"/>
      <c r="V8" s="737"/>
      <c r="Y8" s="737"/>
      <c r="Z8" s="737"/>
      <c r="AA8" s="737"/>
      <c r="AB8" s="737"/>
      <c r="AC8" s="737"/>
      <c r="AD8" s="737"/>
      <c r="AE8" s="737"/>
      <c r="AF8" s="737"/>
      <c r="AG8" s="737"/>
      <c r="AH8" s="737"/>
      <c r="AI8" s="737"/>
      <c r="AJ8" s="737"/>
      <c r="AK8" s="737"/>
      <c r="AL8" s="737"/>
      <c r="AM8" s="737"/>
      <c r="AN8" s="737"/>
      <c r="AO8" s="737"/>
      <c r="AP8" s="737"/>
      <c r="AQ8" s="737"/>
      <c r="AR8" s="737"/>
      <c r="AS8" s="737"/>
    </row>
    <row r="9" spans="1:45">
      <c r="B9" s="1023" t="s">
        <v>237</v>
      </c>
      <c r="C9" s="1021"/>
      <c r="D9" s="1024" t="str">
        <f>Assum!F20</f>
        <v>Texas</v>
      </c>
      <c r="E9" s="737"/>
      <c r="F9" s="737"/>
      <c r="G9" s="737"/>
      <c r="H9" s="737"/>
      <c r="J9" s="737"/>
      <c r="K9" s="737"/>
      <c r="L9" s="737"/>
      <c r="M9" s="737"/>
      <c r="N9" s="737"/>
      <c r="O9" s="737"/>
      <c r="P9" s="737"/>
      <c r="Q9" s="737"/>
      <c r="R9" s="737"/>
      <c r="S9" s="737"/>
      <c r="T9" s="737"/>
      <c r="U9" s="737"/>
      <c r="V9" s="737"/>
      <c r="Y9" s="737"/>
      <c r="Z9" s="737"/>
      <c r="AA9" s="737"/>
      <c r="AB9" s="737"/>
      <c r="AC9" s="737"/>
      <c r="AD9" s="737"/>
      <c r="AE9" s="737"/>
      <c r="AF9" s="737"/>
      <c r="AG9" s="737"/>
      <c r="AH9" s="737"/>
      <c r="AI9" s="737"/>
      <c r="AJ9" s="737"/>
      <c r="AK9" s="737"/>
      <c r="AL9" s="737"/>
      <c r="AM9" s="737"/>
      <c r="AN9" s="737"/>
      <c r="AO9" s="737"/>
      <c r="AP9" s="737"/>
      <c r="AQ9" s="737"/>
      <c r="AR9" s="737"/>
      <c r="AS9" s="737"/>
    </row>
    <row r="10" spans="1:45">
      <c r="B10" s="746" t="str">
        <f>Assum!I25</f>
        <v>BEGINNING YEAR FOR PRODUCTION</v>
      </c>
      <c r="C10" s="285"/>
      <c r="D10" s="738">
        <f>Assum!H25</f>
        <v>2002</v>
      </c>
      <c r="E10" s="737"/>
      <c r="F10" s="737"/>
      <c r="G10" s="737"/>
      <c r="H10" s="737"/>
      <c r="J10" s="737"/>
      <c r="K10" s="737"/>
      <c r="L10" s="737"/>
      <c r="M10" s="737"/>
      <c r="N10" s="737"/>
      <c r="O10" s="737"/>
      <c r="P10" s="737"/>
      <c r="Q10" s="737"/>
      <c r="R10" s="737"/>
      <c r="S10" s="737"/>
      <c r="T10" s="737"/>
      <c r="U10" s="737"/>
      <c r="V10" s="737"/>
      <c r="Y10" s="737"/>
      <c r="Z10" s="737"/>
      <c r="AA10" s="737"/>
      <c r="AB10" s="737"/>
      <c r="AC10" s="737"/>
      <c r="AD10" s="737"/>
      <c r="AE10" s="737"/>
      <c r="AF10" s="737"/>
      <c r="AG10" s="737"/>
      <c r="AH10" s="737"/>
      <c r="AI10" s="737"/>
      <c r="AJ10" s="737"/>
      <c r="AK10" s="737"/>
      <c r="AL10" s="737"/>
      <c r="AM10" s="737"/>
      <c r="AN10" s="737"/>
      <c r="AO10" s="737"/>
      <c r="AP10" s="737"/>
      <c r="AQ10" s="737"/>
      <c r="AR10" s="737"/>
      <c r="AS10" s="737"/>
    </row>
    <row r="11" spans="1:45">
      <c r="A11" s="737"/>
      <c r="B11" s="1023" t="str">
        <f>Assum!I23</f>
        <v xml:space="preserve">1ST YEAR % PRODUCTION </v>
      </c>
      <c r="C11" s="1021"/>
      <c r="D11" s="1025">
        <f>Assum!H23</f>
        <v>0.99722222222222223</v>
      </c>
      <c r="E11" s="737"/>
      <c r="F11" s="737"/>
      <c r="G11" s="737"/>
      <c r="H11" s="737"/>
      <c r="I11" s="737"/>
      <c r="J11" s="737"/>
      <c r="K11" s="737"/>
      <c r="L11" s="737"/>
      <c r="M11" s="737"/>
      <c r="N11" s="737"/>
      <c r="O11" s="737"/>
      <c r="P11" s="737"/>
      <c r="Q11" s="737"/>
      <c r="R11" s="737"/>
      <c r="S11" s="737"/>
      <c r="T11" s="737"/>
      <c r="U11" s="737"/>
      <c r="V11" s="737"/>
      <c r="Y11" s="737"/>
      <c r="Z11" s="737"/>
      <c r="AA11" s="737"/>
      <c r="AB11" s="737"/>
      <c r="AC11" s="737"/>
      <c r="AD11" s="737"/>
      <c r="AE11" s="737"/>
      <c r="AF11" s="737"/>
      <c r="AG11" s="737"/>
      <c r="AH11" s="737"/>
      <c r="AI11" s="737"/>
      <c r="AJ11" s="737"/>
      <c r="AK11" s="737"/>
      <c r="AL11" s="737"/>
      <c r="AM11" s="737"/>
      <c r="AN11" s="737"/>
      <c r="AO11" s="737"/>
      <c r="AP11" s="737"/>
      <c r="AQ11" s="737"/>
      <c r="AR11" s="737"/>
      <c r="AS11" s="737"/>
    </row>
    <row r="12" spans="1:45" ht="13.5" thickBot="1">
      <c r="B12" s="1013" t="str">
        <f>Assum!B22</f>
        <v>PROJECT DURATION (YRS):</v>
      </c>
      <c r="D12" s="1014">
        <f>Assum!F22</f>
        <v>20</v>
      </c>
      <c r="F12" s="737"/>
      <c r="G12" s="737"/>
      <c r="H12" s="737"/>
      <c r="I12" s="737"/>
      <c r="J12" s="737"/>
      <c r="K12" s="737"/>
      <c r="L12" s="737"/>
      <c r="M12" s="737"/>
      <c r="N12" s="737"/>
      <c r="O12" s="737"/>
      <c r="P12" s="737"/>
      <c r="Q12" s="737"/>
      <c r="R12" s="737"/>
      <c r="S12" s="737"/>
      <c r="T12" s="737"/>
      <c r="U12" s="737"/>
      <c r="V12" s="737"/>
      <c r="Y12" s="737"/>
      <c r="Z12" s="737"/>
      <c r="AA12" s="737"/>
      <c r="AB12" s="737"/>
      <c r="AC12" s="737"/>
      <c r="AD12" s="737"/>
      <c r="AE12" s="737"/>
      <c r="AF12" s="737"/>
      <c r="AG12" s="737"/>
      <c r="AH12" s="737"/>
      <c r="AI12" s="737"/>
      <c r="AJ12" s="737"/>
      <c r="AK12" s="737"/>
      <c r="AL12" s="737"/>
      <c r="AM12" s="737"/>
      <c r="AN12" s="737"/>
      <c r="AO12" s="737"/>
      <c r="AP12" s="737"/>
      <c r="AQ12" s="737"/>
      <c r="AR12" s="737"/>
      <c r="AS12" s="737"/>
    </row>
    <row r="13" spans="1:45">
      <c r="B13" s="1026" t="str">
        <f>Assum!B21</f>
        <v xml:space="preserve">EXCHANGE RATE                 Local Currency  = </v>
      </c>
      <c r="C13" s="1027" t="str">
        <f>Assum!E21</f>
        <v xml:space="preserve">  $</v>
      </c>
      <c r="D13" s="1028">
        <f>Assum!F21</f>
        <v>1</v>
      </c>
      <c r="E13" s="737"/>
      <c r="F13" s="737"/>
      <c r="G13" s="737"/>
      <c r="H13" s="737"/>
      <c r="I13" s="737"/>
      <c r="J13" s="932" t="s">
        <v>191</v>
      </c>
      <c r="K13" s="933"/>
      <c r="L13" s="934">
        <f>Assum!D119</f>
        <v>8.2500000000000004E-2</v>
      </c>
      <c r="M13" s="935">
        <f>Assum!E119</f>
        <v>2.3499999999999997E-2</v>
      </c>
      <c r="T13" s="737"/>
      <c r="U13" s="737"/>
      <c r="V13" s="737"/>
      <c r="Y13" s="737"/>
      <c r="Z13" s="737"/>
      <c r="AA13" s="737"/>
      <c r="AB13" s="737"/>
      <c r="AC13" s="737"/>
      <c r="AD13" s="737"/>
      <c r="AE13" s="737"/>
      <c r="AF13" s="737"/>
      <c r="AG13" s="737"/>
      <c r="AH13" s="737"/>
      <c r="AI13" s="737"/>
      <c r="AJ13" s="737"/>
      <c r="AK13" s="737"/>
      <c r="AL13" s="737"/>
      <c r="AM13" s="737"/>
      <c r="AN13" s="737"/>
      <c r="AO13" s="737"/>
      <c r="AP13" s="737"/>
      <c r="AQ13" s="737"/>
      <c r="AR13" s="737"/>
      <c r="AS13" s="737"/>
    </row>
    <row r="14" spans="1:45">
      <c r="H14" s="756"/>
      <c r="I14" s="737"/>
      <c r="J14" s="936" t="s">
        <v>192</v>
      </c>
      <c r="K14" s="519"/>
      <c r="L14" s="755"/>
      <c r="M14" s="937">
        <f>Assum!E107*D13</f>
        <v>2.35E-2</v>
      </c>
      <c r="T14" s="737"/>
      <c r="U14" s="737"/>
      <c r="V14" s="737"/>
      <c r="Y14" s="737"/>
      <c r="Z14" s="737"/>
      <c r="AA14" s="737"/>
      <c r="AB14" s="737"/>
      <c r="AC14" s="737"/>
      <c r="AD14" s="737"/>
      <c r="AE14" s="737"/>
      <c r="AF14" s="737"/>
      <c r="AG14" s="737"/>
      <c r="AH14" s="737"/>
      <c r="AI14" s="737"/>
      <c r="AJ14" s="737"/>
      <c r="AK14" s="737"/>
      <c r="AL14" s="737"/>
      <c r="AM14" s="737"/>
      <c r="AN14" s="737"/>
      <c r="AO14" s="737"/>
      <c r="AP14" s="737"/>
      <c r="AQ14" s="737"/>
      <c r="AR14" s="737"/>
      <c r="AS14" s="737"/>
    </row>
    <row r="15" spans="1:45" ht="13.5" thickBot="1">
      <c r="H15" s="756"/>
      <c r="I15" s="737"/>
      <c r="J15" s="938" t="s">
        <v>193</v>
      </c>
      <c r="K15" s="939"/>
      <c r="L15" s="762"/>
      <c r="M15" s="940">
        <f>CashFlow!E8</f>
        <v>2.35E-2</v>
      </c>
      <c r="N15" s="737"/>
      <c r="O15" s="737"/>
      <c r="P15" s="737"/>
      <c r="Q15" s="737"/>
      <c r="R15" s="737"/>
      <c r="S15" s="737"/>
      <c r="T15" s="755"/>
      <c r="U15" s="755"/>
      <c r="V15" s="755"/>
      <c r="Y15" s="737"/>
      <c r="Z15" s="737"/>
      <c r="AA15" s="737"/>
      <c r="AB15" s="737"/>
      <c r="AC15" s="737"/>
      <c r="AD15" s="737"/>
      <c r="AE15" s="737"/>
      <c r="AF15" s="737"/>
      <c r="AG15" s="737"/>
      <c r="AH15" s="737"/>
      <c r="AI15" s="737"/>
      <c r="AJ15" s="737"/>
      <c r="AK15" s="737"/>
      <c r="AL15" s="737"/>
      <c r="AM15" s="737"/>
      <c r="AN15" s="737"/>
      <c r="AO15" s="737"/>
      <c r="AP15" s="737"/>
      <c r="AQ15" s="737"/>
      <c r="AR15" s="737"/>
      <c r="AS15" s="737"/>
    </row>
    <row r="16" spans="1:45" ht="13.5" thickBot="1">
      <c r="H16" s="756"/>
      <c r="I16" s="737"/>
      <c r="R16" s="946"/>
      <c r="S16" s="755"/>
      <c r="T16" s="755"/>
      <c r="U16" s="755"/>
      <c r="V16" s="755"/>
      <c r="Z16" s="737"/>
      <c r="AA16" s="737"/>
      <c r="AB16" s="737"/>
      <c r="AC16" s="737"/>
      <c r="AD16" s="737"/>
      <c r="AE16" s="737"/>
      <c r="AF16" s="737"/>
      <c r="AG16" s="737"/>
      <c r="AH16" s="737"/>
      <c r="AI16" s="737"/>
      <c r="AJ16" s="737"/>
      <c r="AK16" s="737"/>
      <c r="AL16" s="737"/>
      <c r="AM16" s="737"/>
      <c r="AN16" s="737"/>
      <c r="AO16" s="737"/>
      <c r="AP16" s="737"/>
      <c r="AQ16" s="737"/>
      <c r="AR16" s="737"/>
      <c r="AS16" s="737"/>
    </row>
    <row r="17" spans="2:45">
      <c r="B17" s="1029" t="s">
        <v>238</v>
      </c>
      <c r="C17" s="747" t="str">
        <f>Srcs_Uses!E5</f>
        <v>$TOTAL (000)</v>
      </c>
      <c r="D17" s="747" t="str">
        <f>Srcs_Uses!F5</f>
        <v>% TOTAL</v>
      </c>
      <c r="E17" s="747" t="str">
        <f>Srcs_Uses!G5</f>
        <v>$ PER KW</v>
      </c>
      <c r="F17" s="747" t="s">
        <v>239</v>
      </c>
      <c r="G17" s="752"/>
      <c r="H17" s="756"/>
      <c r="I17" s="737"/>
      <c r="R17" s="756"/>
      <c r="S17" s="946"/>
      <c r="T17" s="755"/>
      <c r="U17" s="755"/>
      <c r="V17" s="755"/>
      <c r="Z17" s="737"/>
      <c r="AA17" s="737"/>
      <c r="AB17" s="737"/>
      <c r="AC17" s="737"/>
      <c r="AD17" s="737"/>
      <c r="AE17" s="737"/>
      <c r="AF17" s="737"/>
      <c r="AG17" s="737"/>
      <c r="AH17" s="737"/>
      <c r="AI17" s="737"/>
      <c r="AJ17" s="737"/>
      <c r="AK17" s="737"/>
      <c r="AL17" s="737"/>
      <c r="AM17" s="737"/>
      <c r="AN17" s="737"/>
      <c r="AO17" s="737"/>
      <c r="AP17" s="737"/>
      <c r="AQ17" s="737"/>
      <c r="AR17" s="737"/>
      <c r="AS17" s="737"/>
    </row>
    <row r="18" spans="2:45">
      <c r="B18" s="748" t="str">
        <f>Srcs_Uses!B6</f>
        <v>OUTSIDE EQUITY</v>
      </c>
      <c r="C18" s="750">
        <f ca="1">Srcs_Uses!E6</f>
        <v>90426.917784397752</v>
      </c>
      <c r="D18" s="751">
        <f ca="1">Srcs_Uses!F6</f>
        <v>0.68707368005384617</v>
      </c>
      <c r="E18" s="750">
        <f ca="1">C18/Assum!$F$31</f>
        <v>700.983858793781</v>
      </c>
      <c r="F18" s="750">
        <f ca="1">C18/Assum!$F$30</f>
        <v>1051.4757881906714</v>
      </c>
      <c r="G18" s="954"/>
      <c r="H18" s="756"/>
      <c r="R18" s="756"/>
      <c r="S18" s="755"/>
      <c r="T18" s="755"/>
      <c r="U18" s="755"/>
      <c r="V18" s="755"/>
      <c r="Z18" s="737"/>
      <c r="AA18" s="737"/>
      <c r="AB18" s="737"/>
      <c r="AC18" s="737"/>
      <c r="AD18" s="737"/>
      <c r="AE18" s="737"/>
      <c r="AF18" s="737"/>
      <c r="AG18" s="737"/>
      <c r="AH18" s="737"/>
      <c r="AI18" s="737"/>
      <c r="AJ18" s="737"/>
      <c r="AK18" s="737"/>
      <c r="AL18" s="737"/>
      <c r="AM18" s="737"/>
      <c r="AN18" s="737"/>
      <c r="AO18" s="737"/>
      <c r="AP18" s="737"/>
      <c r="AQ18" s="737"/>
      <c r="AR18" s="737"/>
      <c r="AS18" s="737"/>
    </row>
    <row r="19" spans="2:45" ht="13.5" thickBot="1">
      <c r="B19" s="748" t="str">
        <f>Srcs_Uses!B7</f>
        <v>EWC EQUITY</v>
      </c>
      <c r="C19" s="750">
        <f ca="1">Srcs_Uses!E7</f>
        <v>913.40320994341164</v>
      </c>
      <c r="D19" s="751">
        <f ca="1">Srcs_Uses!F7</f>
        <v>6.9401381823620822E-3</v>
      </c>
      <c r="E19" s="750">
        <f ca="1">C19/Assum!$F$31</f>
        <v>7.0806450383210207</v>
      </c>
      <c r="F19" s="750">
        <f ca="1">C19/Assum!$F$30</f>
        <v>10.620967557481531</v>
      </c>
      <c r="G19" s="759"/>
      <c r="H19" s="756"/>
      <c r="R19" s="755"/>
      <c r="S19" s="755"/>
      <c r="T19" s="737"/>
      <c r="U19" s="737"/>
      <c r="V19" s="737"/>
      <c r="Y19" s="737"/>
      <c r="Z19" s="737"/>
      <c r="AA19" s="737"/>
      <c r="AB19" s="737"/>
      <c r="AC19" s="737"/>
      <c r="AD19" s="737"/>
      <c r="AE19" s="737"/>
      <c r="AF19" s="737"/>
      <c r="AG19" s="737"/>
      <c r="AH19" s="737"/>
      <c r="AI19" s="737"/>
      <c r="AJ19" s="737"/>
      <c r="AK19" s="737"/>
      <c r="AL19" s="737"/>
      <c r="AM19" s="737"/>
      <c r="AN19" s="737"/>
      <c r="AO19" s="737"/>
      <c r="AP19" s="737"/>
      <c r="AQ19" s="737"/>
      <c r="AR19" s="737"/>
      <c r="AS19" s="737"/>
    </row>
    <row r="20" spans="2:45">
      <c r="B20" s="748" t="str">
        <f>Srcs_Uses!B8</f>
        <v>SENIOR BANK DEBT</v>
      </c>
      <c r="C20" s="750">
        <f>Srcs_Uses!E8</f>
        <v>40271.353865997226</v>
      </c>
      <c r="D20" s="751">
        <f ca="1">Srcs_Uses!F8</f>
        <v>0.30598618176318587</v>
      </c>
      <c r="E20" s="750">
        <f>C20/Assum!$F$31</f>
        <v>312.18103772090871</v>
      </c>
      <c r="F20" s="750">
        <f>C20/Assum!$F$30</f>
        <v>468.27155658136309</v>
      </c>
      <c r="G20" s="759"/>
      <c r="H20" s="756"/>
      <c r="I20" s="949"/>
      <c r="J20" s="950" t="s">
        <v>13</v>
      </c>
      <c r="K20" s="951"/>
      <c r="L20" s="772"/>
      <c r="M20" s="765"/>
      <c r="N20" s="950" t="s">
        <v>244</v>
      </c>
      <c r="O20" s="951"/>
      <c r="P20" s="952"/>
      <c r="R20" s="755"/>
      <c r="S20" s="755"/>
      <c r="T20" s="737"/>
      <c r="U20" s="737"/>
      <c r="V20" s="737"/>
      <c r="Y20" s="737"/>
      <c r="Z20" s="737"/>
      <c r="AA20" s="737"/>
      <c r="AB20" s="737"/>
      <c r="AC20" s="737"/>
      <c r="AD20" s="737"/>
      <c r="AE20" s="737"/>
      <c r="AF20" s="737"/>
      <c r="AG20" s="737"/>
      <c r="AH20" s="737"/>
      <c r="AI20" s="737"/>
      <c r="AJ20" s="737"/>
      <c r="AK20" s="737"/>
      <c r="AL20" s="737"/>
      <c r="AM20" s="737"/>
      <c r="AN20" s="737"/>
      <c r="AO20" s="737"/>
      <c r="AP20" s="737"/>
      <c r="AQ20" s="737"/>
      <c r="AR20" s="737"/>
      <c r="AS20" s="737"/>
    </row>
    <row r="21" spans="2:45">
      <c r="B21" s="748" t="str">
        <f>Srcs_Uses!B9</f>
        <v>JUNIOR DEBT</v>
      </c>
      <c r="C21" s="750">
        <f>Srcs_Uses!E9</f>
        <v>0</v>
      </c>
      <c r="D21" s="751">
        <f ca="1">Srcs_Uses!F9</f>
        <v>0</v>
      </c>
      <c r="E21" s="750">
        <f>C21/Assum!$F$31</f>
        <v>0</v>
      </c>
      <c r="F21" s="750">
        <f>C21/Assum!$F$30</f>
        <v>0</v>
      </c>
      <c r="G21" s="759"/>
      <c r="H21" s="756"/>
      <c r="I21" s="766"/>
      <c r="J21" s="809" t="s">
        <v>15</v>
      </c>
      <c r="K21" s="948"/>
      <c r="L21" s="749"/>
      <c r="M21" s="756"/>
      <c r="N21" s="809" t="s">
        <v>16</v>
      </c>
      <c r="O21" s="948"/>
      <c r="P21" s="947"/>
      <c r="R21" s="755"/>
      <c r="S21" s="755"/>
      <c r="T21" s="737"/>
      <c r="U21" s="737"/>
      <c r="V21" s="737"/>
      <c r="Y21" s="737"/>
      <c r="Z21" s="737"/>
      <c r="AA21" s="737"/>
      <c r="AB21" s="737"/>
      <c r="AC21" s="737"/>
      <c r="AD21" s="737"/>
      <c r="AE21" s="737"/>
      <c r="AF21" s="737"/>
      <c r="AG21" s="737"/>
      <c r="AH21" s="737"/>
      <c r="AI21" s="737"/>
      <c r="AJ21" s="737"/>
      <c r="AK21" s="737"/>
      <c r="AL21" s="737"/>
      <c r="AM21" s="737"/>
      <c r="AN21" s="737"/>
      <c r="AO21" s="737"/>
      <c r="AP21" s="737"/>
      <c r="AQ21" s="737"/>
      <c r="AR21" s="737"/>
      <c r="AS21" s="737"/>
    </row>
    <row r="22" spans="2:45">
      <c r="B22" s="748"/>
      <c r="C22" s="750"/>
      <c r="D22" s="751"/>
      <c r="E22" s="750"/>
      <c r="F22" s="750"/>
      <c r="G22" s="759"/>
      <c r="H22" s="756"/>
      <c r="I22" s="769"/>
      <c r="J22" s="770"/>
      <c r="K22" s="770"/>
      <c r="L22" s="771"/>
      <c r="M22" s="756"/>
      <c r="N22" s="770"/>
      <c r="O22" s="770"/>
      <c r="P22" s="953"/>
      <c r="R22" s="737"/>
      <c r="S22" s="737"/>
      <c r="T22" s="737"/>
      <c r="U22" s="737"/>
      <c r="V22" s="737"/>
      <c r="Y22" s="737"/>
      <c r="Z22" s="737"/>
      <c r="AA22" s="737"/>
      <c r="AB22" s="737"/>
      <c r="AC22" s="737"/>
      <c r="AD22" s="737"/>
      <c r="AE22" s="737"/>
      <c r="AF22" s="737"/>
      <c r="AG22" s="737"/>
      <c r="AH22" s="737"/>
      <c r="AI22" s="737"/>
      <c r="AJ22" s="737"/>
      <c r="AK22" s="737"/>
      <c r="AL22" s="737"/>
      <c r="AM22" s="737"/>
      <c r="AN22" s="737"/>
      <c r="AO22" s="737"/>
      <c r="AP22" s="737"/>
      <c r="AQ22" s="737"/>
      <c r="AR22" s="737"/>
      <c r="AS22" s="737"/>
    </row>
    <row r="23" spans="2:45" ht="13.5" thickBot="1">
      <c r="B23" s="962" t="str">
        <f>Srcs_Uses!B10</f>
        <v xml:space="preserve">      CASH SUB-TOTAL</v>
      </c>
      <c r="C23" s="963">
        <f ca="1">Srcs_Uses!E10</f>
        <v>131611.67486033839</v>
      </c>
      <c r="D23" s="964">
        <f ca="1">Srcs_Uses!F10</f>
        <v>0.99999999999939404</v>
      </c>
      <c r="E23" s="963">
        <f ca="1">C23/Assum!$F$31</f>
        <v>1020.2455415530108</v>
      </c>
      <c r="F23" s="963">
        <f ca="1">C23/Assum!$F$30</f>
        <v>1530.3683123295161</v>
      </c>
      <c r="G23" s="759"/>
      <c r="H23" s="756"/>
      <c r="I23" s="781"/>
      <c r="J23" s="1031" t="s">
        <v>195</v>
      </c>
      <c r="K23" s="1031" t="s">
        <v>20</v>
      </c>
      <c r="L23" s="1074"/>
      <c r="M23" s="756"/>
      <c r="N23" s="1031" t="s">
        <v>195</v>
      </c>
      <c r="O23" s="1031" t="s">
        <v>20</v>
      </c>
      <c r="P23" s="1075"/>
      <c r="R23" s="756"/>
      <c r="S23" s="756"/>
      <c r="T23" s="755"/>
      <c r="U23" s="737"/>
      <c r="V23" s="737"/>
      <c r="Y23" s="737"/>
      <c r="Z23" s="737"/>
      <c r="AA23" s="737"/>
      <c r="AB23" s="737"/>
      <c r="AC23" s="737"/>
      <c r="AD23" s="737"/>
      <c r="AE23" s="737"/>
      <c r="AF23" s="737"/>
      <c r="AG23" s="737"/>
      <c r="AH23" s="737"/>
      <c r="AI23" s="737"/>
      <c r="AJ23" s="737"/>
      <c r="AK23" s="737"/>
      <c r="AL23" s="737"/>
      <c r="AM23" s="737"/>
      <c r="AN23" s="737"/>
      <c r="AO23" s="737"/>
      <c r="AP23" s="737"/>
      <c r="AQ23" s="737"/>
      <c r="AR23" s="737"/>
      <c r="AS23" s="737"/>
    </row>
    <row r="24" spans="2:45" ht="13.5" thickTop="1">
      <c r="B24" s="748"/>
      <c r="C24" s="750"/>
      <c r="D24" s="751"/>
      <c r="E24" s="750"/>
      <c r="F24" s="750"/>
      <c r="G24" s="759"/>
      <c r="H24" s="756"/>
      <c r="I24" s="782" t="s">
        <v>250</v>
      </c>
      <c r="J24" s="941">
        <f ca="1">IF(EWCSum!$N$35=1,Outside!D40,Outside!D70)</f>
        <v>-0.24279000870883469</v>
      </c>
      <c r="K24" s="773">
        <f ca="1">IF(EWCSum!$N$35=1,Outside!D35,Outside!D65)</f>
        <v>0.12338958382606507</v>
      </c>
      <c r="L24" s="773"/>
      <c r="M24" s="756"/>
      <c r="N24" s="941">
        <f ca="1">IF($N$36=1,EWC!D40,+EWC!D70)</f>
        <v>-0.24279000870883469</v>
      </c>
      <c r="O24" s="773">
        <f ca="1">IF($N$36=1,EWC!D35,+EWC!D65)</f>
        <v>0.12338958382606507</v>
      </c>
      <c r="P24" s="775"/>
      <c r="R24" s="767"/>
      <c r="S24" s="756"/>
      <c r="T24" s="767"/>
      <c r="U24" s="737"/>
      <c r="V24" s="737"/>
      <c r="Y24" s="737"/>
      <c r="Z24" s="737"/>
      <c r="AA24" s="737"/>
      <c r="AB24" s="737"/>
      <c r="AC24" s="737"/>
      <c r="AD24" s="737"/>
      <c r="AE24" s="737"/>
      <c r="AF24" s="737"/>
      <c r="AG24" s="737"/>
      <c r="AH24" s="737"/>
      <c r="AI24" s="737"/>
      <c r="AJ24" s="737"/>
      <c r="AK24" s="737"/>
      <c r="AL24" s="737"/>
      <c r="AM24" s="737"/>
      <c r="AN24" s="737"/>
      <c r="AO24" s="737"/>
      <c r="AP24" s="737"/>
      <c r="AQ24" s="737"/>
      <c r="AR24" s="737"/>
      <c r="AS24" s="737"/>
    </row>
    <row r="25" spans="2:45" ht="13.5" thickBot="1">
      <c r="B25" s="959" t="str">
        <f>Srcs_Uses!B12</f>
        <v xml:space="preserve">     CASH &amp; NON-CASH TOTAL</v>
      </c>
      <c r="C25" s="960">
        <f ca="1">Srcs_Uses!E12</f>
        <v>131611.67486033839</v>
      </c>
      <c r="D25" s="961">
        <f ca="1">Srcs_Uses!F12</f>
        <v>1</v>
      </c>
      <c r="E25" s="960">
        <f ca="1">C25/Assum!$F$31</f>
        <v>1020.2455415530108</v>
      </c>
      <c r="F25" s="960">
        <f ca="1">C25/Assum!$F$30</f>
        <v>1530.3683123295161</v>
      </c>
      <c r="G25" s="954"/>
      <c r="H25" s="756"/>
      <c r="I25" s="782" t="s">
        <v>251</v>
      </c>
      <c r="J25" s="941">
        <f ca="1">IF(EWCSum!$N$35=1,Outside!D41,Outside!D71)</f>
        <v>-5.8192253857851026E-2</v>
      </c>
      <c r="K25" s="773">
        <f ca="1">IF(EWCSum!$N$35=1,Outside!D36,Outside!D66)</f>
        <v>0.12499999403953552</v>
      </c>
      <c r="L25" s="773"/>
      <c r="M25" s="756"/>
      <c r="N25" s="941">
        <f ca="1">IF($N$36=1,EWC!D41,+EWC!D71)</f>
        <v>-5.8192253857851026E-2</v>
      </c>
      <c r="O25" s="773">
        <f ca="1">IF($N$36=1,EWC!D36,+EWC!D66)</f>
        <v>0.12499999403953552</v>
      </c>
      <c r="P25" s="775"/>
      <c r="R25" s="767"/>
      <c r="S25" s="756"/>
      <c r="T25" s="768"/>
      <c r="U25" s="737"/>
      <c r="V25" s="737"/>
      <c r="Y25" s="737"/>
      <c r="Z25" s="737"/>
      <c r="AA25" s="737"/>
      <c r="AB25" s="737"/>
      <c r="AC25" s="737"/>
      <c r="AD25" s="737"/>
      <c r="AE25" s="737"/>
      <c r="AF25" s="737"/>
      <c r="AG25" s="737"/>
      <c r="AH25" s="737"/>
      <c r="AI25" s="737"/>
      <c r="AJ25" s="737"/>
      <c r="AK25" s="737"/>
      <c r="AL25" s="737"/>
      <c r="AM25" s="737"/>
      <c r="AN25" s="737"/>
      <c r="AO25" s="737"/>
      <c r="AP25" s="737"/>
      <c r="AQ25" s="737"/>
      <c r="AR25" s="737"/>
      <c r="AS25" s="737"/>
    </row>
    <row r="26" spans="2:45">
      <c r="B26" s="803"/>
      <c r="C26" s="764"/>
      <c r="D26" s="764"/>
      <c r="E26" s="764"/>
      <c r="F26" s="764"/>
      <c r="G26" s="968"/>
      <c r="H26" s="756"/>
      <c r="I26" s="782" t="s">
        <v>252</v>
      </c>
      <c r="J26" s="941">
        <f ca="1">IF(EWCSum!$N$35=1,Outside!D42,Outside!D72)</f>
        <v>-5.8151063323020932E-2</v>
      </c>
      <c r="K26" s="773">
        <f ca="1">IF(EWCSum!$N$35=1,Outside!D37,Outside!D67)</f>
        <v>0.12500291466712951</v>
      </c>
      <c r="L26" s="773"/>
      <c r="M26" s="756"/>
      <c r="N26" s="941">
        <f ca="1">IF($N$36=1,EWC!D42,+EWC!D72)</f>
        <v>-5.8151063323020932E-2</v>
      </c>
      <c r="O26" s="773">
        <f ca="1">IF($N$36=1,EWC!D37,+EWC!D67)</f>
        <v>0.12500291466712951</v>
      </c>
      <c r="P26" s="775"/>
      <c r="R26" s="770"/>
      <c r="S26" s="756"/>
      <c r="T26" s="770"/>
      <c r="U26" s="737"/>
      <c r="V26" s="737"/>
      <c r="Y26" s="737"/>
      <c r="Z26" s="737"/>
      <c r="AA26" s="737"/>
      <c r="AB26" s="737"/>
      <c r="AC26" s="737"/>
      <c r="AD26" s="737"/>
      <c r="AE26" s="737"/>
      <c r="AF26" s="737"/>
      <c r="AG26" s="737"/>
      <c r="AH26" s="737"/>
      <c r="AI26" s="737"/>
      <c r="AJ26" s="737"/>
      <c r="AK26" s="737"/>
      <c r="AL26" s="737"/>
      <c r="AM26" s="737"/>
      <c r="AN26" s="737"/>
      <c r="AO26" s="737"/>
      <c r="AP26" s="737"/>
      <c r="AQ26" s="737"/>
      <c r="AR26" s="737"/>
      <c r="AS26" s="737"/>
    </row>
    <row r="27" spans="2:45">
      <c r="B27" s="1030" t="s">
        <v>246</v>
      </c>
      <c r="C27" s="777"/>
      <c r="D27" s="777"/>
      <c r="E27" s="777"/>
      <c r="F27" s="777"/>
      <c r="G27" s="778" t="s">
        <v>198</v>
      </c>
      <c r="H27" s="756"/>
      <c r="I27" s="785"/>
      <c r="J27" s="749"/>
      <c r="K27" s="786"/>
      <c r="L27" s="749"/>
      <c r="M27" s="756"/>
      <c r="N27" s="749"/>
      <c r="O27" s="786"/>
      <c r="P27" s="954"/>
      <c r="R27" s="784"/>
      <c r="S27" s="756"/>
      <c r="T27" s="770"/>
      <c r="U27" s="737"/>
      <c r="V27" s="737"/>
      <c r="Y27" s="737"/>
      <c r="Z27" s="737"/>
      <c r="AA27" s="737"/>
      <c r="AB27" s="737"/>
      <c r="AC27" s="737"/>
      <c r="AD27" s="737"/>
      <c r="AE27" s="737"/>
      <c r="AF27" s="737"/>
      <c r="AG27" s="737"/>
      <c r="AH27" s="737"/>
      <c r="AI27" s="737"/>
      <c r="AJ27" s="737"/>
      <c r="AK27" s="737"/>
      <c r="AL27" s="737"/>
      <c r="AM27" s="737"/>
      <c r="AN27" s="737"/>
      <c r="AO27" s="737"/>
      <c r="AP27" s="737"/>
      <c r="AQ27" s="737"/>
      <c r="AR27" s="737"/>
      <c r="AS27" s="737"/>
    </row>
    <row r="28" spans="2:45">
      <c r="B28" s="779" t="str">
        <f>Internal!B93</f>
        <v>TURBINE PRICE</v>
      </c>
      <c r="C28" s="750">
        <f>Internal!F93</f>
        <v>66392</v>
      </c>
      <c r="D28" s="780">
        <f t="shared" ref="D28:D41" ca="1" si="0">C28/$C$41</f>
        <v>0.50445372776825681</v>
      </c>
      <c r="E28" s="754">
        <f>C28/Assum!$F$31</f>
        <v>514.66666666666663</v>
      </c>
      <c r="F28" s="754">
        <f>C28/Assum!$F$30</f>
        <v>772</v>
      </c>
      <c r="G28" s="794">
        <f>$D$13*Internal!F26</f>
        <v>0</v>
      </c>
      <c r="H28" s="1650"/>
      <c r="I28" s="787"/>
      <c r="J28" s="1031" t="s">
        <v>195</v>
      </c>
      <c r="K28" s="1031" t="s">
        <v>25</v>
      </c>
      <c r="L28" s="1074"/>
      <c r="M28" s="756"/>
      <c r="N28" s="1031" t="s">
        <v>195</v>
      </c>
      <c r="O28" s="1031" t="s">
        <v>25</v>
      </c>
      <c r="P28" s="1075"/>
      <c r="R28" s="773"/>
      <c r="S28" s="756"/>
      <c r="T28" s="773"/>
      <c r="U28" s="737"/>
      <c r="V28" s="737"/>
      <c r="Y28" s="737"/>
      <c r="Z28" s="737"/>
      <c r="AA28" s="737"/>
      <c r="AB28" s="737"/>
      <c r="AC28" s="737"/>
      <c r="AD28" s="737"/>
      <c r="AE28" s="737"/>
      <c r="AF28" s="737"/>
      <c r="AG28" s="737"/>
      <c r="AH28" s="737"/>
      <c r="AI28" s="737"/>
      <c r="AJ28" s="737"/>
      <c r="AK28" s="737"/>
      <c r="AL28" s="737"/>
      <c r="AM28" s="737"/>
      <c r="AN28" s="737"/>
      <c r="AO28" s="737"/>
      <c r="AP28" s="737"/>
      <c r="AQ28" s="737"/>
      <c r="AR28" s="737"/>
      <c r="AS28" s="737"/>
    </row>
    <row r="29" spans="2:45">
      <c r="B29" s="779" t="str">
        <f>Internal!B94</f>
        <v>SCADA SYSTEM</v>
      </c>
      <c r="C29" s="750">
        <f>Internal!F94</f>
        <v>0</v>
      </c>
      <c r="D29" s="780">
        <f t="shared" ca="1" si="0"/>
        <v>0</v>
      </c>
      <c r="E29" s="754">
        <f>C29/Assum!$F$31</f>
        <v>0</v>
      </c>
      <c r="F29" s="754">
        <f>C29/Assum!$F$30</f>
        <v>0</v>
      </c>
      <c r="G29" s="1333" t="s">
        <v>247</v>
      </c>
      <c r="H29" s="1650"/>
      <c r="I29" s="776"/>
      <c r="J29" s="773">
        <f>Assum!E330</f>
        <v>0.125</v>
      </c>
      <c r="K29" s="773">
        <f>Assum!$E$330</f>
        <v>0.125</v>
      </c>
      <c r="L29" s="773"/>
      <c r="M29" s="1461"/>
      <c r="N29" s="773">
        <f>Assum!E330</f>
        <v>0.125</v>
      </c>
      <c r="O29" s="773">
        <f>Assum!E330</f>
        <v>0.125</v>
      </c>
      <c r="P29" s="849"/>
      <c r="R29" s="773"/>
      <c r="S29" s="756"/>
      <c r="T29" s="773"/>
      <c r="U29" s="737"/>
      <c r="V29" s="737"/>
      <c r="Y29" s="737"/>
      <c r="Z29" s="737"/>
      <c r="AA29" s="737"/>
      <c r="AB29" s="737"/>
      <c r="AC29" s="737"/>
      <c r="AD29" s="737"/>
      <c r="AE29" s="737"/>
      <c r="AF29" s="737"/>
      <c r="AG29" s="737"/>
      <c r="AH29" s="737"/>
      <c r="AI29" s="737"/>
      <c r="AJ29" s="737"/>
      <c r="AK29" s="737"/>
      <c r="AL29" s="737"/>
      <c r="AM29" s="737"/>
      <c r="AN29" s="737"/>
      <c r="AO29" s="737"/>
      <c r="AP29" s="737"/>
      <c r="AQ29" s="737"/>
      <c r="AR29" s="737"/>
      <c r="AS29" s="737"/>
    </row>
    <row r="30" spans="2:45">
      <c r="B30" s="779" t="str">
        <f>Internal!B95</f>
        <v>SHIPPING - WTG &amp; BLADES</v>
      </c>
      <c r="C30" s="750">
        <f>Internal!F95</f>
        <v>1962.7779999999998</v>
      </c>
      <c r="D30" s="780">
        <f t="shared" ca="1" si="0"/>
        <v>1.491340340525249E-2</v>
      </c>
      <c r="E30" s="754">
        <f>C30/Assum!$F$31</f>
        <v>15.215333333333332</v>
      </c>
      <c r="F30" s="754">
        <f>C30/Assum!$F$30</f>
        <v>22.822999999999997</v>
      </c>
      <c r="G30" s="1333" t="s">
        <v>247</v>
      </c>
      <c r="H30" s="1650"/>
      <c r="I30" s="769" t="s">
        <v>254</v>
      </c>
      <c r="J30" s="1501">
        <f ca="1">IF($N$35=1,Outside!E40,Outside!E70)</f>
        <v>-81894.44205564147</v>
      </c>
      <c r="K30" s="1501">
        <f ca="1">IF($N$35=1,Outside!E40,Outside!E65)</f>
        <v>-447.04275167883168</v>
      </c>
      <c r="L30" s="790"/>
      <c r="M30" s="756"/>
      <c r="N30" s="1501">
        <f ca="1">IF($N$36=1,EWC!E40,+EWC!E70)</f>
        <v>-827.21658641982322</v>
      </c>
      <c r="O30" s="1501">
        <f ca="1">IF($N$36=1,EWC!E35,+EWC!E65)</f>
        <v>-4.5155833718464526</v>
      </c>
      <c r="P30" s="924"/>
      <c r="R30" s="773"/>
      <c r="S30" s="756"/>
      <c r="T30" s="773"/>
      <c r="U30" s="737"/>
      <c r="V30" s="737"/>
      <c r="Y30" s="737"/>
      <c r="Z30" s="737"/>
      <c r="AA30" s="737"/>
      <c r="AB30" s="737"/>
      <c r="AC30" s="737"/>
      <c r="AD30" s="737"/>
      <c r="AE30" s="737"/>
      <c r="AF30" s="737"/>
      <c r="AG30" s="737"/>
      <c r="AH30" s="737"/>
      <c r="AI30" s="737"/>
      <c r="AJ30" s="737"/>
      <c r="AK30" s="737"/>
      <c r="AL30" s="737"/>
      <c r="AM30" s="737"/>
      <c r="AN30" s="737"/>
      <c r="AO30" s="737"/>
      <c r="AP30" s="737"/>
      <c r="AQ30" s="737"/>
      <c r="AR30" s="737"/>
      <c r="AS30" s="737"/>
    </row>
    <row r="31" spans="2:45">
      <c r="B31" s="779" t="str">
        <f>Internal!B96</f>
        <v>TOWER</v>
      </c>
      <c r="C31" s="750">
        <f>Internal!F96</f>
        <v>10492</v>
      </c>
      <c r="D31" s="780">
        <f t="shared" ca="1" si="0"/>
        <v>7.9719371486693419E-2</v>
      </c>
      <c r="E31" s="754">
        <f>C31/Assum!$F$31</f>
        <v>81.333333333333329</v>
      </c>
      <c r="F31" s="754">
        <f>C31/Assum!$F$30</f>
        <v>122</v>
      </c>
      <c r="G31" s="1332">
        <f>Internal!F36</f>
        <v>0</v>
      </c>
      <c r="H31" s="1650"/>
      <c r="I31" s="769" t="s">
        <v>255</v>
      </c>
      <c r="J31" s="1501">
        <f ca="1">IF($N$35=1,Outside!E41,Outside!E71)</f>
        <v>-78392.284932222537</v>
      </c>
      <c r="K31" s="1501">
        <f ca="1">IF($N$35=1,Outside!E41,Outside!E66)</f>
        <v>-2.0380774685690994E-6</v>
      </c>
      <c r="L31" s="790"/>
      <c r="M31" s="756"/>
      <c r="N31" s="1501">
        <f ca="1">IF($N$36=1,EWC!E41,+EWC!E71)</f>
        <v>-791.84126194084388</v>
      </c>
      <c r="O31" s="1501">
        <f ca="1">IF($N$36=1,EWC!E36,+EWC!E66)</f>
        <v>-4.2274534095554372E-8</v>
      </c>
      <c r="P31" s="924"/>
      <c r="R31" s="749"/>
      <c r="S31" s="756"/>
      <c r="T31" s="786"/>
      <c r="U31" s="737"/>
      <c r="V31" s="737"/>
      <c r="Y31" s="737"/>
      <c r="Z31" s="737"/>
      <c r="AA31" s="737"/>
      <c r="AB31" s="737"/>
      <c r="AC31" s="737"/>
      <c r="AD31" s="737"/>
      <c r="AE31" s="737"/>
      <c r="AF31" s="737"/>
      <c r="AG31" s="737"/>
      <c r="AH31" s="737"/>
      <c r="AI31" s="737"/>
      <c r="AJ31" s="737"/>
      <c r="AK31" s="737"/>
      <c r="AL31" s="737"/>
      <c r="AM31" s="737"/>
      <c r="AN31" s="737"/>
      <c r="AO31" s="737"/>
      <c r="AP31" s="737"/>
      <c r="AQ31" s="737"/>
      <c r="AR31" s="737"/>
      <c r="AS31" s="737"/>
    </row>
    <row r="32" spans="2:45">
      <c r="B32" s="779" t="str">
        <f>Internal!B97</f>
        <v>TOWER FREIGHT</v>
      </c>
      <c r="C32" s="750">
        <f>Internal!F97</f>
        <v>645</v>
      </c>
      <c r="D32" s="780">
        <f t="shared" ca="1" si="0"/>
        <v>4.9007810340180383E-3</v>
      </c>
      <c r="E32" s="754">
        <f>C32/Assum!$F$31</f>
        <v>5</v>
      </c>
      <c r="F32" s="754">
        <f>C32/Assum!$F$30</f>
        <v>7.5</v>
      </c>
      <c r="G32" s="1334" t="s">
        <v>247</v>
      </c>
      <c r="H32" s="1650"/>
      <c r="I32" s="769" t="s">
        <v>256</v>
      </c>
      <c r="J32" s="1501">
        <f ca="1">IF($N$35=1,Outside!E42,Outside!E72)</f>
        <v>-78390.880598062402</v>
      </c>
      <c r="K32" s="1501">
        <f ca="1">IF($N$35=1,Outside!E42,Outside!E67)</f>
        <v>0.83607083681671535</v>
      </c>
      <c r="L32" s="790"/>
      <c r="M32" s="756"/>
      <c r="N32" s="1501">
        <f ca="1">IF($N$36=1,EWC!E42,+EWC!E72)</f>
        <v>-791.82707674730727</v>
      </c>
      <c r="O32" s="1501">
        <f ca="1">IF($N$36=1,EWC!E37,+EWC!E67)</f>
        <v>8.4451382798159582E-3</v>
      </c>
      <c r="P32" s="924"/>
      <c r="R32" s="784"/>
      <c r="S32" s="756"/>
      <c r="T32" s="770"/>
      <c r="U32" s="737"/>
      <c r="V32" s="737"/>
      <c r="Y32" s="737"/>
      <c r="Z32" s="737"/>
      <c r="AA32" s="737"/>
      <c r="AB32" s="737"/>
      <c r="AC32" s="737"/>
      <c r="AD32" s="737"/>
      <c r="AE32" s="737"/>
      <c r="AF32" s="737"/>
      <c r="AG32" s="737"/>
      <c r="AH32" s="737"/>
      <c r="AI32" s="737"/>
      <c r="AJ32" s="737"/>
      <c r="AK32" s="737"/>
      <c r="AL32" s="737"/>
      <c r="AM32" s="737"/>
      <c r="AN32" s="737"/>
      <c r="AO32" s="737"/>
      <c r="AP32" s="737"/>
      <c r="AQ32" s="737"/>
      <c r="AR32" s="737"/>
      <c r="AS32" s="737"/>
    </row>
    <row r="33" spans="2:45">
      <c r="B33" s="779" t="str">
        <f>Internal!B98</f>
        <v>SERVICES</v>
      </c>
      <c r="C33" s="750">
        <f>Internal!F98</f>
        <v>1758</v>
      </c>
      <c r="D33" s="780">
        <f t="shared" ca="1" si="0"/>
        <v>1.3357477608998003E-2</v>
      </c>
      <c r="E33" s="754">
        <f>C33/Assum!$F$31</f>
        <v>13.627906976744185</v>
      </c>
      <c r="F33" s="754">
        <f>C33/Assum!$F$30</f>
        <v>20.441860465116278</v>
      </c>
      <c r="G33" s="1334" t="s">
        <v>247</v>
      </c>
      <c r="H33" s="1650"/>
      <c r="I33" s="803"/>
      <c r="J33" s="756"/>
      <c r="K33" s="756"/>
      <c r="L33" s="756"/>
      <c r="M33" s="756"/>
      <c r="N33" s="756"/>
      <c r="O33" s="756"/>
      <c r="P33" s="947"/>
      <c r="R33" s="789"/>
      <c r="S33" s="756"/>
      <c r="T33" s="789"/>
      <c r="U33" s="737"/>
      <c r="V33" s="737"/>
      <c r="Y33" s="737"/>
      <c r="Z33" s="737"/>
      <c r="AA33" s="737"/>
      <c r="AB33" s="737"/>
      <c r="AC33" s="737"/>
      <c r="AD33" s="737"/>
      <c r="AE33" s="737"/>
      <c r="AF33" s="737"/>
      <c r="AG33" s="737"/>
      <c r="AH33" s="737"/>
      <c r="AI33" s="737"/>
      <c r="AJ33" s="737"/>
      <c r="AK33" s="737"/>
      <c r="AL33" s="737"/>
      <c r="AM33" s="737"/>
      <c r="AN33" s="737"/>
      <c r="AO33" s="737"/>
      <c r="AP33" s="737"/>
      <c r="AQ33" s="737"/>
      <c r="AR33" s="737"/>
      <c r="AS33" s="737"/>
    </row>
    <row r="34" spans="2:45">
      <c r="B34" s="779" t="str">
        <f>Internal!B99</f>
        <v>SALES TAX</v>
      </c>
      <c r="C34" s="750">
        <f>Internal!F99</f>
        <v>0</v>
      </c>
      <c r="D34" s="780">
        <f t="shared" ca="1" si="0"/>
        <v>0</v>
      </c>
      <c r="E34" s="754">
        <f>C34/Assum!$F$31</f>
        <v>0</v>
      </c>
      <c r="F34" s="754">
        <f>C34/Assum!$F$30</f>
        <v>0</v>
      </c>
      <c r="G34" s="1334" t="s">
        <v>247</v>
      </c>
      <c r="H34" s="1650"/>
      <c r="I34" s="769"/>
      <c r="J34" s="755"/>
      <c r="K34" s="755"/>
      <c r="L34" s="755"/>
      <c r="M34" s="756"/>
      <c r="N34" s="994" t="s">
        <v>241</v>
      </c>
      <c r="O34" s="990"/>
      <c r="P34" s="757"/>
      <c r="R34" s="790"/>
      <c r="S34" s="756"/>
      <c r="T34" s="790"/>
      <c r="U34" s="737"/>
      <c r="V34" s="737"/>
      <c r="Y34" s="737"/>
      <c r="Z34" s="737"/>
      <c r="AA34" s="737"/>
      <c r="AB34" s="737"/>
      <c r="AC34" s="737"/>
      <c r="AD34" s="737"/>
      <c r="AE34" s="737"/>
      <c r="AF34" s="737"/>
      <c r="AG34" s="737"/>
      <c r="AH34" s="737"/>
      <c r="AI34" s="737"/>
      <c r="AJ34" s="737"/>
      <c r="AK34" s="737"/>
      <c r="AL34" s="737"/>
      <c r="AM34" s="737"/>
      <c r="AN34" s="737"/>
      <c r="AO34" s="737"/>
      <c r="AP34" s="737"/>
      <c r="AQ34" s="737"/>
      <c r="AR34" s="737"/>
      <c r="AS34" s="737"/>
    </row>
    <row r="35" spans="2:45">
      <c r="B35" s="779" t="s">
        <v>249</v>
      </c>
      <c r="C35" s="758">
        <f>SUM(Internal!F100:F111)</f>
        <v>35442.663999999997</v>
      </c>
      <c r="D35" s="780">
        <f t="shared" ca="1" si="0"/>
        <v>0.26929726438182</v>
      </c>
      <c r="E35" s="754">
        <f>C35/Assum!$F$31</f>
        <v>274.74933333333331</v>
      </c>
      <c r="F35" s="754">
        <f>C35/Assum!$F$30</f>
        <v>412.12399999999997</v>
      </c>
      <c r="G35" s="1335">
        <f>Internal!G76</f>
        <v>0</v>
      </c>
      <c r="H35" s="1650"/>
      <c r="I35" s="766"/>
      <c r="J35" s="1032" t="s">
        <v>240</v>
      </c>
      <c r="K35" s="1032" t="s">
        <v>175</v>
      </c>
      <c r="L35" s="1033" t="s">
        <v>427</v>
      </c>
      <c r="M35" s="756"/>
      <c r="N35" s="995">
        <v>2</v>
      </c>
      <c r="O35" s="990" t="s">
        <v>243</v>
      </c>
      <c r="P35" s="947"/>
      <c r="R35" s="790"/>
      <c r="S35" s="756"/>
      <c r="T35" s="790"/>
      <c r="U35" s="737"/>
      <c r="V35" s="737"/>
      <c r="Y35" s="737"/>
      <c r="Z35" s="737"/>
      <c r="AA35" s="737"/>
      <c r="AB35" s="737"/>
      <c r="AC35" s="737"/>
      <c r="AD35" s="737"/>
      <c r="AE35" s="737"/>
      <c r="AF35" s="737"/>
      <c r="AG35" s="737"/>
      <c r="AH35" s="737"/>
      <c r="AI35" s="737"/>
      <c r="AJ35" s="737"/>
      <c r="AK35" s="737"/>
      <c r="AL35" s="737"/>
      <c r="AM35" s="737"/>
      <c r="AN35" s="737"/>
      <c r="AO35" s="737"/>
      <c r="AP35" s="737"/>
      <c r="AQ35" s="737"/>
      <c r="AR35" s="737"/>
      <c r="AS35" s="737"/>
    </row>
    <row r="36" spans="2:45">
      <c r="B36" s="788" t="str">
        <f>Internal!B112</f>
        <v>EPC WRAP FEE</v>
      </c>
      <c r="C36" s="758">
        <f>Internal!F112</f>
        <v>0</v>
      </c>
      <c r="D36" s="780">
        <f t="shared" ca="1" si="0"/>
        <v>0</v>
      </c>
      <c r="E36" s="754">
        <f>C36/Assum!$F$31</f>
        <v>0</v>
      </c>
      <c r="F36" s="754">
        <f>C36/Assum!$F$30</f>
        <v>0</v>
      </c>
      <c r="G36" s="1335">
        <f>C36</f>
        <v>0</v>
      </c>
      <c r="H36" s="1650"/>
      <c r="I36" s="753" t="s">
        <v>242</v>
      </c>
      <c r="J36" s="754">
        <f ca="1">C18</f>
        <v>90426.917784397752</v>
      </c>
      <c r="K36" s="944">
        <f ca="1">J36/$J$38</f>
        <v>0.98999999999913557</v>
      </c>
      <c r="L36" s="808">
        <f>Assum!E202</f>
        <v>0.39549999999999996</v>
      </c>
      <c r="M36" s="756"/>
      <c r="N36" s="996">
        <v>2</v>
      </c>
      <c r="O36" s="997" t="s">
        <v>245</v>
      </c>
      <c r="P36" s="947"/>
      <c r="R36" s="790"/>
      <c r="S36" s="756"/>
      <c r="T36" s="790"/>
      <c r="U36" s="737"/>
      <c r="V36" s="737"/>
      <c r="Y36" s="737"/>
      <c r="Z36" s="737"/>
      <c r="AA36" s="737"/>
      <c r="AB36" s="737"/>
      <c r="AC36" s="737"/>
      <c r="AD36" s="737"/>
      <c r="AE36" s="737"/>
      <c r="AF36" s="737"/>
      <c r="AG36" s="737"/>
      <c r="AH36" s="737"/>
      <c r="AI36" s="737"/>
      <c r="AJ36" s="737"/>
      <c r="AK36" s="737"/>
      <c r="AL36" s="737"/>
      <c r="AM36" s="737"/>
      <c r="AN36" s="737"/>
      <c r="AO36" s="737"/>
      <c r="AP36" s="737"/>
      <c r="AQ36" s="737"/>
      <c r="AR36" s="737"/>
      <c r="AS36" s="737"/>
    </row>
    <row r="37" spans="2:45">
      <c r="B37" s="788" t="str">
        <f>Internal!B113</f>
        <v>EWC DEVELOPER FEE</v>
      </c>
      <c r="C37" s="758">
        <f ca="1">Internal!F113</f>
        <v>-83.86366697127778</v>
      </c>
      <c r="D37" s="780">
        <f t="shared" ca="1" si="0"/>
        <v>-6.3720537757526073E-4</v>
      </c>
      <c r="E37" s="754">
        <f ca="1">C37/Assum!$F$31</f>
        <v>-0.6501059455137812</v>
      </c>
      <c r="F37" s="754">
        <f ca="1">C37/Assum!$F$30</f>
        <v>-0.97515891827067191</v>
      </c>
      <c r="G37" s="1332">
        <f ca="1">C37</f>
        <v>-83.86366697127778</v>
      </c>
      <c r="H37" s="1650"/>
      <c r="I37" s="753" t="s">
        <v>244</v>
      </c>
      <c r="J37" s="758">
        <f ca="1">C19</f>
        <v>913.40320994341164</v>
      </c>
      <c r="K37" s="944">
        <f ca="1">J37/$J$38</f>
        <v>9.9999999999912676E-3</v>
      </c>
      <c r="L37" s="808">
        <f>Assum!E203</f>
        <v>0.39549999999999996</v>
      </c>
      <c r="M37" s="756"/>
      <c r="N37" s="990" t="s">
        <v>197</v>
      </c>
      <c r="O37" s="991"/>
      <c r="P37" s="759"/>
      <c r="U37" s="737"/>
      <c r="V37" s="737"/>
      <c r="Y37" s="737"/>
      <c r="Z37" s="737"/>
      <c r="AA37" s="737"/>
      <c r="AB37" s="737"/>
      <c r="AC37" s="737"/>
      <c r="AD37" s="737"/>
      <c r="AE37" s="737"/>
      <c r="AF37" s="737"/>
      <c r="AG37" s="737"/>
      <c r="AH37" s="737"/>
      <c r="AI37" s="737"/>
      <c r="AJ37" s="737"/>
      <c r="AK37" s="737"/>
      <c r="AL37" s="737"/>
      <c r="AM37" s="737"/>
      <c r="AN37" s="737"/>
      <c r="AO37" s="737"/>
      <c r="AP37" s="737"/>
      <c r="AQ37" s="737"/>
      <c r="AR37" s="737"/>
      <c r="AS37" s="737"/>
    </row>
    <row r="38" spans="2:45" ht="13.5" thickBot="1">
      <c r="B38" s="1336" t="str">
        <f>Assum!B39</f>
        <v>PREDEVELOPMENT EXPENSES</v>
      </c>
      <c r="C38" s="884">
        <f>Assum!F52</f>
        <v>3069.92</v>
      </c>
      <c r="D38" s="780">
        <f t="shared" ca="1" si="0"/>
        <v>2.3325590251089389E-2</v>
      </c>
      <c r="E38" s="754">
        <f>C38/Assum!$F$31</f>
        <v>23.79782945736434</v>
      </c>
      <c r="F38" s="754">
        <f>C38/Assum!$F$30</f>
        <v>35.696744186046516</v>
      </c>
      <c r="G38" s="1334" t="s">
        <v>247</v>
      </c>
      <c r="H38" s="1650"/>
      <c r="I38" s="760" t="s">
        <v>178</v>
      </c>
      <c r="J38" s="761">
        <f ca="1">SUM(J36:J37)</f>
        <v>91340.320994341164</v>
      </c>
      <c r="K38" s="945">
        <f ca="1">J38/$J$38</f>
        <v>1</v>
      </c>
      <c r="L38" s="762"/>
      <c r="M38" s="792"/>
      <c r="N38" s="992" t="s">
        <v>196</v>
      </c>
      <c r="O38" s="993"/>
      <c r="P38" s="763"/>
      <c r="U38" s="737"/>
      <c r="V38" s="737"/>
      <c r="Y38" s="737"/>
      <c r="Z38" s="737"/>
      <c r="AA38" s="737"/>
      <c r="AB38" s="737"/>
      <c r="AC38" s="737"/>
      <c r="AD38" s="737"/>
      <c r="AE38" s="737"/>
      <c r="AF38" s="737"/>
      <c r="AG38" s="737"/>
      <c r="AH38" s="737"/>
      <c r="AI38" s="737"/>
      <c r="AJ38" s="737"/>
      <c r="AK38" s="737"/>
      <c r="AL38" s="737"/>
      <c r="AM38" s="737"/>
      <c r="AN38" s="737"/>
      <c r="AO38" s="737"/>
      <c r="AP38" s="737"/>
      <c r="AQ38" s="737"/>
      <c r="AR38" s="737"/>
      <c r="AS38" s="737"/>
    </row>
    <row r="39" spans="2:45">
      <c r="B39" s="753" t="str">
        <f>Assum!B60</f>
        <v>CONSTRUCTION EXPENSES TOTAL</v>
      </c>
      <c r="C39" s="758">
        <f ca="1">Assum!F60</f>
        <v>8448.1062198578729</v>
      </c>
      <c r="D39" s="780">
        <f t="shared" ca="1" si="0"/>
        <v>6.4189641450619048E-2</v>
      </c>
      <c r="E39" s="754">
        <f ca="1">C39/Assum!$F$31</f>
        <v>65.489195502774209</v>
      </c>
      <c r="F39" s="754">
        <f ca="1">C39/Assum!$F$30</f>
        <v>98.233793254161313</v>
      </c>
      <c r="G39" s="1334" t="s">
        <v>247</v>
      </c>
      <c r="H39" s="1650"/>
      <c r="U39" s="737"/>
      <c r="V39" s="737"/>
      <c r="Y39" s="737"/>
      <c r="Z39" s="737"/>
      <c r="AA39" s="737"/>
      <c r="AB39" s="737"/>
      <c r="AC39" s="737"/>
      <c r="AD39" s="737"/>
      <c r="AE39" s="737"/>
      <c r="AF39" s="737"/>
      <c r="AG39" s="737"/>
      <c r="AH39" s="737"/>
      <c r="AI39" s="737"/>
      <c r="AJ39" s="737"/>
      <c r="AK39" s="737"/>
      <c r="AL39" s="737"/>
      <c r="AM39" s="737"/>
      <c r="AN39" s="737"/>
      <c r="AO39" s="737"/>
      <c r="AP39" s="737"/>
      <c r="AQ39" s="737"/>
      <c r="AR39" s="737"/>
      <c r="AS39" s="737"/>
    </row>
    <row r="40" spans="2:45">
      <c r="B40" s="753" t="str">
        <f>Assum!B77</f>
        <v>CLOSING EXPENSES TOTAL</v>
      </c>
      <c r="C40" s="758">
        <f>Assum!F77</f>
        <v>3485.0703079899586</v>
      </c>
      <c r="D40" s="780">
        <f t="shared" ca="1" si="0"/>
        <v>2.6479948011808672E-2</v>
      </c>
      <c r="E40" s="754">
        <f>C40/Assum!$F$31</f>
        <v>27.016048899146966</v>
      </c>
      <c r="F40" s="754">
        <f>C40/Assum!$F$30</f>
        <v>40.524073348720449</v>
      </c>
      <c r="G40" s="1334" t="s">
        <v>247</v>
      </c>
      <c r="H40" s="1650"/>
      <c r="U40" s="737"/>
      <c r="V40" s="737"/>
      <c r="Y40" s="737"/>
      <c r="Z40" s="737"/>
      <c r="AA40" s="737"/>
      <c r="AB40" s="737"/>
      <c r="AC40" s="737"/>
      <c r="AD40" s="737"/>
      <c r="AE40" s="737"/>
      <c r="AF40" s="737"/>
      <c r="AG40" s="737"/>
      <c r="AH40" s="737"/>
      <c r="AI40" s="737"/>
      <c r="AJ40" s="737"/>
      <c r="AK40" s="737"/>
      <c r="AL40" s="737"/>
      <c r="AM40" s="737"/>
      <c r="AN40" s="737"/>
      <c r="AO40" s="737"/>
      <c r="AP40" s="737"/>
      <c r="AQ40" s="737"/>
      <c r="AR40" s="737"/>
      <c r="AS40" s="737"/>
    </row>
    <row r="41" spans="2:45" ht="13.5" thickBot="1">
      <c r="B41" s="969" t="s">
        <v>2</v>
      </c>
      <c r="C41" s="957">
        <f ca="1">SUM(C28:C40)</f>
        <v>131611.67486087658</v>
      </c>
      <c r="D41" s="958">
        <f t="shared" ca="1" si="0"/>
        <v>1</v>
      </c>
      <c r="E41" s="957">
        <f ca="1">C41/Assum!$F$31</f>
        <v>1020.2455415571827</v>
      </c>
      <c r="F41" s="957">
        <f ca="1">C41/Assum!$F$30</f>
        <v>1530.3683123357741</v>
      </c>
      <c r="G41" s="970">
        <f ca="1">SUM(G28:G39)</f>
        <v>-83.86366697127778</v>
      </c>
      <c r="H41" s="1650"/>
      <c r="R41" s="784"/>
      <c r="S41" s="790"/>
      <c r="T41" s="790"/>
      <c r="U41" s="737"/>
      <c r="V41" s="737"/>
      <c r="Y41" s="737"/>
      <c r="Z41" s="737"/>
      <c r="AA41" s="737"/>
      <c r="AB41" s="737"/>
      <c r="AC41" s="737"/>
      <c r="AD41" s="737"/>
      <c r="AE41" s="737"/>
      <c r="AF41" s="737"/>
      <c r="AG41" s="737"/>
      <c r="AH41" s="737"/>
      <c r="AI41" s="737"/>
      <c r="AJ41" s="737"/>
      <c r="AK41" s="737"/>
      <c r="AL41" s="737"/>
      <c r="AM41" s="737"/>
      <c r="AN41" s="737"/>
      <c r="AO41" s="737"/>
      <c r="AP41" s="737"/>
      <c r="AQ41" s="737"/>
      <c r="AR41" s="737"/>
      <c r="AS41" s="737"/>
    </row>
    <row r="42" spans="2:45" ht="13.5" thickBot="1">
      <c r="B42" s="769"/>
      <c r="C42" s="791"/>
      <c r="D42" s="793"/>
      <c r="E42" s="791"/>
      <c r="F42" s="791"/>
      <c r="G42" s="794"/>
      <c r="H42" s="756"/>
      <c r="S42" s="737"/>
      <c r="T42" s="737"/>
      <c r="U42" s="737"/>
      <c r="V42" s="737"/>
      <c r="Y42" s="737"/>
      <c r="Z42" s="737"/>
      <c r="AA42" s="737"/>
      <c r="AB42" s="737"/>
      <c r="AC42" s="737"/>
      <c r="AD42" s="737"/>
      <c r="AE42" s="737"/>
      <c r="AF42" s="737"/>
      <c r="AG42" s="737"/>
      <c r="AH42" s="737"/>
      <c r="AI42" s="737"/>
      <c r="AJ42" s="737"/>
      <c r="AK42" s="737"/>
      <c r="AL42" s="737"/>
      <c r="AM42" s="737"/>
      <c r="AN42" s="737"/>
      <c r="AO42" s="737"/>
      <c r="AP42" s="737"/>
      <c r="AQ42" s="737"/>
      <c r="AR42" s="737"/>
      <c r="AS42" s="737"/>
    </row>
    <row r="43" spans="2:45">
      <c r="B43" s="971" t="s">
        <v>426</v>
      </c>
      <c r="C43" s="955">
        <f ca="1">C41-G41</f>
        <v>131695.53852784785</v>
      </c>
      <c r="D43" s="793">
        <f ca="1">C43/$C$41</f>
        <v>1.0006372053775618</v>
      </c>
      <c r="E43" s="791">
        <f ca="1">C43/Assum!$F$31</f>
        <v>1020.8956475026965</v>
      </c>
      <c r="F43" s="791">
        <f ca="1">C43/Assum!$F$30</f>
        <v>1531.3434712540447</v>
      </c>
      <c r="G43" s="947"/>
      <c r="H43" s="756"/>
      <c r="J43" s="979"/>
      <c r="K43" s="796"/>
      <c r="L43" s="797" t="s">
        <v>207</v>
      </c>
      <c r="M43" s="1465" t="s">
        <v>165</v>
      </c>
      <c r="N43" s="952"/>
      <c r="S43" s="737"/>
      <c r="T43" s="737"/>
      <c r="U43" s="737"/>
      <c r="V43" s="737"/>
      <c r="Y43" s="737"/>
      <c r="Z43" s="737"/>
      <c r="AA43" s="737"/>
      <c r="AB43" s="737"/>
      <c r="AC43" s="737"/>
      <c r="AD43" s="737"/>
      <c r="AE43" s="737"/>
      <c r="AF43" s="737"/>
      <c r="AG43" s="737"/>
      <c r="AH43" s="737"/>
      <c r="AI43" s="737"/>
      <c r="AJ43" s="737"/>
      <c r="AK43" s="737"/>
      <c r="AL43" s="737"/>
      <c r="AM43" s="737"/>
      <c r="AN43" s="737"/>
      <c r="AO43" s="737"/>
      <c r="AP43" s="737"/>
      <c r="AQ43" s="737"/>
      <c r="AR43" s="737"/>
      <c r="AS43" s="737"/>
    </row>
    <row r="44" spans="2:45">
      <c r="B44" s="374" t="s">
        <v>870</v>
      </c>
      <c r="C44" s="500">
        <f>Internal!G74+Internal!G75+Assum!F51+Assum!F72</f>
        <v>3222.076</v>
      </c>
      <c r="D44" s="519"/>
      <c r="E44" s="519"/>
      <c r="F44" s="519"/>
      <c r="G44" s="972"/>
      <c r="H44" s="756"/>
      <c r="J44" s="769" t="s">
        <v>163</v>
      </c>
      <c r="K44" s="798" t="s">
        <v>166</v>
      </c>
      <c r="L44" s="799" t="s">
        <v>167</v>
      </c>
      <c r="M44" s="1462" t="s">
        <v>168</v>
      </c>
      <c r="N44" s="947"/>
      <c r="S44" s="755"/>
      <c r="T44" s="755"/>
      <c r="U44" s="737"/>
      <c r="V44" s="737"/>
      <c r="Y44" s="737"/>
      <c r="Z44" s="737"/>
      <c r="AA44" s="737"/>
      <c r="AB44" s="737"/>
      <c r="AC44" s="737"/>
      <c r="AD44" s="737"/>
      <c r="AE44" s="737"/>
      <c r="AF44" s="737"/>
      <c r="AG44" s="737"/>
      <c r="AH44" s="737"/>
      <c r="AI44" s="737"/>
      <c r="AJ44" s="737"/>
      <c r="AK44" s="737"/>
      <c r="AL44" s="737"/>
      <c r="AM44" s="737"/>
      <c r="AN44" s="737"/>
      <c r="AO44" s="737"/>
      <c r="AP44" s="737"/>
      <c r="AQ44" s="737"/>
      <c r="AR44" s="737"/>
      <c r="AS44" s="737"/>
    </row>
    <row r="45" spans="2:45">
      <c r="B45" s="971" t="s">
        <v>199</v>
      </c>
      <c r="C45" s="973">
        <f>G28/(C28-G28)</f>
        <v>0</v>
      </c>
      <c r="D45" s="756"/>
      <c r="E45" s="756"/>
      <c r="F45" s="755"/>
      <c r="G45" s="759"/>
      <c r="H45" s="756"/>
      <c r="J45" s="753" t="s">
        <v>749</v>
      </c>
      <c r="K45" s="783">
        <f>SrDebt!G21</f>
        <v>18</v>
      </c>
      <c r="L45" s="801">
        <f>Assum!E253</f>
        <v>9.0999999999999998E-2</v>
      </c>
      <c r="M45" s="1463">
        <f>SrDebt!C111</f>
        <v>40271.353865997226</v>
      </c>
      <c r="N45" s="947"/>
      <c r="S45" s="755"/>
      <c r="T45" s="755"/>
      <c r="U45" s="737"/>
      <c r="V45" s="737"/>
      <c r="Y45" s="737"/>
      <c r="Z45" s="737"/>
      <c r="AA45" s="737"/>
      <c r="AB45" s="737"/>
      <c r="AC45" s="737"/>
      <c r="AD45" s="737"/>
      <c r="AE45" s="737"/>
      <c r="AF45" s="737"/>
      <c r="AG45" s="737"/>
      <c r="AH45" s="737"/>
      <c r="AI45" s="737"/>
      <c r="AJ45" s="737"/>
      <c r="AK45" s="737"/>
      <c r="AL45" s="737"/>
      <c r="AM45" s="737"/>
      <c r="AN45" s="737"/>
      <c r="AO45" s="737"/>
      <c r="AP45" s="737"/>
      <c r="AQ45" s="737"/>
      <c r="AR45" s="737"/>
      <c r="AS45" s="737"/>
    </row>
    <row r="46" spans="2:45">
      <c r="B46" s="971" t="s">
        <v>200</v>
      </c>
      <c r="C46" s="1650">
        <f ca="1">G41/C43</f>
        <v>-6.3679960542888309E-4</v>
      </c>
      <c r="D46" s="756"/>
      <c r="E46" s="756"/>
      <c r="F46" s="755"/>
      <c r="G46" s="759"/>
      <c r="H46" s="755"/>
      <c r="J46" s="803" t="s">
        <v>748</v>
      </c>
      <c r="K46" s="1460">
        <f>SrDebt!G66</f>
        <v>0</v>
      </c>
      <c r="L46" s="1461">
        <f>Assum!E272</f>
        <v>9.8100000000000007E-2</v>
      </c>
      <c r="M46" s="1464">
        <f>SrDebt!C117</f>
        <v>0</v>
      </c>
      <c r="N46" s="947"/>
      <c r="S46" s="755"/>
      <c r="T46" s="755"/>
      <c r="U46" s="737"/>
      <c r="V46" s="737"/>
      <c r="Y46" s="737"/>
      <c r="Z46" s="737"/>
      <c r="AA46" s="737"/>
      <c r="AB46" s="737"/>
      <c r="AC46" s="737"/>
      <c r="AD46" s="737"/>
      <c r="AE46" s="737"/>
      <c r="AF46" s="737"/>
      <c r="AG46" s="737"/>
      <c r="AH46" s="737"/>
      <c r="AI46" s="737"/>
      <c r="AJ46" s="737"/>
      <c r="AK46" s="737"/>
      <c r="AL46" s="737"/>
      <c r="AM46" s="737"/>
      <c r="AN46" s="737"/>
      <c r="AO46" s="737"/>
      <c r="AP46" s="737"/>
      <c r="AQ46" s="737"/>
      <c r="AR46" s="737"/>
      <c r="AS46" s="737"/>
    </row>
    <row r="47" spans="2:45">
      <c r="B47" s="971" t="s">
        <v>203</v>
      </c>
      <c r="C47" s="975">
        <f ca="1">C43/D8</f>
        <v>0.28082072055418844</v>
      </c>
      <c r="D47" s="756"/>
      <c r="E47" s="756"/>
      <c r="F47" s="755"/>
      <c r="G47" s="759"/>
      <c r="H47" s="755"/>
      <c r="J47" s="753" t="s">
        <v>194</v>
      </c>
      <c r="K47" s="783">
        <f>JrDebt!G38</f>
        <v>0</v>
      </c>
      <c r="L47" s="802">
        <f>Assum!E299</f>
        <v>0.08</v>
      </c>
      <c r="M47" s="1463">
        <f>Assum!C278</f>
        <v>0</v>
      </c>
      <c r="N47" s="947"/>
      <c r="S47" s="755"/>
      <c r="T47" s="755"/>
      <c r="U47" s="737"/>
      <c r="V47" s="737"/>
      <c r="Y47" s="737"/>
      <c r="Z47" s="737"/>
      <c r="AA47" s="737"/>
      <c r="AB47" s="737"/>
      <c r="AC47" s="737"/>
      <c r="AD47" s="737"/>
      <c r="AE47" s="737"/>
      <c r="AF47" s="737"/>
      <c r="AG47" s="737"/>
      <c r="AH47" s="737"/>
      <c r="AI47" s="737"/>
      <c r="AJ47" s="737"/>
      <c r="AK47" s="737"/>
      <c r="AL47" s="737"/>
      <c r="AM47" s="737"/>
      <c r="AN47" s="737"/>
      <c r="AO47" s="737"/>
      <c r="AP47" s="737"/>
      <c r="AQ47" s="737"/>
      <c r="AR47" s="737"/>
      <c r="AS47" s="737"/>
    </row>
    <row r="48" spans="2:45">
      <c r="B48" s="803"/>
      <c r="C48" s="756"/>
      <c r="D48" s="756"/>
      <c r="E48" s="756"/>
      <c r="F48" s="756"/>
      <c r="G48" s="947"/>
      <c r="H48" s="755"/>
      <c r="J48" s="753" t="s">
        <v>257</v>
      </c>
      <c r="K48" s="783"/>
      <c r="L48" s="802">
        <f>(M45/M48)*L45+(M46/M48)*L46+(M47/M48)*L47</f>
        <v>9.0999999999999998E-2</v>
      </c>
      <c r="M48" s="1463">
        <f>SUM(M45:M47)</f>
        <v>40271.353865997226</v>
      </c>
      <c r="N48" s="947"/>
      <c r="S48" s="755"/>
      <c r="T48" s="755"/>
      <c r="U48" s="737"/>
      <c r="V48" s="737"/>
      <c r="Y48" s="737"/>
      <c r="Z48" s="737"/>
      <c r="AA48" s="737"/>
      <c r="AB48" s="737"/>
      <c r="AC48" s="737"/>
      <c r="AD48" s="737"/>
      <c r="AE48" s="737"/>
      <c r="AF48" s="737"/>
      <c r="AG48" s="737"/>
      <c r="AH48" s="737"/>
      <c r="AI48" s="737"/>
      <c r="AJ48" s="737"/>
      <c r="AK48" s="737"/>
      <c r="AL48" s="737"/>
      <c r="AM48" s="737"/>
      <c r="AN48" s="737"/>
      <c r="AO48" s="737"/>
      <c r="AP48" s="737"/>
      <c r="AQ48" s="737"/>
      <c r="AR48" s="737"/>
      <c r="AS48" s="737"/>
    </row>
    <row r="49" spans="2:45">
      <c r="B49" s="1030" t="s">
        <v>204</v>
      </c>
      <c r="C49" s="756"/>
      <c r="D49" s="755"/>
      <c r="E49" s="755"/>
      <c r="F49" s="755"/>
      <c r="G49" s="759"/>
      <c r="H49" s="755"/>
      <c r="J49" s="753"/>
      <c r="K49" s="783"/>
      <c r="L49" s="802"/>
      <c r="M49" s="1463"/>
      <c r="N49" s="947"/>
      <c r="S49" s="755"/>
      <c r="T49" s="755"/>
      <c r="U49" s="737"/>
      <c r="V49" s="737"/>
      <c r="Y49" s="737"/>
      <c r="Z49" s="737"/>
      <c r="AA49" s="737"/>
      <c r="AB49" s="737"/>
      <c r="AC49" s="737"/>
      <c r="AD49" s="737"/>
      <c r="AE49" s="737"/>
      <c r="AF49" s="737"/>
      <c r="AG49" s="737"/>
      <c r="AH49" s="737"/>
      <c r="AI49" s="737"/>
      <c r="AJ49" s="737"/>
      <c r="AK49" s="737"/>
      <c r="AL49" s="737"/>
      <c r="AM49" s="737"/>
      <c r="AN49" s="737"/>
      <c r="AO49" s="737"/>
      <c r="AP49" s="737"/>
      <c r="AQ49" s="737"/>
      <c r="AR49" s="737"/>
      <c r="AS49" s="737"/>
    </row>
    <row r="50" spans="2:45">
      <c r="B50" s="800" t="s">
        <v>712</v>
      </c>
      <c r="C50" s="749"/>
      <c r="D50" s="749"/>
      <c r="E50" s="758">
        <f ca="1">G41</f>
        <v>-83.86366697127778</v>
      </c>
      <c r="F50" s="755"/>
      <c r="G50" s="759"/>
      <c r="H50" s="755"/>
      <c r="J50" s="769" t="s">
        <v>258</v>
      </c>
      <c r="K50" s="755"/>
      <c r="L50" s="755"/>
      <c r="M50" s="755"/>
      <c r="N50" s="947"/>
      <c r="S50" s="755"/>
      <c r="T50" s="755"/>
      <c r="U50" s="737"/>
      <c r="V50" s="737"/>
      <c r="Y50" s="737"/>
      <c r="Z50" s="737"/>
      <c r="AA50" s="737"/>
      <c r="AB50" s="737"/>
      <c r="AC50" s="737"/>
      <c r="AD50" s="737"/>
      <c r="AE50" s="737"/>
      <c r="AF50" s="737"/>
      <c r="AG50" s="737"/>
      <c r="AH50" s="737"/>
      <c r="AI50" s="737"/>
      <c r="AJ50" s="737"/>
      <c r="AK50" s="737"/>
      <c r="AL50" s="737"/>
      <c r="AM50" s="737"/>
      <c r="AN50" s="737"/>
      <c r="AO50" s="737"/>
      <c r="AP50" s="737"/>
      <c r="AQ50" s="737"/>
      <c r="AR50" s="737"/>
      <c r="AS50" s="737"/>
    </row>
    <row r="51" spans="2:45">
      <c r="B51" s="936" t="s">
        <v>711</v>
      </c>
      <c r="C51" s="756"/>
      <c r="D51" s="755"/>
      <c r="E51" s="758">
        <f ca="1">C19</f>
        <v>913.40320994341164</v>
      </c>
      <c r="F51" s="755"/>
      <c r="G51" s="759"/>
      <c r="H51" s="755"/>
      <c r="J51" s="1038" t="s">
        <v>349</v>
      </c>
      <c r="K51" s="1039" t="s">
        <v>206</v>
      </c>
      <c r="L51" s="1039" t="str">
        <f>J45</f>
        <v>TRANCHE A</v>
      </c>
      <c r="M51" s="1039" t="str">
        <f>J46</f>
        <v>TRANCHE B</v>
      </c>
      <c r="N51" s="1040" t="s">
        <v>42</v>
      </c>
      <c r="S51" s="755"/>
      <c r="T51" s="755"/>
      <c r="U51" s="737"/>
      <c r="V51" s="737"/>
      <c r="Y51" s="737"/>
      <c r="Z51" s="737"/>
      <c r="AA51" s="737"/>
      <c r="AB51" s="737"/>
      <c r="AC51" s="737"/>
      <c r="AD51" s="737"/>
      <c r="AE51" s="737"/>
      <c r="AF51" s="737"/>
      <c r="AG51" s="737"/>
      <c r="AH51" s="737"/>
      <c r="AI51" s="737"/>
      <c r="AJ51" s="737"/>
      <c r="AK51" s="737"/>
      <c r="AL51" s="737"/>
      <c r="AM51" s="737"/>
      <c r="AN51" s="737"/>
      <c r="AO51" s="737"/>
      <c r="AP51" s="737"/>
      <c r="AQ51" s="737"/>
      <c r="AR51" s="737"/>
      <c r="AS51" s="737"/>
    </row>
    <row r="52" spans="2:45" ht="13.5" thickBot="1">
      <c r="B52" s="1324" t="s">
        <v>726</v>
      </c>
      <c r="C52" s="1322"/>
      <c r="D52" s="1322"/>
      <c r="E52" s="1323">
        <f ca="1">E50-E51</f>
        <v>-997.26687691468942</v>
      </c>
      <c r="F52" s="755"/>
      <c r="G52" s="759"/>
      <c r="H52" s="755"/>
      <c r="J52" s="980">
        <v>1</v>
      </c>
      <c r="K52" s="978">
        <f t="array" ref="K52:K76">TRANSPOSE(SrDebt!E39:AC39)</f>
        <v>36158</v>
      </c>
      <c r="L52" s="981">
        <f t="array" ref="L52:L76">TRANSPOSE(SrDebt!E12:AC12)</f>
        <v>1.4</v>
      </c>
      <c r="M52" s="981" t="str">
        <f t="array" ref="M52:M76">TRANSPOSE(SrDebt!E57:AC57)</f>
        <v xml:space="preserve"> </v>
      </c>
      <c r="N52" s="982" t="str">
        <f t="array" ref="N52:N76">TRANSPOSE(JrDebt!E30:AC30)</f>
        <v/>
      </c>
      <c r="S52" s="755"/>
      <c r="T52" s="755"/>
      <c r="U52" s="737"/>
      <c r="V52" s="737"/>
      <c r="Y52" s="737"/>
      <c r="Z52" s="737"/>
      <c r="AA52" s="737"/>
      <c r="AB52" s="737"/>
      <c r="AC52" s="737"/>
      <c r="AD52" s="737"/>
      <c r="AE52" s="737"/>
      <c r="AF52" s="737"/>
      <c r="AG52" s="737"/>
      <c r="AH52" s="737"/>
      <c r="AI52" s="737"/>
      <c r="AJ52" s="737"/>
      <c r="AK52" s="737"/>
      <c r="AL52" s="737"/>
      <c r="AM52" s="737"/>
      <c r="AN52" s="737"/>
      <c r="AO52" s="737"/>
      <c r="AP52" s="737"/>
      <c r="AQ52" s="737"/>
      <c r="AR52" s="737"/>
      <c r="AS52" s="737"/>
    </row>
    <row r="53" spans="2:45" ht="13.5" thickTop="1">
      <c r="B53" s="803" t="s">
        <v>322</v>
      </c>
      <c r="C53" s="804" t="s">
        <v>259</v>
      </c>
      <c r="D53" s="774">
        <f>Assum!$E$330</f>
        <v>0.125</v>
      </c>
      <c r="E53" s="758">
        <f>NPV(D53,EWC!E21:AI21)</f>
        <v>121.56806950398631</v>
      </c>
      <c r="F53" s="755"/>
      <c r="G53" s="759"/>
      <c r="H53" s="755"/>
      <c r="J53" s="980">
        <v>2</v>
      </c>
      <c r="K53" s="978">
        <v>36523</v>
      </c>
      <c r="L53" s="981">
        <v>1.4</v>
      </c>
      <c r="M53" s="981" t="str">
        <v xml:space="preserve"> </v>
      </c>
      <c r="N53" s="982" t="str">
        <v/>
      </c>
      <c r="S53" s="755"/>
      <c r="T53" s="755"/>
      <c r="U53" s="737"/>
      <c r="V53" s="737"/>
      <c r="Y53" s="737"/>
      <c r="Z53" s="737"/>
      <c r="AA53" s="737"/>
      <c r="AB53" s="737"/>
      <c r="AC53" s="737"/>
      <c r="AD53" s="737"/>
      <c r="AE53" s="737"/>
      <c r="AF53" s="737"/>
      <c r="AG53" s="737"/>
      <c r="AH53" s="737"/>
      <c r="AI53" s="737"/>
      <c r="AJ53" s="737"/>
      <c r="AK53" s="737"/>
      <c r="AL53" s="737"/>
      <c r="AM53" s="737"/>
      <c r="AN53" s="737"/>
      <c r="AO53" s="737"/>
      <c r="AP53" s="737"/>
      <c r="AQ53" s="737"/>
      <c r="AR53" s="737"/>
      <c r="AS53" s="737"/>
    </row>
    <row r="54" spans="2:45">
      <c r="B54" s="800" t="s">
        <v>94</v>
      </c>
      <c r="C54" s="804" t="s">
        <v>259</v>
      </c>
      <c r="D54" s="774">
        <f>Assum!$E$330</f>
        <v>0.125</v>
      </c>
      <c r="E54" s="758">
        <f ca="1">NPV(D54,EWC!E22:AI22)</f>
        <v>265.10699704518282</v>
      </c>
      <c r="F54" s="756"/>
      <c r="G54" s="759"/>
      <c r="H54" s="755"/>
      <c r="J54" s="980">
        <v>3</v>
      </c>
      <c r="K54" s="978">
        <v>36889</v>
      </c>
      <c r="L54" s="981">
        <v>1.4</v>
      </c>
      <c r="M54" s="981" t="str">
        <v xml:space="preserve"> </v>
      </c>
      <c r="N54" s="982" t="str">
        <v/>
      </c>
      <c r="S54" s="755"/>
      <c r="T54" s="755"/>
      <c r="U54" s="737"/>
      <c r="V54" s="737"/>
      <c r="Y54" s="737"/>
      <c r="Z54" s="737"/>
      <c r="AA54" s="737"/>
      <c r="AB54" s="737"/>
      <c r="AC54" s="737"/>
      <c r="AD54" s="737"/>
      <c r="AE54" s="737"/>
      <c r="AF54" s="737"/>
      <c r="AG54" s="737"/>
      <c r="AH54" s="737"/>
      <c r="AI54" s="737"/>
      <c r="AJ54" s="737"/>
      <c r="AK54" s="737"/>
      <c r="AL54" s="737"/>
      <c r="AM54" s="737"/>
      <c r="AN54" s="737"/>
      <c r="AO54" s="737"/>
      <c r="AP54" s="737"/>
      <c r="AQ54" s="737"/>
      <c r="AR54" s="737"/>
      <c r="AS54" s="737"/>
    </row>
    <row r="55" spans="2:45">
      <c r="B55" s="803" t="s">
        <v>95</v>
      </c>
      <c r="C55" s="804" t="s">
        <v>259</v>
      </c>
      <c r="D55" s="774">
        <f>Assum!$E$330</f>
        <v>0.125</v>
      </c>
      <c r="E55" s="758">
        <f>NPV(D55,EWC!E23:AI23)</f>
        <v>492.04023787941674</v>
      </c>
      <c r="F55" s="756"/>
      <c r="G55" s="759"/>
      <c r="H55" s="519"/>
      <c r="J55" s="980">
        <v>4</v>
      </c>
      <c r="K55" s="978">
        <v>37254</v>
      </c>
      <c r="L55" s="981">
        <v>1.4</v>
      </c>
      <c r="M55" s="981" t="str">
        <v xml:space="preserve"> </v>
      </c>
      <c r="N55" s="982" t="str">
        <v/>
      </c>
      <c r="U55" s="737"/>
      <c r="V55" s="737"/>
      <c r="Y55" s="737"/>
      <c r="Z55" s="737"/>
      <c r="AA55" s="737"/>
      <c r="AB55" s="737"/>
      <c r="AC55" s="737"/>
      <c r="AD55" s="737"/>
      <c r="AE55" s="737"/>
      <c r="AF55" s="737"/>
      <c r="AG55" s="737"/>
      <c r="AH55" s="737"/>
      <c r="AI55" s="737"/>
      <c r="AJ55" s="737"/>
      <c r="AK55" s="737"/>
      <c r="AL55" s="737"/>
      <c r="AM55" s="737"/>
      <c r="AN55" s="737"/>
      <c r="AO55" s="737"/>
      <c r="AP55" s="737"/>
      <c r="AQ55" s="737"/>
      <c r="AR55" s="737"/>
      <c r="AS55" s="737"/>
    </row>
    <row r="56" spans="2:45" ht="13.5" thickBot="1">
      <c r="B56" s="976" t="s">
        <v>713</v>
      </c>
      <c r="C56" s="956"/>
      <c r="D56" s="956"/>
      <c r="E56" s="967">
        <f ca="1">SUM(E52:E55)</f>
        <v>-118.55157248610362</v>
      </c>
      <c r="F56" s="756"/>
      <c r="G56" s="947"/>
      <c r="H56" s="519"/>
      <c r="J56" s="980">
        <v>5</v>
      </c>
      <c r="K56" s="978">
        <v>37619</v>
      </c>
      <c r="L56" s="981">
        <v>1.4000000000000001</v>
      </c>
      <c r="M56" s="981" t="str">
        <v xml:space="preserve"> </v>
      </c>
      <c r="N56" s="982" t="str">
        <v/>
      </c>
      <c r="S56" s="805"/>
      <c r="T56" s="805"/>
      <c r="U56" s="805"/>
      <c r="V56" s="805"/>
      <c r="W56" s="805"/>
      <c r="Y56" s="737"/>
      <c r="Z56" s="737"/>
      <c r="AA56" s="737"/>
      <c r="AB56" s="737"/>
      <c r="AC56" s="737"/>
      <c r="AD56" s="737"/>
      <c r="AE56" s="737"/>
      <c r="AF56" s="737"/>
      <c r="AG56" s="737"/>
      <c r="AH56" s="737"/>
      <c r="AI56" s="737"/>
      <c r="AJ56" s="737"/>
      <c r="AK56" s="737"/>
      <c r="AL56" s="737"/>
      <c r="AM56" s="737"/>
      <c r="AN56" s="737"/>
      <c r="AO56" s="737"/>
      <c r="AP56" s="737"/>
      <c r="AQ56" s="737"/>
      <c r="AR56" s="737"/>
      <c r="AS56" s="737"/>
    </row>
    <row r="57" spans="2:45">
      <c r="B57" s="803" t="s">
        <v>714</v>
      </c>
      <c r="C57" s="756"/>
      <c r="D57" s="756"/>
      <c r="E57" s="973">
        <f ca="1">E56/C43</f>
        <v>-9.0019429520032794E-4</v>
      </c>
      <c r="F57" s="756"/>
      <c r="G57" s="759"/>
      <c r="H57" s="755"/>
      <c r="J57" s="980">
        <v>6</v>
      </c>
      <c r="K57" s="978">
        <v>37984</v>
      </c>
      <c r="L57" s="981">
        <v>1.4000000000000001</v>
      </c>
      <c r="M57" s="981" t="str">
        <v xml:space="preserve"> </v>
      </c>
      <c r="N57" s="982" t="str">
        <v/>
      </c>
      <c r="S57" s="942"/>
      <c r="T57" s="942"/>
      <c r="U57" s="942"/>
      <c r="V57" s="942"/>
      <c r="W57" s="942"/>
      <c r="Y57" s="737"/>
      <c r="Z57" s="737"/>
      <c r="AA57" s="737"/>
      <c r="AB57" s="737"/>
      <c r="AC57" s="737"/>
      <c r="AD57" s="737"/>
      <c r="AE57" s="737"/>
      <c r="AF57" s="737"/>
      <c r="AG57" s="737"/>
      <c r="AH57" s="737"/>
      <c r="AI57" s="737"/>
      <c r="AJ57" s="737"/>
      <c r="AK57" s="737"/>
      <c r="AL57" s="737"/>
      <c r="AM57" s="737"/>
      <c r="AN57" s="737"/>
      <c r="AO57" s="737"/>
      <c r="AP57" s="737"/>
      <c r="AQ57" s="737"/>
      <c r="AR57" s="737"/>
      <c r="AS57" s="737"/>
    </row>
    <row r="58" spans="2:45" ht="13.5" thickBot="1">
      <c r="B58" s="807"/>
      <c r="C58" s="811"/>
      <c r="D58" s="811"/>
      <c r="E58" s="811"/>
      <c r="F58" s="977"/>
      <c r="G58" s="763"/>
      <c r="H58" s="737"/>
      <c r="J58" s="980">
        <v>7</v>
      </c>
      <c r="K58" s="978">
        <v>38350</v>
      </c>
      <c r="L58" s="981">
        <v>1.4</v>
      </c>
      <c r="M58" s="981" t="str">
        <v xml:space="preserve"> </v>
      </c>
      <c r="N58" s="982" t="str">
        <v/>
      </c>
      <c r="S58" s="942"/>
      <c r="T58" s="942"/>
      <c r="U58" s="942"/>
      <c r="V58" s="942"/>
      <c r="W58" s="942"/>
      <c r="Y58" s="737"/>
      <c r="Z58" s="737"/>
      <c r="AA58" s="737"/>
      <c r="AB58" s="737"/>
      <c r="AC58" s="737"/>
      <c r="AD58" s="737"/>
      <c r="AE58" s="737"/>
      <c r="AF58" s="737"/>
      <c r="AG58" s="737"/>
      <c r="AH58" s="737"/>
      <c r="AI58" s="737"/>
      <c r="AJ58" s="737"/>
      <c r="AK58" s="737"/>
      <c r="AL58" s="737"/>
      <c r="AM58" s="737"/>
      <c r="AN58" s="737"/>
      <c r="AO58" s="737"/>
      <c r="AP58" s="737"/>
      <c r="AQ58" s="737"/>
      <c r="AR58" s="737"/>
      <c r="AS58" s="737"/>
    </row>
    <row r="59" spans="2:45">
      <c r="F59" s="737"/>
      <c r="G59" s="737"/>
      <c r="H59" s="737"/>
      <c r="J59" s="980">
        <v>8</v>
      </c>
      <c r="K59" s="978">
        <v>38715</v>
      </c>
      <c r="L59" s="981">
        <v>1.4</v>
      </c>
      <c r="M59" s="981" t="str">
        <v xml:space="preserve"> </v>
      </c>
      <c r="N59" s="982" t="str">
        <v/>
      </c>
      <c r="S59" s="806"/>
      <c r="T59" s="806"/>
      <c r="U59" s="806"/>
      <c r="V59" s="806"/>
      <c r="W59" s="806"/>
      <c r="Y59" s="737"/>
      <c r="Z59" s="737"/>
      <c r="AA59" s="737"/>
      <c r="AB59" s="737"/>
      <c r="AC59" s="737"/>
      <c r="AD59" s="737"/>
      <c r="AE59" s="737"/>
      <c r="AF59" s="737"/>
      <c r="AG59" s="737"/>
      <c r="AH59" s="737"/>
      <c r="AI59" s="737"/>
      <c r="AJ59" s="737"/>
      <c r="AK59" s="737"/>
      <c r="AL59" s="737"/>
      <c r="AM59" s="737"/>
      <c r="AN59" s="737"/>
      <c r="AO59" s="737"/>
      <c r="AP59" s="737"/>
      <c r="AQ59" s="737"/>
      <c r="AR59" s="737"/>
      <c r="AS59" s="737"/>
    </row>
    <row r="60" spans="2:45" ht="13.5" thickBot="1">
      <c r="F60" s="737"/>
      <c r="G60" s="737"/>
      <c r="H60" s="737"/>
      <c r="J60" s="980">
        <v>9</v>
      </c>
      <c r="K60" s="978">
        <v>39080</v>
      </c>
      <c r="L60" s="981">
        <v>1.4</v>
      </c>
      <c r="M60" s="981" t="str">
        <v xml:space="preserve"> </v>
      </c>
      <c r="N60" s="982" t="str">
        <v/>
      </c>
      <c r="S60" s="805"/>
      <c r="T60" s="805"/>
      <c r="U60" s="805"/>
      <c r="V60" s="805"/>
      <c r="W60" s="805"/>
      <c r="Y60" s="737"/>
      <c r="Z60" s="737"/>
      <c r="AA60" s="737"/>
      <c r="AB60" s="737"/>
      <c r="AC60" s="737"/>
      <c r="AD60" s="737"/>
      <c r="AE60" s="737"/>
      <c r="AF60" s="737"/>
      <c r="AG60" s="737"/>
      <c r="AH60" s="737"/>
      <c r="AI60" s="737"/>
      <c r="AJ60" s="737"/>
      <c r="AK60" s="737"/>
      <c r="AL60" s="737"/>
      <c r="AM60" s="737"/>
      <c r="AN60" s="737"/>
      <c r="AO60" s="737"/>
      <c r="AP60" s="737"/>
      <c r="AQ60" s="737"/>
      <c r="AR60" s="737"/>
      <c r="AS60" s="737"/>
    </row>
    <row r="61" spans="2:45">
      <c r="B61" s="1005" t="s">
        <v>216</v>
      </c>
      <c r="C61" s="765"/>
      <c r="D61" s="1034">
        <v>1</v>
      </c>
      <c r="E61" s="1034">
        <f t="shared" ref="E61:H62" si="1">D61+1</f>
        <v>2</v>
      </c>
      <c r="F61" s="1034">
        <f t="shared" si="1"/>
        <v>3</v>
      </c>
      <c r="G61" s="1034">
        <f t="shared" si="1"/>
        <v>4</v>
      </c>
      <c r="H61" s="1035">
        <f t="shared" si="1"/>
        <v>5</v>
      </c>
      <c r="J61" s="980">
        <v>10</v>
      </c>
      <c r="K61" s="978">
        <v>39445</v>
      </c>
      <c r="L61" s="981">
        <v>1.4</v>
      </c>
      <c r="M61" s="981" t="str">
        <v xml:space="preserve"> </v>
      </c>
      <c r="N61" s="982" t="str">
        <v/>
      </c>
      <c r="S61" s="942"/>
      <c r="T61" s="942"/>
      <c r="U61" s="942"/>
      <c r="V61" s="942"/>
      <c r="W61" s="942"/>
      <c r="Y61" s="737"/>
      <c r="Z61" s="737"/>
      <c r="AA61" s="737"/>
      <c r="AB61" s="737"/>
      <c r="AC61" s="737"/>
      <c r="AD61" s="737"/>
      <c r="AE61" s="737"/>
      <c r="AF61" s="737"/>
      <c r="AG61" s="737"/>
      <c r="AH61" s="737"/>
      <c r="AI61" s="737"/>
      <c r="AJ61" s="737"/>
      <c r="AK61" s="737"/>
      <c r="AL61" s="737"/>
      <c r="AM61" s="737"/>
      <c r="AN61" s="737"/>
      <c r="AO61" s="737"/>
      <c r="AP61" s="737"/>
      <c r="AQ61" s="737"/>
      <c r="AR61" s="737"/>
      <c r="AS61" s="737"/>
    </row>
    <row r="62" spans="2:45">
      <c r="B62" s="766"/>
      <c r="C62" s="755"/>
      <c r="D62" s="1036">
        <f>Assum!H25</f>
        <v>2002</v>
      </c>
      <c r="E62" s="1036">
        <f t="shared" si="1"/>
        <v>2003</v>
      </c>
      <c r="F62" s="1036">
        <f t="shared" si="1"/>
        <v>2004</v>
      </c>
      <c r="G62" s="1036">
        <f t="shared" si="1"/>
        <v>2005</v>
      </c>
      <c r="H62" s="1037">
        <f t="shared" si="1"/>
        <v>2006</v>
      </c>
      <c r="J62" s="980">
        <v>11</v>
      </c>
      <c r="K62" s="983">
        <v>39811</v>
      </c>
      <c r="L62" s="981">
        <v>1.4</v>
      </c>
      <c r="M62" s="981" t="str">
        <v xml:space="preserve"> </v>
      </c>
      <c r="N62" s="982" t="str">
        <v/>
      </c>
      <c r="S62" s="942"/>
      <c r="T62" s="942"/>
      <c r="U62" s="942"/>
      <c r="V62" s="942"/>
      <c r="W62" s="942"/>
      <c r="X62" s="737"/>
      <c r="Y62" s="737"/>
      <c r="Z62" s="737"/>
      <c r="AA62" s="737"/>
      <c r="AB62" s="737"/>
      <c r="AC62" s="737"/>
      <c r="AD62" s="737"/>
      <c r="AE62" s="737"/>
      <c r="AF62" s="737"/>
      <c r="AG62" s="737"/>
      <c r="AH62" s="737"/>
      <c r="AI62" s="737"/>
      <c r="AJ62" s="737"/>
      <c r="AK62" s="737"/>
      <c r="AL62" s="737"/>
      <c r="AM62" s="737"/>
      <c r="AN62" s="737"/>
      <c r="AO62" s="737"/>
      <c r="AP62" s="737"/>
      <c r="AQ62" s="737"/>
      <c r="AR62" s="737"/>
      <c r="AS62" s="737"/>
    </row>
    <row r="63" spans="2:45">
      <c r="B63" s="800" t="s">
        <v>205</v>
      </c>
      <c r="C63" s="755"/>
      <c r="D63" s="998">
        <f ca="1">IF(C65&gt;0.5,0,G41)</f>
        <v>-83.86366697127778</v>
      </c>
      <c r="E63" s="316"/>
      <c r="F63" s="316"/>
      <c r="G63" s="316"/>
      <c r="H63" s="537"/>
      <c r="J63" s="980">
        <v>12</v>
      </c>
      <c r="K63" s="983">
        <v>40176</v>
      </c>
      <c r="L63" s="981">
        <v>1.4000000000000001</v>
      </c>
      <c r="M63" s="981" t="str">
        <v xml:space="preserve"> </v>
      </c>
      <c r="N63" s="982" t="str">
        <v/>
      </c>
      <c r="W63" s="737"/>
      <c r="X63" s="737"/>
      <c r="Y63" s="737"/>
      <c r="Z63" s="737"/>
      <c r="AA63" s="737"/>
      <c r="AB63" s="737"/>
      <c r="AC63" s="737"/>
      <c r="AD63" s="737"/>
      <c r="AE63" s="737"/>
      <c r="AF63" s="737"/>
      <c r="AG63" s="737"/>
      <c r="AH63" s="737"/>
      <c r="AI63" s="737"/>
      <c r="AJ63" s="737"/>
      <c r="AK63" s="737"/>
      <c r="AL63" s="737"/>
      <c r="AM63" s="737"/>
      <c r="AN63" s="737"/>
      <c r="AO63" s="737"/>
      <c r="AP63" s="737"/>
      <c r="AQ63" s="737"/>
      <c r="AR63" s="737"/>
      <c r="AS63" s="737"/>
    </row>
    <row r="64" spans="2:45">
      <c r="B64" s="800" t="s">
        <v>728</v>
      </c>
      <c r="C64" s="756" t="s">
        <v>781</v>
      </c>
      <c r="D64" s="1329"/>
      <c r="E64" s="756"/>
      <c r="F64" s="756"/>
      <c r="G64" s="756"/>
      <c r="H64" s="947"/>
      <c r="J64" s="980">
        <v>13</v>
      </c>
      <c r="K64" s="983">
        <v>40541</v>
      </c>
      <c r="L64" s="981">
        <v>1.4</v>
      </c>
      <c r="M64" s="981" t="str">
        <v xml:space="preserve"> </v>
      </c>
      <c r="N64" s="982" t="str">
        <v/>
      </c>
      <c r="W64" s="737"/>
      <c r="X64" s="737"/>
      <c r="Y64" s="737"/>
      <c r="Z64" s="737"/>
      <c r="AA64" s="737"/>
      <c r="AB64" s="737"/>
      <c r="AC64" s="737"/>
      <c r="AD64" s="737"/>
      <c r="AE64" s="737"/>
      <c r="AF64" s="737"/>
      <c r="AG64" s="737"/>
      <c r="AH64" s="737"/>
      <c r="AI64" s="737"/>
      <c r="AJ64" s="737"/>
      <c r="AK64" s="737"/>
      <c r="AL64" s="737"/>
      <c r="AM64" s="737"/>
      <c r="AN64" s="737"/>
      <c r="AO64" s="737"/>
      <c r="AP64" s="737"/>
      <c r="AQ64" s="737"/>
      <c r="AR64" s="737"/>
      <c r="AS64" s="737"/>
    </row>
    <row r="65" spans="2:45">
      <c r="B65" s="800" t="s">
        <v>209</v>
      </c>
      <c r="C65" s="808">
        <f>Assum!D335</f>
        <v>0.01</v>
      </c>
      <c r="D65" s="998">
        <f ca="1">-C65*D63</f>
        <v>0.83863666971277784</v>
      </c>
      <c r="E65" s="317">
        <f ca="1">-$D$65/Assum!$F$22</f>
        <v>-4.1931833485638892E-2</v>
      </c>
      <c r="F65" s="317">
        <f ca="1">-$D$65/Assum!$F$22</f>
        <v>-4.1931833485638892E-2</v>
      </c>
      <c r="G65" s="317">
        <f ca="1">-$D$65/Assum!$F$22</f>
        <v>-4.1931833485638892E-2</v>
      </c>
      <c r="H65" s="1006">
        <f ca="1">-$D$65/Assum!$F$22</f>
        <v>-4.1931833485638892E-2</v>
      </c>
      <c r="J65" s="980">
        <v>14</v>
      </c>
      <c r="K65" s="983">
        <v>40906</v>
      </c>
      <c r="L65" s="981">
        <v>1.4</v>
      </c>
      <c r="M65" s="981" t="str">
        <v xml:space="preserve"> </v>
      </c>
      <c r="N65" s="982" t="str">
        <v/>
      </c>
      <c r="W65" s="737"/>
      <c r="X65" s="737"/>
      <c r="Y65" s="737"/>
      <c r="Z65" s="737"/>
      <c r="AA65" s="737"/>
      <c r="AB65" s="737"/>
      <c r="AC65" s="737"/>
      <c r="AD65" s="737"/>
      <c r="AE65" s="737"/>
      <c r="AF65" s="737"/>
      <c r="AG65" s="737"/>
      <c r="AH65" s="737"/>
      <c r="AI65" s="737"/>
      <c r="AJ65" s="737"/>
      <c r="AK65" s="737"/>
      <c r="AL65" s="737"/>
      <c r="AM65" s="737"/>
      <c r="AN65" s="737"/>
      <c r="AO65" s="737"/>
      <c r="AP65" s="737"/>
      <c r="AQ65" s="737"/>
      <c r="AR65" s="737"/>
      <c r="AS65" s="737"/>
    </row>
    <row r="66" spans="2:45">
      <c r="B66" s="800" t="s">
        <v>772</v>
      </c>
      <c r="C66" s="755"/>
      <c r="D66" s="998">
        <f ca="1">Basis!D29</f>
        <v>109.90102002499999</v>
      </c>
      <c r="E66" s="998">
        <f ca="1">Basis!E29</f>
        <v>110.207151</v>
      </c>
      <c r="F66" s="998">
        <f ca="1">Basis!F29</f>
        <v>110.207151</v>
      </c>
      <c r="G66" s="998">
        <f ca="1">Basis!G29</f>
        <v>110.207151</v>
      </c>
      <c r="H66" s="1007">
        <f ca="1">Basis!H29</f>
        <v>110.207151</v>
      </c>
      <c r="J66" s="980">
        <v>15</v>
      </c>
      <c r="K66" s="983">
        <v>41272</v>
      </c>
      <c r="L66" s="981">
        <v>1.4</v>
      </c>
      <c r="M66" s="981" t="str">
        <v xml:space="preserve"> </v>
      </c>
      <c r="N66" s="982" t="str">
        <v/>
      </c>
      <c r="W66" s="737"/>
      <c r="X66" s="737"/>
      <c r="Y66" s="737"/>
      <c r="Z66" s="737"/>
      <c r="AA66" s="737"/>
      <c r="AB66" s="737"/>
      <c r="AC66" s="737"/>
      <c r="AD66" s="737"/>
      <c r="AE66" s="737"/>
      <c r="AF66" s="737"/>
      <c r="AG66" s="737"/>
      <c r="AH66" s="737"/>
      <c r="AI66" s="737"/>
      <c r="AJ66" s="737"/>
      <c r="AK66" s="737"/>
      <c r="AL66" s="737"/>
      <c r="AM66" s="737"/>
      <c r="AN66" s="737"/>
      <c r="AO66" s="737"/>
      <c r="AP66" s="737"/>
      <c r="AQ66" s="737"/>
      <c r="AR66" s="737"/>
      <c r="AS66" s="737"/>
    </row>
    <row r="67" spans="2:45" ht="13.5" thickBot="1">
      <c r="B67" s="1008" t="s">
        <v>727</v>
      </c>
      <c r="C67" s="999"/>
      <c r="D67" s="1000">
        <f ca="1">SUM(D63:D66)</f>
        <v>26.875989723434998</v>
      </c>
      <c r="E67" s="1000">
        <f ca="1">SUM(E63:E66)</f>
        <v>110.16521916651436</v>
      </c>
      <c r="F67" s="1000">
        <f ca="1">SUM(F63:F66)</f>
        <v>110.16521916651436</v>
      </c>
      <c r="G67" s="1000">
        <f ca="1">SUM(G63:G66)</f>
        <v>110.16521916651436</v>
      </c>
      <c r="H67" s="1009">
        <f ca="1">SUM(H63:H66)</f>
        <v>110.16521916651436</v>
      </c>
      <c r="J67" s="980">
        <v>16</v>
      </c>
      <c r="K67" s="983">
        <v>41637</v>
      </c>
      <c r="L67" s="981">
        <v>1.4</v>
      </c>
      <c r="M67" s="981" t="str">
        <v xml:space="preserve"> </v>
      </c>
      <c r="N67" s="982" t="str">
        <v/>
      </c>
      <c r="W67" s="737"/>
      <c r="X67" s="737"/>
      <c r="Y67" s="737"/>
      <c r="Z67" s="737"/>
      <c r="AA67" s="737"/>
      <c r="AB67" s="737"/>
      <c r="AC67" s="737"/>
      <c r="AD67" s="737"/>
      <c r="AE67" s="737"/>
      <c r="AF67" s="737"/>
      <c r="AG67" s="737"/>
      <c r="AH67" s="737"/>
      <c r="AI67" s="737"/>
      <c r="AJ67" s="737"/>
      <c r="AK67" s="737"/>
      <c r="AL67" s="737"/>
      <c r="AM67" s="737"/>
      <c r="AN67" s="737"/>
      <c r="AO67" s="737"/>
      <c r="AP67" s="737"/>
      <c r="AQ67" s="737"/>
      <c r="AR67" s="737"/>
      <c r="AS67" s="737"/>
    </row>
    <row r="68" spans="2:45">
      <c r="B68" s="800" t="s">
        <v>215</v>
      </c>
      <c r="C68" s="1004"/>
      <c r="D68" s="998">
        <f>CapAcc!D42</f>
        <v>-16.975024939418194</v>
      </c>
      <c r="E68" s="998">
        <f>CapAcc!E42</f>
        <v>-35.928375606949196</v>
      </c>
      <c r="F68" s="998">
        <f>CapAcc!F42</f>
        <v>-36.159190289057968</v>
      </c>
      <c r="G68" s="998">
        <f>CapAcc!G42</f>
        <v>-36.298227255890545</v>
      </c>
      <c r="H68" s="1007">
        <f>CapAcc!H42</f>
        <v>-36.359504562682837</v>
      </c>
      <c r="J68" s="980">
        <v>17</v>
      </c>
      <c r="K68" s="984">
        <v>42002</v>
      </c>
      <c r="L68" s="985">
        <v>1.3999999999999997</v>
      </c>
      <c r="M68" s="985" t="str">
        <v xml:space="preserve"> </v>
      </c>
      <c r="N68" s="986" t="str">
        <v/>
      </c>
      <c r="W68" s="737"/>
      <c r="X68" s="737"/>
      <c r="Y68" s="737"/>
      <c r="Z68" s="737"/>
      <c r="AA68" s="737"/>
      <c r="AB68" s="737"/>
      <c r="AC68" s="737"/>
      <c r="AD68" s="737"/>
      <c r="AE68" s="737"/>
      <c r="AF68" s="737"/>
      <c r="AG68" s="737"/>
      <c r="AH68" s="737"/>
      <c r="AI68" s="737"/>
      <c r="AJ68" s="737"/>
      <c r="AK68" s="737"/>
      <c r="AL68" s="737"/>
      <c r="AM68" s="737"/>
      <c r="AN68" s="737"/>
      <c r="AO68" s="737"/>
      <c r="AP68" s="737"/>
      <c r="AQ68" s="737"/>
      <c r="AR68" s="737"/>
      <c r="AS68" s="737"/>
    </row>
    <row r="69" spans="2:45" ht="13.5" thickBot="1">
      <c r="B69" s="1010" t="s">
        <v>262</v>
      </c>
      <c r="C69" s="1001"/>
      <c r="D69" s="1002">
        <f ca="1">SUM(D67:D68)</f>
        <v>9.9009647840168036</v>
      </c>
      <c r="E69" s="1002">
        <f ca="1">SUM(E67:E68)</f>
        <v>74.236843559565159</v>
      </c>
      <c r="F69" s="1002">
        <f ca="1">SUM(F67:F68)</f>
        <v>74.006028877456401</v>
      </c>
      <c r="G69" s="1002">
        <f ca="1">SUM(G67:G68)</f>
        <v>73.866991910623824</v>
      </c>
      <c r="H69" s="1582">
        <f ca="1">SUM(H67:H68)</f>
        <v>73.805714603831518</v>
      </c>
      <c r="J69" s="980">
        <v>18</v>
      </c>
      <c r="K69" s="984">
        <v>42367</v>
      </c>
      <c r="L69" s="985">
        <v>1.7814762585292059</v>
      </c>
      <c r="M69" s="985" t="str">
        <v xml:space="preserve"> </v>
      </c>
      <c r="N69" s="986" t="str">
        <v/>
      </c>
      <c r="W69" s="737"/>
      <c r="X69" s="737"/>
      <c r="Y69" s="737"/>
      <c r="Z69" s="737"/>
      <c r="AA69" s="737"/>
      <c r="AB69" s="737"/>
      <c r="AC69" s="737"/>
      <c r="AD69" s="737"/>
      <c r="AE69" s="737"/>
      <c r="AF69" s="737"/>
      <c r="AG69" s="737"/>
      <c r="AH69" s="737"/>
      <c r="AI69" s="737"/>
      <c r="AJ69" s="737"/>
      <c r="AK69" s="737"/>
      <c r="AL69" s="737"/>
      <c r="AM69" s="737"/>
      <c r="AN69" s="737"/>
      <c r="AO69" s="737"/>
      <c r="AP69" s="737"/>
      <c r="AQ69" s="737"/>
      <c r="AR69" s="737"/>
      <c r="AS69" s="737"/>
    </row>
    <row r="70" spans="2:45" ht="13.5" thickTop="1">
      <c r="B70" s="800" t="s">
        <v>301</v>
      </c>
      <c r="C70" s="755"/>
      <c r="D70" s="998">
        <f ca="1">-(Income!E87+Income!E88)*Assum!E342</f>
        <v>-64.484765981081424</v>
      </c>
      <c r="E70" s="998">
        <f ca="1">-(Income!F87+Income!F88)*Assum!F342</f>
        <v>-64.664389284649886</v>
      </c>
      <c r="F70" s="998">
        <f ca="1">-(Income!G87+Income!G88)*Assum!G342</f>
        <v>-64.664389284649886</v>
      </c>
      <c r="G70" s="998">
        <f ca="1">-(Income!H87+Income!H88)*Assum!H342</f>
        <v>-64.664389284649886</v>
      </c>
      <c r="H70" s="1007">
        <f ca="1">-(Income!I87+Income!I88)*Assum!I342</f>
        <v>-64.664389284649886</v>
      </c>
      <c r="J70" s="980">
        <v>19</v>
      </c>
      <c r="K70" s="984">
        <v>42733</v>
      </c>
      <c r="L70" s="985" t="str">
        <v xml:space="preserve"> </v>
      </c>
      <c r="M70" s="985" t="str">
        <v xml:space="preserve"> </v>
      </c>
      <c r="N70" s="987" t="str">
        <v/>
      </c>
      <c r="W70" s="737"/>
      <c r="X70" s="737"/>
      <c r="Y70" s="737"/>
      <c r="Z70" s="737"/>
      <c r="AA70" s="737"/>
      <c r="AB70" s="737"/>
      <c r="AC70" s="737"/>
      <c r="AD70" s="737"/>
      <c r="AE70" s="737"/>
      <c r="AF70" s="737"/>
      <c r="AG70" s="737"/>
      <c r="AH70" s="737"/>
      <c r="AI70" s="737"/>
      <c r="AJ70" s="737"/>
      <c r="AK70" s="737"/>
      <c r="AL70" s="737"/>
      <c r="AM70" s="737"/>
      <c r="AN70" s="737"/>
      <c r="AO70" s="737"/>
      <c r="AP70" s="737"/>
      <c r="AQ70" s="737"/>
      <c r="AR70" s="737"/>
      <c r="AS70" s="737"/>
    </row>
    <row r="71" spans="2:45">
      <c r="B71" s="800" t="s">
        <v>571</v>
      </c>
      <c r="C71" s="755"/>
      <c r="D71" s="998">
        <f>SUM(CapAcc!D45:D46)</f>
        <v>-36.474391780684954</v>
      </c>
      <c r="E71" s="998">
        <f>SUM(CapAcc!E45:E46)</f>
        <v>-35.01791932312431</v>
      </c>
      <c r="F71" s="998">
        <f>SUM(CapAcc!F45:F46)</f>
        <v>-34.215036127609757</v>
      </c>
      <c r="G71" s="998">
        <f>SUM(CapAcc!G45:G46)</f>
        <v>-33.109744499185716</v>
      </c>
      <c r="H71" s="1007">
        <f>SUM(CapAcc!H45:H46)</f>
        <v>-32.006554985769753</v>
      </c>
      <c r="J71" s="980">
        <v>20</v>
      </c>
      <c r="K71" s="984">
        <v>43098</v>
      </c>
      <c r="L71" s="985" t="str">
        <v xml:space="preserve"> </v>
      </c>
      <c r="M71" s="985" t="str">
        <v xml:space="preserve"> </v>
      </c>
      <c r="N71" s="987" t="str">
        <v/>
      </c>
      <c r="S71" s="737"/>
      <c r="T71" s="737"/>
      <c r="U71" s="737"/>
      <c r="V71" s="737"/>
      <c r="W71" s="737"/>
      <c r="X71" s="737"/>
      <c r="Y71" s="737"/>
      <c r="Z71" s="737"/>
      <c r="AA71" s="737"/>
      <c r="AB71" s="737"/>
      <c r="AC71" s="737"/>
      <c r="AD71" s="737"/>
      <c r="AE71" s="737"/>
      <c r="AF71" s="737"/>
      <c r="AG71" s="737"/>
      <c r="AH71" s="737"/>
      <c r="AI71" s="737"/>
      <c r="AJ71" s="737"/>
      <c r="AK71" s="737"/>
      <c r="AL71" s="737"/>
      <c r="AM71" s="737"/>
      <c r="AN71" s="737"/>
      <c r="AO71" s="737"/>
      <c r="AP71" s="737"/>
      <c r="AQ71" s="737"/>
      <c r="AR71" s="737"/>
      <c r="AS71" s="737"/>
    </row>
    <row r="72" spans="2:45" ht="13.5" thickBot="1">
      <c r="B72" s="1010" t="s">
        <v>264</v>
      </c>
      <c r="C72" s="1001"/>
      <c r="D72" s="1002">
        <f ca="1">SUM(D69:D71)</f>
        <v>-91.05819297774957</v>
      </c>
      <c r="E72" s="1002">
        <f ca="1">SUM(E69:E71)</f>
        <v>-25.445465048209037</v>
      </c>
      <c r="F72" s="1002">
        <f ca="1">SUM(F69:F71)</f>
        <v>-24.873396534803241</v>
      </c>
      <c r="G72" s="1002">
        <f ca="1">SUM(G69:G71)</f>
        <v>-23.907141873211778</v>
      </c>
      <c r="H72" s="1582">
        <f ca="1">SUM(H69:H71)</f>
        <v>-22.865229666588121</v>
      </c>
      <c r="J72" s="980">
        <v>21</v>
      </c>
      <c r="K72" s="984">
        <v>43463</v>
      </c>
      <c r="L72" s="985" t="str">
        <v xml:space="preserve"> </v>
      </c>
      <c r="M72" s="985" t="str">
        <v xml:space="preserve"> </v>
      </c>
      <c r="N72" s="987" t="str">
        <v/>
      </c>
      <c r="S72"/>
      <c r="T72"/>
      <c r="U72"/>
      <c r="V72"/>
      <c r="W72"/>
      <c r="X72"/>
      <c r="Y72" s="737"/>
      <c r="Z72" s="737"/>
      <c r="AA72" s="737"/>
      <c r="AB72" s="737"/>
      <c r="AC72" s="737"/>
      <c r="AD72" s="737"/>
      <c r="AE72" s="737"/>
      <c r="AF72" s="737"/>
      <c r="AG72" s="737"/>
      <c r="AH72" s="737"/>
      <c r="AI72" s="737"/>
      <c r="AJ72" s="737"/>
      <c r="AK72" s="737"/>
      <c r="AL72" s="737"/>
      <c r="AM72" s="737"/>
      <c r="AN72" s="737"/>
      <c r="AO72" s="737"/>
      <c r="AP72" s="737"/>
      <c r="AQ72" s="737"/>
      <c r="AR72" s="737"/>
      <c r="AS72" s="737"/>
    </row>
    <row r="73" spans="2:45" ht="13.5" thickTop="1">
      <c r="B73" s="766" t="s">
        <v>210</v>
      </c>
      <c r="C73" s="808">
        <f>Assum!E203</f>
        <v>0.39549999999999996</v>
      </c>
      <c r="D73" s="998">
        <f ca="1">-D72*$C$73</f>
        <v>36.013515322699952</v>
      </c>
      <c r="E73" s="998">
        <f ca="1">-E72*$C$73</f>
        <v>10.063681426566673</v>
      </c>
      <c r="F73" s="998">
        <f ca="1">-F72*$C$73</f>
        <v>9.8374283295146814</v>
      </c>
      <c r="G73" s="998">
        <f ca="1">-G72*$C$73</f>
        <v>9.4552746108552572</v>
      </c>
      <c r="H73" s="1007">
        <f ca="1">-H72*$C$73</f>
        <v>9.0431983331356012</v>
      </c>
      <c r="J73" s="980">
        <v>22</v>
      </c>
      <c r="K73" s="984">
        <v>43828</v>
      </c>
      <c r="L73" s="985" t="str">
        <v xml:space="preserve"> </v>
      </c>
      <c r="M73" s="985" t="str">
        <v xml:space="preserve"> </v>
      </c>
      <c r="N73" s="987" t="str">
        <v/>
      </c>
      <c r="S73"/>
      <c r="T73"/>
      <c r="U73"/>
      <c r="V73"/>
      <c r="W73"/>
      <c r="X73"/>
      <c r="Y73" s="737"/>
      <c r="Z73" s="737"/>
      <c r="AA73" s="737"/>
      <c r="AB73" s="737"/>
      <c r="AC73" s="737"/>
      <c r="AD73" s="737"/>
      <c r="AE73" s="737"/>
      <c r="AF73" s="737"/>
      <c r="AG73" s="737"/>
      <c r="AH73" s="737"/>
      <c r="AI73" s="737"/>
      <c r="AJ73" s="737"/>
      <c r="AK73" s="737"/>
      <c r="AL73" s="737"/>
      <c r="AM73" s="737"/>
      <c r="AN73" s="737"/>
      <c r="AO73" s="737"/>
      <c r="AP73" s="737"/>
      <c r="AQ73" s="737"/>
      <c r="AR73" s="737"/>
      <c r="AS73" s="737"/>
    </row>
    <row r="74" spans="2:45">
      <c r="B74" s="800" t="s">
        <v>211</v>
      </c>
      <c r="C74" s="755"/>
      <c r="D74" s="998">
        <f ca="1">-ABS(Income!E92-Income!E52)*Assum!E346*EWCSum!$C$73</f>
        <v>-72.713194642184547</v>
      </c>
      <c r="E74" s="998">
        <f ca="1">-ABS(Income!F92-Income!F52)*Assum!F346*EWCSum!$C$73</f>
        <v>-130.76267380611171</v>
      </c>
      <c r="F74" s="998">
        <f ca="1">-ABS(Income!G92-Income!G52)*Assum!G346*EWCSum!$C$73</f>
        <v>-68.771480298029104</v>
      </c>
      <c r="G74" s="998">
        <f ca="1">-ABS(Income!H92-Income!H52)*Assum!H346*EWCSum!$C$73</f>
        <v>-31.576764193179578</v>
      </c>
      <c r="H74" s="1007">
        <f ca="1">-ABS(Income!I92-Income!I52)*Assum!I346*EWCSum!$C$73</f>
        <v>-31.576764193179567</v>
      </c>
      <c r="J74" s="980">
        <v>23</v>
      </c>
      <c r="K74" s="984">
        <v>44194</v>
      </c>
      <c r="L74" s="985" t="str">
        <v xml:space="preserve"> </v>
      </c>
      <c r="M74" s="985" t="str">
        <v xml:space="preserve"> </v>
      </c>
      <c r="N74" s="947" t="str">
        <v/>
      </c>
      <c r="S74"/>
      <c r="T74"/>
      <c r="U74"/>
      <c r="V74"/>
      <c r="W74"/>
      <c r="X74"/>
      <c r="Y74" s="737"/>
      <c r="Z74" s="737"/>
      <c r="AA74" s="737"/>
      <c r="AB74" s="737"/>
      <c r="AC74" s="737"/>
      <c r="AD74" s="737"/>
      <c r="AE74" s="737"/>
      <c r="AF74" s="737"/>
      <c r="AG74" s="737"/>
      <c r="AH74" s="737"/>
      <c r="AI74" s="737"/>
      <c r="AJ74" s="737"/>
      <c r="AK74" s="737"/>
      <c r="AL74" s="737"/>
      <c r="AM74" s="737"/>
      <c r="AN74" s="737"/>
      <c r="AO74" s="737"/>
      <c r="AP74" s="737"/>
      <c r="AQ74" s="737"/>
      <c r="AR74" s="737"/>
      <c r="AS74" s="737"/>
    </row>
    <row r="75" spans="2:45">
      <c r="B75" s="803" t="s">
        <v>213</v>
      </c>
      <c r="C75" s="756"/>
      <c r="D75" s="998">
        <f ca="1">EWC!E22</f>
        <v>82.124726222045993</v>
      </c>
      <c r="E75" s="998">
        <f ca="1">EWC!F22</f>
        <v>146.74873066685086</v>
      </c>
      <c r="F75" s="998">
        <f ca="1">EWC!G22</f>
        <v>84.216958404117776</v>
      </c>
      <c r="G75" s="998">
        <f ca="1">EWC!H22</f>
        <v>46.666728242981122</v>
      </c>
      <c r="H75" s="1007">
        <f ca="1">EWC!I22</f>
        <v>46.288582322607212</v>
      </c>
      <c r="J75" s="980">
        <v>24</v>
      </c>
      <c r="K75" s="984">
        <v>44559</v>
      </c>
      <c r="L75" s="985" t="str">
        <v xml:space="preserve"> </v>
      </c>
      <c r="M75" s="985" t="str">
        <v xml:space="preserve"> </v>
      </c>
      <c r="N75" s="947" t="str">
        <v/>
      </c>
      <c r="S75"/>
      <c r="T75"/>
      <c r="U75"/>
      <c r="V75"/>
      <c r="W75"/>
      <c r="X75"/>
      <c r="Y75" s="737"/>
      <c r="Z75" s="737"/>
      <c r="AA75" s="737"/>
      <c r="AB75" s="737"/>
      <c r="AC75" s="737"/>
      <c r="AD75" s="737"/>
      <c r="AE75" s="737"/>
      <c r="AF75" s="737"/>
      <c r="AG75" s="737"/>
      <c r="AH75" s="737"/>
      <c r="AI75" s="737"/>
      <c r="AJ75" s="737"/>
      <c r="AK75" s="737"/>
      <c r="AL75" s="737"/>
      <c r="AM75" s="737"/>
      <c r="AN75" s="737"/>
      <c r="AO75" s="737"/>
      <c r="AP75" s="737"/>
      <c r="AQ75" s="737"/>
      <c r="AR75" s="737"/>
      <c r="AS75" s="737"/>
    </row>
    <row r="76" spans="2:45" ht="13.5" thickBot="1">
      <c r="B76" s="800" t="s">
        <v>212</v>
      </c>
      <c r="C76" s="755"/>
      <c r="D76" s="998">
        <f>EWC!E23</f>
        <v>84.179504699999995</v>
      </c>
      <c r="E76" s="998">
        <f>EWC!F23</f>
        <v>84.413988000000003</v>
      </c>
      <c r="F76" s="998">
        <f>EWC!G23</f>
        <v>84.413988000000003</v>
      </c>
      <c r="G76" s="998">
        <f>EWC!H23</f>
        <v>89.103653999999992</v>
      </c>
      <c r="H76" s="1007">
        <f>EWC!I23</f>
        <v>89.103653999999992</v>
      </c>
      <c r="J76" s="988">
        <v>25</v>
      </c>
      <c r="K76" s="989">
        <v>44924</v>
      </c>
      <c r="L76" s="1229" t="str">
        <v xml:space="preserve"> </v>
      </c>
      <c r="M76" s="1229" t="str">
        <v xml:space="preserve"> </v>
      </c>
      <c r="N76" s="1090" t="str">
        <v/>
      </c>
      <c r="Q76"/>
      <c r="R76"/>
      <c r="S76"/>
      <c r="T76"/>
      <c r="U76"/>
      <c r="V76"/>
      <c r="W76"/>
      <c r="X76"/>
      <c r="Y76" s="737"/>
      <c r="Z76" s="737"/>
      <c r="AA76" s="737"/>
      <c r="AB76" s="737"/>
      <c r="AC76" s="737"/>
      <c r="AD76" s="737"/>
      <c r="AE76" s="737"/>
      <c r="AF76" s="737"/>
      <c r="AG76" s="737"/>
      <c r="AH76" s="737"/>
      <c r="AI76" s="737"/>
      <c r="AJ76" s="737"/>
      <c r="AK76" s="737"/>
      <c r="AL76" s="737"/>
      <c r="AM76" s="737"/>
      <c r="AN76" s="737"/>
      <c r="AO76" s="737"/>
      <c r="AP76" s="737"/>
      <c r="AQ76" s="737"/>
      <c r="AR76" s="737"/>
      <c r="AS76" s="737"/>
    </row>
    <row r="77" spans="2:45" ht="13.5" thickBot="1">
      <c r="B77" s="1011" t="s">
        <v>214</v>
      </c>
      <c r="C77" s="1003"/>
      <c r="D77" s="683">
        <f ca="1">SUM(D72:D76)</f>
        <v>38.546358624811816</v>
      </c>
      <c r="E77" s="683">
        <f ca="1">SUM(E72:E76)</f>
        <v>85.018261239096788</v>
      </c>
      <c r="F77" s="683">
        <f ca="1">SUM(F72:F76)</f>
        <v>84.82349790080012</v>
      </c>
      <c r="G77" s="683">
        <f ca="1">SUM(G72:G76)</f>
        <v>89.741750787445014</v>
      </c>
      <c r="H77" s="1012">
        <f ca="1">SUM(H72:H76)</f>
        <v>89.993440795975118</v>
      </c>
      <c r="Q77"/>
      <c r="R77"/>
      <c r="S77"/>
      <c r="T77"/>
      <c r="U77"/>
      <c r="V77"/>
      <c r="W77"/>
      <c r="X77"/>
      <c r="Y77" s="737"/>
      <c r="Z77" s="737"/>
      <c r="AA77" s="737"/>
      <c r="AB77" s="737"/>
      <c r="AC77" s="737"/>
      <c r="AD77" s="737"/>
      <c r="AE77" s="737"/>
      <c r="AF77" s="737"/>
      <c r="AG77" s="737"/>
      <c r="AH77" s="737"/>
      <c r="AI77" s="737"/>
      <c r="AJ77" s="737"/>
      <c r="AK77" s="737"/>
      <c r="AL77" s="737"/>
      <c r="AM77" s="737"/>
      <c r="AN77" s="737"/>
      <c r="AO77" s="737"/>
      <c r="AP77" s="737"/>
      <c r="AQ77" s="737"/>
      <c r="AR77" s="737"/>
      <c r="AS77" s="737"/>
    </row>
    <row r="78" spans="2:45" ht="13.5" thickBot="1">
      <c r="B78" s="974"/>
      <c r="C78" s="795"/>
      <c r="D78" s="795"/>
      <c r="E78" s="639"/>
      <c r="F78" s="639"/>
      <c r="G78" s="639"/>
      <c r="H78" s="640"/>
      <c r="Q78"/>
      <c r="R78"/>
      <c r="S78"/>
      <c r="T78"/>
      <c r="U78"/>
      <c r="V78"/>
      <c r="W78"/>
      <c r="X78"/>
      <c r="Y78" s="737"/>
      <c r="Z78" s="737"/>
      <c r="AA78" s="737"/>
      <c r="AB78" s="737"/>
      <c r="AC78" s="737"/>
      <c r="AD78" s="737"/>
      <c r="AE78" s="737"/>
      <c r="AF78" s="737"/>
      <c r="AG78" s="737"/>
      <c r="AH78" s="737"/>
      <c r="AI78" s="737"/>
      <c r="AJ78" s="737"/>
      <c r="AK78" s="737"/>
      <c r="AL78" s="737"/>
      <c r="AM78" s="737"/>
      <c r="AN78" s="737"/>
      <c r="AO78" s="737"/>
      <c r="AP78" s="737"/>
      <c r="AQ78" s="737"/>
      <c r="AR78" s="737"/>
      <c r="AS78" s="737"/>
    </row>
    <row r="79" spans="2:45">
      <c r="Q79"/>
      <c r="R79"/>
      <c r="S79"/>
      <c r="T79"/>
      <c r="U79"/>
      <c r="V79"/>
      <c r="W79"/>
      <c r="X79"/>
      <c r="Y79" s="737"/>
      <c r="Z79" s="737"/>
      <c r="AA79" s="737"/>
      <c r="AB79" s="737"/>
      <c r="AC79" s="737"/>
      <c r="AD79" s="737"/>
      <c r="AE79" s="737"/>
      <c r="AF79" s="737"/>
      <c r="AG79" s="737"/>
      <c r="AH79" s="737"/>
      <c r="AI79" s="737"/>
      <c r="AJ79" s="737"/>
      <c r="AK79" s="737"/>
      <c r="AL79" s="737"/>
      <c r="AM79" s="737"/>
      <c r="AN79" s="737"/>
      <c r="AO79" s="737"/>
      <c r="AP79" s="737"/>
      <c r="AQ79" s="737"/>
      <c r="AR79" s="737"/>
      <c r="AS79" s="737"/>
    </row>
    <row r="80" spans="2:45">
      <c r="Q80"/>
      <c r="R80"/>
      <c r="S80"/>
      <c r="T80"/>
      <c r="U80"/>
      <c r="V80"/>
      <c r="W80"/>
      <c r="X80"/>
      <c r="Y80" s="810"/>
      <c r="Z80" s="810"/>
      <c r="AA80" s="810"/>
      <c r="AB80" s="810"/>
      <c r="AC80" s="810"/>
      <c r="AD80" s="810"/>
      <c r="AE80" s="810"/>
      <c r="AF80" s="810"/>
      <c r="AG80" s="810"/>
      <c r="AH80" s="810"/>
      <c r="AI80" s="810"/>
      <c r="AJ80" s="810"/>
      <c r="AK80" s="810"/>
      <c r="AL80" s="810"/>
      <c r="AM80" s="810"/>
      <c r="AN80" s="810"/>
      <c r="AO80" s="810"/>
      <c r="AP80" s="810"/>
      <c r="AQ80" s="810"/>
      <c r="AR80" s="810"/>
      <c r="AS80" s="810"/>
    </row>
    <row r="81" spans="1:45">
      <c r="I81"/>
      <c r="N81"/>
      <c r="O81"/>
      <c r="P81"/>
      <c r="Q81"/>
      <c r="R81"/>
      <c r="S81"/>
      <c r="T81"/>
      <c r="U81"/>
      <c r="V81"/>
      <c r="W81"/>
      <c r="X81"/>
      <c r="Y81" s="810"/>
      <c r="Z81" s="810"/>
      <c r="AA81" s="810"/>
      <c r="AB81" s="810"/>
      <c r="AC81" s="810"/>
      <c r="AD81" s="810"/>
      <c r="AE81" s="810"/>
      <c r="AF81" s="810"/>
      <c r="AG81" s="810"/>
      <c r="AH81" s="810"/>
      <c r="AI81" s="810"/>
      <c r="AJ81" s="810"/>
      <c r="AK81" s="810"/>
      <c r="AL81" s="810"/>
      <c r="AM81" s="810"/>
      <c r="AN81" s="810"/>
      <c r="AO81" s="810"/>
      <c r="AP81" s="810"/>
      <c r="AQ81" s="810"/>
      <c r="AR81" s="810"/>
      <c r="AS81" s="810"/>
    </row>
    <row r="82" spans="1:45" s="584" customFormat="1">
      <c r="I82" s="214"/>
      <c r="N82" s="214"/>
      <c r="O82" s="214"/>
      <c r="P82" s="214"/>
      <c r="Q82" s="214"/>
      <c r="R82" s="214"/>
      <c r="S82" s="214"/>
      <c r="T82" s="214"/>
      <c r="U82" s="214"/>
      <c r="V82" s="214"/>
      <c r="W82" s="214"/>
      <c r="X82" s="214"/>
      <c r="Y82" s="1017"/>
      <c r="Z82" s="1017"/>
      <c r="AA82" s="1017"/>
      <c r="AB82" s="1017"/>
      <c r="AC82" s="1017"/>
      <c r="AD82" s="1017"/>
      <c r="AE82" s="1017"/>
      <c r="AF82" s="1017"/>
      <c r="AG82" s="1017"/>
      <c r="AH82" s="1017"/>
      <c r="AI82" s="1017"/>
      <c r="AJ82" s="1017"/>
      <c r="AK82" s="1017"/>
      <c r="AL82" s="1017"/>
      <c r="AM82" s="1017"/>
      <c r="AN82" s="1017"/>
      <c r="AO82" s="1017"/>
      <c r="AP82" s="1017"/>
      <c r="AQ82" s="1017"/>
      <c r="AR82" s="1017"/>
      <c r="AS82" s="1017"/>
    </row>
    <row r="83" spans="1:45">
      <c r="I83"/>
      <c r="N83"/>
      <c r="O83"/>
      <c r="P83"/>
      <c r="Q83"/>
      <c r="R83"/>
      <c r="S83"/>
      <c r="T83"/>
      <c r="U83"/>
      <c r="V83"/>
      <c r="W83"/>
      <c r="X83"/>
      <c r="Y83" s="737"/>
      <c r="Z83" s="737"/>
      <c r="AA83" s="737"/>
      <c r="AB83" s="737"/>
      <c r="AC83" s="737"/>
      <c r="AD83" s="737"/>
      <c r="AE83" s="737"/>
      <c r="AF83" s="737"/>
      <c r="AG83" s="737"/>
      <c r="AH83" s="737"/>
      <c r="AI83" s="737"/>
      <c r="AJ83" s="737"/>
      <c r="AK83" s="737"/>
      <c r="AL83" s="737"/>
      <c r="AM83" s="737"/>
      <c r="AN83" s="737"/>
      <c r="AO83" s="737"/>
      <c r="AP83" s="737"/>
      <c r="AQ83" s="737"/>
      <c r="AR83" s="737"/>
      <c r="AS83" s="737"/>
    </row>
    <row r="84" spans="1:45">
      <c r="E84"/>
      <c r="F84"/>
      <c r="G84"/>
      <c r="H84"/>
      <c r="I84"/>
      <c r="N84"/>
      <c r="O84"/>
      <c r="P84"/>
      <c r="Q84"/>
      <c r="R84"/>
      <c r="S84"/>
      <c r="T84"/>
      <c r="U84"/>
      <c r="V84"/>
      <c r="W84"/>
      <c r="X84"/>
      <c r="Y84" s="810"/>
      <c r="Z84" s="810"/>
      <c r="AA84" s="810"/>
      <c r="AB84" s="810"/>
      <c r="AC84" s="810"/>
      <c r="AD84" s="810"/>
      <c r="AE84" s="810"/>
      <c r="AF84" s="810"/>
      <c r="AG84" s="810"/>
      <c r="AH84" s="810"/>
      <c r="AI84" s="810"/>
      <c r="AJ84" s="810"/>
      <c r="AK84" s="810"/>
      <c r="AL84" s="810"/>
      <c r="AM84" s="810"/>
      <c r="AN84" s="810"/>
      <c r="AO84" s="810"/>
      <c r="AP84" s="810"/>
      <c r="AQ84" s="810"/>
      <c r="AR84" s="810"/>
      <c r="AS84" s="810"/>
    </row>
    <row r="85" spans="1:45">
      <c r="F85"/>
      <c r="G85"/>
      <c r="H85"/>
      <c r="I85"/>
      <c r="N85"/>
      <c r="O85"/>
      <c r="P85"/>
      <c r="Q85"/>
      <c r="R85"/>
      <c r="S85"/>
      <c r="T85"/>
      <c r="U85"/>
      <c r="V85"/>
      <c r="W85"/>
      <c r="X85"/>
      <c r="Y85" s="737"/>
      <c r="Z85" s="737"/>
      <c r="AA85" s="737"/>
      <c r="AB85" s="737"/>
      <c r="AC85" s="737"/>
      <c r="AD85" s="737"/>
      <c r="AE85" s="737"/>
      <c r="AF85" s="737"/>
      <c r="AG85" s="737"/>
      <c r="AH85" s="737"/>
      <c r="AI85" s="737"/>
      <c r="AJ85" s="737"/>
      <c r="AK85" s="737"/>
      <c r="AL85" s="737"/>
      <c r="AM85" s="737"/>
      <c r="AN85" s="737"/>
      <c r="AO85" s="737"/>
      <c r="AP85" s="737"/>
      <c r="AQ85" s="737"/>
      <c r="AR85" s="737"/>
      <c r="AS85" s="737"/>
    </row>
    <row r="86" spans="1:45">
      <c r="F86"/>
      <c r="G86"/>
      <c r="H86"/>
      <c r="I86"/>
      <c r="N86"/>
      <c r="O86"/>
      <c r="P86"/>
      <c r="Q86"/>
      <c r="R86"/>
      <c r="S86"/>
      <c r="T86"/>
      <c r="U86"/>
      <c r="V86"/>
      <c r="W86"/>
      <c r="X86"/>
      <c r="Y86" s="737"/>
      <c r="Z86" s="737"/>
      <c r="AA86" s="737"/>
      <c r="AB86" s="737"/>
      <c r="AC86" s="737"/>
      <c r="AD86" s="737"/>
      <c r="AE86" s="737"/>
      <c r="AF86" s="737"/>
      <c r="AG86" s="737"/>
      <c r="AH86" s="737"/>
      <c r="AI86" s="737"/>
      <c r="AJ86" s="737"/>
      <c r="AK86" s="737"/>
      <c r="AL86" s="737"/>
      <c r="AM86" s="737"/>
      <c r="AN86" s="737"/>
      <c r="AO86" s="737"/>
      <c r="AP86" s="737"/>
      <c r="AQ86" s="737"/>
      <c r="AR86" s="737"/>
      <c r="AS86" s="737"/>
    </row>
    <row r="87" spans="1:45">
      <c r="F87"/>
      <c r="G87"/>
      <c r="H87"/>
      <c r="I87"/>
      <c r="N87"/>
      <c r="O87"/>
      <c r="P87"/>
      <c r="Q87"/>
      <c r="R87"/>
      <c r="S87"/>
      <c r="T87"/>
      <c r="U87"/>
      <c r="V87"/>
      <c r="W87"/>
      <c r="X87"/>
      <c r="Y87" s="737"/>
      <c r="Z87" s="737"/>
      <c r="AA87" s="737"/>
      <c r="AB87" s="737"/>
      <c r="AC87" s="737"/>
      <c r="AD87" s="737"/>
      <c r="AE87" s="737"/>
      <c r="AF87" s="737"/>
      <c r="AG87" s="737"/>
      <c r="AH87" s="737"/>
      <c r="AI87" s="737"/>
      <c r="AJ87" s="737"/>
      <c r="AK87" s="737"/>
      <c r="AL87" s="737"/>
      <c r="AM87" s="737"/>
      <c r="AN87" s="737"/>
      <c r="AO87" s="737"/>
      <c r="AP87" s="737"/>
      <c r="AQ87" s="737"/>
      <c r="AR87" s="737"/>
      <c r="AS87" s="737"/>
    </row>
    <row r="88" spans="1:45" customFormat="1"/>
    <row r="89" spans="1:45" customFormat="1"/>
    <row r="90" spans="1:45" customFormat="1"/>
    <row r="91" spans="1:45">
      <c r="A91" s="737"/>
      <c r="B91" s="737"/>
      <c r="C91" s="737"/>
      <c r="D91" s="737"/>
      <c r="Y91" s="737"/>
      <c r="Z91" s="737"/>
      <c r="AA91" s="737"/>
      <c r="AB91" s="737"/>
      <c r="AC91" s="737"/>
      <c r="AD91" s="737"/>
      <c r="AE91" s="737"/>
      <c r="AF91" s="737"/>
      <c r="AG91" s="737"/>
      <c r="AH91" s="737"/>
      <c r="AI91" s="737"/>
      <c r="AJ91" s="737"/>
      <c r="AK91" s="737"/>
      <c r="AL91" s="737"/>
      <c r="AM91" s="737"/>
      <c r="AN91" s="737"/>
      <c r="AO91" s="737"/>
      <c r="AP91" s="737"/>
      <c r="AQ91" s="737"/>
      <c r="AR91" s="737"/>
      <c r="AS91" s="737"/>
    </row>
    <row r="92" spans="1:45">
      <c r="A92" s="737"/>
      <c r="B92" s="737"/>
      <c r="C92" s="737"/>
      <c r="D92" s="737"/>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37"/>
      <c r="AD92" s="737"/>
      <c r="AE92" s="737"/>
      <c r="AF92" s="737"/>
      <c r="AG92" s="737"/>
      <c r="AH92" s="737"/>
      <c r="AI92" s="737"/>
      <c r="AJ92" s="737"/>
      <c r="AK92" s="737"/>
      <c r="AL92" s="737"/>
      <c r="AM92" s="737"/>
      <c r="AN92" s="737"/>
      <c r="AO92" s="737"/>
      <c r="AP92" s="737"/>
      <c r="AQ92" s="737"/>
      <c r="AR92" s="737"/>
      <c r="AS92" s="737"/>
    </row>
    <row r="93" spans="1:45">
      <c r="A93" s="737"/>
      <c r="B93" s="737"/>
      <c r="C93" s="737"/>
      <c r="D93" s="737"/>
      <c r="E93" s="737"/>
      <c r="F93" s="737"/>
      <c r="G93" s="737"/>
      <c r="H93" s="737"/>
      <c r="I93" s="737"/>
      <c r="J93" s="737"/>
      <c r="K93" s="737"/>
      <c r="L93" s="737"/>
      <c r="M93" s="737"/>
      <c r="N93" s="737"/>
      <c r="O93" s="737"/>
      <c r="P93" s="737"/>
      <c r="Q93" s="737"/>
      <c r="R93" s="737"/>
      <c r="S93" s="737"/>
      <c r="T93" s="737"/>
      <c r="U93" s="737"/>
      <c r="V93" s="737"/>
      <c r="W93" s="737"/>
      <c r="X93" s="737"/>
      <c r="Y93" s="737"/>
      <c r="Z93" s="737"/>
      <c r="AA93" s="737"/>
      <c r="AB93" s="737"/>
      <c r="AC93" s="737"/>
      <c r="AD93" s="737"/>
      <c r="AE93" s="737"/>
      <c r="AF93" s="737"/>
      <c r="AG93" s="737"/>
      <c r="AH93" s="737"/>
      <c r="AI93" s="737"/>
      <c r="AJ93" s="737"/>
      <c r="AK93" s="737"/>
      <c r="AL93" s="737"/>
      <c r="AM93" s="737"/>
      <c r="AN93" s="737"/>
      <c r="AO93" s="737"/>
      <c r="AP93" s="737"/>
      <c r="AQ93" s="737"/>
      <c r="AR93" s="737"/>
      <c r="AS93" s="737"/>
    </row>
    <row r="94" spans="1:45">
      <c r="A94" s="737"/>
      <c r="B94" s="737"/>
      <c r="C94" s="737"/>
      <c r="D94" s="737"/>
      <c r="E94" s="738"/>
      <c r="F94" s="738"/>
      <c r="G94" s="737"/>
      <c r="H94" s="737"/>
      <c r="I94" s="737"/>
      <c r="J94" s="737"/>
      <c r="K94" s="737"/>
      <c r="L94" s="737"/>
      <c r="M94" s="737"/>
      <c r="N94" s="737"/>
      <c r="O94" s="737"/>
      <c r="P94" s="737"/>
      <c r="Q94" s="737"/>
      <c r="R94" s="737"/>
      <c r="S94" s="737"/>
      <c r="T94" s="737"/>
      <c r="U94" s="737"/>
      <c r="V94" s="737"/>
      <c r="W94" s="737"/>
      <c r="X94" s="737"/>
      <c r="Y94" s="737"/>
      <c r="Z94" s="737"/>
      <c r="AA94" s="737"/>
      <c r="AB94" s="737"/>
      <c r="AC94" s="737"/>
      <c r="AD94" s="737"/>
      <c r="AE94" s="737"/>
      <c r="AF94" s="737"/>
      <c r="AG94" s="737"/>
      <c r="AH94" s="737"/>
      <c r="AI94" s="737"/>
      <c r="AJ94" s="737"/>
      <c r="AK94" s="737"/>
      <c r="AL94" s="737"/>
      <c r="AM94" s="737"/>
      <c r="AN94" s="737"/>
      <c r="AO94" s="737"/>
      <c r="AP94" s="737"/>
      <c r="AQ94" s="737"/>
      <c r="AR94" s="737"/>
      <c r="AS94" s="737"/>
    </row>
    <row r="95" spans="1:45">
      <c r="A95" s="737"/>
      <c r="B95" s="737"/>
      <c r="C95" s="737"/>
      <c r="D95" s="737"/>
      <c r="E95" s="738"/>
      <c r="F95" s="737"/>
      <c r="G95" s="737"/>
      <c r="H95" s="737"/>
      <c r="I95" s="737"/>
      <c r="J95" s="737"/>
      <c r="K95" s="737"/>
      <c r="L95" s="737"/>
      <c r="M95" s="737"/>
      <c r="N95" s="737"/>
      <c r="O95" s="737"/>
      <c r="P95" s="737"/>
      <c r="Q95" s="737"/>
      <c r="R95" s="737"/>
      <c r="S95" s="737"/>
      <c r="T95" s="737"/>
      <c r="U95" s="737"/>
      <c r="V95" s="737"/>
      <c r="W95" s="737"/>
      <c r="X95" s="737"/>
      <c r="Y95" s="737"/>
      <c r="Z95" s="737"/>
      <c r="AA95" s="737"/>
      <c r="AB95" s="737"/>
      <c r="AC95" s="737"/>
      <c r="AD95" s="737"/>
      <c r="AE95" s="737"/>
      <c r="AF95" s="737"/>
      <c r="AG95" s="737"/>
      <c r="AH95" s="737"/>
      <c r="AI95" s="737"/>
      <c r="AJ95" s="737"/>
      <c r="AK95" s="737"/>
      <c r="AL95" s="737"/>
      <c r="AM95" s="737"/>
      <c r="AN95" s="737"/>
      <c r="AO95" s="737"/>
      <c r="AP95" s="737"/>
      <c r="AQ95" s="737"/>
      <c r="AR95" s="737"/>
      <c r="AS95" s="737"/>
    </row>
    <row r="96" spans="1:45">
      <c r="A96" s="737"/>
      <c r="B96" s="737"/>
      <c r="C96" s="737"/>
      <c r="D96" s="737"/>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row>
    <row r="97" spans="1:28">
      <c r="A97" s="737"/>
      <c r="B97" s="737"/>
      <c r="C97" s="737"/>
      <c r="D97" s="737"/>
      <c r="E97" s="737"/>
      <c r="F97" s="737"/>
      <c r="G97" s="737"/>
      <c r="H97" s="737"/>
      <c r="I97" s="737"/>
      <c r="J97" s="737"/>
      <c r="K97" s="737"/>
      <c r="L97" s="737"/>
      <c r="M97" s="737"/>
      <c r="N97" s="737"/>
      <c r="O97" s="737"/>
      <c r="P97" s="737"/>
      <c r="Q97" s="737"/>
      <c r="R97" s="737"/>
      <c r="S97" s="737"/>
      <c r="T97" s="737"/>
      <c r="U97" s="737"/>
      <c r="V97" s="737"/>
      <c r="W97" s="737"/>
      <c r="X97" s="737"/>
      <c r="Y97" s="737"/>
      <c r="Z97" s="737"/>
      <c r="AA97" s="737"/>
      <c r="AB97" s="737"/>
    </row>
    <row r="98" spans="1:28">
      <c r="A98" s="737"/>
      <c r="B98" s="737"/>
      <c r="C98" s="737"/>
      <c r="D98" s="737"/>
      <c r="E98" s="737"/>
      <c r="F98" s="737"/>
      <c r="G98" s="737"/>
      <c r="H98" s="737"/>
      <c r="I98" s="737"/>
      <c r="J98" s="737"/>
      <c r="K98" s="737"/>
      <c r="L98" s="737"/>
      <c r="M98" s="737"/>
      <c r="N98" s="737"/>
      <c r="O98" s="737"/>
      <c r="P98" s="737"/>
      <c r="Q98" s="737"/>
      <c r="R98" s="737"/>
      <c r="S98" s="737"/>
      <c r="T98" s="737"/>
      <c r="U98" s="737"/>
      <c r="V98" s="737"/>
      <c r="W98" s="737"/>
      <c r="X98" s="737"/>
      <c r="Y98" s="737"/>
      <c r="Z98" s="737"/>
      <c r="AA98" s="737"/>
      <c r="AB98" s="737"/>
    </row>
    <row r="99" spans="1:28">
      <c r="A99" s="737"/>
      <c r="B99" s="737"/>
      <c r="C99" s="737"/>
      <c r="D99" s="737"/>
      <c r="E99" s="737"/>
      <c r="F99" s="737"/>
      <c r="G99" s="737"/>
      <c r="H99" s="737"/>
      <c r="I99" s="737"/>
      <c r="J99" s="737"/>
      <c r="K99" s="737"/>
      <c r="L99" s="737"/>
      <c r="M99" s="737"/>
      <c r="N99" s="737"/>
      <c r="O99" s="737"/>
      <c r="P99" s="737"/>
      <c r="Q99" s="737"/>
      <c r="R99" s="737"/>
      <c r="S99" s="737"/>
      <c r="T99" s="737"/>
      <c r="U99" s="737"/>
      <c r="V99" s="737"/>
      <c r="W99" s="737"/>
      <c r="X99" s="737"/>
      <c r="Y99" s="737"/>
      <c r="Z99" s="737"/>
      <c r="AA99" s="737"/>
      <c r="AB99" s="737"/>
    </row>
    <row r="100" spans="1:28">
      <c r="E100" s="737"/>
      <c r="F100" s="737"/>
      <c r="G100" s="737"/>
      <c r="H100" s="737"/>
      <c r="I100" s="737"/>
      <c r="J100" s="737"/>
      <c r="K100" s="737"/>
      <c r="L100" s="737"/>
      <c r="M100" s="737"/>
      <c r="N100" s="737"/>
      <c r="O100" s="737"/>
      <c r="P100" s="737"/>
      <c r="Q100" s="737"/>
      <c r="R100" s="737"/>
      <c r="S100" s="737"/>
      <c r="T100" s="737"/>
      <c r="U100" s="737"/>
      <c r="V100" s="737"/>
      <c r="W100" s="737"/>
      <c r="X100" s="737"/>
      <c r="Y100" s="737"/>
      <c r="Z100" s="737"/>
      <c r="AA100" s="737"/>
      <c r="AB100" s="737"/>
    </row>
  </sheetData>
  <pageMargins left="0.25" right="0.23" top="0.32" bottom="0.36" header="0.32" footer="0.4"/>
  <pageSetup scale="25" orientation="landscape" verticalDpi="300" r:id="rId1"/>
  <headerFooter alignWithMargins="0">
    <oddFooter>&amp;L&amp;D&amp;R&amp;F</oddFooter>
  </headerFooter>
  <drawing r:id="rId2"/>
  <legacyDrawing r:id="rId3"/>
  <oleObjects>
    <mc:AlternateContent xmlns:mc="http://schemas.openxmlformats.org/markup-compatibility/2006">
      <mc:Choice Requires="x14">
        <oleObject progId="WPDraw30.Drawing" shapeId="2050" r:id="rId4">
          <objectPr defaultSize="0" autoPict="0" r:id="rId5">
            <anchor moveWithCells="1">
              <from>
                <xdr:col>14</xdr:col>
                <xdr:colOff>304800</xdr:colOff>
                <xdr:row>62</xdr:row>
                <xdr:rowOff>38100</xdr:rowOff>
              </from>
              <to>
                <xdr:col>15</xdr:col>
                <xdr:colOff>1409700</xdr:colOff>
                <xdr:row>75</xdr:row>
                <xdr:rowOff>95250</xdr:rowOff>
              </to>
            </anchor>
          </objectPr>
        </oleObject>
      </mc:Choice>
      <mc:Fallback>
        <oleObject progId="WPDraw30.Drawing" shapeId="2050" r:id="rId4"/>
      </mc:Fallback>
    </mc:AlternateContent>
  </oleObjects>
  <mc:AlternateContent xmlns:mc="http://schemas.openxmlformats.org/markup-compatibility/2006">
    <mc:Choice Requires="x14">
      <controls>
        <mc:AlternateContent xmlns:mc="http://schemas.openxmlformats.org/markup-compatibility/2006">
          <mc:Choice Requires="x14">
            <control shapeId="2217" r:id="rId6" name="Button 169">
              <controlPr defaultSize="0" print="0" autoFill="0" autoPict="0" macro="[0]!Print_EWCSum">
                <anchor moveWithCells="1" sizeWithCells="1">
                  <from>
                    <xdr:col>2</xdr:col>
                    <xdr:colOff>9525</xdr:colOff>
                    <xdr:row>0</xdr:row>
                    <xdr:rowOff>28575</xdr:rowOff>
                  </from>
                  <to>
                    <xdr:col>2</xdr:col>
                    <xdr:colOff>1038225</xdr:colOff>
                    <xdr:row>1</xdr:row>
                    <xdr:rowOff>28575</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U57"/>
  <sheetViews>
    <sheetView zoomScale="75" workbookViewId="0">
      <selection sqref="A1:K34"/>
    </sheetView>
  </sheetViews>
  <sheetFormatPr defaultColWidth="8.7109375" defaultRowHeight="12.75"/>
  <cols>
    <col min="1" max="1" width="8.7109375" customWidth="1"/>
    <col min="2" max="2" width="41" style="65" customWidth="1"/>
    <col min="3" max="3" width="5.7109375" style="65" customWidth="1"/>
    <col min="4" max="4" width="5.28515625" customWidth="1"/>
    <col min="5" max="5" width="14.85546875" style="177" customWidth="1"/>
    <col min="6" max="8" width="14.85546875" style="65" customWidth="1"/>
    <col min="9" max="9" width="11.140625" customWidth="1"/>
    <col min="10" max="10" width="11.7109375" customWidth="1"/>
    <col min="11" max="11" width="12.42578125" customWidth="1"/>
    <col min="12" max="12" width="7.7109375" customWidth="1"/>
    <col min="13" max="13" width="42" customWidth="1"/>
  </cols>
  <sheetData>
    <row r="1" spans="1:21" ht="15.75">
      <c r="A1" s="38"/>
      <c r="B1" s="337" t="s">
        <v>459</v>
      </c>
      <c r="C1" s="337"/>
      <c r="E1" s="352"/>
      <c r="F1" s="338" t="str">
        <f>ExecSum!$E$4</f>
        <v>Sweetwater 129.00MW Project</v>
      </c>
      <c r="I1" s="38"/>
      <c r="J1" s="38"/>
      <c r="K1" s="38"/>
      <c r="N1" s="38"/>
      <c r="O1" s="38"/>
      <c r="P1" s="38"/>
      <c r="Q1" s="38"/>
      <c r="R1" s="38"/>
      <c r="S1" s="38"/>
      <c r="T1" s="38"/>
      <c r="U1" s="38"/>
    </row>
    <row r="2" spans="1:21">
      <c r="A2" s="38"/>
      <c r="E2" s="184"/>
      <c r="F2" s="168"/>
      <c r="I2" s="38"/>
      <c r="J2" s="38"/>
      <c r="K2" s="38"/>
      <c r="N2" s="38"/>
      <c r="O2" s="38"/>
      <c r="P2" s="38"/>
      <c r="Q2" s="38"/>
      <c r="R2" s="38"/>
      <c r="S2" s="38"/>
      <c r="T2" s="38"/>
      <c r="U2" s="38"/>
    </row>
    <row r="3" spans="1:21">
      <c r="A3" s="38"/>
      <c r="B3" s="170" t="str">
        <f>Assum!B21</f>
        <v xml:space="preserve">EXCHANGE RATE                 Local Currency  = </v>
      </c>
      <c r="C3" s="170"/>
      <c r="D3" s="436" t="str">
        <f>Assum!E21</f>
        <v xml:space="preserve">  $</v>
      </c>
      <c r="E3" s="437">
        <f>Assum!F21</f>
        <v>1</v>
      </c>
      <c r="I3" s="38"/>
      <c r="J3" s="38"/>
      <c r="K3" s="38"/>
      <c r="N3" s="38"/>
      <c r="O3" s="38"/>
      <c r="P3" s="38"/>
      <c r="Q3" s="38"/>
      <c r="R3" s="38"/>
      <c r="S3" s="38"/>
      <c r="T3" s="38"/>
      <c r="U3" s="38"/>
    </row>
    <row r="4" spans="1:21">
      <c r="A4" s="38"/>
      <c r="B4" s="77"/>
      <c r="C4" s="77"/>
      <c r="I4" s="38"/>
      <c r="J4" s="38"/>
      <c r="N4" s="38"/>
      <c r="O4" s="38"/>
      <c r="P4" s="38"/>
      <c r="Q4" s="38"/>
      <c r="R4" s="38"/>
      <c r="S4" s="38"/>
      <c r="T4" s="38"/>
      <c r="U4" s="38"/>
    </row>
    <row r="5" spans="1:21">
      <c r="A5" s="38"/>
      <c r="B5" s="1162" t="s">
        <v>238</v>
      </c>
      <c r="C5" s="1565"/>
      <c r="E5" s="1160" t="s">
        <v>457</v>
      </c>
      <c r="F5" s="1161" t="s">
        <v>160</v>
      </c>
      <c r="G5" s="1161" t="s">
        <v>161</v>
      </c>
      <c r="H5" s="1161" t="s">
        <v>143</v>
      </c>
      <c r="I5" s="38"/>
      <c r="J5" s="46" t="s">
        <v>595</v>
      </c>
      <c r="K5" s="171"/>
      <c r="N5" s="38"/>
      <c r="O5" s="38"/>
      <c r="P5" s="38"/>
      <c r="Q5" s="38"/>
      <c r="R5" s="38"/>
      <c r="S5" s="38"/>
      <c r="T5" s="38"/>
      <c r="U5" s="38"/>
    </row>
    <row r="6" spans="1:21">
      <c r="A6" s="38"/>
      <c r="B6" s="171" t="s">
        <v>448</v>
      </c>
      <c r="C6" s="171"/>
      <c r="E6" s="560">
        <f ca="1">(IF(Assum!E331=1,$E$3*Assum!E334,J6*Assum!D334))</f>
        <v>90426.917782438628</v>
      </c>
      <c r="F6" s="172">
        <f ca="1">$E6/$E$12</f>
        <v>0.68707368003937674</v>
      </c>
      <c r="G6" s="173">
        <f ca="1">E6/Assum!$F$31</f>
        <v>700.98385877859403</v>
      </c>
      <c r="H6" s="173">
        <f ca="1">E6/Assum!$F$30</f>
        <v>1051.4757881678911</v>
      </c>
      <c r="I6" s="38"/>
      <c r="J6" s="38">
        <f ca="1">E33-SUM(E8:E9)</f>
        <v>91340.320992118039</v>
      </c>
      <c r="K6" s="171"/>
      <c r="L6" s="45"/>
      <c r="M6" s="38"/>
      <c r="N6" s="38"/>
      <c r="O6" s="38"/>
      <c r="P6" s="38"/>
      <c r="Q6" s="38"/>
      <c r="R6" s="38"/>
      <c r="S6" s="38"/>
      <c r="T6" s="38"/>
      <c r="U6" s="38"/>
    </row>
    <row r="7" spans="1:21">
      <c r="A7" s="38"/>
      <c r="B7" s="171" t="s">
        <v>8</v>
      </c>
      <c r="C7" s="171"/>
      <c r="E7" s="560">
        <f ca="1">(IF(Assum!E331=1,$E$3*Assum!E335,J6*Assum!D335))</f>
        <v>913.40320992362251</v>
      </c>
      <c r="F7" s="172">
        <f ca="1">$E7/$E$12</f>
        <v>6.9401381822159275E-3</v>
      </c>
      <c r="G7" s="173">
        <f ca="1">E7/Assum!$F$31</f>
        <v>7.0806450381676163</v>
      </c>
      <c r="H7" s="173">
        <f ca="1">E7/Assum!$F$30</f>
        <v>10.620967557251424</v>
      </c>
      <c r="I7" s="38"/>
      <c r="J7" s="38"/>
      <c r="K7" s="171"/>
      <c r="L7" s="171"/>
      <c r="N7" s="38"/>
      <c r="O7" s="38"/>
      <c r="P7" s="38"/>
      <c r="Q7" s="38"/>
      <c r="R7" s="38"/>
      <c r="S7" s="38"/>
      <c r="T7" s="38"/>
      <c r="U7" s="38"/>
    </row>
    <row r="8" spans="1:21">
      <c r="A8" s="38"/>
      <c r="B8" s="171" t="s">
        <v>629</v>
      </c>
      <c r="C8" s="171"/>
      <c r="E8" s="351">
        <f>SrDebt!C123</f>
        <v>40271.353865997226</v>
      </c>
      <c r="F8" s="172">
        <f ca="1">$E8/$E$12</f>
        <v>0.30598618176337128</v>
      </c>
      <c r="G8" s="173">
        <f>E8/Assum!$F$31</f>
        <v>312.18103772090871</v>
      </c>
      <c r="H8" s="173">
        <f>E8/Assum!$F$30</f>
        <v>468.27155658136309</v>
      </c>
      <c r="I8" s="44"/>
      <c r="K8" s="171"/>
      <c r="L8" s="171"/>
      <c r="N8" s="38"/>
      <c r="O8" s="38"/>
      <c r="P8" s="38"/>
      <c r="Q8" s="38"/>
      <c r="R8" s="38"/>
      <c r="S8" s="38"/>
      <c r="T8" s="38"/>
      <c r="U8" s="38"/>
    </row>
    <row r="9" spans="1:21">
      <c r="A9" s="38"/>
      <c r="B9" s="168" t="s">
        <v>149</v>
      </c>
      <c r="C9" s="168"/>
      <c r="E9" s="184">
        <f>JrDebt!C70</f>
        <v>0</v>
      </c>
      <c r="F9" s="172">
        <f ca="1">$E9/$E$12</f>
        <v>0</v>
      </c>
      <c r="G9" s="173">
        <f>E9/Assum!$F$31</f>
        <v>0</v>
      </c>
      <c r="H9" s="173">
        <f>E9/Assum!$F$30</f>
        <v>0</v>
      </c>
      <c r="I9" s="38"/>
      <c r="K9" s="45"/>
      <c r="L9" s="45"/>
      <c r="M9" s="41"/>
      <c r="N9" s="38"/>
      <c r="O9" s="38"/>
      <c r="P9" s="38"/>
      <c r="Q9" s="38"/>
      <c r="R9" s="38"/>
      <c r="S9" s="38"/>
      <c r="T9" s="38"/>
      <c r="U9" s="38"/>
    </row>
    <row r="10" spans="1:21" ht="13.5" thickBot="1">
      <c r="A10" s="38"/>
      <c r="B10" s="563" t="s">
        <v>594</v>
      </c>
      <c r="C10" s="1564"/>
      <c r="D10" s="465"/>
      <c r="E10" s="564">
        <f ca="1">SUM(E6:E9)</f>
        <v>131611.67485835947</v>
      </c>
      <c r="F10" s="565">
        <f ca="1">$E10/$E$12</f>
        <v>0.99999999998496403</v>
      </c>
      <c r="G10" s="566">
        <f ca="1">E10/Assum!$F$31</f>
        <v>1020.2455415376703</v>
      </c>
      <c r="H10" s="566">
        <f ca="1">E10/Assum!$F$30</f>
        <v>1530.3683123065055</v>
      </c>
      <c r="I10" s="38"/>
      <c r="K10" s="45"/>
      <c r="L10" s="45"/>
      <c r="M10" s="198"/>
      <c r="N10" s="38"/>
      <c r="O10" s="38"/>
      <c r="P10" s="38"/>
      <c r="Q10" s="38"/>
      <c r="R10" s="38"/>
      <c r="S10" s="38"/>
      <c r="T10" s="38"/>
      <c r="U10" s="38"/>
    </row>
    <row r="11" spans="1:21" ht="13.5" thickTop="1">
      <c r="A11" s="38"/>
      <c r="B11" s="271" t="s">
        <v>311</v>
      </c>
      <c r="C11" s="271"/>
      <c r="D11" s="464"/>
      <c r="E11" s="518"/>
      <c r="F11" s="172"/>
      <c r="G11" s="535"/>
      <c r="H11" s="535"/>
      <c r="I11" s="38"/>
      <c r="K11" s="45"/>
      <c r="L11" s="585"/>
      <c r="M11" s="42"/>
      <c r="N11" s="38"/>
      <c r="O11" s="38"/>
      <c r="P11" s="38"/>
      <c r="Q11" s="38"/>
      <c r="R11" s="38"/>
      <c r="S11" s="38"/>
      <c r="T11" s="38"/>
      <c r="U11" s="38"/>
    </row>
    <row r="12" spans="1:21" ht="13.5" thickBot="1">
      <c r="A12" s="38"/>
      <c r="B12" s="567" t="s">
        <v>208</v>
      </c>
      <c r="C12" s="1531"/>
      <c r="D12" s="241"/>
      <c r="E12" s="568">
        <f ca="1">SUM(E10:E11)</f>
        <v>131611.67485835947</v>
      </c>
      <c r="F12" s="569">
        <f ca="1">$E12/$E$12</f>
        <v>1</v>
      </c>
      <c r="G12" s="570">
        <f ca="1">E12/Assum!$F$31</f>
        <v>1020.2455415376703</v>
      </c>
      <c r="H12" s="570">
        <f ca="1">E12/Assum!$F$30</f>
        <v>1530.3683123065055</v>
      </c>
      <c r="I12" s="38"/>
      <c r="K12" s="45"/>
      <c r="L12" s="585"/>
      <c r="M12" s="199"/>
      <c r="N12" s="38"/>
      <c r="O12" s="38"/>
      <c r="P12" s="38"/>
      <c r="Q12" s="38"/>
      <c r="R12" s="38"/>
      <c r="S12" s="38"/>
      <c r="T12" s="38"/>
      <c r="U12" s="38"/>
    </row>
    <row r="13" spans="1:21">
      <c r="A13" s="38"/>
      <c r="B13" s="168"/>
      <c r="C13" s="168"/>
      <c r="E13" s="351"/>
      <c r="F13" s="173"/>
      <c r="G13" s="174"/>
      <c r="H13" s="174">
        <f>E13/Assum!$F$30</f>
        <v>0</v>
      </c>
      <c r="I13" s="38"/>
      <c r="K13" s="45"/>
      <c r="L13" s="585"/>
      <c r="M13" s="200"/>
      <c r="N13" s="38"/>
      <c r="O13" s="38"/>
      <c r="P13" s="38"/>
      <c r="Q13" s="38"/>
      <c r="R13" s="38"/>
      <c r="S13" s="38"/>
      <c r="T13" s="38"/>
      <c r="U13" s="38"/>
    </row>
    <row r="14" spans="1:21">
      <c r="A14" s="38"/>
      <c r="B14" s="1162" t="s">
        <v>246</v>
      </c>
      <c r="C14" s="1565"/>
      <c r="E14" s="176"/>
      <c r="F14" s="82"/>
      <c r="G14" s="77"/>
      <c r="H14" s="77">
        <f>E14/Assum!$F$30</f>
        <v>0</v>
      </c>
      <c r="I14" s="38"/>
      <c r="K14" s="45"/>
      <c r="N14" s="38"/>
      <c r="O14" s="38"/>
      <c r="P14" s="38"/>
      <c r="Q14" s="38"/>
      <c r="R14" s="38"/>
      <c r="S14" s="38"/>
      <c r="T14" s="38"/>
      <c r="U14" s="38"/>
    </row>
    <row r="15" spans="1:21">
      <c r="A15" s="38"/>
      <c r="B15" s="171" t="str">
        <f>Assum!B35</f>
        <v>PRIMARY FACILITY COSTS</v>
      </c>
      <c r="C15" s="171"/>
      <c r="E15" s="176">
        <f ca="1">Assum!F36</f>
        <v>116608.57833302872</v>
      </c>
      <c r="F15" s="175">
        <f t="shared" ref="F15:F33" ca="1" si="0">E15/E$33</f>
        <v>0.88600482030746353</v>
      </c>
      <c r="G15" s="173">
        <f ca="1">E15/Assum!$F$31</f>
        <v>903.94246769789709</v>
      </c>
      <c r="H15" s="173">
        <f ca="1">E15/Assum!$F$30</f>
        <v>1355.9137015468457</v>
      </c>
      <c r="I15" s="12"/>
      <c r="K15" s="45"/>
      <c r="L15" s="45"/>
      <c r="M15" s="292"/>
      <c r="N15" s="38"/>
      <c r="O15" s="38"/>
      <c r="P15" s="38"/>
      <c r="Q15" s="38"/>
      <c r="R15" s="38"/>
      <c r="S15" s="38"/>
      <c r="T15" s="38"/>
      <c r="U15" s="38"/>
    </row>
    <row r="16" spans="1:21">
      <c r="A16" s="38"/>
      <c r="B16" s="171" t="str">
        <f>Assum!B52</f>
        <v>PREDEVELOPMENT EXPENSES TOTAL</v>
      </c>
      <c r="C16" s="171"/>
      <c r="E16" s="176">
        <f>$E$3*Assum!F52</f>
        <v>3069.92</v>
      </c>
      <c r="F16" s="175">
        <f t="shared" ca="1" si="0"/>
        <v>2.3325590251089389E-2</v>
      </c>
      <c r="G16" s="173">
        <f>E16/Assum!$F$31</f>
        <v>23.79782945736434</v>
      </c>
      <c r="H16" s="173">
        <f>E16/Assum!$F$30</f>
        <v>35.696744186046516</v>
      </c>
      <c r="I16" s="38"/>
      <c r="K16" s="45"/>
      <c r="L16" s="45"/>
      <c r="M16" s="292"/>
      <c r="N16" s="38"/>
      <c r="O16" s="38"/>
      <c r="P16" s="38"/>
      <c r="Q16" s="38"/>
      <c r="R16" s="38"/>
      <c r="S16" s="38"/>
      <c r="T16" s="38"/>
      <c r="U16" s="38"/>
    </row>
    <row r="17" spans="1:21">
      <c r="A17" s="38"/>
      <c r="B17" s="171" t="s">
        <v>228</v>
      </c>
      <c r="C17" s="171"/>
      <c r="E17" s="219">
        <f>Assum!F57</f>
        <v>262.15652590166667</v>
      </c>
      <c r="F17" s="378">
        <f t="shared" ca="1" si="0"/>
        <v>1.9918941551673591E-3</v>
      </c>
      <c r="G17" s="535">
        <f>E17/Assum!$F$31</f>
        <v>2.0322211310206719</v>
      </c>
      <c r="H17" s="535">
        <f>E17/Assum!$F$30</f>
        <v>3.0483316965310077</v>
      </c>
      <c r="I17" s="38"/>
      <c r="K17" s="45"/>
      <c r="L17" s="45"/>
      <c r="M17" s="292"/>
      <c r="N17" s="38"/>
      <c r="O17" s="38"/>
      <c r="P17" s="38"/>
      <c r="Q17" s="38"/>
      <c r="R17" s="38"/>
      <c r="S17" s="38"/>
      <c r="T17" s="38"/>
      <c r="U17" s="38"/>
    </row>
    <row r="18" spans="1:21">
      <c r="A18" s="38"/>
      <c r="B18" s="171" t="s">
        <v>227</v>
      </c>
      <c r="C18" s="171"/>
      <c r="E18" s="176">
        <f ca="1">IF(ISERROR(Assum!F58),0,Assum!F58)</f>
        <v>8185.9496939562068</v>
      </c>
      <c r="F18" s="175">
        <f t="shared" ca="1" si="0"/>
        <v>6.2197747295451696E-2</v>
      </c>
      <c r="G18" s="173">
        <f ca="1">E18/Assum!$F$31</f>
        <v>63.456974371753539</v>
      </c>
      <c r="H18" s="173">
        <f ca="1">E18/Assum!$F$30</f>
        <v>95.185461557630319</v>
      </c>
      <c r="I18" s="38"/>
      <c r="K18" s="45"/>
      <c r="L18" s="45"/>
      <c r="M18" s="292"/>
      <c r="N18" s="38"/>
      <c r="O18" s="38"/>
      <c r="P18" s="176"/>
      <c r="Q18" s="38"/>
      <c r="R18" s="38"/>
      <c r="S18" s="38"/>
      <c r="T18" s="38"/>
      <c r="U18" s="38"/>
    </row>
    <row r="19" spans="1:21">
      <c r="A19" s="38"/>
      <c r="B19" s="171" t="str">
        <f>Assum!B59</f>
        <v>EPC WARRANTY FEE</v>
      </c>
      <c r="C19" s="171"/>
      <c r="E19" s="176">
        <f>$E$3*Assum!F59</f>
        <v>0</v>
      </c>
      <c r="F19" s="175">
        <f t="shared" ca="1" si="0"/>
        <v>0</v>
      </c>
      <c r="G19" s="173">
        <f>E19/Assum!$F$31</f>
        <v>0</v>
      </c>
      <c r="H19" s="173">
        <f>E19/Assum!$F$30</f>
        <v>0</v>
      </c>
      <c r="I19" s="1081" t="str">
        <f>IF(Assum!D179=1,"CASHFLOW FEE","")</f>
        <v>CASHFLOW FEE</v>
      </c>
      <c r="K19" s="45"/>
      <c r="L19" s="45"/>
      <c r="M19" s="292"/>
      <c r="N19" s="38"/>
      <c r="O19" s="38"/>
      <c r="P19" s="38"/>
      <c r="Q19" s="38"/>
      <c r="R19" s="38"/>
      <c r="S19" s="38"/>
      <c r="T19" s="38"/>
      <c r="U19" s="38"/>
    </row>
    <row r="20" spans="1:21">
      <c r="A20" s="38"/>
      <c r="B20" s="171" t="str">
        <f>Assum!B64</f>
        <v>LEGAL CLOSING</v>
      </c>
      <c r="C20" s="171"/>
      <c r="E20" s="176">
        <f>$E$3*Assum!F64</f>
        <v>1000</v>
      </c>
      <c r="F20" s="175">
        <f t="shared" ca="1" si="0"/>
        <v>7.5981101302605245E-3</v>
      </c>
      <c r="G20" s="173">
        <f>E20/Assum!$F$31</f>
        <v>7.7519379844961236</v>
      </c>
      <c r="H20" s="173">
        <f>E20/Assum!$F$30</f>
        <v>11.627906976744185</v>
      </c>
      <c r="I20" s="38"/>
      <c r="K20" s="45"/>
      <c r="L20" s="45"/>
      <c r="M20" s="293"/>
      <c r="N20" s="38"/>
      <c r="O20" s="38"/>
      <c r="P20" s="38"/>
      <c r="Q20" s="38"/>
      <c r="R20" s="38"/>
      <c r="S20" s="38"/>
      <c r="T20" s="38"/>
      <c r="U20" s="38"/>
    </row>
    <row r="21" spans="1:21">
      <c r="A21" s="38"/>
      <c r="B21" s="171" t="str">
        <f>Assum!B65</f>
        <v>BANKING DUE DILIGENCE EXPENSES</v>
      </c>
      <c r="C21" s="171"/>
      <c r="E21" s="176">
        <f>$E$3*Assum!F65</f>
        <v>100</v>
      </c>
      <c r="F21" s="175">
        <f t="shared" ca="1" si="0"/>
        <v>7.5981101302605245E-4</v>
      </c>
      <c r="G21" s="173">
        <f>E21/Assum!$F$31</f>
        <v>0.77519379844961245</v>
      </c>
      <c r="H21" s="173">
        <f>E21/Assum!$F$30</f>
        <v>1.1627906976744187</v>
      </c>
      <c r="I21" s="38"/>
      <c r="K21" s="45"/>
      <c r="L21" s="45"/>
      <c r="M21" s="294"/>
      <c r="N21" s="38"/>
      <c r="O21" s="38"/>
      <c r="P21" s="38"/>
      <c r="Q21" s="38"/>
      <c r="R21" s="38"/>
      <c r="S21" s="38"/>
      <c r="T21" s="38"/>
      <c r="U21" s="38"/>
    </row>
    <row r="22" spans="1:21">
      <c r="A22" s="38"/>
      <c r="B22" s="171" t="str">
        <f>Assum!B66</f>
        <v>INDEPENDENT ENGINEER</v>
      </c>
      <c r="C22" s="171"/>
      <c r="E22" s="176">
        <f>$E$3*Assum!F66</f>
        <v>40</v>
      </c>
      <c r="F22" s="175">
        <f t="shared" ca="1" si="0"/>
        <v>3.03924405210421E-4</v>
      </c>
      <c r="G22" s="173">
        <f>E22/Assum!$F$31</f>
        <v>0.31007751937984496</v>
      </c>
      <c r="H22" s="173">
        <f>E22/Assum!$F$30</f>
        <v>0.46511627906976744</v>
      </c>
      <c r="I22" s="38"/>
      <c r="K22" s="45"/>
      <c r="L22" s="45"/>
      <c r="M22" s="294"/>
      <c r="N22" s="38"/>
      <c r="O22" s="38"/>
      <c r="P22" s="38"/>
      <c r="Q22" s="38"/>
      <c r="R22" s="38"/>
      <c r="S22" s="38"/>
      <c r="T22" s="38"/>
      <c r="U22" s="38"/>
    </row>
    <row r="23" spans="1:21">
      <c r="A23" s="38"/>
      <c r="B23" s="171" t="str">
        <f>Assum!B67</f>
        <v>INSURANCE CONSULTANT FEES</v>
      </c>
      <c r="C23" s="171"/>
      <c r="E23" s="176">
        <f>$E$3*Assum!F67</f>
        <v>25</v>
      </c>
      <c r="F23" s="175">
        <f t="shared" ca="1" si="0"/>
        <v>1.8995275325651311E-4</v>
      </c>
      <c r="G23" s="173">
        <f>E23/Assum!$F$31</f>
        <v>0.19379844961240311</v>
      </c>
      <c r="H23" s="173">
        <f>E23/Assum!$F$30</f>
        <v>0.29069767441860467</v>
      </c>
      <c r="I23" s="38"/>
      <c r="K23" s="45"/>
      <c r="L23" s="45"/>
      <c r="M23" s="294"/>
      <c r="N23" s="38"/>
      <c r="O23" s="38"/>
      <c r="P23" s="38"/>
      <c r="Q23" s="38"/>
      <c r="R23" s="38"/>
      <c r="S23" s="38"/>
      <c r="T23" s="38"/>
      <c r="U23" s="38"/>
    </row>
    <row r="24" spans="1:21">
      <c r="A24" s="38"/>
      <c r="B24" s="171" t="str">
        <f>Assum!B68</f>
        <v xml:space="preserve">INITIAL WORKING CAPITAL </v>
      </c>
      <c r="C24" s="171"/>
      <c r="E24" s="176">
        <f>$E$3*Assum!F68</f>
        <v>700</v>
      </c>
      <c r="F24" s="175">
        <f t="shared" ca="1" si="0"/>
        <v>5.3186770911823672E-3</v>
      </c>
      <c r="G24" s="173">
        <f>E24/Assum!$F$31</f>
        <v>5.4263565891472867</v>
      </c>
      <c r="H24" s="173">
        <f>E24/Assum!$F$30</f>
        <v>8.1395348837209305</v>
      </c>
      <c r="I24" s="38"/>
      <c r="K24" s="45"/>
      <c r="L24" s="45"/>
      <c r="M24" s="168"/>
      <c r="N24" s="38"/>
      <c r="O24" s="38"/>
      <c r="P24" s="38"/>
      <c r="Q24" s="38"/>
      <c r="R24" s="38"/>
      <c r="S24" s="38"/>
      <c r="T24" s="38"/>
      <c r="U24" s="38"/>
    </row>
    <row r="25" spans="1:21">
      <c r="A25" s="38"/>
      <c r="B25" s="171" t="str">
        <f>Assum!B69</f>
        <v>LAND USE PAYMENT</v>
      </c>
      <c r="C25" s="171"/>
      <c r="E25" s="176">
        <f>$E$3*Assum!F69</f>
        <v>0</v>
      </c>
      <c r="F25" s="175">
        <f t="shared" ca="1" si="0"/>
        <v>0</v>
      </c>
      <c r="G25" s="173">
        <f>E25/Assum!$F$31</f>
        <v>0</v>
      </c>
      <c r="H25" s="173">
        <f>E25/Assum!$F$30</f>
        <v>0</v>
      </c>
      <c r="I25" s="38"/>
      <c r="K25" s="45"/>
      <c r="L25" s="45"/>
      <c r="M25" s="295"/>
      <c r="N25" s="38"/>
      <c r="O25" s="38"/>
      <c r="P25" s="38"/>
      <c r="Q25" s="38"/>
      <c r="R25" s="38"/>
      <c r="S25" s="38"/>
      <c r="T25" s="38"/>
      <c r="U25" s="38"/>
    </row>
    <row r="26" spans="1:21">
      <c r="A26" s="38"/>
      <c r="B26" s="171" t="str">
        <f>Assum!B70</f>
        <v>EQUITY CLOSING EXPENSES</v>
      </c>
      <c r="C26" s="171"/>
      <c r="E26" s="176">
        <f>$E$3*Assum!F70</f>
        <v>500</v>
      </c>
      <c r="F26" s="175">
        <f t="shared" ca="1" si="0"/>
        <v>3.7990550651302623E-3</v>
      </c>
      <c r="G26" s="173">
        <f>E26/Assum!$F$31</f>
        <v>3.8759689922480618</v>
      </c>
      <c r="H26" s="173">
        <f>E26/Assum!$F$30</f>
        <v>5.8139534883720927</v>
      </c>
      <c r="I26" s="38"/>
      <c r="K26" s="45"/>
      <c r="L26" s="45"/>
      <c r="M26" s="292"/>
      <c r="N26" s="38"/>
      <c r="O26" s="38"/>
      <c r="P26" s="38"/>
      <c r="Q26" s="38"/>
      <c r="R26" s="38"/>
      <c r="S26" s="38"/>
      <c r="T26" s="38"/>
      <c r="U26" s="38"/>
    </row>
    <row r="27" spans="1:21">
      <c r="A27" s="38"/>
      <c r="B27" s="171" t="str">
        <f>Assum!B71</f>
        <v>UTILITY INTERCONNECT COSTS</v>
      </c>
      <c r="C27" s="171"/>
      <c r="E27" s="176">
        <f>$E$3*Assum!F71</f>
        <v>0</v>
      </c>
      <c r="F27" s="175">
        <f t="shared" ca="1" si="0"/>
        <v>0</v>
      </c>
      <c r="G27" s="173">
        <f>E27/Assum!$F$31</f>
        <v>0</v>
      </c>
      <c r="H27" s="173">
        <f>E27/Assum!$F$30</f>
        <v>0</v>
      </c>
      <c r="I27" s="38"/>
      <c r="K27" s="45"/>
      <c r="L27" s="45"/>
      <c r="M27" s="295"/>
      <c r="N27" s="38"/>
      <c r="O27" s="38"/>
      <c r="P27" s="38"/>
      <c r="Q27" s="38"/>
      <c r="R27" s="38"/>
      <c r="S27" s="38"/>
      <c r="T27" s="38"/>
      <c r="U27" s="38"/>
    </row>
    <row r="28" spans="1:21">
      <c r="A28" s="38"/>
      <c r="B28" s="171" t="str">
        <f>Assum!B72</f>
        <v>CLOSING CONTINGENCY</v>
      </c>
      <c r="C28" s="171"/>
      <c r="E28" s="176">
        <f>$E$3*Assum!F72</f>
        <v>0</v>
      </c>
      <c r="F28" s="378">
        <f t="shared" ca="1" si="0"/>
        <v>0</v>
      </c>
      <c r="G28" s="535">
        <f>E28/Assum!$F$31</f>
        <v>0</v>
      </c>
      <c r="H28" s="535">
        <f>E28/Assum!$F$30</f>
        <v>0</v>
      </c>
      <c r="I28" s="38"/>
      <c r="K28" s="45"/>
      <c r="L28" s="45"/>
      <c r="M28" s="292"/>
      <c r="N28" s="38"/>
      <c r="O28" s="38"/>
      <c r="P28" s="38"/>
      <c r="Q28" s="38"/>
      <c r="R28" s="38"/>
      <c r="S28" s="38"/>
      <c r="T28" s="38"/>
      <c r="U28" s="38"/>
    </row>
    <row r="29" spans="1:21">
      <c r="A29" s="38"/>
      <c r="B29" s="171" t="str">
        <f>Assum!B73</f>
        <v>LIQUIDATED DAMAGES</v>
      </c>
      <c r="C29" s="171"/>
      <c r="E29" s="176">
        <f>$E$3*Assum!F73</f>
        <v>0</v>
      </c>
      <c r="F29" s="378">
        <f t="shared" ca="1" si="0"/>
        <v>0</v>
      </c>
      <c r="G29" s="535">
        <f>E29/Assum!$F$31</f>
        <v>0</v>
      </c>
      <c r="H29" s="535">
        <f>E29/Assum!$F$30</f>
        <v>0</v>
      </c>
      <c r="I29" s="38"/>
      <c r="K29" s="45"/>
      <c r="L29" s="45"/>
      <c r="M29" s="292"/>
      <c r="N29" s="38"/>
      <c r="O29" s="38"/>
      <c r="P29" s="38"/>
      <c r="Q29" s="38"/>
      <c r="R29" s="38"/>
      <c r="S29" s="38"/>
      <c r="T29" s="38"/>
      <c r="U29" s="38"/>
    </row>
    <row r="30" spans="1:21">
      <c r="B30" s="171" t="str">
        <f>Assum!B74</f>
        <v>TITLE INSURANCE</v>
      </c>
      <c r="C30" s="171"/>
      <c r="E30" s="176">
        <f>$E$3*Assum!F74</f>
        <v>516</v>
      </c>
      <c r="F30" s="378">
        <f t="shared" ca="1" si="0"/>
        <v>3.9206248272144308E-3</v>
      </c>
      <c r="G30" s="535">
        <f>E30/Assum!$F$31</f>
        <v>4</v>
      </c>
      <c r="H30" s="535">
        <f>E30/Assum!$F$30</f>
        <v>6</v>
      </c>
    </row>
    <row r="31" spans="1:21">
      <c r="A31" s="38"/>
      <c r="B31" s="171" t="str">
        <f>Assum!B75</f>
        <v>SR DEBT ARRANGEMENT FEE</v>
      </c>
      <c r="C31" s="171"/>
      <c r="E31" s="176">
        <f>$E$3*Assum!F75</f>
        <v>604.07030798995834</v>
      </c>
      <c r="F31" s="378">
        <f t="shared" ca="1" si="0"/>
        <v>4.5897927265280978E-3</v>
      </c>
      <c r="G31" s="535">
        <f>E31/Assum!$F$31</f>
        <v>4.6827155658136306</v>
      </c>
      <c r="H31" s="535">
        <f>E31/Assum!$F$30</f>
        <v>7.0240733487204459</v>
      </c>
      <c r="I31" s="12"/>
      <c r="K31" s="45"/>
      <c r="L31" s="45"/>
      <c r="M31" s="292"/>
      <c r="N31" s="38"/>
      <c r="O31" s="38"/>
      <c r="P31" s="38"/>
      <c r="Q31" s="38"/>
      <c r="R31" s="38"/>
      <c r="S31" s="38"/>
      <c r="T31" s="38"/>
      <c r="U31" s="38"/>
    </row>
    <row r="32" spans="1:21">
      <c r="A32" s="38"/>
      <c r="B32" s="171" t="str">
        <f>Assum!B76</f>
        <v>JR DEBT ARRANGEMENT FEE</v>
      </c>
      <c r="C32" s="171"/>
      <c r="E32" s="176">
        <f>$E$3*Assum!F76</f>
        <v>0</v>
      </c>
      <c r="F32" s="378">
        <f t="shared" ca="1" si="0"/>
        <v>0</v>
      </c>
      <c r="G32" s="535">
        <f>E32/Assum!$F$31</f>
        <v>0</v>
      </c>
      <c r="H32" s="535">
        <f>E32/Assum!$F$30</f>
        <v>0</v>
      </c>
      <c r="I32" s="12"/>
      <c r="K32" s="45"/>
      <c r="L32" s="45"/>
      <c r="M32" s="292"/>
      <c r="N32" s="38"/>
      <c r="O32" s="38"/>
      <c r="P32" s="38"/>
      <c r="Q32" s="38"/>
      <c r="R32" s="38"/>
      <c r="S32" s="38"/>
      <c r="T32" s="38"/>
      <c r="U32" s="38"/>
    </row>
    <row r="33" spans="1:21" ht="13.5" thickBot="1">
      <c r="A33" s="38"/>
      <c r="B33" s="567" t="s">
        <v>10</v>
      </c>
      <c r="C33" s="1531"/>
      <c r="D33" s="241"/>
      <c r="E33" s="571">
        <f ca="1">SUM(E15:E32)</f>
        <v>131611.67486087655</v>
      </c>
      <c r="F33" s="572">
        <f t="shared" ca="1" si="0"/>
        <v>1</v>
      </c>
      <c r="G33" s="570">
        <f ca="1">E33/Assum!$F$31</f>
        <v>1020.2455415571825</v>
      </c>
      <c r="H33" s="570">
        <f ca="1">E33/Assum!$F$30</f>
        <v>1530.3683123357739</v>
      </c>
      <c r="I33" s="12"/>
      <c r="K33" s="45"/>
      <c r="L33" s="45"/>
      <c r="M33" s="38"/>
      <c r="N33" s="38"/>
      <c r="O33" s="38"/>
      <c r="P33" s="38"/>
      <c r="Q33" s="38"/>
      <c r="R33" s="38"/>
      <c r="S33" s="38"/>
      <c r="T33" s="38"/>
      <c r="U33" s="38"/>
    </row>
    <row r="34" spans="1:21">
      <c r="A34" s="38"/>
      <c r="I34" s="38"/>
      <c r="K34" s="45"/>
      <c r="L34" s="45"/>
      <c r="N34" s="38"/>
      <c r="O34" s="38"/>
      <c r="P34" s="38"/>
      <c r="Q34" s="38"/>
      <c r="R34" s="38"/>
      <c r="S34" s="38"/>
      <c r="T34" s="38"/>
      <c r="U34" s="38"/>
    </row>
    <row r="35" spans="1:21">
      <c r="A35" s="38"/>
      <c r="B35" s="168"/>
      <c r="C35" s="168"/>
      <c r="E35" s="184"/>
      <c r="F35" s="168"/>
      <c r="G35" s="168"/>
      <c r="H35" s="168"/>
      <c r="I35" s="38"/>
      <c r="K35" s="38"/>
      <c r="L35" s="38"/>
      <c r="M35" s="38"/>
      <c r="N35" s="38"/>
      <c r="O35" s="38"/>
      <c r="P35" s="38"/>
      <c r="Q35" s="38"/>
      <c r="R35" s="38"/>
      <c r="S35" s="38"/>
      <c r="T35" s="38"/>
      <c r="U35" s="38"/>
    </row>
    <row r="36" spans="1:21">
      <c r="A36" s="38"/>
      <c r="B36" s="168"/>
      <c r="C36" s="168"/>
      <c r="E36" s="184"/>
      <c r="F36" s="168"/>
      <c r="G36" s="168"/>
      <c r="H36" s="168"/>
      <c r="I36" s="38"/>
      <c r="K36" s="38"/>
      <c r="L36" s="38"/>
      <c r="M36" s="38"/>
      <c r="N36" s="38"/>
      <c r="O36" s="38"/>
      <c r="P36" s="38"/>
      <c r="Q36" s="38"/>
      <c r="R36" s="38"/>
      <c r="S36" s="38"/>
      <c r="T36" s="38"/>
      <c r="U36" s="38"/>
    </row>
    <row r="37" spans="1:21">
      <c r="A37" s="38"/>
      <c r="B37" s="168"/>
      <c r="C37" s="168"/>
      <c r="E37" s="184"/>
      <c r="F37" s="168"/>
      <c r="G37" s="168"/>
      <c r="H37" s="168"/>
      <c r="I37" s="38"/>
      <c r="K37" s="38"/>
      <c r="L37" s="38"/>
      <c r="M37" s="38"/>
      <c r="N37" s="38"/>
      <c r="O37" s="38"/>
      <c r="P37" s="38"/>
      <c r="Q37" s="38"/>
      <c r="R37" s="38"/>
      <c r="S37" s="38"/>
      <c r="T37" s="38"/>
      <c r="U37" s="38"/>
    </row>
    <row r="38" spans="1:21">
      <c r="A38" s="38"/>
      <c r="B38" s="168"/>
      <c r="C38" s="168"/>
      <c r="E38" s="184"/>
      <c r="F38" s="168"/>
      <c r="G38" s="168"/>
      <c r="H38" s="168"/>
      <c r="I38" s="38"/>
      <c r="J38" s="38"/>
      <c r="K38" s="38"/>
      <c r="L38" s="38"/>
      <c r="M38" s="38"/>
      <c r="N38" s="38"/>
      <c r="O38" s="38"/>
      <c r="P38" s="38"/>
      <c r="Q38" s="38"/>
      <c r="R38" s="38"/>
      <c r="S38" s="38"/>
      <c r="T38" s="38"/>
      <c r="U38" s="38"/>
    </row>
    <row r="39" spans="1:21">
      <c r="A39" s="38"/>
      <c r="B39" s="168"/>
      <c r="C39" s="168"/>
      <c r="E39" s="184"/>
      <c r="F39" s="168"/>
      <c r="G39" s="168"/>
      <c r="H39" s="168"/>
      <c r="I39" s="38"/>
      <c r="J39" s="38"/>
      <c r="K39" s="38"/>
      <c r="L39" s="38"/>
      <c r="M39" s="38"/>
      <c r="N39" s="38"/>
      <c r="O39" s="38"/>
      <c r="P39" s="38"/>
      <c r="Q39" s="38"/>
      <c r="R39" s="38"/>
      <c r="S39" s="38"/>
      <c r="T39" s="38"/>
      <c r="U39" s="38"/>
    </row>
    <row r="40" spans="1:21">
      <c r="A40" s="38"/>
      <c r="B40" s="168"/>
      <c r="C40" s="168"/>
      <c r="E40" s="184"/>
      <c r="F40" s="168"/>
      <c r="G40" s="168"/>
      <c r="H40" s="168"/>
      <c r="I40" s="38"/>
      <c r="J40" s="38"/>
      <c r="K40" s="38"/>
      <c r="L40" s="38"/>
      <c r="M40" s="38"/>
      <c r="N40" s="38"/>
      <c r="O40" s="38"/>
      <c r="P40" s="38"/>
      <c r="Q40" s="38"/>
      <c r="R40" s="38"/>
      <c r="S40" s="38"/>
      <c r="T40" s="38"/>
      <c r="U40" s="38"/>
    </row>
    <row r="41" spans="1:21">
      <c r="A41" s="38"/>
      <c r="B41" s="168"/>
      <c r="C41" s="168"/>
      <c r="E41" s="184"/>
      <c r="F41" s="168"/>
      <c r="G41" s="168"/>
      <c r="H41" s="168"/>
      <c r="I41" s="38"/>
      <c r="J41" s="38"/>
      <c r="K41" s="38"/>
      <c r="L41" s="38"/>
      <c r="M41" s="38"/>
      <c r="N41" s="38"/>
      <c r="O41" s="38"/>
      <c r="P41" s="38"/>
      <c r="Q41" s="38"/>
    </row>
    <row r="42" spans="1:21">
      <c r="A42" s="38"/>
      <c r="B42" s="168"/>
      <c r="C42" s="168"/>
      <c r="E42" s="184"/>
      <c r="F42" s="168"/>
      <c r="G42" s="168"/>
      <c r="H42" s="168"/>
      <c r="I42" s="38"/>
      <c r="J42" s="38"/>
      <c r="K42" s="38"/>
      <c r="L42" s="38"/>
      <c r="M42" s="38"/>
      <c r="N42" s="38"/>
      <c r="O42" s="38"/>
      <c r="P42" s="38"/>
      <c r="Q42" s="38"/>
    </row>
    <row r="43" spans="1:21">
      <c r="A43" s="38"/>
      <c r="B43" s="168"/>
      <c r="C43" s="168"/>
      <c r="E43" s="184"/>
      <c r="F43" s="168"/>
      <c r="G43" s="168"/>
      <c r="H43" s="168"/>
      <c r="I43" s="38"/>
      <c r="J43" s="38"/>
      <c r="K43" s="38"/>
      <c r="L43" s="38"/>
      <c r="M43" s="38"/>
      <c r="N43" s="38"/>
      <c r="O43" s="38"/>
      <c r="P43" s="38"/>
      <c r="Q43" s="38"/>
    </row>
    <row r="44" spans="1:21">
      <c r="A44" s="38"/>
      <c r="B44" s="168"/>
      <c r="C44" s="168"/>
      <c r="E44" s="184"/>
      <c r="F44" s="168"/>
      <c r="G44" s="168"/>
      <c r="H44" s="168"/>
      <c r="I44" s="38"/>
      <c r="J44" s="38"/>
      <c r="K44" s="38"/>
      <c r="L44" s="38"/>
      <c r="M44" s="38"/>
      <c r="N44" s="38"/>
      <c r="O44" s="38"/>
      <c r="P44" s="38"/>
      <c r="Q44" s="38"/>
    </row>
    <row r="45" spans="1:21">
      <c r="A45" s="38"/>
      <c r="B45" s="168"/>
      <c r="C45" s="168"/>
      <c r="E45" s="184"/>
      <c r="F45" s="168"/>
      <c r="G45" s="168"/>
      <c r="H45" s="168"/>
      <c r="I45" s="38"/>
      <c r="J45" s="38"/>
      <c r="K45" s="38"/>
      <c r="L45" s="38"/>
      <c r="M45" s="38"/>
      <c r="N45" s="38"/>
      <c r="O45" s="38"/>
      <c r="P45" s="38"/>
      <c r="Q45" s="38"/>
    </row>
    <row r="46" spans="1:21">
      <c r="A46" s="38"/>
      <c r="B46" s="168"/>
      <c r="C46" s="168"/>
      <c r="E46" s="185"/>
      <c r="F46" s="168"/>
      <c r="G46" s="168"/>
      <c r="H46" s="168"/>
      <c r="I46" s="38"/>
      <c r="J46" s="38"/>
      <c r="K46" s="38"/>
      <c r="L46" s="38"/>
      <c r="M46" s="38"/>
      <c r="N46" s="38"/>
      <c r="O46" s="38"/>
      <c r="P46" s="38"/>
      <c r="Q46" s="38"/>
    </row>
    <row r="47" spans="1:21">
      <c r="A47" s="38"/>
      <c r="B47" s="168"/>
      <c r="C47" s="168"/>
      <c r="E47" s="184"/>
      <c r="F47" s="168"/>
      <c r="G47" s="168"/>
      <c r="H47" s="168"/>
      <c r="I47" s="38"/>
      <c r="J47" s="38"/>
      <c r="K47" s="38"/>
      <c r="L47" s="38"/>
      <c r="M47" s="38"/>
      <c r="N47" s="38"/>
      <c r="O47" s="38"/>
      <c r="P47" s="38"/>
      <c r="Q47" s="38"/>
    </row>
    <row r="48" spans="1:21">
      <c r="A48" s="38"/>
      <c r="B48" s="168"/>
      <c r="C48" s="168"/>
      <c r="E48" s="184"/>
      <c r="F48" s="168"/>
      <c r="G48" s="168"/>
      <c r="H48" s="168"/>
      <c r="I48" s="38"/>
      <c r="J48" s="38"/>
      <c r="K48" s="38"/>
      <c r="L48" s="38"/>
      <c r="M48" s="38"/>
      <c r="N48" s="38"/>
      <c r="O48" s="38"/>
      <c r="P48" s="38"/>
      <c r="Q48" s="38"/>
    </row>
    <row r="49" spans="1:17">
      <c r="A49" s="38"/>
      <c r="B49" s="168"/>
      <c r="C49" s="168"/>
      <c r="E49" s="184"/>
      <c r="F49" s="168"/>
      <c r="G49" s="168"/>
      <c r="H49" s="168"/>
      <c r="I49" s="38"/>
      <c r="J49" s="38"/>
      <c r="K49" s="38"/>
      <c r="L49" s="38"/>
      <c r="M49" s="38"/>
      <c r="N49" s="38"/>
      <c r="O49" s="38"/>
      <c r="P49" s="38"/>
      <c r="Q49" s="38"/>
    </row>
    <row r="50" spans="1:17">
      <c r="A50" s="38"/>
      <c r="B50" s="168"/>
      <c r="C50" s="168"/>
      <c r="E50" s="184"/>
      <c r="F50" s="168"/>
      <c r="G50" s="168"/>
      <c r="H50" s="168"/>
      <c r="I50" s="38"/>
      <c r="J50" s="38"/>
      <c r="K50" s="38"/>
      <c r="L50" s="38"/>
      <c r="M50" s="38"/>
      <c r="N50" s="38"/>
      <c r="O50" s="38"/>
      <c r="P50" s="38"/>
      <c r="Q50" s="38"/>
    </row>
    <row r="51" spans="1:17">
      <c r="A51" s="38"/>
      <c r="B51" s="168"/>
      <c r="C51" s="168"/>
      <c r="E51" s="184"/>
      <c r="F51" s="168"/>
      <c r="G51" s="168"/>
      <c r="H51" s="168"/>
      <c r="I51" s="38"/>
      <c r="J51" s="38"/>
      <c r="K51" s="38"/>
      <c r="L51" s="38"/>
      <c r="M51" s="38"/>
      <c r="N51" s="38"/>
      <c r="O51" s="38"/>
      <c r="P51" s="38"/>
      <c r="Q51" s="38"/>
    </row>
    <row r="52" spans="1:17">
      <c r="A52" s="38"/>
      <c r="B52" s="168"/>
      <c r="C52" s="168"/>
      <c r="E52" s="184"/>
      <c r="F52" s="168"/>
      <c r="G52" s="168"/>
      <c r="H52" s="168"/>
      <c r="I52" s="38"/>
      <c r="J52" s="38"/>
      <c r="K52" s="38"/>
      <c r="L52" s="38"/>
      <c r="M52" s="38"/>
      <c r="N52" s="38"/>
      <c r="O52" s="38"/>
      <c r="P52" s="38"/>
      <c r="Q52" s="38"/>
    </row>
    <row r="53" spans="1:17">
      <c r="A53" s="38"/>
      <c r="B53" s="168"/>
      <c r="C53" s="168"/>
      <c r="E53" s="184"/>
      <c r="F53" s="168"/>
      <c r="G53" s="168"/>
      <c r="H53" s="168"/>
      <c r="I53" s="38"/>
      <c r="J53" s="38"/>
      <c r="K53" s="38"/>
      <c r="L53" s="38"/>
      <c r="M53" s="38"/>
      <c r="N53" s="38"/>
      <c r="O53" s="38"/>
      <c r="P53" s="38"/>
      <c r="Q53" s="38"/>
    </row>
    <row r="54" spans="1:17">
      <c r="A54" s="38"/>
      <c r="B54" s="168"/>
      <c r="C54" s="168"/>
      <c r="E54" s="184"/>
      <c r="F54" s="168"/>
      <c r="G54" s="168"/>
      <c r="H54" s="168"/>
      <c r="I54" s="38"/>
      <c r="J54" s="38"/>
      <c r="K54" s="38"/>
      <c r="L54" s="38"/>
      <c r="M54" s="38"/>
      <c r="N54" s="38"/>
      <c r="O54" s="38"/>
      <c r="P54" s="38"/>
      <c r="Q54" s="38"/>
    </row>
    <row r="55" spans="1:17">
      <c r="A55" s="38"/>
      <c r="B55" s="168"/>
      <c r="C55" s="168"/>
      <c r="E55" s="184"/>
      <c r="F55" s="168"/>
      <c r="G55" s="168"/>
      <c r="H55" s="168"/>
      <c r="I55" s="38"/>
      <c r="J55" s="38"/>
      <c r="K55" s="38"/>
      <c r="L55" s="38"/>
      <c r="M55" s="38"/>
      <c r="N55" s="38"/>
      <c r="O55" s="38"/>
      <c r="P55" s="38"/>
      <c r="Q55" s="38"/>
    </row>
    <row r="56" spans="1:17">
      <c r="A56" s="38"/>
      <c r="B56" s="168"/>
      <c r="C56" s="168"/>
      <c r="E56" s="184"/>
      <c r="F56" s="168"/>
      <c r="G56" s="168"/>
      <c r="H56" s="168"/>
      <c r="I56" s="38"/>
      <c r="J56" s="38"/>
      <c r="K56" s="38"/>
      <c r="L56" s="38"/>
      <c r="M56" s="38"/>
      <c r="N56" s="38"/>
      <c r="O56" s="38"/>
      <c r="P56" s="38"/>
      <c r="Q56" s="38"/>
    </row>
    <row r="57" spans="1:17">
      <c r="A57" s="38"/>
      <c r="B57" s="168"/>
      <c r="C57" s="168"/>
      <c r="E57" s="184"/>
      <c r="F57" s="168"/>
      <c r="G57" s="168"/>
      <c r="H57" s="168"/>
      <c r="I57" s="38"/>
      <c r="J57" s="38"/>
      <c r="K57" s="38"/>
      <c r="L57" s="38"/>
      <c r="M57" s="38"/>
      <c r="N57" s="38"/>
      <c r="O57" s="38"/>
      <c r="P57" s="38"/>
      <c r="Q57" s="38"/>
    </row>
  </sheetData>
  <pageMargins left="0.28000000000000003" right="0.3" top="0.49" bottom="0.67" header="0.5" footer="0.5"/>
  <pageSetup scale="87" orientation="landscape" r:id="rId1"/>
  <headerFooter alignWithMargins="0">
    <oddFooter>&amp;R&amp;F</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pageSetUpPr fitToPage="1"/>
  </sheetPr>
  <dimension ref="A1:EW114"/>
  <sheetViews>
    <sheetView topLeftCell="O1" zoomScale="75" zoomScaleNormal="75" zoomScaleSheetLayoutView="75" workbookViewId="0">
      <selection sqref="A1:X76"/>
    </sheetView>
  </sheetViews>
  <sheetFormatPr defaultColWidth="8.7109375" defaultRowHeight="12.75"/>
  <cols>
    <col min="1" max="1" width="18.5703125" style="319" customWidth="1"/>
    <col min="2" max="2" width="39.7109375" style="177" customWidth="1"/>
    <col min="3" max="3" width="15" style="439" customWidth="1"/>
    <col min="4" max="4" width="10.42578125" style="439" customWidth="1"/>
    <col min="5" max="5" width="10.28515625" style="177" customWidth="1"/>
    <col min="6" max="35" width="10.42578125" style="177" customWidth="1"/>
    <col min="36" max="16384" width="8.7109375" style="177"/>
  </cols>
  <sheetData>
    <row r="1" spans="1:153" ht="15.75">
      <c r="B1" s="338" t="str">
        <f>ExecSum!$E$4</f>
        <v>Sweetwater 129.00MW Project</v>
      </c>
      <c r="C1"/>
      <c r="D1"/>
      <c r="E1" s="244">
        <v>1</v>
      </c>
      <c r="F1" s="245">
        <v>2</v>
      </c>
      <c r="G1" s="245">
        <v>3</v>
      </c>
      <c r="H1" s="245">
        <v>4</v>
      </c>
      <c r="I1" s="245">
        <v>5</v>
      </c>
      <c r="J1" s="245">
        <v>6</v>
      </c>
      <c r="K1" s="245">
        <v>7</v>
      </c>
      <c r="L1" s="245">
        <v>8</v>
      </c>
      <c r="M1" s="245">
        <v>9</v>
      </c>
      <c r="N1" s="245">
        <v>10</v>
      </c>
      <c r="O1" s="245">
        <v>11</v>
      </c>
      <c r="P1" s="245">
        <v>12</v>
      </c>
      <c r="Q1" s="245">
        <v>13</v>
      </c>
      <c r="R1" s="245">
        <v>14</v>
      </c>
      <c r="S1" s="245">
        <v>15</v>
      </c>
      <c r="T1" s="245">
        <v>16</v>
      </c>
      <c r="U1" s="245">
        <v>17</v>
      </c>
      <c r="V1" s="245">
        <v>18</v>
      </c>
      <c r="W1" s="245">
        <v>19</v>
      </c>
      <c r="X1" s="245">
        <v>20</v>
      </c>
      <c r="Y1" s="245">
        <v>21</v>
      </c>
      <c r="Z1" s="245">
        <v>22</v>
      </c>
      <c r="AA1" s="245">
        <v>23</v>
      </c>
      <c r="AB1" s="245">
        <v>24</v>
      </c>
      <c r="AC1" s="245">
        <v>25</v>
      </c>
      <c r="AD1" s="245">
        <v>26</v>
      </c>
      <c r="AE1" s="245">
        <v>27</v>
      </c>
      <c r="AF1" s="245">
        <v>28</v>
      </c>
      <c r="AG1" s="245">
        <v>29</v>
      </c>
      <c r="AH1" s="245">
        <v>30</v>
      </c>
      <c r="AI1" s="246">
        <v>31</v>
      </c>
      <c r="AJ1" s="168"/>
      <c r="AK1" s="168"/>
      <c r="AL1" s="168"/>
      <c r="AM1" s="168"/>
      <c r="AN1" s="168"/>
      <c r="AO1" s="168"/>
      <c r="AP1" s="168"/>
      <c r="AQ1" s="168"/>
      <c r="AR1" s="168"/>
      <c r="AS1" s="168"/>
      <c r="AT1" s="168"/>
      <c r="AU1" s="168"/>
      <c r="AV1" s="168"/>
      <c r="AW1" s="168"/>
      <c r="AX1" s="168"/>
      <c r="AY1" s="168"/>
      <c r="AZ1" s="168"/>
      <c r="BA1" s="168"/>
      <c r="BB1" s="168"/>
      <c r="BC1" s="168"/>
      <c r="BD1" s="168"/>
      <c r="BE1" s="168"/>
      <c r="BF1" s="168"/>
      <c r="BG1" s="168"/>
      <c r="BH1" s="168"/>
      <c r="BI1" s="168"/>
      <c r="BJ1" s="168"/>
      <c r="BK1" s="168"/>
      <c r="BL1" s="168"/>
      <c r="BM1" s="168"/>
      <c r="BN1" s="168"/>
      <c r="BO1" s="168"/>
      <c r="BP1" s="168"/>
      <c r="BQ1" s="168"/>
      <c r="BR1" s="168"/>
      <c r="BS1" s="168"/>
      <c r="BT1" s="168"/>
      <c r="BU1" s="168"/>
      <c r="BV1" s="168"/>
      <c r="BW1" s="168"/>
      <c r="BX1" s="168"/>
      <c r="BY1" s="168"/>
      <c r="BZ1" s="168"/>
      <c r="CA1" s="168"/>
      <c r="CB1" s="168"/>
      <c r="CC1" s="168"/>
      <c r="CD1" s="168"/>
      <c r="CE1" s="168"/>
      <c r="CF1" s="168"/>
      <c r="CG1" s="168"/>
      <c r="CH1" s="168"/>
      <c r="CI1" s="168"/>
      <c r="CJ1" s="168"/>
      <c r="CK1" s="168"/>
      <c r="CL1" s="168"/>
      <c r="CM1" s="168"/>
      <c r="CN1" s="168"/>
      <c r="CO1" s="168"/>
      <c r="CP1" s="168"/>
      <c r="CQ1" s="168"/>
      <c r="CR1" s="168"/>
      <c r="CS1" s="168"/>
      <c r="CT1" s="168"/>
      <c r="CU1" s="168"/>
      <c r="CV1" s="168"/>
      <c r="CW1" s="168"/>
      <c r="CX1" s="168"/>
      <c r="CY1" s="168"/>
      <c r="CZ1" s="168"/>
      <c r="DA1" s="168"/>
      <c r="DB1" s="168"/>
      <c r="DC1" s="168"/>
      <c r="DD1" s="168"/>
      <c r="DE1" s="168"/>
      <c r="DF1" s="168"/>
      <c r="DG1" s="168"/>
      <c r="DH1" s="168"/>
      <c r="DI1" s="168"/>
      <c r="DJ1" s="168"/>
      <c r="DK1" s="168"/>
      <c r="DL1" s="168"/>
      <c r="DM1" s="168"/>
      <c r="DN1" s="168"/>
      <c r="DO1" s="168"/>
      <c r="DP1" s="168"/>
      <c r="DQ1" s="168"/>
      <c r="DR1" s="168"/>
      <c r="DS1" s="168"/>
      <c r="DT1" s="168"/>
      <c r="DU1" s="168"/>
      <c r="DV1" s="168"/>
      <c r="DW1" s="168"/>
      <c r="DX1" s="168"/>
      <c r="DY1" s="168"/>
      <c r="DZ1" s="168"/>
      <c r="EA1" s="168"/>
      <c r="EB1" s="168"/>
      <c r="EC1" s="168"/>
      <c r="ED1" s="168"/>
      <c r="EE1" s="168"/>
      <c r="EF1" s="168"/>
      <c r="EG1" s="168"/>
      <c r="EH1" s="168"/>
      <c r="EI1" s="168"/>
      <c r="EJ1" s="168"/>
      <c r="EK1" s="168"/>
      <c r="EL1" s="168"/>
      <c r="EM1" s="168"/>
      <c r="EN1" s="168"/>
      <c r="EO1" s="168"/>
      <c r="EP1" s="168"/>
      <c r="EQ1" s="168"/>
      <c r="ER1" s="168"/>
      <c r="ES1" s="168"/>
      <c r="ET1" s="168"/>
      <c r="EU1" s="168"/>
      <c r="EV1" s="168"/>
      <c r="EW1" s="168"/>
    </row>
    <row r="2" spans="1:153" ht="15.75">
      <c r="B2" s="178" t="s">
        <v>458</v>
      </c>
      <c r="C2"/>
      <c r="D2"/>
      <c r="E2" s="247">
        <f>Assum!$H$25</f>
        <v>2002</v>
      </c>
      <c r="F2" s="248">
        <f>E2+1</f>
        <v>2003</v>
      </c>
      <c r="G2" s="248">
        <f t="shared" ref="G2:X2" si="0">F2+1</f>
        <v>2004</v>
      </c>
      <c r="H2" s="248">
        <f t="shared" si="0"/>
        <v>2005</v>
      </c>
      <c r="I2" s="248">
        <f t="shared" si="0"/>
        <v>2006</v>
      </c>
      <c r="J2" s="248">
        <f t="shared" si="0"/>
        <v>2007</v>
      </c>
      <c r="K2" s="248">
        <f t="shared" si="0"/>
        <v>2008</v>
      </c>
      <c r="L2" s="248">
        <f t="shared" si="0"/>
        <v>2009</v>
      </c>
      <c r="M2" s="248">
        <f t="shared" si="0"/>
        <v>2010</v>
      </c>
      <c r="N2" s="248">
        <f t="shared" si="0"/>
        <v>2011</v>
      </c>
      <c r="O2" s="248">
        <f t="shared" si="0"/>
        <v>2012</v>
      </c>
      <c r="P2" s="248">
        <f t="shared" si="0"/>
        <v>2013</v>
      </c>
      <c r="Q2" s="248">
        <f t="shared" si="0"/>
        <v>2014</v>
      </c>
      <c r="R2" s="248">
        <f t="shared" si="0"/>
        <v>2015</v>
      </c>
      <c r="S2" s="248">
        <f t="shared" si="0"/>
        <v>2016</v>
      </c>
      <c r="T2" s="248">
        <f t="shared" si="0"/>
        <v>2017</v>
      </c>
      <c r="U2" s="248">
        <f t="shared" si="0"/>
        <v>2018</v>
      </c>
      <c r="V2" s="248">
        <f t="shared" si="0"/>
        <v>2019</v>
      </c>
      <c r="W2" s="248">
        <f t="shared" si="0"/>
        <v>2020</v>
      </c>
      <c r="X2" s="248">
        <f t="shared" si="0"/>
        <v>2021</v>
      </c>
      <c r="Y2" s="248">
        <f t="shared" ref="Y2:AH2" si="1">X2+1</f>
        <v>2022</v>
      </c>
      <c r="Z2" s="248">
        <f t="shared" si="1"/>
        <v>2023</v>
      </c>
      <c r="AA2" s="248">
        <f t="shared" si="1"/>
        <v>2024</v>
      </c>
      <c r="AB2" s="248">
        <f t="shared" si="1"/>
        <v>2025</v>
      </c>
      <c r="AC2" s="248">
        <f t="shared" si="1"/>
        <v>2026</v>
      </c>
      <c r="AD2" s="248">
        <f t="shared" si="1"/>
        <v>2027</v>
      </c>
      <c r="AE2" s="248">
        <f t="shared" si="1"/>
        <v>2028</v>
      </c>
      <c r="AF2" s="248">
        <f t="shared" si="1"/>
        <v>2029</v>
      </c>
      <c r="AG2" s="248">
        <f t="shared" si="1"/>
        <v>2030</v>
      </c>
      <c r="AH2" s="248">
        <f t="shared" si="1"/>
        <v>2031</v>
      </c>
      <c r="AI2" s="249">
        <f>AH2+1</f>
        <v>2032</v>
      </c>
      <c r="AJ2" s="168"/>
      <c r="AK2" s="168"/>
      <c r="AL2" s="168"/>
      <c r="AM2" s="168"/>
      <c r="AN2" s="168"/>
      <c r="AO2" s="168"/>
      <c r="AP2" s="168"/>
      <c r="AQ2" s="168"/>
      <c r="AR2" s="168"/>
      <c r="AS2" s="168"/>
      <c r="AT2" s="168"/>
      <c r="AU2" s="168"/>
      <c r="AV2" s="168"/>
      <c r="AW2" s="168"/>
      <c r="AX2" s="168"/>
      <c r="AY2" s="168"/>
      <c r="AZ2" s="168"/>
      <c r="BA2" s="168"/>
      <c r="BB2" s="168"/>
      <c r="BC2" s="168"/>
      <c r="BD2" s="168"/>
      <c r="BE2" s="168"/>
      <c r="BF2" s="181"/>
      <c r="BG2" s="181"/>
      <c r="BH2" s="181"/>
      <c r="BI2" s="181"/>
      <c r="BJ2" s="181"/>
      <c r="BK2" s="181"/>
      <c r="BL2" s="181"/>
      <c r="BM2" s="181"/>
      <c r="BN2" s="181"/>
      <c r="BO2" s="181"/>
      <c r="BP2" s="181"/>
      <c r="BQ2" s="181"/>
      <c r="BR2" s="181"/>
      <c r="BS2" s="181"/>
      <c r="BT2" s="181"/>
      <c r="BU2" s="181"/>
      <c r="BV2" s="181"/>
      <c r="BW2" s="181"/>
      <c r="BX2" s="181"/>
      <c r="BY2" s="181"/>
      <c r="BZ2" s="181"/>
      <c r="CA2" s="181"/>
      <c r="CB2" s="181"/>
      <c r="CC2" s="181"/>
      <c r="CD2" s="181"/>
      <c r="CE2" s="181"/>
      <c r="CF2" s="181"/>
      <c r="CG2" s="181"/>
      <c r="CH2" s="181"/>
      <c r="CI2" s="181"/>
      <c r="CJ2" s="181"/>
      <c r="CK2" s="181"/>
      <c r="CL2" s="181"/>
      <c r="CM2" s="181"/>
      <c r="CN2" s="181"/>
      <c r="CO2" s="181"/>
      <c r="CP2" s="181"/>
      <c r="CQ2" s="181"/>
      <c r="CR2" s="181"/>
      <c r="CS2" s="181"/>
      <c r="CT2" s="181"/>
      <c r="CU2" s="181"/>
      <c r="CV2" s="181"/>
      <c r="CW2" s="181"/>
      <c r="CX2" s="181"/>
      <c r="CY2" s="181"/>
      <c r="CZ2" s="181"/>
      <c r="DA2" s="181"/>
      <c r="DB2" s="181"/>
      <c r="DC2" s="181"/>
      <c r="DD2" s="181"/>
      <c r="DE2" s="181"/>
      <c r="DF2" s="181"/>
      <c r="DG2" s="181"/>
      <c r="DH2" s="181"/>
      <c r="DI2" s="181"/>
      <c r="DJ2" s="181"/>
      <c r="DK2" s="181"/>
      <c r="DL2" s="181"/>
      <c r="DM2" s="181"/>
      <c r="DN2" s="181"/>
      <c r="DO2" s="181"/>
      <c r="DP2" s="181"/>
      <c r="DQ2" s="181"/>
      <c r="DR2" s="181"/>
      <c r="DS2" s="181"/>
      <c r="DT2" s="181"/>
      <c r="DU2" s="181"/>
      <c r="DV2" s="181"/>
      <c r="DW2" s="181"/>
      <c r="DX2" s="181"/>
      <c r="DY2" s="181"/>
      <c r="DZ2" s="181"/>
      <c r="EA2" s="181"/>
      <c r="EB2" s="181"/>
      <c r="EC2" s="181"/>
      <c r="ED2" s="181"/>
      <c r="EE2" s="181"/>
      <c r="EF2" s="181"/>
      <c r="EG2" s="181"/>
      <c r="EH2" s="181"/>
      <c r="EI2" s="181"/>
      <c r="EJ2" s="181"/>
      <c r="EK2" s="181"/>
      <c r="EL2" s="181"/>
      <c r="EM2" s="181"/>
      <c r="EN2" s="181"/>
      <c r="EO2" s="181"/>
      <c r="EP2" s="181"/>
      <c r="EQ2" s="181"/>
      <c r="ER2" s="181"/>
      <c r="ES2" s="181"/>
      <c r="ET2" s="181"/>
      <c r="EU2" s="181"/>
      <c r="EV2" s="181"/>
      <c r="EW2" s="181"/>
    </row>
    <row r="3" spans="1:153" customFormat="1"/>
    <row r="4" spans="1:153">
      <c r="B4" s="361" t="str">
        <f>Assum!$B$21</f>
        <v xml:space="preserve">EXCHANGE RATE                 Local Currency  = </v>
      </c>
      <c r="C4" s="438" t="str">
        <f>Assum!$E$21</f>
        <v xml:space="preserve">  $</v>
      </c>
      <c r="D4" s="438"/>
      <c r="E4" s="361">
        <f>Assum!$F$21</f>
        <v>1</v>
      </c>
      <c r="G4" s="168"/>
      <c r="H4" s="168"/>
      <c r="I4" s="168"/>
      <c r="J4" s="168"/>
      <c r="K4" s="168"/>
      <c r="L4" s="179"/>
      <c r="M4" s="168"/>
      <c r="N4" s="168"/>
      <c r="O4" s="168"/>
      <c r="P4" s="168"/>
      <c r="Q4" s="82"/>
      <c r="R4" s="168"/>
      <c r="S4" s="168"/>
      <c r="T4" s="168"/>
      <c r="U4" s="168"/>
      <c r="V4" s="168"/>
      <c r="W4" s="168"/>
      <c r="X4" s="168"/>
      <c r="Y4" s="168"/>
      <c r="Z4" s="168"/>
      <c r="AA4" s="168"/>
      <c r="AB4" s="168"/>
      <c r="AC4" s="168"/>
      <c r="AD4" s="168"/>
      <c r="AE4" s="168"/>
      <c r="AF4" s="168"/>
      <c r="AG4" s="168"/>
      <c r="AH4" s="168"/>
      <c r="AI4" s="168"/>
      <c r="AJ4" s="168"/>
      <c r="AK4" s="168"/>
      <c r="AL4" s="168"/>
      <c r="AM4" s="168"/>
      <c r="AN4" s="168"/>
      <c r="AO4" s="168"/>
      <c r="AP4" s="168"/>
      <c r="AQ4" s="168"/>
      <c r="AR4" s="168"/>
      <c r="AS4" s="168"/>
      <c r="AT4" s="168"/>
      <c r="AU4" s="168"/>
      <c r="AV4" s="168"/>
      <c r="AW4" s="168"/>
      <c r="AX4" s="168"/>
      <c r="AY4" s="168"/>
      <c r="AZ4" s="168"/>
      <c r="BA4" s="168"/>
      <c r="BB4" s="168"/>
      <c r="BC4" s="168"/>
      <c r="BD4" s="168"/>
      <c r="BE4" s="168"/>
      <c r="BF4" s="168"/>
      <c r="BG4" s="168"/>
      <c r="BH4" s="168"/>
      <c r="BI4" s="168"/>
      <c r="BJ4" s="168"/>
      <c r="BK4" s="168"/>
      <c r="BL4" s="168"/>
      <c r="BM4" s="168"/>
      <c r="BN4" s="168"/>
      <c r="BO4" s="168"/>
      <c r="BP4" s="168"/>
      <c r="BQ4" s="168"/>
      <c r="BR4" s="168"/>
      <c r="BS4" s="168"/>
      <c r="BT4" s="168"/>
      <c r="BU4" s="168"/>
      <c r="BV4" s="168"/>
      <c r="BW4" s="168"/>
      <c r="BX4" s="168"/>
      <c r="BY4" s="168"/>
      <c r="BZ4" s="168"/>
      <c r="CA4" s="168"/>
      <c r="CB4" s="168"/>
      <c r="CC4" s="168"/>
      <c r="CD4" s="168"/>
      <c r="CE4" s="168"/>
      <c r="CF4" s="168"/>
      <c r="CG4" s="168"/>
      <c r="CH4" s="168"/>
      <c r="CI4" s="168"/>
      <c r="CJ4" s="168"/>
      <c r="CK4" s="168"/>
      <c r="CL4" s="168"/>
      <c r="CM4" s="168"/>
      <c r="CN4" s="168"/>
      <c r="CO4" s="168"/>
      <c r="CP4" s="168"/>
      <c r="CQ4" s="168"/>
      <c r="CR4" s="168"/>
      <c r="CS4" s="168"/>
      <c r="CT4" s="168"/>
      <c r="CU4" s="168"/>
      <c r="CV4" s="168"/>
      <c r="CW4" s="168"/>
      <c r="CX4" s="168"/>
      <c r="CY4" s="168"/>
      <c r="CZ4" s="168"/>
      <c r="DA4" s="168"/>
      <c r="DB4" s="168"/>
      <c r="DC4" s="168"/>
      <c r="DD4" s="168"/>
      <c r="DE4" s="168"/>
      <c r="DF4" s="168"/>
      <c r="DG4" s="168"/>
      <c r="DH4" s="168"/>
      <c r="DI4" s="168"/>
      <c r="DJ4" s="168"/>
      <c r="DK4" s="168"/>
      <c r="DL4" s="168"/>
      <c r="DM4" s="168"/>
      <c r="DN4" s="168"/>
      <c r="DO4" s="168"/>
      <c r="DP4" s="168"/>
      <c r="DQ4" s="168"/>
      <c r="DR4" s="168"/>
      <c r="DS4" s="168"/>
      <c r="DT4" s="168"/>
      <c r="DU4" s="168"/>
      <c r="DV4" s="168"/>
      <c r="DW4" s="168"/>
      <c r="DX4" s="168"/>
      <c r="DY4" s="168"/>
      <c r="DZ4" s="168"/>
      <c r="EA4" s="168"/>
      <c r="EB4" s="168"/>
      <c r="EC4" s="168"/>
      <c r="ED4" s="168"/>
      <c r="EE4" s="168"/>
      <c r="EF4" s="168"/>
      <c r="EG4" s="168"/>
      <c r="EH4" s="168"/>
      <c r="EI4" s="168"/>
      <c r="EJ4" s="168"/>
      <c r="EK4" s="168"/>
      <c r="EL4" s="168"/>
      <c r="EM4" s="168"/>
      <c r="EN4" s="168"/>
      <c r="EO4" s="168"/>
      <c r="EP4" s="168"/>
      <c r="EQ4" s="168"/>
      <c r="ER4" s="168"/>
      <c r="ES4" s="168"/>
      <c r="ET4" s="168"/>
      <c r="EU4" s="168"/>
      <c r="EV4" s="168"/>
      <c r="EW4" s="168"/>
    </row>
    <row r="5" spans="1:153">
      <c r="B5" s="180"/>
      <c r="C5"/>
      <c r="D5"/>
      <c r="E5" s="186"/>
      <c r="F5" s="186"/>
      <c r="G5" s="186"/>
      <c r="H5" s="186"/>
      <c r="I5" s="186"/>
      <c r="J5" s="186"/>
      <c r="K5" s="186"/>
      <c r="L5" s="186"/>
      <c r="M5" s="186"/>
      <c r="N5" s="186"/>
      <c r="O5" s="186"/>
      <c r="P5" s="186"/>
      <c r="Q5" s="186"/>
      <c r="R5" s="186"/>
      <c r="S5" s="186"/>
      <c r="T5" s="186"/>
      <c r="U5" s="186"/>
      <c r="V5" s="186"/>
      <c r="W5" s="186"/>
      <c r="X5" s="186"/>
      <c r="Y5" s="186"/>
      <c r="Z5" s="186"/>
      <c r="AA5" s="186"/>
      <c r="AB5" s="186"/>
      <c r="AC5" s="186"/>
      <c r="AD5" s="186"/>
      <c r="AE5" s="186"/>
      <c r="AF5" s="186"/>
      <c r="AG5" s="186"/>
      <c r="AH5" s="186"/>
      <c r="AI5" s="186"/>
      <c r="AJ5" s="168"/>
      <c r="AK5" s="168"/>
      <c r="AL5" s="168"/>
      <c r="AM5" s="168"/>
      <c r="AN5" s="168"/>
      <c r="AO5" s="168"/>
      <c r="AP5" s="168"/>
      <c r="AQ5" s="168"/>
      <c r="AR5" s="168"/>
      <c r="AS5" s="168"/>
      <c r="AT5" s="168"/>
      <c r="AU5" s="168"/>
      <c r="AV5" s="168"/>
      <c r="AW5" s="168"/>
      <c r="AX5" s="168"/>
      <c r="AY5" s="168"/>
      <c r="AZ5" s="168"/>
      <c r="BA5" s="168"/>
      <c r="BB5" s="168"/>
      <c r="BC5" s="168"/>
      <c r="BD5" s="168"/>
      <c r="BE5" s="168"/>
      <c r="BF5" s="181"/>
      <c r="BG5" s="181"/>
      <c r="BH5" s="181"/>
      <c r="BI5" s="181"/>
      <c r="BJ5" s="181"/>
      <c r="BK5" s="181"/>
      <c r="BL5" s="181"/>
      <c r="BM5" s="181"/>
      <c r="BN5" s="181"/>
      <c r="BO5" s="181"/>
      <c r="BP5" s="181"/>
      <c r="BQ5" s="181"/>
      <c r="BR5" s="181"/>
      <c r="BS5" s="181"/>
      <c r="BT5" s="181"/>
      <c r="BU5" s="181"/>
      <c r="BV5" s="181"/>
      <c r="BW5" s="181"/>
      <c r="BX5" s="181"/>
      <c r="BY5" s="181"/>
      <c r="BZ5" s="181"/>
      <c r="CA5" s="181"/>
      <c r="CB5" s="181"/>
      <c r="CC5" s="181"/>
      <c r="CD5" s="181"/>
      <c r="CE5" s="181"/>
      <c r="CF5" s="181"/>
      <c r="CG5" s="181"/>
      <c r="CH5" s="181"/>
      <c r="CI5" s="181"/>
      <c r="CJ5" s="181"/>
      <c r="CK5" s="181"/>
      <c r="CL5" s="181"/>
      <c r="CM5" s="181"/>
      <c r="CN5" s="181"/>
      <c r="CO5" s="181"/>
      <c r="CP5" s="181"/>
      <c r="CQ5" s="181"/>
      <c r="CR5" s="181"/>
      <c r="CS5" s="181"/>
      <c r="CT5" s="181"/>
      <c r="CU5" s="181"/>
      <c r="CV5" s="181"/>
      <c r="CW5" s="181"/>
      <c r="CX5" s="181"/>
      <c r="CY5" s="181"/>
      <c r="CZ5" s="181"/>
      <c r="DA5" s="181"/>
      <c r="DB5" s="181"/>
      <c r="DC5" s="181"/>
      <c r="DD5" s="181"/>
      <c r="DE5" s="181"/>
      <c r="DF5" s="181"/>
      <c r="DG5" s="181"/>
      <c r="DH5" s="181"/>
      <c r="DI5" s="181"/>
      <c r="DJ5" s="181"/>
      <c r="DK5" s="181"/>
      <c r="DL5" s="181"/>
      <c r="DM5" s="181"/>
      <c r="DN5" s="181"/>
      <c r="DO5" s="181"/>
      <c r="DP5" s="181"/>
      <c r="DQ5" s="181"/>
      <c r="DR5" s="181"/>
      <c r="DS5" s="181"/>
      <c r="DT5" s="181"/>
      <c r="DU5" s="181"/>
      <c r="DV5" s="181"/>
      <c r="DW5" s="181"/>
      <c r="DX5" s="181"/>
      <c r="DY5" s="181"/>
      <c r="DZ5" s="181"/>
      <c r="EA5" s="181"/>
      <c r="EB5" s="181"/>
      <c r="EC5" s="181"/>
      <c r="ED5" s="181"/>
      <c r="EE5" s="181"/>
      <c r="EF5" s="181"/>
      <c r="EG5" s="181"/>
      <c r="EH5" s="181"/>
      <c r="EI5" s="181"/>
      <c r="EJ5" s="181"/>
      <c r="EK5" s="181"/>
      <c r="EL5" s="181"/>
      <c r="EM5" s="181"/>
      <c r="EN5" s="181"/>
      <c r="EO5" s="181"/>
      <c r="EP5" s="181"/>
      <c r="EQ5" s="181"/>
      <c r="ER5" s="181"/>
      <c r="ES5" s="181"/>
      <c r="ET5" s="181"/>
      <c r="EU5" s="181"/>
      <c r="EV5" s="181"/>
      <c r="EW5" s="181"/>
    </row>
    <row r="6" spans="1:153" s="183" customFormat="1">
      <c r="A6" s="319"/>
      <c r="B6" s="168" t="s">
        <v>229</v>
      </c>
      <c r="C6"/>
      <c r="D6"/>
      <c r="E6" s="182">
        <f>Assum!H23</f>
        <v>0.99722222222222223</v>
      </c>
      <c r="F6" s="182">
        <f>IF(F2-$E$2&lt;Assum!$F$22,1,IF(F2-$E$2=Assum!$F$22,1-Assum!$H$23,0))</f>
        <v>1</v>
      </c>
      <c r="G6" s="182">
        <f>IF(G2-$E$2&lt;Assum!$F$22,1,IF(G2-$E$2=Assum!$F$22,1-Assum!$H$23,0))</f>
        <v>1</v>
      </c>
      <c r="H6" s="182">
        <f>IF(H2-$E$2&lt;Assum!$F$22,1,IF(H2-$E$2=Assum!$F$22,1-Assum!$H$23,0))</f>
        <v>1</v>
      </c>
      <c r="I6" s="182">
        <f>IF(I2-$E$2&lt;Assum!$F$22,1,IF(I2-$E$2=Assum!$F$22,1-Assum!$H$23,0))</f>
        <v>1</v>
      </c>
      <c r="J6" s="182">
        <f>IF(J2-$E$2&lt;Assum!$F$22,1,IF(J2-$E$2=Assum!$F$22,1-Assum!$H$23,0))</f>
        <v>1</v>
      </c>
      <c r="K6" s="182">
        <f>IF(K2-$E$2&lt;Assum!$F$22,1,IF(K2-$E$2=Assum!$F$22,1-Assum!$H$23,0))</f>
        <v>1</v>
      </c>
      <c r="L6" s="182">
        <f>IF(L2-$E$2&lt;Assum!$F$22,1,IF(L2-$E$2=Assum!$F$22,1-Assum!$H$23,0))</f>
        <v>1</v>
      </c>
      <c r="M6" s="182">
        <f>IF(M2-$E$2&lt;Assum!$F$22,1,IF(M2-$E$2=Assum!$F$22,1-Assum!$H$23,0))</f>
        <v>1</v>
      </c>
      <c r="N6" s="182">
        <f>IF(N2-$E$2&lt;Assum!$F$22,1,IF(N2-$E$2=Assum!$F$22,1-Assum!$H$23,0))</f>
        <v>1</v>
      </c>
      <c r="O6" s="182">
        <f>IF(O2-$E$2&lt;Assum!$F$22,1,IF(O2-$E$2=Assum!$F$22,1-Assum!$H$23,0))</f>
        <v>1</v>
      </c>
      <c r="P6" s="182">
        <f>IF(P2-$E$2&lt;Assum!$F$22,1,IF(P2-$E$2=Assum!$F$22,1-Assum!$H$23,0))</f>
        <v>1</v>
      </c>
      <c r="Q6" s="182">
        <f>IF(Q2-$E$2&lt;Assum!$F$22,1,IF(Q2-$E$2=Assum!$F$22,1-Assum!$H$23,0))</f>
        <v>1</v>
      </c>
      <c r="R6" s="182">
        <f>IF(R2-$E$2&lt;Assum!$F$22,1,IF(R2-$E$2=Assum!$F$22,1-Assum!$H$23,0))</f>
        <v>1</v>
      </c>
      <c r="S6" s="182">
        <f>IF(S2-$E$2&lt;Assum!$F$22,1,IF(S2-$E$2=Assum!$F$22,1-Assum!$H$23,0))</f>
        <v>1</v>
      </c>
      <c r="T6" s="182">
        <f>IF(T2-$E$2&lt;Assum!$F$22,1,IF(T2-$E$2=Assum!$F$22,1-Assum!$H$23,0))</f>
        <v>1</v>
      </c>
      <c r="U6" s="182">
        <f>IF(U2-$E$2&lt;Assum!$F$22,1,IF(U2-$E$2=Assum!$F$22,1-Assum!$H$23,0))</f>
        <v>1</v>
      </c>
      <c r="V6" s="182">
        <f>IF(V2-$E$2&lt;Assum!$F$22,1,IF(V2-$E$2=Assum!$F$22,1-Assum!$H$23,0))</f>
        <v>1</v>
      </c>
      <c r="W6" s="182">
        <f>IF(W2-$E$2&lt;Assum!$F$22,1,IF(W2-$E$2=Assum!$F$22,1-Assum!$H$23,0))</f>
        <v>1</v>
      </c>
      <c r="X6" s="182">
        <f>IF(X2-$E$2&lt;Assum!$F$22,1,IF(X2-$E$2=Assum!$F$22,1-Assum!$H$23,0))</f>
        <v>1</v>
      </c>
      <c r="Y6" s="182">
        <f>IF(Y2-$E$2&lt;Assum!$F$22,1,IF(Y2-$E$2=Assum!$F$22,1-Assum!$H$23,0))</f>
        <v>2.7777777777777679E-3</v>
      </c>
      <c r="Z6" s="182">
        <f>IF(Z2-$E$2&lt;Assum!$F$22,1,IF(Z2-$E$2=Assum!$F$22,1-Assum!$H$23,0))</f>
        <v>0</v>
      </c>
      <c r="AA6" s="182">
        <f>IF(AA2-$E$2&lt;Assum!$F$22,1,IF(AA2-$E$2=Assum!$F$22,1-Assum!$H$23,0))</f>
        <v>0</v>
      </c>
      <c r="AB6" s="182">
        <f>IF(AB2-$E$2&lt;Assum!$F$22,1,IF(AB2-$E$2=Assum!$F$22,1-Assum!$H$23,0))</f>
        <v>0</v>
      </c>
      <c r="AC6" s="182">
        <f>IF(AC2-$E$2&lt;Assum!$F$22,1,IF(AC2-$E$2=Assum!$F$22,1-Assum!$H$23,0))</f>
        <v>0</v>
      </c>
      <c r="AD6" s="182">
        <f>IF(AD2-$E$2&lt;Assum!$F$22,1,IF(AD2-$E$2=Assum!$F$22,1-Assum!$H$23,0))</f>
        <v>0</v>
      </c>
      <c r="AE6" s="182">
        <f>IF(AE2-$E$2&lt;Assum!$F$22,1,IF(AE2-$E$2=Assum!$F$22,1-Assum!$H$23,0))</f>
        <v>0</v>
      </c>
      <c r="AF6" s="182">
        <f>IF(AF2-$E$2&lt;Assum!$F$22,1,IF(AF2-$E$2=Assum!$F$22,1-Assum!$H$23,0))</f>
        <v>0</v>
      </c>
      <c r="AG6" s="182">
        <f>IF(AG2-$E$2&lt;Assum!$F$22,1,IF(AG2-$E$2=Assum!$F$22,1-Assum!$H$23,0))</f>
        <v>0</v>
      </c>
      <c r="AH6" s="182">
        <f>IF(AH2-$E$2&lt;Assum!$F$22,1,IF(AH2-$E$2=Assum!$F$22,1-Assum!$H$23,0))</f>
        <v>0</v>
      </c>
      <c r="AI6" s="182">
        <f>IF(AI2-$E$2&lt;Assum!$F$22,1,IF(AI2-$E$2=Assum!$F$22,1-Assum!$H$23,0))</f>
        <v>0</v>
      </c>
      <c r="AJ6" s="168"/>
      <c r="AK6" s="168"/>
      <c r="AL6" s="168"/>
      <c r="AM6" s="168"/>
      <c r="AN6" s="168"/>
      <c r="AO6" s="168"/>
      <c r="AP6" s="168"/>
      <c r="AQ6" s="168"/>
      <c r="AR6" s="168"/>
      <c r="AS6" s="168"/>
      <c r="AT6" s="168"/>
      <c r="AU6" s="168"/>
      <c r="AV6" s="168"/>
      <c r="AW6" s="168"/>
      <c r="AX6" s="168"/>
      <c r="AY6" s="168"/>
      <c r="AZ6" s="168"/>
      <c r="BA6" s="168"/>
      <c r="BB6" s="168"/>
      <c r="BC6" s="168"/>
      <c r="BD6" s="168"/>
      <c r="BE6" s="168"/>
      <c r="BF6" s="168"/>
      <c r="BG6" s="168"/>
      <c r="BH6" s="168"/>
      <c r="BI6" s="168"/>
      <c r="BJ6" s="168"/>
      <c r="BK6" s="168"/>
      <c r="BL6" s="168"/>
      <c r="BM6" s="168"/>
      <c r="BN6" s="168"/>
      <c r="BO6" s="168"/>
      <c r="BP6" s="168"/>
      <c r="BQ6" s="168"/>
      <c r="BR6" s="168"/>
      <c r="BS6" s="168"/>
      <c r="BT6" s="168"/>
      <c r="BU6" s="168"/>
      <c r="BV6" s="168"/>
      <c r="BW6" s="168"/>
      <c r="BX6" s="168"/>
      <c r="BY6" s="168"/>
      <c r="BZ6" s="168"/>
      <c r="CA6" s="168"/>
      <c r="CB6" s="168"/>
      <c r="CC6" s="168"/>
      <c r="CD6" s="168"/>
      <c r="CE6" s="168"/>
      <c r="CF6" s="168"/>
      <c r="CG6" s="168"/>
      <c r="CH6" s="168"/>
      <c r="CI6" s="168"/>
      <c r="CJ6" s="168"/>
      <c r="CK6" s="168"/>
      <c r="CL6" s="168"/>
      <c r="CM6" s="168"/>
      <c r="CN6" s="168"/>
      <c r="CO6" s="168"/>
      <c r="CP6" s="168"/>
      <c r="CQ6" s="168"/>
      <c r="CR6" s="168"/>
      <c r="CS6" s="168"/>
      <c r="CT6" s="168"/>
      <c r="CU6" s="168"/>
      <c r="CV6" s="168"/>
      <c r="CW6" s="168"/>
      <c r="CX6" s="168"/>
      <c r="CY6" s="168"/>
      <c r="CZ6" s="168"/>
      <c r="DA6" s="168"/>
      <c r="DB6" s="168"/>
      <c r="DC6" s="168"/>
      <c r="DD6" s="168"/>
      <c r="DE6" s="168"/>
      <c r="DF6" s="168"/>
      <c r="DG6" s="168"/>
      <c r="DH6" s="168"/>
      <c r="DI6" s="168"/>
      <c r="DJ6" s="168"/>
      <c r="DK6" s="168"/>
      <c r="DL6" s="168"/>
      <c r="DM6" s="168"/>
      <c r="DN6" s="168"/>
      <c r="DO6" s="168"/>
      <c r="DP6" s="168"/>
      <c r="DQ6" s="168"/>
      <c r="DR6" s="168"/>
      <c r="DS6" s="168"/>
      <c r="DT6" s="168"/>
      <c r="DU6" s="168"/>
      <c r="DV6" s="168"/>
      <c r="DW6" s="168"/>
      <c r="DX6" s="168"/>
      <c r="DY6" s="168"/>
      <c r="DZ6" s="168"/>
      <c r="EA6" s="168"/>
      <c r="EB6" s="168"/>
      <c r="EC6" s="168"/>
      <c r="ED6" s="168"/>
      <c r="EE6" s="168"/>
      <c r="EF6" s="168"/>
      <c r="EG6" s="168"/>
      <c r="EH6" s="168"/>
      <c r="EI6" s="168"/>
      <c r="EJ6" s="168"/>
      <c r="EK6" s="168"/>
      <c r="EL6" s="168"/>
      <c r="EM6" s="168"/>
      <c r="EN6" s="168"/>
      <c r="EO6" s="168"/>
      <c r="EP6" s="168"/>
      <c r="EQ6" s="168"/>
      <c r="ER6" s="168"/>
      <c r="ES6" s="168"/>
      <c r="ET6" s="168"/>
      <c r="EU6" s="168"/>
      <c r="EV6" s="168"/>
      <c r="EW6" s="168"/>
    </row>
    <row r="7" spans="1:153">
      <c r="B7" s="176" t="s">
        <v>230</v>
      </c>
      <c r="C7" s="59"/>
      <c r="D7" s="59"/>
      <c r="E7" s="176">
        <f>Assum!E102*E6</f>
        <v>467663.91499999998</v>
      </c>
      <c r="F7" s="176">
        <f>Assum!F102*F6</f>
        <v>468966.6</v>
      </c>
      <c r="G7" s="176">
        <f>Assum!G102*G6</f>
        <v>468966.6</v>
      </c>
      <c r="H7" s="176">
        <f>Assum!H102*H6</f>
        <v>468966.6</v>
      </c>
      <c r="I7" s="176">
        <f>Assum!I102*I6</f>
        <v>468966.6</v>
      </c>
      <c r="J7" s="176">
        <f>Assum!J102*J6</f>
        <v>468966.6</v>
      </c>
      <c r="K7" s="176">
        <f>Assum!K102*K6</f>
        <v>468966.6</v>
      </c>
      <c r="L7" s="176">
        <f>Assum!L102*L6</f>
        <v>468966.6</v>
      </c>
      <c r="M7" s="176">
        <f>Assum!M102*M6</f>
        <v>468966.6</v>
      </c>
      <c r="N7" s="176">
        <f>Assum!N102*N6</f>
        <v>468966.6</v>
      </c>
      <c r="O7" s="176">
        <f>Assum!O102*O6</f>
        <v>468966.6</v>
      </c>
      <c r="P7" s="176">
        <f>Assum!P102*P6</f>
        <v>468966.6</v>
      </c>
      <c r="Q7" s="176">
        <f>Assum!Q102*Q6</f>
        <v>468966.6</v>
      </c>
      <c r="R7" s="176">
        <f>Assum!R102*R6</f>
        <v>468966.6</v>
      </c>
      <c r="S7" s="176">
        <f>Assum!S102*S6</f>
        <v>468966.6</v>
      </c>
      <c r="T7" s="176">
        <f>Assum!T102*T6</f>
        <v>468966.6</v>
      </c>
      <c r="U7" s="176">
        <f>Assum!U102*U6</f>
        <v>468966.6</v>
      </c>
      <c r="V7" s="176">
        <f>Assum!V102*V6</f>
        <v>468966.6</v>
      </c>
      <c r="W7" s="176">
        <f>Assum!W102*W6</f>
        <v>468966.6</v>
      </c>
      <c r="X7" s="176">
        <f>Assum!X102*X6</f>
        <v>468966.6</v>
      </c>
      <c r="Y7" s="176">
        <f>Assum!Y102*Y6</f>
        <v>1302.6849999999954</v>
      </c>
      <c r="Z7" s="176">
        <f>Assum!Z102*Z6</f>
        <v>0</v>
      </c>
      <c r="AA7" s="176">
        <f>Assum!AA102*AA6</f>
        <v>0</v>
      </c>
      <c r="AB7" s="176">
        <f>Assum!AB102*AB6</f>
        <v>0</v>
      </c>
      <c r="AC7" s="176">
        <f>Assum!AC102*AC6</f>
        <v>0</v>
      </c>
      <c r="AD7" s="176">
        <f>Assum!AD102*AD6</f>
        <v>0</v>
      </c>
      <c r="AE7" s="176">
        <f>Assum!AE102*AE6</f>
        <v>0</v>
      </c>
      <c r="AF7" s="176">
        <f>Assum!AF102*AF6</f>
        <v>0</v>
      </c>
      <c r="AG7" s="176">
        <f>Assum!AG102*AG6</f>
        <v>0</v>
      </c>
      <c r="AH7" s="176">
        <f>Assum!AH102*AH6</f>
        <v>0</v>
      </c>
      <c r="AI7" s="176">
        <f>Assum!AI102*AI6</f>
        <v>0</v>
      </c>
      <c r="AJ7" s="184"/>
      <c r="AK7" s="184"/>
      <c r="AL7" s="184"/>
      <c r="AM7" s="184"/>
      <c r="AN7" s="184"/>
      <c r="AO7" s="184"/>
      <c r="AP7" s="184"/>
      <c r="AQ7" s="184"/>
      <c r="AR7" s="184"/>
      <c r="AS7" s="184"/>
      <c r="AT7" s="184"/>
      <c r="AU7" s="184"/>
      <c r="AV7" s="184"/>
      <c r="AW7" s="184"/>
      <c r="AX7" s="184"/>
      <c r="AY7" s="184"/>
      <c r="AZ7" s="184"/>
      <c r="BA7" s="184"/>
      <c r="BB7" s="184"/>
      <c r="BC7" s="184"/>
      <c r="BD7" s="184"/>
      <c r="BE7" s="184"/>
      <c r="BF7" s="184"/>
      <c r="BG7" s="184"/>
      <c r="BH7" s="184"/>
      <c r="BI7" s="184"/>
      <c r="BJ7" s="184"/>
      <c r="BK7" s="184"/>
      <c r="BL7" s="184"/>
      <c r="BM7" s="184"/>
      <c r="BN7" s="184"/>
      <c r="BO7" s="184"/>
      <c r="BP7" s="184"/>
      <c r="BQ7" s="184"/>
      <c r="BR7" s="184"/>
      <c r="BS7" s="184"/>
      <c r="BT7" s="184"/>
      <c r="BU7" s="184"/>
      <c r="BV7" s="184"/>
      <c r="BW7" s="184"/>
      <c r="BX7" s="184"/>
      <c r="BY7" s="184"/>
      <c r="BZ7" s="184"/>
      <c r="CA7" s="184"/>
      <c r="CB7" s="184"/>
      <c r="CC7" s="184"/>
      <c r="CD7" s="184"/>
      <c r="CE7" s="184"/>
      <c r="CF7" s="184"/>
      <c r="CG7" s="184"/>
      <c r="CH7" s="184"/>
      <c r="CI7" s="184"/>
      <c r="CJ7" s="184"/>
      <c r="CK7" s="184"/>
      <c r="CL7" s="184"/>
      <c r="CM7" s="184"/>
      <c r="CN7" s="184"/>
      <c r="CO7" s="184"/>
      <c r="CP7" s="184"/>
      <c r="CQ7" s="184"/>
      <c r="CR7" s="184"/>
      <c r="CS7" s="184"/>
      <c r="CT7" s="184"/>
      <c r="CU7" s="184"/>
      <c r="CV7" s="184"/>
      <c r="CW7" s="184"/>
      <c r="CX7" s="184"/>
      <c r="CY7" s="184"/>
      <c r="CZ7" s="184"/>
      <c r="DA7" s="184"/>
      <c r="DB7" s="184"/>
      <c r="DC7" s="184"/>
      <c r="DD7" s="184"/>
      <c r="DE7" s="184"/>
      <c r="DF7" s="184"/>
      <c r="DG7" s="184"/>
      <c r="DH7" s="184"/>
      <c r="DI7" s="184"/>
      <c r="DJ7" s="184"/>
      <c r="DK7" s="184"/>
      <c r="DL7" s="184"/>
      <c r="DM7" s="184"/>
      <c r="DN7" s="184"/>
      <c r="DO7" s="184"/>
      <c r="DP7" s="184"/>
      <c r="DQ7" s="184"/>
      <c r="DR7" s="184"/>
      <c r="DS7" s="184"/>
      <c r="DT7" s="184"/>
      <c r="DU7" s="184"/>
      <c r="DV7" s="184"/>
      <c r="DW7" s="184"/>
      <c r="DX7" s="184"/>
      <c r="DY7" s="184"/>
      <c r="DZ7" s="184"/>
      <c r="EA7" s="184"/>
      <c r="EB7" s="184"/>
      <c r="EC7" s="184"/>
      <c r="ED7" s="184"/>
      <c r="EE7" s="184"/>
      <c r="EF7" s="184"/>
      <c r="EG7" s="184"/>
      <c r="EH7" s="184"/>
      <c r="EI7" s="184"/>
      <c r="EJ7" s="184"/>
      <c r="EK7" s="184"/>
      <c r="EL7" s="184"/>
      <c r="EM7" s="184"/>
      <c r="EN7" s="184"/>
      <c r="EO7" s="184"/>
      <c r="EP7" s="184"/>
      <c r="EQ7" s="184"/>
      <c r="ER7" s="184"/>
      <c r="ES7" s="184"/>
      <c r="ET7" s="184"/>
      <c r="EU7" s="184"/>
      <c r="EV7" s="184"/>
      <c r="EW7" s="184"/>
    </row>
    <row r="8" spans="1:153">
      <c r="B8" s="882" t="s">
        <v>231</v>
      </c>
      <c r="C8" s="59"/>
      <c r="D8" s="59"/>
      <c r="E8" s="916">
        <f>$E$4*Assum!E111</f>
        <v>2.35E-2</v>
      </c>
      <c r="F8" s="916">
        <f>$E$4*((Assum!$F$116*Assum!F111)+(Assum!$E$116*Assum!E111))</f>
        <v>2.35E-2</v>
      </c>
      <c r="G8" s="916">
        <f>$E$4*((Assum!$F$116*Assum!G111)+(Assum!$E$116*Assum!F111))</f>
        <v>2.35E-2</v>
      </c>
      <c r="H8" s="916">
        <f>$E$4*((Assum!$F$116*Assum!H111)+(Assum!$E$116*Assum!G111))</f>
        <v>2.35E-2</v>
      </c>
      <c r="I8" s="916">
        <f>$E$4*((Assum!$F$116*Assum!I111)+(Assum!$E$116*Assum!H111))</f>
        <v>2.35E-2</v>
      </c>
      <c r="J8" s="916">
        <f>$E$4*((Assum!$F$116*Assum!J111)+(Assum!$E$116*Assum!I111))</f>
        <v>2.35E-2</v>
      </c>
      <c r="K8" s="916">
        <f>$E$4*((Assum!$F$116*Assum!K111)+(Assum!$E$116*Assum!J111))</f>
        <v>2.35E-2</v>
      </c>
      <c r="L8" s="916">
        <f>$E$4*((Assum!$F$116*Assum!L111)+(Assum!$E$116*Assum!K111))</f>
        <v>2.35E-2</v>
      </c>
      <c r="M8" s="916">
        <f>$E$4*((Assum!$F$116*Assum!M111)+(Assum!$E$116*Assum!L111))</f>
        <v>2.35E-2</v>
      </c>
      <c r="N8" s="916">
        <f>$E$4*((Assum!$F$116*Assum!N111)+(Assum!$E$116*Assum!M111))</f>
        <v>2.35E-2</v>
      </c>
      <c r="O8" s="916">
        <f>$E$4*((Assum!$F$116*Assum!O111)+(Assum!$E$116*Assum!N111))</f>
        <v>2.35E-2</v>
      </c>
      <c r="P8" s="916">
        <f>$E$4*((Assum!$F$116*Assum!P111)+(Assum!$E$116*Assum!O111))</f>
        <v>2.35E-2</v>
      </c>
      <c r="Q8" s="916">
        <f>$E$4*((Assum!$F$116*Assum!Q111)+(Assum!$E$116*Assum!P111))</f>
        <v>2.35E-2</v>
      </c>
      <c r="R8" s="916">
        <f>$E$4*((Assum!$F$116*Assum!R111)+(Assum!$E$116*Assum!Q111))</f>
        <v>2.35E-2</v>
      </c>
      <c r="S8" s="916">
        <f>$E$4*((Assum!$F$116*Assum!S111)+(Assum!$E$116*Assum!R111))</f>
        <v>2.35E-2</v>
      </c>
      <c r="T8" s="916">
        <f>$E$4*((Assum!$F$116*Assum!T111)+(Assum!$E$116*Assum!S111))</f>
        <v>2.35E-2</v>
      </c>
      <c r="U8" s="916">
        <f>$E$4*((Assum!$F$116*Assum!U111)+(Assum!$E$116*Assum!T111))</f>
        <v>2.35E-2</v>
      </c>
      <c r="V8" s="916">
        <f>$E$4*((Assum!$F$116*Assum!V111)+(Assum!$E$116*Assum!U111))</f>
        <v>2.35E-2</v>
      </c>
      <c r="W8" s="916">
        <f>$E$4*((Assum!$F$116*Assum!W111)+(Assum!$E$116*Assum!V111))</f>
        <v>2.35E-2</v>
      </c>
      <c r="X8" s="916">
        <f>$E$4*((Assum!$F$116*Assum!X111)+(Assum!$E$116*Assum!W111))</f>
        <v>2.35E-2</v>
      </c>
      <c r="Y8" s="916">
        <f>$E$4*((Assum!$F$116*Assum!Y111)+(Assum!$E$116*Assum!X111))</f>
        <v>2.35E-2</v>
      </c>
      <c r="Z8" s="916">
        <f>$E$4*((Assum!$F$116*Assum!Z111)+(Assum!$E$116*Assum!Y111))</f>
        <v>2.35E-2</v>
      </c>
      <c r="AA8" s="916">
        <f>$E$4*((Assum!$F$116*Assum!AA111)+(Assum!$E$116*Assum!Z111))</f>
        <v>2.35E-2</v>
      </c>
      <c r="AB8" s="916">
        <f>$E$4*((Assum!$F$116*Assum!AB111)+(Assum!$E$116*Assum!AA111))</f>
        <v>2.35E-2</v>
      </c>
      <c r="AC8" s="916">
        <f>$E$4*((Assum!$F$116*Assum!AC111)+(Assum!$E$116*Assum!AB111))</f>
        <v>2.35E-2</v>
      </c>
      <c r="AD8" s="916">
        <f>$E$4*((Assum!$F$116*Assum!AD111)+(Assum!$E$116*Assum!AC111))</f>
        <v>2.35E-2</v>
      </c>
      <c r="AE8" s="916">
        <f>$E$4*((Assum!$F$116*Assum!AE111)+(Assum!$E$116*Assum!AD111))</f>
        <v>2.35E-2</v>
      </c>
      <c r="AF8" s="916">
        <f>$E$4*((Assum!$F$116*Assum!AF111)+(Assum!$E$116*Assum!AE111))</f>
        <v>2.35E-2</v>
      </c>
      <c r="AG8" s="916">
        <f>$E$4*((Assum!$F$116*Assum!AG111)+(Assum!$E$116*Assum!AF111))</f>
        <v>2.35E-2</v>
      </c>
      <c r="AH8" s="916">
        <f>$E$4*((Assum!$F$116*Assum!AH111)+(Assum!$E$116*Assum!AG111))</f>
        <v>2.35E-2</v>
      </c>
      <c r="AI8" s="916">
        <f>$E$4*((Assum!$F$116*Assum!AI111)+(Assum!$E$116*Assum!AH111))</f>
        <v>2.35E-2</v>
      </c>
      <c r="AJ8" s="184"/>
      <c r="AK8" s="184"/>
      <c r="AL8" s="184"/>
      <c r="AM8" s="184"/>
      <c r="AN8" s="184"/>
      <c r="AO8" s="184"/>
      <c r="AP8" s="184"/>
      <c r="AQ8" s="184"/>
      <c r="AR8" s="184"/>
      <c r="AS8" s="184"/>
      <c r="AT8" s="184"/>
      <c r="AU8" s="184"/>
      <c r="AV8" s="184"/>
      <c r="AW8" s="184"/>
      <c r="AX8" s="184"/>
      <c r="AY8" s="184"/>
      <c r="AZ8" s="184"/>
      <c r="BA8" s="184"/>
      <c r="BB8" s="184"/>
      <c r="BC8" s="184"/>
      <c r="BD8" s="184"/>
      <c r="BE8" s="184"/>
    </row>
    <row r="9" spans="1:153">
      <c r="C9" s="59"/>
      <c r="D9" s="59"/>
      <c r="E9" s="176"/>
      <c r="F9" s="176"/>
      <c r="G9" s="176"/>
      <c r="H9" s="176"/>
      <c r="I9" s="176"/>
      <c r="J9" s="176"/>
      <c r="K9" s="176"/>
      <c r="L9" s="176"/>
      <c r="M9" s="176"/>
      <c r="N9" s="176"/>
      <c r="O9" s="176"/>
      <c r="P9" s="176"/>
      <c r="Q9" s="176"/>
      <c r="R9" s="176"/>
      <c r="S9" s="176"/>
      <c r="T9" s="176"/>
      <c r="U9" s="888"/>
      <c r="V9" s="176"/>
      <c r="W9" s="176"/>
      <c r="X9" s="176"/>
      <c r="Y9" s="176"/>
      <c r="Z9" s="176"/>
      <c r="AA9" s="176"/>
      <c r="AB9" s="176"/>
      <c r="AC9" s="176"/>
      <c r="AD9" s="176"/>
      <c r="AE9" s="176"/>
      <c r="AF9" s="176"/>
      <c r="AG9" s="176"/>
      <c r="AH9" s="176"/>
      <c r="AI9" s="176"/>
      <c r="AJ9" s="184"/>
      <c r="AK9" s="184"/>
      <c r="AL9" s="184"/>
      <c r="AM9" s="184"/>
      <c r="AN9" s="184"/>
      <c r="AO9" s="184"/>
      <c r="AP9" s="184"/>
      <c r="AQ9" s="184"/>
      <c r="AR9" s="184"/>
      <c r="AS9" s="184"/>
      <c r="AT9" s="184"/>
      <c r="AU9" s="184"/>
      <c r="AV9" s="184"/>
      <c r="AW9" s="184"/>
      <c r="AX9" s="184"/>
      <c r="AY9" s="184"/>
      <c r="AZ9" s="184"/>
      <c r="BA9" s="184"/>
      <c r="BB9" s="184"/>
      <c r="BC9" s="184"/>
      <c r="BD9" s="184"/>
      <c r="BE9" s="184"/>
      <c r="BF9" s="184"/>
      <c r="BG9" s="184"/>
      <c r="BH9" s="184"/>
      <c r="BI9" s="184"/>
      <c r="BJ9" s="184"/>
      <c r="BK9" s="184"/>
      <c r="BL9" s="184"/>
      <c r="BM9" s="184"/>
      <c r="BN9" s="184"/>
      <c r="BO9" s="184"/>
      <c r="BP9" s="184"/>
      <c r="BQ9" s="184"/>
      <c r="BR9" s="184"/>
      <c r="BS9" s="184"/>
      <c r="BT9" s="184"/>
      <c r="BU9" s="184"/>
      <c r="BV9" s="184"/>
      <c r="BW9" s="184"/>
      <c r="BX9" s="184"/>
      <c r="BY9" s="184"/>
      <c r="BZ9" s="184"/>
      <c r="CA9" s="184"/>
      <c r="CB9" s="184"/>
      <c r="CC9" s="184"/>
      <c r="CD9" s="184"/>
      <c r="CE9" s="184"/>
      <c r="CF9" s="184"/>
      <c r="CG9" s="184"/>
      <c r="CH9" s="184"/>
      <c r="CI9" s="184"/>
      <c r="CJ9" s="184"/>
      <c r="CK9" s="184"/>
      <c r="CL9" s="184"/>
      <c r="CM9" s="184"/>
      <c r="CN9" s="184"/>
      <c r="CO9" s="184"/>
      <c r="CP9" s="184"/>
      <c r="CQ9" s="184"/>
      <c r="CR9" s="184"/>
      <c r="CS9" s="184"/>
      <c r="CT9" s="184"/>
      <c r="CU9" s="184"/>
      <c r="CV9" s="184"/>
      <c r="CW9" s="184"/>
      <c r="CX9" s="184"/>
      <c r="CY9" s="184"/>
      <c r="CZ9" s="184"/>
      <c r="DA9" s="184"/>
      <c r="DB9" s="184"/>
      <c r="DC9" s="184"/>
      <c r="DD9" s="184"/>
      <c r="DE9" s="184"/>
      <c r="DF9" s="184"/>
      <c r="DG9" s="184"/>
      <c r="DH9" s="184"/>
      <c r="DI9" s="184"/>
      <c r="DJ9" s="184"/>
      <c r="DK9" s="184"/>
      <c r="DL9" s="184"/>
      <c r="DM9" s="184"/>
      <c r="DN9" s="184"/>
      <c r="DO9" s="184"/>
      <c r="DP9" s="184"/>
      <c r="DQ9" s="184"/>
      <c r="DR9" s="184"/>
      <c r="DS9" s="184"/>
      <c r="DT9" s="184"/>
      <c r="DU9" s="184"/>
      <c r="DV9" s="184"/>
      <c r="DW9" s="184"/>
      <c r="DX9" s="184"/>
      <c r="DY9" s="184"/>
      <c r="DZ9" s="184"/>
      <c r="EA9" s="184"/>
      <c r="EB9" s="184"/>
      <c r="EC9" s="184"/>
      <c r="ED9" s="184"/>
      <c r="EE9" s="184"/>
      <c r="EF9" s="184"/>
      <c r="EG9" s="184"/>
      <c r="EH9" s="184"/>
      <c r="EI9" s="184"/>
      <c r="EJ9" s="184"/>
      <c r="EK9" s="184"/>
      <c r="EL9" s="184"/>
      <c r="EM9" s="184"/>
      <c r="EN9" s="184"/>
      <c r="EO9" s="184"/>
      <c r="EP9" s="184"/>
      <c r="EQ9" s="184"/>
      <c r="ER9" s="184"/>
      <c r="ES9" s="184"/>
      <c r="ET9" s="184"/>
      <c r="EU9" s="184"/>
      <c r="EV9" s="184"/>
      <c r="EW9" s="184"/>
    </row>
    <row r="10" spans="1:153">
      <c r="A10" s="917" t="s">
        <v>190</v>
      </c>
      <c r="B10" s="882" t="s">
        <v>253</v>
      </c>
      <c r="C10" s="59"/>
      <c r="D10" s="59"/>
      <c r="E10" s="176">
        <f>$E$4*Assum!E123</f>
        <v>0</v>
      </c>
      <c r="F10" s="176"/>
      <c r="G10" s="176"/>
      <c r="H10" s="176"/>
      <c r="I10" s="176"/>
      <c r="J10" s="176"/>
      <c r="K10" s="176"/>
      <c r="L10" s="176"/>
      <c r="M10" s="176"/>
      <c r="N10" s="176"/>
      <c r="O10" s="176"/>
      <c r="P10" s="176"/>
      <c r="Q10" s="176"/>
      <c r="R10" s="176"/>
      <c r="S10" s="176"/>
      <c r="T10" s="176"/>
      <c r="U10" s="888"/>
      <c r="V10" s="176"/>
      <c r="W10" s="176"/>
      <c r="X10" s="176"/>
      <c r="Y10" s="176"/>
      <c r="Z10" s="176"/>
      <c r="AA10" s="176"/>
      <c r="AB10" s="176"/>
      <c r="AC10" s="176"/>
      <c r="AD10" s="176"/>
      <c r="AE10" s="176"/>
      <c r="AF10" s="176"/>
      <c r="AG10" s="176"/>
      <c r="AH10" s="176"/>
      <c r="AI10" s="176"/>
      <c r="AJ10" s="184"/>
      <c r="AK10" s="184"/>
      <c r="AL10" s="184"/>
      <c r="AM10" s="184"/>
      <c r="AN10" s="184"/>
      <c r="AO10" s="184"/>
      <c r="AP10" s="184"/>
      <c r="AQ10" s="184"/>
      <c r="AR10" s="184"/>
      <c r="AS10" s="184"/>
      <c r="AT10" s="184"/>
      <c r="AU10" s="184"/>
      <c r="AV10" s="184"/>
      <c r="AW10" s="184"/>
      <c r="AX10" s="184"/>
      <c r="AY10" s="184"/>
      <c r="AZ10" s="184"/>
      <c r="BA10" s="184"/>
      <c r="BB10" s="184"/>
      <c r="BC10" s="184"/>
      <c r="BD10" s="184"/>
      <c r="BE10" s="184"/>
      <c r="BF10" s="184"/>
      <c r="BG10" s="184"/>
      <c r="BH10" s="184"/>
      <c r="BI10" s="184"/>
      <c r="BJ10" s="184"/>
      <c r="BK10" s="184"/>
      <c r="BL10" s="184"/>
      <c r="BM10" s="184"/>
      <c r="BN10" s="184"/>
      <c r="BO10" s="184"/>
      <c r="BP10" s="184"/>
      <c r="BQ10" s="184"/>
      <c r="BR10" s="184"/>
      <c r="BS10" s="184"/>
      <c r="BT10" s="184"/>
      <c r="BU10" s="184"/>
      <c r="BV10" s="184"/>
      <c r="BW10" s="184"/>
      <c r="BX10" s="184"/>
      <c r="BY10" s="184"/>
      <c r="BZ10" s="184"/>
      <c r="CA10" s="184"/>
      <c r="CB10" s="184"/>
      <c r="CC10" s="184"/>
      <c r="CD10" s="184"/>
      <c r="CE10" s="184"/>
      <c r="CF10" s="184"/>
      <c r="CG10" s="184"/>
      <c r="CH10" s="184"/>
      <c r="CI10" s="184"/>
      <c r="CJ10" s="184"/>
      <c r="CK10" s="184"/>
      <c r="CL10" s="184"/>
      <c r="CM10" s="184"/>
      <c r="CN10" s="184"/>
      <c r="CO10" s="184"/>
      <c r="CP10" s="184"/>
      <c r="CQ10" s="184"/>
      <c r="CR10" s="184"/>
      <c r="CS10" s="184"/>
      <c r="CT10" s="184"/>
      <c r="CU10" s="184"/>
      <c r="CV10" s="184"/>
      <c r="CW10" s="184"/>
      <c r="CX10" s="184"/>
      <c r="CY10" s="184"/>
      <c r="CZ10" s="184"/>
      <c r="DA10" s="184"/>
      <c r="DB10" s="184"/>
      <c r="DC10" s="184"/>
      <c r="DD10" s="184"/>
      <c r="DE10" s="184"/>
      <c r="DF10" s="184"/>
      <c r="DG10" s="184"/>
      <c r="DH10" s="184"/>
      <c r="DI10" s="184"/>
      <c r="DJ10" s="184"/>
      <c r="DK10" s="184"/>
      <c r="DL10" s="184"/>
      <c r="DM10" s="184"/>
      <c r="DN10" s="184"/>
      <c r="DO10" s="184"/>
      <c r="DP10" s="184"/>
      <c r="DQ10" s="184"/>
      <c r="DR10" s="184"/>
      <c r="DS10" s="184"/>
      <c r="DT10" s="184"/>
      <c r="DU10" s="184"/>
      <c r="DV10" s="184"/>
      <c r="DW10" s="184"/>
      <c r="DX10" s="184"/>
      <c r="DY10" s="184"/>
      <c r="DZ10" s="184"/>
      <c r="EA10" s="184"/>
      <c r="EB10" s="184"/>
      <c r="EC10" s="184"/>
      <c r="ED10" s="184"/>
      <c r="EE10" s="184"/>
      <c r="EF10" s="184"/>
      <c r="EG10" s="184"/>
      <c r="EH10" s="184"/>
      <c r="EI10" s="184"/>
      <c r="EJ10" s="184"/>
      <c r="EK10" s="184"/>
      <c r="EL10" s="184"/>
      <c r="EM10" s="184"/>
      <c r="EN10" s="184"/>
      <c r="EO10" s="184"/>
      <c r="EP10" s="184"/>
      <c r="EQ10" s="184"/>
      <c r="ER10" s="184"/>
      <c r="ES10" s="184"/>
      <c r="ET10" s="184"/>
      <c r="EU10" s="184"/>
      <c r="EV10" s="184"/>
      <c r="EW10" s="184"/>
    </row>
    <row r="11" spans="1:153">
      <c r="B11" s="882" t="s">
        <v>232</v>
      </c>
      <c r="C11" s="59"/>
      <c r="D11" s="59"/>
      <c r="E11" s="176">
        <f t="shared" ref="E11:AI11" si="2">E7*E8</f>
        <v>10990.1020025</v>
      </c>
      <c r="F11" s="176">
        <f t="shared" si="2"/>
        <v>11020.715099999999</v>
      </c>
      <c r="G11" s="176">
        <f t="shared" si="2"/>
        <v>11020.715099999999</v>
      </c>
      <c r="H11" s="176">
        <f t="shared" si="2"/>
        <v>11020.715099999999</v>
      </c>
      <c r="I11" s="176">
        <f t="shared" si="2"/>
        <v>11020.715099999999</v>
      </c>
      <c r="J11" s="176">
        <f t="shared" si="2"/>
        <v>11020.715099999999</v>
      </c>
      <c r="K11" s="176">
        <f t="shared" si="2"/>
        <v>11020.715099999999</v>
      </c>
      <c r="L11" s="176">
        <f t="shared" si="2"/>
        <v>11020.715099999999</v>
      </c>
      <c r="M11" s="176">
        <f t="shared" si="2"/>
        <v>11020.715099999999</v>
      </c>
      <c r="N11" s="176">
        <f t="shared" si="2"/>
        <v>11020.715099999999</v>
      </c>
      <c r="O11" s="176">
        <f t="shared" si="2"/>
        <v>11020.715099999999</v>
      </c>
      <c r="P11" s="176">
        <f t="shared" si="2"/>
        <v>11020.715099999999</v>
      </c>
      <c r="Q11" s="176">
        <f t="shared" si="2"/>
        <v>11020.715099999999</v>
      </c>
      <c r="R11" s="176">
        <f t="shared" si="2"/>
        <v>11020.715099999999</v>
      </c>
      <c r="S11" s="176">
        <f t="shared" si="2"/>
        <v>11020.715099999999</v>
      </c>
      <c r="T11" s="176">
        <f t="shared" si="2"/>
        <v>11020.715099999999</v>
      </c>
      <c r="U11" s="176">
        <f t="shared" si="2"/>
        <v>11020.715099999999</v>
      </c>
      <c r="V11" s="176">
        <f t="shared" si="2"/>
        <v>11020.715099999999</v>
      </c>
      <c r="W11" s="176">
        <f t="shared" si="2"/>
        <v>11020.715099999999</v>
      </c>
      <c r="X11" s="176">
        <f t="shared" si="2"/>
        <v>11020.715099999999</v>
      </c>
      <c r="Y11" s="176">
        <f t="shared" si="2"/>
        <v>30.613097499999892</v>
      </c>
      <c r="Z11" s="176">
        <f t="shared" si="2"/>
        <v>0</v>
      </c>
      <c r="AA11" s="176">
        <f t="shared" si="2"/>
        <v>0</v>
      </c>
      <c r="AB11" s="176">
        <f t="shared" si="2"/>
        <v>0</v>
      </c>
      <c r="AC11" s="176">
        <f t="shared" si="2"/>
        <v>0</v>
      </c>
      <c r="AD11" s="176">
        <f t="shared" si="2"/>
        <v>0</v>
      </c>
      <c r="AE11" s="176">
        <f t="shared" si="2"/>
        <v>0</v>
      </c>
      <c r="AF11" s="176">
        <f t="shared" si="2"/>
        <v>0</v>
      </c>
      <c r="AG11" s="176">
        <f t="shared" si="2"/>
        <v>0</v>
      </c>
      <c r="AH11" s="176">
        <f t="shared" si="2"/>
        <v>0</v>
      </c>
      <c r="AI11" s="176">
        <f t="shared" si="2"/>
        <v>0</v>
      </c>
      <c r="AJ11" s="184"/>
      <c r="AK11" s="184"/>
      <c r="AL11" s="184"/>
      <c r="AM11" s="184"/>
      <c r="AN11" s="184"/>
      <c r="AO11" s="184"/>
      <c r="AP11" s="184"/>
      <c r="AQ11" s="184"/>
      <c r="AR11" s="184"/>
      <c r="AS11" s="184"/>
      <c r="AT11" s="184"/>
      <c r="AU11" s="184"/>
      <c r="AV11" s="184"/>
      <c r="AW11" s="184"/>
      <c r="AX11" s="184"/>
      <c r="AY11" s="184"/>
      <c r="AZ11" s="184"/>
      <c r="BA11" s="184"/>
      <c r="BB11" s="184"/>
      <c r="BC11" s="184"/>
      <c r="BD11" s="184"/>
      <c r="BE11" s="184"/>
      <c r="BF11" s="184"/>
      <c r="BG11" s="184"/>
      <c r="BH11" s="184"/>
      <c r="BI11" s="184"/>
      <c r="BJ11" s="184"/>
      <c r="BK11" s="184"/>
      <c r="BL11" s="184"/>
      <c r="BM11" s="184"/>
      <c r="BN11" s="184"/>
      <c r="BO11" s="184"/>
      <c r="BP11" s="184"/>
      <c r="BQ11" s="184"/>
      <c r="BR11" s="184"/>
      <c r="BS11" s="184"/>
      <c r="BT11" s="184"/>
      <c r="BU11" s="184"/>
      <c r="BV11" s="184"/>
      <c r="BW11" s="184"/>
      <c r="BX11" s="184"/>
      <c r="BY11" s="184"/>
      <c r="BZ11" s="184"/>
      <c r="CA11" s="184"/>
      <c r="CB11" s="184"/>
      <c r="CC11" s="184"/>
      <c r="CD11" s="184"/>
      <c r="CE11" s="184"/>
      <c r="CF11" s="184"/>
      <c r="CG11" s="184"/>
      <c r="CH11" s="184"/>
      <c r="CI11" s="184"/>
      <c r="CJ11" s="184"/>
      <c r="CK11" s="184"/>
      <c r="CL11" s="184"/>
      <c r="CM11" s="184"/>
      <c r="CN11" s="184"/>
      <c r="CO11" s="184"/>
      <c r="CP11" s="184"/>
      <c r="CQ11" s="184"/>
      <c r="CR11" s="184"/>
      <c r="CS11" s="184"/>
      <c r="CT11" s="184"/>
      <c r="CU11" s="184"/>
      <c r="CV11" s="184"/>
      <c r="CW11" s="184"/>
      <c r="CX11" s="184"/>
      <c r="CY11" s="184"/>
      <c r="CZ11" s="184"/>
      <c r="DA11" s="184"/>
      <c r="DB11" s="184"/>
      <c r="DC11" s="184"/>
      <c r="DD11" s="184"/>
      <c r="DE11" s="184"/>
      <c r="DF11" s="184"/>
      <c r="DG11" s="184"/>
      <c r="DH11" s="184"/>
      <c r="DI11" s="184"/>
      <c r="DJ11" s="184"/>
      <c r="DK11" s="184"/>
      <c r="DL11" s="184"/>
      <c r="DM11" s="184"/>
      <c r="DN11" s="184"/>
      <c r="DO11" s="184"/>
      <c r="DP11" s="184"/>
      <c r="DQ11" s="184"/>
      <c r="DR11" s="184"/>
      <c r="DS11" s="184"/>
      <c r="DT11" s="184"/>
      <c r="DU11" s="184"/>
      <c r="DV11" s="184"/>
      <c r="DW11" s="184"/>
      <c r="DX11" s="184"/>
      <c r="DY11" s="184"/>
      <c r="DZ11" s="184"/>
      <c r="EA11" s="184"/>
      <c r="EB11" s="184"/>
      <c r="EC11" s="184"/>
      <c r="ED11" s="184"/>
      <c r="EE11" s="184"/>
      <c r="EF11" s="184"/>
      <c r="EG11" s="184"/>
      <c r="EH11" s="184"/>
      <c r="EI11" s="184"/>
      <c r="EJ11" s="184"/>
      <c r="EK11" s="184"/>
      <c r="EL11" s="184"/>
      <c r="EM11" s="184"/>
      <c r="EN11" s="184"/>
      <c r="EO11" s="184"/>
      <c r="EP11" s="184"/>
      <c r="EQ11" s="184"/>
      <c r="ER11" s="184"/>
      <c r="ES11" s="184"/>
      <c r="ET11" s="184"/>
      <c r="EU11" s="184"/>
      <c r="EV11" s="184"/>
      <c r="EW11" s="184"/>
    </row>
    <row r="12" spans="1:153">
      <c r="B12" s="882" t="str">
        <f>Assum!B122</f>
        <v>OTHER REVENUE</v>
      </c>
      <c r="C12" s="59"/>
      <c r="D12" s="59"/>
      <c r="E12" s="886">
        <f>$E$4*(Assum!E122*E6)</f>
        <v>0</v>
      </c>
      <c r="F12" s="886">
        <f>$E$4*(Assum!F122*F6)</f>
        <v>0</v>
      </c>
      <c r="G12" s="886">
        <f>$E$4*(Assum!G122*G6)</f>
        <v>0</v>
      </c>
      <c r="H12" s="886">
        <f>$E$4*(Assum!H122*H6)</f>
        <v>0</v>
      </c>
      <c r="I12" s="886">
        <f>$E$4*(Assum!I122*I6)</f>
        <v>0</v>
      </c>
      <c r="J12" s="886">
        <f>$E$4*(Assum!J122*J6)</f>
        <v>0</v>
      </c>
      <c r="K12" s="886">
        <f>$E$4*(Assum!K122*K6)</f>
        <v>0</v>
      </c>
      <c r="L12" s="886">
        <f>$E$4*(Assum!L122*L6)</f>
        <v>0</v>
      </c>
      <c r="M12" s="886">
        <f>$E$4*(Assum!M122*M6)</f>
        <v>0</v>
      </c>
      <c r="N12" s="886">
        <f>$E$4*(Assum!N122*N6)</f>
        <v>0</v>
      </c>
      <c r="O12" s="886">
        <f>$E$4*(Assum!O122*O6)</f>
        <v>0</v>
      </c>
      <c r="P12" s="886">
        <f>$E$4*(Assum!P122*P6)</f>
        <v>0</v>
      </c>
      <c r="Q12" s="886">
        <f>$E$4*(Assum!Q122*Q6)</f>
        <v>0</v>
      </c>
      <c r="R12" s="886">
        <f>$E$4*(Assum!R122*R6)</f>
        <v>0</v>
      </c>
      <c r="S12" s="886">
        <f>$E$4*(Assum!S122*S6)</f>
        <v>0</v>
      </c>
      <c r="T12" s="886">
        <f>$E$4*(Assum!T122*T6)</f>
        <v>0</v>
      </c>
      <c r="U12" s="886">
        <f>$E$4*(Assum!U122*U6)</f>
        <v>0</v>
      </c>
      <c r="V12" s="886">
        <f>$E$4*(Assum!V122*V6)</f>
        <v>0</v>
      </c>
      <c r="W12" s="886">
        <f>$E$4*(Assum!W122*W6)</f>
        <v>0</v>
      </c>
      <c r="X12" s="886">
        <f>$E$4*(Assum!X122*X6)</f>
        <v>0</v>
      </c>
      <c r="Y12" s="886">
        <f>$E$4*(Assum!Y122*Y6)</f>
        <v>0</v>
      </c>
      <c r="Z12" s="886">
        <f>$E$4*(Assum!Z122*Z6)</f>
        <v>0</v>
      </c>
      <c r="AA12" s="886">
        <f>$E$4*(Assum!AA122*AA6)</f>
        <v>0</v>
      </c>
      <c r="AB12" s="886">
        <f>$E$4*(Assum!AB122*AB6)</f>
        <v>0</v>
      </c>
      <c r="AC12" s="886">
        <f>$E$4*(Assum!AC122*AC6)</f>
        <v>0</v>
      </c>
      <c r="AD12" s="886">
        <f>$E$4*(Assum!AD122*AD6)</f>
        <v>0</v>
      </c>
      <c r="AE12" s="886">
        <f>$E$4*(Assum!AE122*AE6)</f>
        <v>0</v>
      </c>
      <c r="AF12" s="886">
        <f>$E$4*(Assum!AF122*AF6)</f>
        <v>0</v>
      </c>
      <c r="AG12" s="886">
        <f>$E$4*(Assum!AG122*AG6)</f>
        <v>0</v>
      </c>
      <c r="AH12" s="886">
        <f>$E$4*(Assum!AH122*AH6)</f>
        <v>0</v>
      </c>
      <c r="AI12" s="886">
        <f>$E$4*(Assum!AI122*AI6)</f>
        <v>0</v>
      </c>
      <c r="AJ12" s="184"/>
      <c r="AK12" s="184"/>
      <c r="AL12" s="184"/>
      <c r="AM12" s="184"/>
      <c r="AN12" s="184"/>
      <c r="AO12" s="184"/>
      <c r="AP12" s="184"/>
      <c r="AQ12" s="184"/>
      <c r="AR12" s="184"/>
      <c r="AS12" s="184"/>
      <c r="AT12" s="184"/>
      <c r="AU12" s="184"/>
      <c r="AV12" s="184"/>
      <c r="AW12" s="184"/>
      <c r="AX12" s="184"/>
      <c r="AY12" s="184"/>
      <c r="AZ12" s="184"/>
      <c r="BA12" s="184"/>
      <c r="BB12" s="184"/>
      <c r="BC12" s="184"/>
      <c r="BD12" s="184"/>
      <c r="BE12" s="184"/>
      <c r="BF12" s="184"/>
      <c r="BG12" s="184"/>
      <c r="BH12" s="184"/>
      <c r="BI12" s="184"/>
      <c r="BJ12" s="184"/>
      <c r="BK12" s="184"/>
      <c r="BL12" s="184"/>
      <c r="BM12" s="184"/>
      <c r="BN12" s="184"/>
      <c r="BO12" s="184"/>
      <c r="BP12" s="184"/>
      <c r="BQ12" s="184"/>
      <c r="BR12" s="184"/>
      <c r="BS12" s="184"/>
      <c r="BT12" s="184"/>
      <c r="BU12" s="184"/>
      <c r="BV12" s="184"/>
      <c r="BW12" s="184"/>
      <c r="BX12" s="184"/>
      <c r="BY12" s="184"/>
      <c r="BZ12" s="184"/>
      <c r="CA12" s="184"/>
      <c r="CB12" s="184"/>
      <c r="CC12" s="184"/>
      <c r="CD12" s="184"/>
      <c r="CE12" s="184"/>
      <c r="CF12" s="184"/>
      <c r="CG12" s="184"/>
      <c r="CH12" s="184"/>
      <c r="CI12" s="184"/>
      <c r="CJ12" s="184"/>
      <c r="CK12" s="184"/>
      <c r="CL12" s="184"/>
      <c r="CM12" s="184"/>
      <c r="CN12" s="184"/>
      <c r="CO12" s="184"/>
      <c r="CP12" s="184"/>
      <c r="CQ12" s="184"/>
      <c r="CR12" s="184"/>
      <c r="CS12" s="184"/>
      <c r="CT12" s="184"/>
      <c r="CU12" s="184"/>
      <c r="CV12" s="184"/>
      <c r="CW12" s="184"/>
      <c r="CX12" s="184"/>
      <c r="CY12" s="184"/>
      <c r="CZ12" s="184"/>
      <c r="DA12" s="184"/>
      <c r="DB12" s="184"/>
      <c r="DC12" s="184"/>
      <c r="DD12" s="184"/>
      <c r="DE12" s="184"/>
      <c r="DF12" s="184"/>
      <c r="DG12" s="184"/>
      <c r="DH12" s="184"/>
      <c r="DI12" s="184"/>
      <c r="DJ12" s="184"/>
      <c r="DK12" s="184"/>
      <c r="DL12" s="184"/>
      <c r="DM12" s="184"/>
      <c r="DN12" s="184"/>
      <c r="DO12" s="184"/>
      <c r="DP12" s="184"/>
      <c r="DQ12" s="184"/>
      <c r="DR12" s="184"/>
      <c r="DS12" s="184"/>
      <c r="DT12" s="184"/>
      <c r="DU12" s="184"/>
      <c r="DV12" s="184"/>
      <c r="DW12" s="184"/>
      <c r="DX12" s="184"/>
      <c r="DY12" s="184"/>
      <c r="DZ12" s="184"/>
      <c r="EA12" s="184"/>
      <c r="EB12" s="184"/>
      <c r="EC12" s="184"/>
      <c r="ED12" s="184"/>
      <c r="EE12" s="184"/>
      <c r="EF12" s="184"/>
      <c r="EG12" s="184"/>
      <c r="EH12" s="184"/>
      <c r="EI12" s="184"/>
      <c r="EJ12" s="184"/>
      <c r="EK12" s="184"/>
      <c r="EL12" s="184"/>
      <c r="EM12" s="184"/>
      <c r="EN12" s="184"/>
      <c r="EO12" s="184"/>
      <c r="EP12" s="184"/>
      <c r="EQ12" s="184"/>
      <c r="ER12" s="184"/>
      <c r="ES12" s="184"/>
      <c r="ET12" s="184"/>
      <c r="EU12" s="184"/>
      <c r="EV12" s="184"/>
      <c r="EW12" s="184"/>
    </row>
    <row r="13" spans="1:153" ht="13.5" thickBot="1">
      <c r="B13" s="910" t="s">
        <v>505</v>
      </c>
      <c r="C13" s="911"/>
      <c r="D13" s="911"/>
      <c r="E13" s="890">
        <f t="shared" ref="E13:AI13" si="3">SUM(E10:E12)</f>
        <v>10990.1020025</v>
      </c>
      <c r="F13" s="890">
        <f t="shared" si="3"/>
        <v>11020.715099999999</v>
      </c>
      <c r="G13" s="890">
        <f t="shared" si="3"/>
        <v>11020.715099999999</v>
      </c>
      <c r="H13" s="890">
        <f t="shared" si="3"/>
        <v>11020.715099999999</v>
      </c>
      <c r="I13" s="890">
        <f t="shared" si="3"/>
        <v>11020.715099999999</v>
      </c>
      <c r="J13" s="890">
        <f t="shared" si="3"/>
        <v>11020.715099999999</v>
      </c>
      <c r="K13" s="890">
        <f t="shared" si="3"/>
        <v>11020.715099999999</v>
      </c>
      <c r="L13" s="890">
        <f t="shared" si="3"/>
        <v>11020.715099999999</v>
      </c>
      <c r="M13" s="890">
        <f t="shared" si="3"/>
        <v>11020.715099999999</v>
      </c>
      <c r="N13" s="890">
        <f t="shared" si="3"/>
        <v>11020.715099999999</v>
      </c>
      <c r="O13" s="890">
        <f t="shared" si="3"/>
        <v>11020.715099999999</v>
      </c>
      <c r="P13" s="890">
        <f t="shared" si="3"/>
        <v>11020.715099999999</v>
      </c>
      <c r="Q13" s="890">
        <f t="shared" si="3"/>
        <v>11020.715099999999</v>
      </c>
      <c r="R13" s="890">
        <f t="shared" si="3"/>
        <v>11020.715099999999</v>
      </c>
      <c r="S13" s="890">
        <f t="shared" si="3"/>
        <v>11020.715099999999</v>
      </c>
      <c r="T13" s="890">
        <f t="shared" si="3"/>
        <v>11020.715099999999</v>
      </c>
      <c r="U13" s="890">
        <f t="shared" si="3"/>
        <v>11020.715099999999</v>
      </c>
      <c r="V13" s="890">
        <f t="shared" si="3"/>
        <v>11020.715099999999</v>
      </c>
      <c r="W13" s="890">
        <f t="shared" si="3"/>
        <v>11020.715099999999</v>
      </c>
      <c r="X13" s="890">
        <f t="shared" si="3"/>
        <v>11020.715099999999</v>
      </c>
      <c r="Y13" s="890">
        <f t="shared" si="3"/>
        <v>30.613097499999892</v>
      </c>
      <c r="Z13" s="890">
        <f t="shared" si="3"/>
        <v>0</v>
      </c>
      <c r="AA13" s="890">
        <f t="shared" si="3"/>
        <v>0</v>
      </c>
      <c r="AB13" s="890">
        <f t="shared" si="3"/>
        <v>0</v>
      </c>
      <c r="AC13" s="890">
        <f t="shared" si="3"/>
        <v>0</v>
      </c>
      <c r="AD13" s="890">
        <f t="shared" si="3"/>
        <v>0</v>
      </c>
      <c r="AE13" s="890">
        <f t="shared" si="3"/>
        <v>0</v>
      </c>
      <c r="AF13" s="890">
        <f t="shared" si="3"/>
        <v>0</v>
      </c>
      <c r="AG13" s="890">
        <f t="shared" si="3"/>
        <v>0</v>
      </c>
      <c r="AH13" s="890">
        <f t="shared" si="3"/>
        <v>0</v>
      </c>
      <c r="AI13" s="890">
        <f t="shared" si="3"/>
        <v>0</v>
      </c>
      <c r="AJ13" s="184"/>
      <c r="AK13" s="184"/>
      <c r="AL13" s="184"/>
      <c r="AM13" s="184"/>
      <c r="AN13" s="184"/>
      <c r="AO13" s="184"/>
      <c r="AP13" s="184"/>
      <c r="AQ13" s="184"/>
      <c r="AR13" s="184"/>
      <c r="AS13" s="184"/>
      <c r="AT13" s="184"/>
      <c r="AU13" s="184"/>
      <c r="AV13" s="184"/>
      <c r="AW13" s="184"/>
      <c r="AX13" s="184"/>
      <c r="AY13" s="184"/>
      <c r="AZ13" s="184"/>
      <c r="BA13" s="184"/>
      <c r="BB13" s="184"/>
      <c r="BC13" s="184"/>
      <c r="BD13" s="184"/>
      <c r="BE13" s="184"/>
      <c r="BF13" s="184"/>
      <c r="BG13" s="184"/>
      <c r="BH13" s="184"/>
      <c r="BI13" s="184"/>
      <c r="BJ13" s="184"/>
      <c r="BK13" s="184"/>
      <c r="BL13" s="184"/>
      <c r="BM13" s="184"/>
      <c r="BN13" s="184"/>
      <c r="BO13" s="184"/>
      <c r="BP13" s="184"/>
      <c r="BQ13" s="184"/>
      <c r="BR13" s="184"/>
      <c r="BS13" s="184"/>
      <c r="BT13" s="184"/>
      <c r="BU13" s="184"/>
      <c r="BV13" s="184"/>
      <c r="BW13" s="184"/>
      <c r="BX13" s="184"/>
      <c r="BY13" s="184"/>
      <c r="BZ13" s="184"/>
      <c r="CA13" s="184"/>
      <c r="CB13" s="184"/>
      <c r="CC13" s="184"/>
      <c r="CD13" s="184"/>
      <c r="CE13" s="184"/>
      <c r="CF13" s="184"/>
      <c r="CG13" s="184"/>
      <c r="CH13" s="184"/>
      <c r="CI13" s="184"/>
      <c r="CJ13" s="184"/>
      <c r="CK13" s="184"/>
      <c r="CL13" s="184"/>
      <c r="CM13" s="184"/>
      <c r="CN13" s="184"/>
      <c r="CO13" s="184"/>
      <c r="CP13" s="184"/>
      <c r="CQ13" s="184"/>
      <c r="CR13" s="184"/>
      <c r="CS13" s="184"/>
      <c r="CT13" s="184"/>
      <c r="CU13" s="184"/>
      <c r="CV13" s="184"/>
      <c r="CW13" s="184"/>
      <c r="CX13" s="184"/>
      <c r="CY13" s="184"/>
      <c r="CZ13" s="184"/>
      <c r="DA13" s="184"/>
      <c r="DB13" s="184"/>
      <c r="DC13" s="184"/>
      <c r="DD13" s="184"/>
      <c r="DE13" s="184"/>
      <c r="DF13" s="184"/>
      <c r="DG13" s="184"/>
      <c r="DH13" s="184"/>
      <c r="DI13" s="184"/>
      <c r="DJ13" s="184"/>
      <c r="DK13" s="184"/>
      <c r="DL13" s="184"/>
      <c r="DM13" s="184"/>
      <c r="DN13" s="184"/>
      <c r="DO13" s="184"/>
      <c r="DP13" s="184"/>
      <c r="DQ13" s="184"/>
      <c r="DR13" s="184"/>
      <c r="DS13" s="184"/>
      <c r="DT13" s="184"/>
      <c r="DU13" s="184"/>
      <c r="DV13" s="184"/>
      <c r="DW13" s="184"/>
      <c r="DX13" s="184"/>
      <c r="DY13" s="184"/>
      <c r="DZ13" s="184"/>
      <c r="EA13" s="184"/>
      <c r="EB13" s="184"/>
      <c r="EC13" s="184"/>
      <c r="ED13" s="184"/>
      <c r="EE13" s="184"/>
      <c r="EF13" s="184"/>
      <c r="EG13" s="184"/>
      <c r="EH13" s="184"/>
      <c r="EI13" s="184"/>
      <c r="EJ13" s="184"/>
      <c r="EK13" s="184"/>
      <c r="EL13" s="184"/>
      <c r="EM13" s="184"/>
      <c r="EN13" s="184"/>
      <c r="EO13" s="184"/>
      <c r="EP13" s="184"/>
      <c r="EQ13" s="184"/>
      <c r="ER13" s="184"/>
      <c r="ES13" s="184"/>
      <c r="ET13" s="184"/>
      <c r="EU13" s="184"/>
      <c r="EV13" s="184"/>
      <c r="EW13" s="184"/>
    </row>
    <row r="14" spans="1:153">
      <c r="C14" s="59"/>
      <c r="D14" s="59"/>
      <c r="E14" s="176"/>
      <c r="F14" s="176"/>
      <c r="G14" s="176"/>
      <c r="H14" s="176"/>
      <c r="I14" s="176"/>
      <c r="J14" s="176"/>
      <c r="K14" s="176"/>
      <c r="L14" s="176"/>
      <c r="M14" s="176"/>
      <c r="N14" s="176"/>
      <c r="O14" s="176"/>
      <c r="P14" s="176"/>
      <c r="Q14" s="176"/>
      <c r="R14" s="176"/>
      <c r="S14" s="176"/>
      <c r="T14" s="176"/>
      <c r="U14" s="176"/>
      <c r="V14" s="176"/>
      <c r="W14" s="176"/>
      <c r="X14" s="176"/>
      <c r="Y14" s="176"/>
      <c r="Z14" s="176"/>
      <c r="AA14" s="176"/>
      <c r="AB14" s="176"/>
      <c r="AC14" s="176"/>
      <c r="AD14" s="176"/>
      <c r="AE14" s="176"/>
      <c r="AF14" s="176"/>
      <c r="AG14" s="176"/>
      <c r="AH14" s="176"/>
      <c r="AI14" s="176"/>
      <c r="AJ14" s="184"/>
      <c r="AK14" s="184"/>
      <c r="AL14" s="184"/>
      <c r="AM14" s="184"/>
      <c r="AN14" s="184"/>
      <c r="AO14" s="184"/>
      <c r="AP14" s="184"/>
      <c r="AQ14" s="184"/>
      <c r="AR14" s="184"/>
      <c r="AS14" s="184"/>
      <c r="AT14" s="184"/>
      <c r="AU14" s="184"/>
      <c r="AV14" s="184"/>
      <c r="AW14" s="184"/>
      <c r="AX14" s="184"/>
      <c r="AY14" s="184"/>
      <c r="AZ14" s="184"/>
      <c r="BA14" s="184"/>
      <c r="BB14" s="184"/>
      <c r="BC14" s="184"/>
      <c r="BD14" s="184"/>
      <c r="BE14" s="184"/>
      <c r="BF14" s="184"/>
      <c r="BG14" s="184"/>
      <c r="BH14" s="184"/>
      <c r="BI14" s="184"/>
      <c r="BJ14" s="184"/>
      <c r="BK14" s="184"/>
      <c r="BL14" s="184"/>
      <c r="BM14" s="184"/>
      <c r="BN14" s="184"/>
      <c r="BO14" s="184"/>
      <c r="BP14" s="184"/>
      <c r="BQ14" s="184"/>
      <c r="BR14" s="184"/>
      <c r="BS14" s="184"/>
      <c r="BT14" s="184"/>
      <c r="BU14" s="184"/>
      <c r="BV14" s="184"/>
      <c r="BW14" s="184"/>
      <c r="BX14" s="184"/>
      <c r="BY14" s="184"/>
      <c r="BZ14" s="184"/>
      <c r="CA14" s="184"/>
      <c r="CB14" s="184"/>
      <c r="CC14" s="184"/>
      <c r="CD14" s="184"/>
      <c r="CE14" s="184"/>
      <c r="CF14" s="184"/>
      <c r="CG14" s="184"/>
      <c r="CH14" s="184"/>
      <c r="CI14" s="184"/>
      <c r="CJ14" s="184"/>
      <c r="CK14" s="184"/>
      <c r="CL14" s="184"/>
      <c r="CM14" s="184"/>
      <c r="CN14" s="184"/>
      <c r="CO14" s="184"/>
      <c r="CP14" s="184"/>
      <c r="CQ14" s="184"/>
      <c r="CR14" s="184"/>
      <c r="CS14" s="184"/>
      <c r="CT14" s="184"/>
      <c r="CU14" s="184"/>
      <c r="CV14" s="184"/>
      <c r="CW14" s="184"/>
      <c r="CX14" s="184"/>
      <c r="CY14" s="184"/>
      <c r="CZ14" s="184"/>
      <c r="DA14" s="184"/>
      <c r="DB14" s="184"/>
      <c r="DC14" s="184"/>
      <c r="DD14" s="184"/>
      <c r="DE14" s="184"/>
      <c r="DF14" s="184"/>
      <c r="DG14" s="184"/>
      <c r="DH14" s="184"/>
      <c r="DI14" s="184"/>
      <c r="DJ14" s="184"/>
      <c r="DK14" s="184"/>
      <c r="DL14" s="184"/>
      <c r="DM14" s="184"/>
      <c r="DN14" s="184"/>
      <c r="DO14" s="184"/>
      <c r="DP14" s="184"/>
      <c r="DQ14" s="184"/>
      <c r="DR14" s="184"/>
      <c r="DS14" s="184"/>
      <c r="DT14" s="184"/>
      <c r="DU14" s="184"/>
      <c r="DV14" s="184"/>
      <c r="DW14" s="184"/>
      <c r="DX14" s="184"/>
      <c r="DY14" s="184"/>
      <c r="DZ14" s="184"/>
      <c r="EA14" s="184"/>
      <c r="EB14" s="184"/>
      <c r="EC14" s="184"/>
      <c r="ED14" s="184"/>
      <c r="EE14" s="184"/>
      <c r="EF14" s="184"/>
      <c r="EG14" s="184"/>
      <c r="EH14" s="184"/>
      <c r="EI14" s="184"/>
      <c r="EJ14" s="184"/>
      <c r="EK14" s="184"/>
      <c r="EL14" s="184"/>
      <c r="EM14" s="184"/>
      <c r="EN14" s="184"/>
      <c r="EO14" s="184"/>
      <c r="EP14" s="184"/>
      <c r="EQ14" s="184"/>
      <c r="ER14" s="184"/>
      <c r="ES14" s="184"/>
      <c r="ET14" s="184"/>
      <c r="EU14" s="184"/>
      <c r="EV14" s="184"/>
      <c r="EW14" s="184"/>
    </row>
    <row r="15" spans="1:153">
      <c r="A15" s="917" t="s">
        <v>506</v>
      </c>
      <c r="B15" s="882" t="str">
        <f>Assum!B183</f>
        <v xml:space="preserve">MAINTENANCE </v>
      </c>
      <c r="C15" s="59"/>
      <c r="D15" s="59"/>
      <c r="E15" s="176">
        <f>$E$4*E$6*Assum!E183</f>
        <v>943.37222222222226</v>
      </c>
      <c r="F15" s="176">
        <f>$E$4*F$6*Assum!F183</f>
        <v>969.64999999999986</v>
      </c>
      <c r="G15" s="176">
        <f>$E$4*G$6*Assum!G183</f>
        <v>993.89124999999979</v>
      </c>
      <c r="H15" s="176">
        <f>$E$4*H$6*Assum!H183</f>
        <v>1018.7385312499998</v>
      </c>
      <c r="I15" s="176">
        <f>$E$4*I$6*Assum!I183</f>
        <v>1044.2069945312498</v>
      </c>
      <c r="J15" s="176">
        <f>$E$4*J$6*Assum!J183</f>
        <v>1070.3121693945309</v>
      </c>
      <c r="K15" s="176">
        <f>$E$4*K$6*Assum!K183</f>
        <v>1097.0699736293941</v>
      </c>
      <c r="L15" s="176">
        <f>$E$4*L$6*Assum!L183</f>
        <v>1124.4967229701288</v>
      </c>
      <c r="M15" s="176">
        <f>$E$4*M$6*Assum!M183</f>
        <v>1152.6091410443819</v>
      </c>
      <c r="N15" s="176">
        <f>$E$4*N$6*Assum!N183</f>
        <v>1181.4243695704913</v>
      </c>
      <c r="O15" s="176">
        <f>$E$4*O$6*Assum!O183</f>
        <v>1210.9599788097535</v>
      </c>
      <c r="P15" s="176">
        <f>$E$4*P$6*Assum!P183</f>
        <v>1241.2339782799972</v>
      </c>
      <c r="Q15" s="176">
        <f>$E$4*Q$6*Assum!Q183</f>
        <v>1272.2648277369969</v>
      </c>
      <c r="R15" s="176">
        <f>$E$4*R$6*Assum!R183</f>
        <v>1304.0714484304219</v>
      </c>
      <c r="S15" s="176">
        <f>$E$4*S$6*Assum!S183</f>
        <v>1336.6732346411823</v>
      </c>
      <c r="T15" s="176">
        <f>$E$4*T$6*Assum!T183</f>
        <v>1370.0900655072119</v>
      </c>
      <c r="U15" s="176">
        <f>$E$4*U$6*Assum!U183</f>
        <v>1404.3423171448919</v>
      </c>
      <c r="V15" s="176">
        <f>$E$4*V$6*Assum!V183</f>
        <v>1439.4508750735142</v>
      </c>
      <c r="W15" s="176">
        <f>$E$4*W$6*Assum!W183</f>
        <v>1475.4371469503519</v>
      </c>
      <c r="X15" s="176">
        <f>$E$4*X$6*Assum!X183</f>
        <v>1512.3230756241105</v>
      </c>
      <c r="Y15" s="176">
        <f>$E$4*Y$6*Assum!Y183</f>
        <v>4.3059198680964101</v>
      </c>
      <c r="Z15" s="176">
        <f>$E$4*Z$6*Assum!Z183</f>
        <v>0</v>
      </c>
      <c r="AA15" s="176">
        <f>$E$4*AA$6*Assum!AA183</f>
        <v>0</v>
      </c>
      <c r="AB15" s="176">
        <f>$E$4*AB$6*Assum!AB183</f>
        <v>0</v>
      </c>
      <c r="AC15" s="176">
        <f>$E$4*AC$6*Assum!AC183</f>
        <v>0</v>
      </c>
      <c r="AD15" s="176">
        <f>$E$4*AD$6*Assum!AD183</f>
        <v>0</v>
      </c>
      <c r="AE15" s="176">
        <f>$E$4*AE$6*Assum!AE183</f>
        <v>0</v>
      </c>
      <c r="AF15" s="176">
        <f>$E$4*AF$6*Assum!AF183</f>
        <v>0</v>
      </c>
      <c r="AG15" s="176">
        <f>$E$4*AG$6*Assum!AG183</f>
        <v>0</v>
      </c>
      <c r="AH15" s="176">
        <f>$E$4*AH$6*Assum!AH183</f>
        <v>0</v>
      </c>
      <c r="AI15" s="176">
        <f>$E$4*AI$6*Assum!AI183</f>
        <v>0</v>
      </c>
      <c r="AJ15" s="184"/>
      <c r="AK15" s="184"/>
      <c r="AL15" s="184"/>
      <c r="AM15" s="184"/>
      <c r="AN15" s="184"/>
      <c r="AO15" s="184"/>
      <c r="AP15" s="184"/>
      <c r="AQ15" s="184"/>
      <c r="AR15" s="184"/>
      <c r="AS15" s="184"/>
      <c r="AT15" s="184"/>
      <c r="AU15" s="184"/>
      <c r="AV15" s="184"/>
      <c r="AW15" s="184"/>
      <c r="AX15" s="184"/>
      <c r="AY15" s="184"/>
      <c r="AZ15" s="184"/>
      <c r="BA15" s="184"/>
      <c r="BB15" s="184"/>
      <c r="BC15" s="184"/>
      <c r="BD15" s="184"/>
      <c r="BE15" s="184"/>
      <c r="BF15" s="184"/>
      <c r="BG15" s="184"/>
      <c r="BH15" s="184"/>
      <c r="BI15" s="184"/>
      <c r="BJ15" s="184"/>
      <c r="BK15" s="184"/>
      <c r="BL15" s="184"/>
      <c r="BM15" s="184"/>
      <c r="BN15" s="184"/>
      <c r="BO15" s="184"/>
      <c r="BP15" s="184"/>
      <c r="BQ15" s="184"/>
      <c r="BR15" s="184"/>
      <c r="BS15" s="184"/>
      <c r="BT15" s="184"/>
      <c r="BU15" s="184"/>
      <c r="BV15" s="184"/>
      <c r="BW15" s="184"/>
      <c r="BX15" s="184"/>
      <c r="BY15" s="184"/>
      <c r="BZ15" s="184"/>
      <c r="CA15" s="184"/>
      <c r="CB15" s="184"/>
      <c r="CC15" s="184"/>
      <c r="CD15" s="184"/>
      <c r="CE15" s="184"/>
      <c r="CF15" s="184"/>
      <c r="CG15" s="184"/>
      <c r="CH15" s="184"/>
      <c r="CI15" s="184"/>
      <c r="CJ15" s="184"/>
      <c r="CK15" s="184"/>
      <c r="CL15" s="184"/>
      <c r="CM15" s="184"/>
      <c r="CN15" s="184"/>
      <c r="CO15" s="184"/>
      <c r="CP15" s="184"/>
      <c r="CQ15" s="184"/>
      <c r="CR15" s="184"/>
      <c r="CS15" s="184"/>
      <c r="CT15" s="184"/>
      <c r="CU15" s="184"/>
      <c r="CV15" s="184"/>
      <c r="CW15" s="184"/>
      <c r="CX15" s="184"/>
      <c r="CY15" s="184"/>
      <c r="CZ15" s="184"/>
      <c r="DA15" s="184"/>
      <c r="DB15" s="184"/>
      <c r="DC15" s="184"/>
      <c r="DD15" s="184"/>
      <c r="DE15" s="184"/>
      <c r="DF15" s="184"/>
      <c r="DG15" s="184"/>
      <c r="DH15" s="184"/>
      <c r="DI15" s="184"/>
      <c r="DJ15" s="184"/>
      <c r="DK15" s="184"/>
      <c r="DL15" s="184"/>
      <c r="DM15" s="184"/>
      <c r="DN15" s="184"/>
      <c r="DO15" s="184"/>
      <c r="DP15" s="184"/>
      <c r="DQ15" s="184"/>
      <c r="DR15" s="184"/>
      <c r="DS15" s="184"/>
      <c r="DT15" s="184"/>
      <c r="DU15" s="184"/>
      <c r="DV15" s="184"/>
      <c r="DW15" s="184"/>
      <c r="DX15" s="184"/>
      <c r="DY15" s="184"/>
      <c r="DZ15" s="184"/>
      <c r="EA15" s="184"/>
      <c r="EB15" s="184"/>
      <c r="EC15" s="184"/>
      <c r="ED15" s="184"/>
      <c r="EE15" s="184"/>
      <c r="EF15" s="184"/>
      <c r="EG15" s="184"/>
      <c r="EH15" s="184"/>
      <c r="EI15" s="184"/>
      <c r="EJ15" s="184"/>
      <c r="EK15" s="184"/>
      <c r="EL15" s="184"/>
      <c r="EM15" s="184"/>
      <c r="EN15" s="184"/>
      <c r="EO15" s="184"/>
      <c r="EP15" s="184"/>
      <c r="EQ15" s="184"/>
      <c r="ER15" s="184"/>
      <c r="ES15" s="184"/>
      <c r="ET15" s="184"/>
      <c r="EU15" s="184"/>
      <c r="EV15" s="184"/>
      <c r="EW15" s="184"/>
    </row>
    <row r="16" spans="1:153">
      <c r="B16" s="882" t="str">
        <f>Assum!B184</f>
        <v>NONROUTINE MAINTENANCE</v>
      </c>
      <c r="C16" s="59"/>
      <c r="D16" s="59"/>
      <c r="E16" s="176">
        <f>$E$4*E$6*Assum!E184</f>
        <v>0</v>
      </c>
      <c r="F16" s="176">
        <f>$E$4*F$6*Assum!F184</f>
        <v>0</v>
      </c>
      <c r="G16" s="176">
        <f>$E$4*G$6*Assum!G184</f>
        <v>0</v>
      </c>
      <c r="H16" s="176">
        <f>$E$4*H$6*Assum!H184</f>
        <v>0</v>
      </c>
      <c r="I16" s="176">
        <f>$E$4*I$6*Assum!I184</f>
        <v>0</v>
      </c>
      <c r="J16" s="176">
        <f>$E$4*J$6*Assum!J184</f>
        <v>815.1191314319525</v>
      </c>
      <c r="K16" s="176">
        <f>$E$4*K$6*Assum!K184</f>
        <v>906.5878685625388</v>
      </c>
      <c r="L16" s="176">
        <f>$E$4*L$6*Assum!L184</f>
        <v>1008.320786166434</v>
      </c>
      <c r="M16" s="176">
        <f>$E$4*M$6*Assum!M184</f>
        <v>1121.4696810661769</v>
      </c>
      <c r="N16" s="176">
        <f>$E$4*N$6*Assum!N184</f>
        <v>1170.4941392716821</v>
      </c>
      <c r="O16" s="176">
        <f>$E$4*O$6*Assum!O184</f>
        <v>1221.6616759240862</v>
      </c>
      <c r="P16" s="176">
        <f>$E$4*P$6*Assum!P184</f>
        <v>1275.0659745723292</v>
      </c>
      <c r="Q16" s="176">
        <f>$E$4*Q$6*Assum!Q184</f>
        <v>1330.8048140924984</v>
      </c>
      <c r="R16" s="176">
        <f>$E$4*R$6*Assum!R184</f>
        <v>1388.980247712904</v>
      </c>
      <c r="S16" s="176">
        <f>$E$4*S$6*Assum!S184</f>
        <v>1449.6987898651423</v>
      </c>
      <c r="T16" s="176">
        <f>$E$4*T$6*Assum!T184</f>
        <v>1513.0716112032533</v>
      </c>
      <c r="U16" s="176">
        <f>$E$4*U$6*Assum!U184</f>
        <v>1513.0716112032533</v>
      </c>
      <c r="V16" s="176">
        <f>$E$4*V$6*Assum!V184</f>
        <v>1513.0716112032533</v>
      </c>
      <c r="W16" s="176">
        <f>$E$4*W$6*Assum!W184</f>
        <v>1513.0716112032533</v>
      </c>
      <c r="X16" s="176">
        <f>$E$4*X$6*Assum!X184</f>
        <v>1513.0716112032533</v>
      </c>
      <c r="Y16" s="176">
        <f>$E$4*Y$6*Assum!Y184</f>
        <v>4.3080511152314696</v>
      </c>
      <c r="Z16" s="176">
        <f>$E$4*Z$6*Assum!Z184</f>
        <v>0</v>
      </c>
      <c r="AA16" s="176">
        <f>$E$4*AA$6*Assum!AA184</f>
        <v>0</v>
      </c>
      <c r="AB16" s="176">
        <f>$E$4*AB$6*Assum!AB184</f>
        <v>0</v>
      </c>
      <c r="AC16" s="176">
        <f>$E$4*AC$6*Assum!AC184</f>
        <v>0</v>
      </c>
      <c r="AD16" s="176">
        <f>$E$4*AD$6*Assum!AD184</f>
        <v>0</v>
      </c>
      <c r="AE16" s="176">
        <f>$E$4*AE$6*Assum!AE184</f>
        <v>0</v>
      </c>
      <c r="AF16" s="176">
        <f>$E$4*AF$6*Assum!AF184</f>
        <v>0</v>
      </c>
      <c r="AG16" s="176">
        <f>$E$4*AG$6*Assum!AG184</f>
        <v>0</v>
      </c>
      <c r="AH16" s="176">
        <f>$E$4*AH$6*Assum!AH184</f>
        <v>0</v>
      </c>
      <c r="AI16" s="176">
        <f>$E$4*AI$6*Assum!AI184</f>
        <v>0</v>
      </c>
      <c r="AJ16" s="184"/>
      <c r="AK16" s="184"/>
      <c r="AL16" s="184"/>
      <c r="AM16" s="184"/>
      <c r="AN16" s="184"/>
      <c r="AO16" s="184"/>
      <c r="AP16" s="184"/>
      <c r="AQ16" s="184"/>
      <c r="AR16" s="184"/>
      <c r="AS16" s="184"/>
      <c r="AT16" s="184"/>
      <c r="AU16" s="184"/>
      <c r="AV16" s="184"/>
      <c r="AW16" s="184"/>
      <c r="AX16" s="184"/>
      <c r="AY16" s="184"/>
      <c r="AZ16" s="184"/>
      <c r="BA16" s="184"/>
      <c r="BB16" s="184"/>
      <c r="BC16" s="184"/>
      <c r="BD16" s="184"/>
      <c r="BE16" s="184"/>
      <c r="BF16" s="184"/>
      <c r="BG16" s="184"/>
      <c r="BH16" s="184"/>
      <c r="BI16" s="184"/>
      <c r="BJ16" s="184"/>
      <c r="BK16" s="184"/>
      <c r="BL16" s="184"/>
      <c r="BM16" s="184"/>
      <c r="BN16" s="184"/>
      <c r="BO16" s="184"/>
      <c r="BP16" s="184"/>
      <c r="BQ16" s="184"/>
      <c r="BR16" s="184"/>
      <c r="BS16" s="184"/>
      <c r="BT16" s="184"/>
      <c r="BU16" s="184"/>
      <c r="BV16" s="184"/>
      <c r="BW16" s="184"/>
      <c r="BX16" s="184"/>
      <c r="BY16" s="184"/>
      <c r="BZ16" s="184"/>
      <c r="CA16" s="184"/>
      <c r="CB16" s="184"/>
      <c r="CC16" s="184"/>
      <c r="CD16" s="184"/>
      <c r="CE16" s="184"/>
      <c r="CF16" s="184"/>
      <c r="CG16" s="184"/>
      <c r="CH16" s="184"/>
      <c r="CI16" s="184"/>
      <c r="CJ16" s="184"/>
      <c r="CK16" s="184"/>
      <c r="CL16" s="184"/>
      <c r="CM16" s="184"/>
      <c r="CN16" s="184"/>
      <c r="CO16" s="184"/>
      <c r="CP16" s="184"/>
      <c r="CQ16" s="184"/>
      <c r="CR16" s="184"/>
      <c r="CS16" s="184"/>
      <c r="CT16" s="184"/>
      <c r="CU16" s="184"/>
      <c r="CV16" s="184"/>
      <c r="CW16" s="184"/>
      <c r="CX16" s="184"/>
      <c r="CY16" s="184"/>
      <c r="CZ16" s="184"/>
      <c r="DA16" s="184"/>
      <c r="DB16" s="184"/>
      <c r="DC16" s="184"/>
      <c r="DD16" s="184"/>
      <c r="DE16" s="184"/>
      <c r="DF16" s="184"/>
      <c r="DG16" s="184"/>
      <c r="DH16" s="184"/>
      <c r="DI16" s="184"/>
      <c r="DJ16" s="184"/>
      <c r="DK16" s="184"/>
      <c r="DL16" s="184"/>
      <c r="DM16" s="184"/>
      <c r="DN16" s="184"/>
      <c r="DO16" s="184"/>
      <c r="DP16" s="184"/>
      <c r="DQ16" s="184"/>
      <c r="DR16" s="184"/>
      <c r="DS16" s="184"/>
      <c r="DT16" s="184"/>
      <c r="DU16" s="184"/>
      <c r="DV16" s="184"/>
      <c r="DW16" s="184"/>
      <c r="DX16" s="184"/>
      <c r="DY16" s="184"/>
      <c r="DZ16" s="184"/>
      <c r="EA16" s="184"/>
      <c r="EB16" s="184"/>
      <c r="EC16" s="184"/>
      <c r="ED16" s="184"/>
      <c r="EE16" s="184"/>
      <c r="EF16" s="184"/>
      <c r="EG16" s="184"/>
      <c r="EH16" s="184"/>
      <c r="EI16" s="184"/>
      <c r="EJ16" s="184"/>
      <c r="EK16" s="184"/>
      <c r="EL16" s="184"/>
      <c r="EM16" s="184"/>
      <c r="EN16" s="184"/>
      <c r="EO16" s="184"/>
      <c r="EP16" s="184"/>
      <c r="EQ16" s="184"/>
      <c r="ER16" s="184"/>
      <c r="ES16" s="184"/>
      <c r="ET16" s="184"/>
      <c r="EU16" s="184"/>
      <c r="EV16" s="184"/>
      <c r="EW16" s="184"/>
    </row>
    <row r="17" spans="1:153">
      <c r="B17" s="882" t="str">
        <f>Assum!B185</f>
        <v>ELECTRICITY USAGE</v>
      </c>
      <c r="C17" s="59"/>
      <c r="D17" s="59"/>
      <c r="E17" s="176">
        <f>$E$4*E$6*Assum!E185</f>
        <v>22.179324152777777</v>
      </c>
      <c r="F17" s="176">
        <f>$E$4*F$6*Assum!F185</f>
        <v>22.241105000000001</v>
      </c>
      <c r="G17" s="176">
        <f>$E$4*G$6*Assum!G185</f>
        <v>22.241105000000001</v>
      </c>
      <c r="H17" s="176">
        <f>$E$4*H$6*Assum!H185</f>
        <v>22.241105000000001</v>
      </c>
      <c r="I17" s="176">
        <f>$E$4*I$6*Assum!I185</f>
        <v>22.241105000000001</v>
      </c>
      <c r="J17" s="176">
        <f>$E$4*J$6*Assum!J185</f>
        <v>22.241105000000001</v>
      </c>
      <c r="K17" s="176">
        <f>$E$4*K$6*Assum!K185</f>
        <v>22.241105000000001</v>
      </c>
      <c r="L17" s="176">
        <f>$E$4*L$6*Assum!L185</f>
        <v>22.241105000000001</v>
      </c>
      <c r="M17" s="176">
        <f>$E$4*M$6*Assum!M185</f>
        <v>22.241105000000001</v>
      </c>
      <c r="N17" s="176">
        <f>$E$4*N$6*Assum!N185</f>
        <v>22.241105000000001</v>
      </c>
      <c r="O17" s="176">
        <f>$E$4*O$6*Assum!O185</f>
        <v>22.241105000000001</v>
      </c>
      <c r="P17" s="176">
        <f>$E$4*P$6*Assum!P185</f>
        <v>22.241105000000001</v>
      </c>
      <c r="Q17" s="176">
        <f>$E$4*Q$6*Assum!Q185</f>
        <v>22.241105000000001</v>
      </c>
      <c r="R17" s="176">
        <f>$E$4*R$6*Assum!R185</f>
        <v>22.241105000000001</v>
      </c>
      <c r="S17" s="176">
        <f>$E$4*S$6*Assum!S185</f>
        <v>22.241105000000001</v>
      </c>
      <c r="T17" s="176">
        <f>$E$4*T$6*Assum!T185</f>
        <v>22.241105000000001</v>
      </c>
      <c r="U17" s="176">
        <f>$E$4*U$6*Assum!U185</f>
        <v>22.241105000000001</v>
      </c>
      <c r="V17" s="176">
        <f>$E$4*V$6*Assum!V185</f>
        <v>22.241105000000001</v>
      </c>
      <c r="W17" s="176">
        <f>$E$4*W$6*Assum!W185</f>
        <v>22.241105000000001</v>
      </c>
      <c r="X17" s="176">
        <f>$E$4*X$6*Assum!X185</f>
        <v>22.241105000000001</v>
      </c>
      <c r="Y17" s="176">
        <f>$E$4*Y$6*Assum!Y185</f>
        <v>6.1780847222222005E-2</v>
      </c>
      <c r="Z17" s="176">
        <f>$E$4*Z$6*Assum!Z185</f>
        <v>0</v>
      </c>
      <c r="AA17" s="176">
        <f>$E$4*AA$6*Assum!AA185</f>
        <v>0</v>
      </c>
      <c r="AB17" s="176">
        <f>$E$4*AB$6*Assum!AB185</f>
        <v>0</v>
      </c>
      <c r="AC17" s="176">
        <f>$E$4*AC$6*Assum!AC185</f>
        <v>0</v>
      </c>
      <c r="AD17" s="176">
        <f>$E$4*AD$6*Assum!AD185</f>
        <v>0</v>
      </c>
      <c r="AE17" s="176">
        <f>$E$4*AE$6*Assum!AE185</f>
        <v>0</v>
      </c>
      <c r="AF17" s="176">
        <f>$E$4*AF$6*Assum!AF185</f>
        <v>0</v>
      </c>
      <c r="AG17" s="176">
        <f>$E$4*AG$6*Assum!AG185</f>
        <v>0</v>
      </c>
      <c r="AH17" s="176">
        <f>$E$4*AH$6*Assum!AH185</f>
        <v>0</v>
      </c>
      <c r="AI17" s="176">
        <f>$E$4*AI$6*Assum!AI185</f>
        <v>0</v>
      </c>
      <c r="AJ17" s="184"/>
      <c r="AK17" s="184"/>
      <c r="AL17" s="184"/>
      <c r="AM17" s="184"/>
      <c r="AN17" s="184"/>
      <c r="AO17" s="184"/>
      <c r="AP17" s="184"/>
      <c r="AQ17" s="184"/>
      <c r="AR17" s="184"/>
      <c r="AS17" s="184"/>
      <c r="AT17" s="184"/>
      <c r="AU17" s="184"/>
      <c r="AV17" s="184"/>
      <c r="AW17" s="184"/>
      <c r="AX17" s="184"/>
      <c r="AY17" s="184"/>
      <c r="AZ17" s="184"/>
      <c r="BA17" s="184"/>
      <c r="BB17" s="184"/>
      <c r="BC17" s="184"/>
      <c r="BD17" s="184"/>
      <c r="BE17" s="184"/>
      <c r="BF17" s="184"/>
      <c r="BG17" s="184"/>
      <c r="BH17" s="184"/>
      <c r="BI17" s="184"/>
      <c r="BJ17" s="184"/>
      <c r="BK17" s="184"/>
      <c r="BL17" s="184"/>
      <c r="BM17" s="184"/>
      <c r="BN17" s="184"/>
      <c r="BO17" s="184"/>
      <c r="BP17" s="184"/>
      <c r="BQ17" s="184"/>
      <c r="BR17" s="184"/>
      <c r="BS17" s="184"/>
      <c r="BT17" s="184"/>
      <c r="BU17" s="184"/>
      <c r="BV17" s="184"/>
      <c r="BW17" s="184"/>
      <c r="BX17" s="184"/>
      <c r="BY17" s="184"/>
      <c r="BZ17" s="184"/>
      <c r="CA17" s="184"/>
      <c r="CB17" s="184"/>
      <c r="CC17" s="184"/>
      <c r="CD17" s="184"/>
      <c r="CE17" s="184"/>
      <c r="CF17" s="184"/>
      <c r="CG17" s="184"/>
      <c r="CH17" s="184"/>
      <c r="CI17" s="184"/>
      <c r="CJ17" s="184"/>
      <c r="CK17" s="184"/>
      <c r="CL17" s="184"/>
      <c r="CM17" s="184"/>
      <c r="CN17" s="184"/>
      <c r="CO17" s="184"/>
      <c r="CP17" s="184"/>
      <c r="CQ17" s="184"/>
      <c r="CR17" s="184"/>
      <c r="CS17" s="184"/>
      <c r="CT17" s="184"/>
      <c r="CU17" s="184"/>
      <c r="CV17" s="184"/>
      <c r="CW17" s="184"/>
      <c r="CX17" s="184"/>
      <c r="CY17" s="184"/>
      <c r="CZ17" s="184"/>
      <c r="DA17" s="184"/>
      <c r="DB17" s="184"/>
      <c r="DC17" s="184"/>
      <c r="DD17" s="184"/>
      <c r="DE17" s="184"/>
      <c r="DF17" s="184"/>
      <c r="DG17" s="184"/>
      <c r="DH17" s="184"/>
      <c r="DI17" s="184"/>
      <c r="DJ17" s="184"/>
      <c r="DK17" s="184"/>
      <c r="DL17" s="184"/>
      <c r="DM17" s="184"/>
      <c r="DN17" s="184"/>
      <c r="DO17" s="184"/>
      <c r="DP17" s="184"/>
      <c r="DQ17" s="184"/>
      <c r="DR17" s="184"/>
      <c r="DS17" s="184"/>
      <c r="DT17" s="184"/>
      <c r="DU17" s="184"/>
      <c r="DV17" s="184"/>
      <c r="DW17" s="184"/>
      <c r="DX17" s="184"/>
      <c r="DY17" s="184"/>
      <c r="DZ17" s="184"/>
      <c r="EA17" s="184"/>
      <c r="EB17" s="184"/>
      <c r="EC17" s="184"/>
      <c r="ED17" s="184"/>
      <c r="EE17" s="184"/>
      <c r="EF17" s="184"/>
      <c r="EG17" s="184"/>
      <c r="EH17" s="184"/>
      <c r="EI17" s="184"/>
      <c r="EJ17" s="184"/>
      <c r="EK17" s="184"/>
      <c r="EL17" s="184"/>
      <c r="EM17" s="184"/>
      <c r="EN17" s="184"/>
      <c r="EO17" s="184"/>
      <c r="EP17" s="184"/>
      <c r="EQ17" s="184"/>
      <c r="ER17" s="184"/>
      <c r="ES17" s="184"/>
      <c r="ET17" s="184"/>
      <c r="EU17" s="184"/>
      <c r="EV17" s="184"/>
      <c r="EW17" s="184"/>
    </row>
    <row r="18" spans="1:153">
      <c r="B18" s="882" t="str">
        <f>Assum!B186</f>
        <v xml:space="preserve">LAND PAYMENTS </v>
      </c>
      <c r="C18" s="59"/>
      <c r="D18" s="59"/>
      <c r="E18" s="176">
        <f>Assum!E186*E6</f>
        <v>329.53513490812497</v>
      </c>
      <c r="F18" s="176">
        <f>Assum!F186*F6</f>
        <v>331.37145299999997</v>
      </c>
      <c r="G18" s="176">
        <f>Assum!G186*G6</f>
        <v>331.37145299999997</v>
      </c>
      <c r="H18" s="176">
        <f>Assum!H186*H6</f>
        <v>331.37145299999997</v>
      </c>
      <c r="I18" s="176">
        <f>Assum!I186*I6</f>
        <v>331.37145299999997</v>
      </c>
      <c r="J18" s="176">
        <f>Assum!J186*J6</f>
        <v>331.37145299999997</v>
      </c>
      <c r="K18" s="176">
        <f>Assum!K186*K6</f>
        <v>331.37145299999997</v>
      </c>
      <c r="L18" s="176">
        <f>Assum!L186*L6</f>
        <v>331.37145299999997</v>
      </c>
      <c r="M18" s="176">
        <f>Assum!M186*M6</f>
        <v>331.37145299999997</v>
      </c>
      <c r="N18" s="176">
        <f>Assum!N186*N6</f>
        <v>331.37145299999997</v>
      </c>
      <c r="O18" s="176">
        <f>Assum!O186*O6</f>
        <v>331.37145299999997</v>
      </c>
      <c r="P18" s="176">
        <f>Assum!P186*P6</f>
        <v>331.37145299999997</v>
      </c>
      <c r="Q18" s="176">
        <f>Assum!Q186*Q6</f>
        <v>331.37145299999997</v>
      </c>
      <c r="R18" s="176">
        <f>Assum!R186*R6</f>
        <v>331.37145299999997</v>
      </c>
      <c r="S18" s="176">
        <f>Assum!S186*S6</f>
        <v>331.37145299999997</v>
      </c>
      <c r="T18" s="176">
        <f>Assum!T186*T6</f>
        <v>441.57860399999998</v>
      </c>
      <c r="U18" s="176">
        <f>Assum!U186*U6</f>
        <v>441.57860399999998</v>
      </c>
      <c r="V18" s="176">
        <f>Assum!V186*V6</f>
        <v>441.57860399999998</v>
      </c>
      <c r="W18" s="176">
        <f>Assum!W186*W6</f>
        <v>441.57860399999998</v>
      </c>
      <c r="X18" s="176">
        <f>Assum!X186*X6</f>
        <v>441.57860399999998</v>
      </c>
      <c r="Y18" s="176">
        <f>Assum!Y186*Y6</f>
        <v>5.4847886111110793E-3</v>
      </c>
      <c r="Z18" s="176">
        <f>Assum!Z186*Z6</f>
        <v>0</v>
      </c>
      <c r="AA18" s="176">
        <f>Assum!AA186*AA6</f>
        <v>0</v>
      </c>
      <c r="AB18" s="176">
        <f>Assum!AB186*AB6</f>
        <v>0</v>
      </c>
      <c r="AC18" s="176">
        <f>Assum!AC186*AC6</f>
        <v>0</v>
      </c>
      <c r="AD18" s="176">
        <f>Assum!AD186*AD6</f>
        <v>0</v>
      </c>
      <c r="AE18" s="176">
        <f>Assum!AE186*AE6</f>
        <v>0</v>
      </c>
      <c r="AF18" s="176">
        <f>Assum!AF186*AF6</f>
        <v>0</v>
      </c>
      <c r="AG18" s="176">
        <f>Assum!AG186*AG6</f>
        <v>0</v>
      </c>
      <c r="AH18" s="176">
        <f>Assum!AH186*AH6</f>
        <v>0</v>
      </c>
      <c r="AI18" s="176">
        <f>Assum!AI186*AI6</f>
        <v>0</v>
      </c>
      <c r="AJ18" s="184"/>
      <c r="AK18" s="184"/>
      <c r="AL18" s="184"/>
      <c r="AM18" s="184"/>
      <c r="AN18" s="184"/>
      <c r="AO18" s="184"/>
      <c r="AP18" s="184"/>
      <c r="AQ18" s="184"/>
      <c r="AR18" s="184"/>
      <c r="AS18" s="184"/>
      <c r="AT18" s="184"/>
      <c r="AU18" s="184"/>
      <c r="AV18" s="184"/>
      <c r="AW18" s="184"/>
      <c r="AX18" s="184"/>
      <c r="AY18" s="184"/>
      <c r="AZ18" s="184"/>
      <c r="BA18" s="184"/>
      <c r="BB18" s="184"/>
      <c r="BC18" s="184"/>
      <c r="BD18" s="184"/>
      <c r="BE18" s="184"/>
      <c r="BF18" s="184"/>
      <c r="BG18" s="184"/>
      <c r="BH18" s="184"/>
      <c r="BI18" s="184"/>
      <c r="BJ18" s="184"/>
      <c r="BK18" s="184"/>
      <c r="BL18" s="184"/>
      <c r="BM18" s="184"/>
      <c r="BN18" s="184"/>
      <c r="BO18" s="184"/>
      <c r="BP18" s="184"/>
      <c r="BQ18" s="184"/>
      <c r="BR18" s="184"/>
      <c r="BS18" s="184"/>
      <c r="BT18" s="184"/>
      <c r="BU18" s="184"/>
      <c r="BV18" s="184"/>
      <c r="BW18" s="184"/>
      <c r="BX18" s="184"/>
      <c r="BY18" s="184"/>
      <c r="BZ18" s="184"/>
      <c r="CA18" s="184"/>
      <c r="CB18" s="184"/>
      <c r="CC18" s="184"/>
      <c r="CD18" s="184"/>
      <c r="CE18" s="184"/>
      <c r="CF18" s="184"/>
      <c r="CG18" s="184"/>
      <c r="CH18" s="184"/>
      <c r="CI18" s="184"/>
      <c r="CJ18" s="184"/>
      <c r="CK18" s="184"/>
      <c r="CL18" s="184"/>
      <c r="CM18" s="184"/>
      <c r="CN18" s="184"/>
      <c r="CO18" s="184"/>
      <c r="CP18" s="184"/>
      <c r="CQ18" s="184"/>
      <c r="CR18" s="184"/>
      <c r="CS18" s="184"/>
      <c r="CT18" s="184"/>
      <c r="CU18" s="184"/>
      <c r="CV18" s="184"/>
      <c r="CW18" s="184"/>
      <c r="CX18" s="184"/>
      <c r="CY18" s="184"/>
      <c r="CZ18" s="184"/>
      <c r="DA18" s="184"/>
      <c r="DB18" s="184"/>
      <c r="DC18" s="184"/>
      <c r="DD18" s="184"/>
      <c r="DE18" s="184"/>
      <c r="DF18" s="184"/>
      <c r="DG18" s="184"/>
      <c r="DH18" s="184"/>
      <c r="DI18" s="184"/>
      <c r="DJ18" s="184"/>
      <c r="DK18" s="184"/>
      <c r="DL18" s="184"/>
      <c r="DM18" s="184"/>
      <c r="DN18" s="184"/>
      <c r="DO18" s="184"/>
      <c r="DP18" s="184"/>
      <c r="DQ18" s="184"/>
      <c r="DR18" s="184"/>
      <c r="DS18" s="184"/>
      <c r="DT18" s="184"/>
      <c r="DU18" s="184"/>
      <c r="DV18" s="184"/>
      <c r="DW18" s="184"/>
      <c r="DX18" s="184"/>
      <c r="DY18" s="184"/>
      <c r="DZ18" s="184"/>
      <c r="EA18" s="184"/>
      <c r="EB18" s="184"/>
      <c r="EC18" s="184"/>
      <c r="ED18" s="184"/>
      <c r="EE18" s="184"/>
      <c r="EF18" s="184"/>
      <c r="EG18" s="184"/>
      <c r="EH18" s="184"/>
      <c r="EI18" s="184"/>
      <c r="EJ18" s="184"/>
      <c r="EK18" s="184"/>
      <c r="EL18" s="184"/>
      <c r="EM18" s="184"/>
      <c r="EN18" s="184"/>
      <c r="EO18" s="184"/>
      <c r="EP18" s="184"/>
      <c r="EQ18" s="184"/>
      <c r="ER18" s="184"/>
      <c r="ES18" s="184"/>
      <c r="ET18" s="184"/>
      <c r="EU18" s="184"/>
      <c r="EV18" s="184"/>
      <c r="EW18" s="184"/>
    </row>
    <row r="19" spans="1:153">
      <c r="B19" s="882" t="str">
        <f>Assum!B187</f>
        <v>ENERGY SALES TAX</v>
      </c>
      <c r="C19" s="59"/>
      <c r="D19" s="59"/>
      <c r="E19" s="176">
        <f>Assum!E187</f>
        <v>0</v>
      </c>
      <c r="F19" s="176">
        <f>Assum!F187</f>
        <v>0</v>
      </c>
      <c r="G19" s="176">
        <f>Assum!G187</f>
        <v>0</v>
      </c>
      <c r="H19" s="176">
        <f>Assum!H187</f>
        <v>0</v>
      </c>
      <c r="I19" s="176">
        <f>Assum!I187</f>
        <v>0</v>
      </c>
      <c r="J19" s="176">
        <f>Assum!J187</f>
        <v>0</v>
      </c>
      <c r="K19" s="176">
        <f>Assum!K187</f>
        <v>0</v>
      </c>
      <c r="L19" s="176">
        <f>Assum!L187</f>
        <v>0</v>
      </c>
      <c r="M19" s="176">
        <f>Assum!M187</f>
        <v>0</v>
      </c>
      <c r="N19" s="176">
        <f>Assum!N187</f>
        <v>0</v>
      </c>
      <c r="O19" s="176">
        <f>Assum!O187</f>
        <v>0</v>
      </c>
      <c r="P19" s="176">
        <f>Assum!P187</f>
        <v>0</v>
      </c>
      <c r="Q19" s="176">
        <f>Assum!Q187</f>
        <v>0</v>
      </c>
      <c r="R19" s="176">
        <f>Assum!R187</f>
        <v>0</v>
      </c>
      <c r="S19" s="176">
        <f>Assum!S187</f>
        <v>0</v>
      </c>
      <c r="T19" s="176">
        <f>Assum!T187</f>
        <v>0</v>
      </c>
      <c r="U19" s="176">
        <f>Assum!U187</f>
        <v>0</v>
      </c>
      <c r="V19" s="176">
        <f>Assum!V187</f>
        <v>0</v>
      </c>
      <c r="W19" s="176">
        <f>Assum!W187</f>
        <v>0</v>
      </c>
      <c r="X19" s="176">
        <f>Assum!X187</f>
        <v>0</v>
      </c>
      <c r="Y19" s="176">
        <f>Assum!Y187</f>
        <v>0</v>
      </c>
      <c r="Z19" s="176">
        <f>Assum!Z187</f>
        <v>0</v>
      </c>
      <c r="AA19" s="176">
        <f>Assum!AA187</f>
        <v>0</v>
      </c>
      <c r="AB19" s="176">
        <f>Assum!AB187</f>
        <v>0</v>
      </c>
      <c r="AC19" s="176">
        <f>Assum!AC187</f>
        <v>0</v>
      </c>
      <c r="AD19" s="176">
        <f>Assum!AD187</f>
        <v>0</v>
      </c>
      <c r="AE19" s="176">
        <f>Assum!AE187</f>
        <v>0</v>
      </c>
      <c r="AF19" s="176">
        <f>Assum!AF187</f>
        <v>0</v>
      </c>
      <c r="AG19" s="176">
        <f>Assum!AG187</f>
        <v>0</v>
      </c>
      <c r="AH19" s="176">
        <f>Assum!AH187</f>
        <v>0</v>
      </c>
      <c r="AI19" s="176">
        <f>Assum!AI187</f>
        <v>0</v>
      </c>
      <c r="AJ19" s="184"/>
      <c r="AK19" s="184"/>
      <c r="AL19" s="184"/>
      <c r="AM19" s="184"/>
      <c r="AN19" s="184"/>
      <c r="AO19" s="184"/>
      <c r="AP19" s="184"/>
      <c r="AQ19" s="184"/>
      <c r="AR19" s="184"/>
      <c r="AS19" s="184"/>
      <c r="AT19" s="184"/>
      <c r="AU19" s="184"/>
      <c r="AV19" s="184"/>
      <c r="AW19" s="184"/>
      <c r="AX19" s="184"/>
      <c r="AY19" s="184"/>
      <c r="AZ19" s="184"/>
      <c r="BA19" s="184"/>
      <c r="BB19" s="184"/>
      <c r="BC19" s="184"/>
      <c r="BD19" s="184"/>
      <c r="BE19" s="184"/>
      <c r="BF19" s="184"/>
      <c r="BG19" s="184"/>
      <c r="BH19" s="184"/>
      <c r="BI19" s="184"/>
      <c r="BJ19" s="184"/>
      <c r="BK19" s="184"/>
      <c r="BL19" s="184"/>
      <c r="BM19" s="184"/>
      <c r="BN19" s="184"/>
      <c r="BO19" s="184"/>
      <c r="BP19" s="184"/>
      <c r="BQ19" s="184"/>
      <c r="BR19" s="184"/>
      <c r="BS19" s="184"/>
      <c r="BT19" s="184"/>
      <c r="BU19" s="184"/>
      <c r="BV19" s="184"/>
      <c r="BW19" s="184"/>
      <c r="BX19" s="184"/>
      <c r="BY19" s="184"/>
      <c r="BZ19" s="184"/>
      <c r="CA19" s="184"/>
      <c r="CB19" s="184"/>
      <c r="CC19" s="184"/>
      <c r="CD19" s="184"/>
      <c r="CE19" s="184"/>
      <c r="CF19" s="184"/>
      <c r="CG19" s="184"/>
      <c r="CH19" s="184"/>
      <c r="CI19" s="184"/>
      <c r="CJ19" s="184"/>
      <c r="CK19" s="184"/>
      <c r="CL19" s="184"/>
      <c r="CM19" s="184"/>
      <c r="CN19" s="184"/>
      <c r="CO19" s="184"/>
      <c r="CP19" s="184"/>
      <c r="CQ19" s="184"/>
      <c r="CR19" s="184"/>
      <c r="CS19" s="184"/>
      <c r="CT19" s="184"/>
      <c r="CU19" s="184"/>
      <c r="CV19" s="184"/>
      <c r="CW19" s="184"/>
      <c r="CX19" s="184"/>
      <c r="CY19" s="184"/>
      <c r="CZ19" s="184"/>
      <c r="DA19" s="184"/>
      <c r="DB19" s="184"/>
      <c r="DC19" s="184"/>
      <c r="DD19" s="184"/>
      <c r="DE19" s="184"/>
      <c r="DF19" s="184"/>
      <c r="DG19" s="184"/>
      <c r="DH19" s="184"/>
      <c r="DI19" s="184"/>
      <c r="DJ19" s="184"/>
      <c r="DK19" s="184"/>
      <c r="DL19" s="184"/>
      <c r="DM19" s="184"/>
      <c r="DN19" s="184"/>
      <c r="DO19" s="184"/>
      <c r="DP19" s="184"/>
      <c r="DQ19" s="184"/>
      <c r="DR19" s="184"/>
      <c r="DS19" s="184"/>
      <c r="DT19" s="184"/>
      <c r="DU19" s="184"/>
      <c r="DV19" s="184"/>
      <c r="DW19" s="184"/>
      <c r="DX19" s="184"/>
      <c r="DY19" s="184"/>
      <c r="DZ19" s="184"/>
      <c r="EA19" s="184"/>
      <c r="EB19" s="184"/>
      <c r="EC19" s="184"/>
      <c r="ED19" s="184"/>
      <c r="EE19" s="184"/>
      <c r="EF19" s="184"/>
      <c r="EG19" s="184"/>
      <c r="EH19" s="184"/>
      <c r="EI19" s="184"/>
      <c r="EJ19" s="184"/>
      <c r="EK19" s="184"/>
      <c r="EL19" s="184"/>
      <c r="EM19" s="184"/>
      <c r="EN19" s="184"/>
      <c r="EO19" s="184"/>
      <c r="EP19" s="184"/>
      <c r="EQ19" s="184"/>
      <c r="ER19" s="184"/>
      <c r="ES19" s="184"/>
      <c r="ET19" s="184"/>
      <c r="EU19" s="184"/>
      <c r="EV19" s="184"/>
      <c r="EW19" s="184"/>
    </row>
    <row r="20" spans="1:153">
      <c r="B20" s="882" t="str">
        <f>Assum!B188</f>
        <v>TOTAL PROPERTY TAX - REAL &amp; PERSONAL</v>
      </c>
      <c r="C20" s="59"/>
      <c r="D20" s="59"/>
      <c r="E20" s="176">
        <f>Assum!E188*E6</f>
        <v>0</v>
      </c>
      <c r="F20" s="176">
        <f>Assum!F188*F6</f>
        <v>1855.5462991750996</v>
      </c>
      <c r="G20" s="176">
        <f>Assum!G188*G6</f>
        <v>1844.0357997979818</v>
      </c>
      <c r="H20" s="176">
        <f>Assum!H188*H6</f>
        <v>1822.4827297035431</v>
      </c>
      <c r="I20" s="176">
        <f>Assum!I188*I6</f>
        <v>1792.2672744356355</v>
      </c>
      <c r="J20" s="176">
        <f>Assum!J188*J6</f>
        <v>1748.628794166561</v>
      </c>
      <c r="K20" s="176">
        <f>Assum!K188*K6</f>
        <v>2022.5662832439214</v>
      </c>
      <c r="L20" s="176">
        <f>Assum!L188*L6</f>
        <v>1861.082022851589</v>
      </c>
      <c r="M20" s="176">
        <f>Assum!M188*M6</f>
        <v>1686.7624926173376</v>
      </c>
      <c r="N20" s="176">
        <f>Assum!N188*N6</f>
        <v>1499.0475379933885</v>
      </c>
      <c r="O20" s="176">
        <f>Assum!O188*O6</f>
        <v>1294.4616183195183</v>
      </c>
      <c r="P20" s="176">
        <f>Assum!P188*P6</f>
        <v>1075.1850327733123</v>
      </c>
      <c r="Q20" s="176">
        <f>Assum!Q188*Q6</f>
        <v>840.59383688634432</v>
      </c>
      <c r="R20" s="176">
        <f>Assum!R188*R6</f>
        <v>820.5280485219605</v>
      </c>
      <c r="S20" s="176">
        <f>Assum!S188*S6</f>
        <v>811.8617972229647</v>
      </c>
      <c r="T20" s="176">
        <f>Assum!T188*T6</f>
        <v>799.32339108824704</v>
      </c>
      <c r="U20" s="176">
        <f>Assum!U188*U6</f>
        <v>815.30985891001194</v>
      </c>
      <c r="V20" s="176">
        <f>Assum!V188*V6</f>
        <v>831.6160560882123</v>
      </c>
      <c r="W20" s="176">
        <f>Assum!W188*W6</f>
        <v>848.24837720997652</v>
      </c>
      <c r="X20" s="176">
        <f>Assum!X188*X6</f>
        <v>865.21334475417598</v>
      </c>
      <c r="Y20" s="176">
        <f>Assum!Y188*Y6</f>
        <v>2.4514378101368233</v>
      </c>
      <c r="Z20" s="176">
        <f>Assum!Z188*Z6</f>
        <v>0</v>
      </c>
      <c r="AA20" s="176">
        <f>Assum!AA188*AA6</f>
        <v>0</v>
      </c>
      <c r="AB20" s="176">
        <f>Assum!AB188*AB6</f>
        <v>0</v>
      </c>
      <c r="AC20" s="176">
        <f>Assum!AC188*AC6</f>
        <v>0</v>
      </c>
      <c r="AD20" s="176">
        <f>Assum!AD188*AD6</f>
        <v>0</v>
      </c>
      <c r="AE20" s="176">
        <f>Assum!AE188*AE6</f>
        <v>0</v>
      </c>
      <c r="AF20" s="176">
        <f>Assum!AF188*AF6</f>
        <v>0</v>
      </c>
      <c r="AG20" s="176">
        <f>Assum!AG188*AG6</f>
        <v>0</v>
      </c>
      <c r="AH20" s="176">
        <f>Assum!AH188*AH6</f>
        <v>0</v>
      </c>
      <c r="AI20" s="176">
        <f>Assum!AI188*AI6</f>
        <v>0</v>
      </c>
      <c r="AJ20" s="184"/>
      <c r="AK20" s="184"/>
      <c r="AL20" s="184"/>
      <c r="AM20" s="184"/>
      <c r="AN20" s="184"/>
      <c r="AO20" s="184"/>
      <c r="AP20" s="184"/>
      <c r="AQ20" s="184"/>
      <c r="AR20" s="184"/>
      <c r="AS20" s="184"/>
      <c r="AT20" s="184"/>
      <c r="AU20" s="184"/>
      <c r="AV20" s="184"/>
      <c r="AW20" s="184"/>
      <c r="AX20" s="184"/>
      <c r="AY20" s="184"/>
      <c r="AZ20" s="184"/>
      <c r="BA20" s="184"/>
      <c r="BB20" s="184"/>
      <c r="BC20" s="184"/>
      <c r="BD20" s="184"/>
      <c r="BE20" s="184"/>
      <c r="BF20" s="184"/>
      <c r="BG20" s="184"/>
      <c r="BH20" s="184"/>
      <c r="BI20" s="184"/>
      <c r="BJ20" s="184"/>
      <c r="BK20" s="184"/>
      <c r="BL20" s="184"/>
      <c r="BM20" s="184"/>
      <c r="BN20" s="184"/>
      <c r="BO20" s="184"/>
      <c r="BP20" s="184"/>
      <c r="BQ20" s="184"/>
      <c r="BR20" s="184"/>
      <c r="BS20" s="184"/>
      <c r="BT20" s="184"/>
      <c r="BU20" s="184"/>
      <c r="BV20" s="184"/>
      <c r="BW20" s="184"/>
      <c r="BX20" s="184"/>
      <c r="BY20" s="184"/>
      <c r="BZ20" s="184"/>
      <c r="CA20" s="184"/>
      <c r="CB20" s="184"/>
      <c r="CC20" s="184"/>
      <c r="CD20" s="184"/>
      <c r="CE20" s="184"/>
      <c r="CF20" s="184"/>
      <c r="CG20" s="184"/>
      <c r="CH20" s="184"/>
      <c r="CI20" s="184"/>
      <c r="CJ20" s="184"/>
      <c r="CK20" s="184"/>
      <c r="CL20" s="184"/>
      <c r="CM20" s="184"/>
      <c r="CN20" s="184"/>
      <c r="CO20" s="184"/>
      <c r="CP20" s="184"/>
      <c r="CQ20" s="184"/>
      <c r="CR20" s="184"/>
      <c r="CS20" s="184"/>
      <c r="CT20" s="184"/>
      <c r="CU20" s="184"/>
      <c r="CV20" s="184"/>
      <c r="CW20" s="184"/>
      <c r="CX20" s="184"/>
      <c r="CY20" s="184"/>
      <c r="CZ20" s="184"/>
      <c r="DA20" s="184"/>
      <c r="DB20" s="184"/>
      <c r="DC20" s="184"/>
      <c r="DD20" s="184"/>
      <c r="DE20" s="184"/>
      <c r="DF20" s="184"/>
      <c r="DG20" s="184"/>
      <c r="DH20" s="184"/>
      <c r="DI20" s="184"/>
      <c r="DJ20" s="184"/>
      <c r="DK20" s="184"/>
      <c r="DL20" s="184"/>
      <c r="DM20" s="184"/>
      <c r="DN20" s="184"/>
      <c r="DO20" s="184"/>
      <c r="DP20" s="184"/>
      <c r="DQ20" s="184"/>
      <c r="DR20" s="184"/>
      <c r="DS20" s="184"/>
      <c r="DT20" s="184"/>
      <c r="DU20" s="184"/>
      <c r="DV20" s="184"/>
      <c r="DW20" s="184"/>
      <c r="DX20" s="184"/>
      <c r="DY20" s="184"/>
      <c r="DZ20" s="184"/>
      <c r="EA20" s="184"/>
      <c r="EB20" s="184"/>
      <c r="EC20" s="184"/>
      <c r="ED20" s="184"/>
      <c r="EE20" s="184"/>
      <c r="EF20" s="184"/>
      <c r="EG20" s="184"/>
      <c r="EH20" s="184"/>
      <c r="EI20" s="184"/>
      <c r="EJ20" s="184"/>
      <c r="EK20" s="184"/>
      <c r="EL20" s="184"/>
      <c r="EM20" s="184"/>
      <c r="EN20" s="184"/>
      <c r="EO20" s="184"/>
      <c r="EP20" s="184"/>
      <c r="EQ20" s="184"/>
      <c r="ER20" s="184"/>
      <c r="ES20" s="184"/>
      <c r="ET20" s="184"/>
      <c r="EU20" s="184"/>
      <c r="EV20" s="184"/>
      <c r="EW20" s="184"/>
    </row>
    <row r="21" spans="1:153">
      <c r="B21" s="882" t="str">
        <f>Assum!B189</f>
        <v xml:space="preserve">INSURANCE </v>
      </c>
      <c r="C21" s="59"/>
      <c r="D21" s="59"/>
      <c r="E21" s="176">
        <f>E$6*Assum!E189</f>
        <v>327.62414599202776</v>
      </c>
      <c r="F21" s="176">
        <f>F$6*Assum!F189</f>
        <v>337.07870351982001</v>
      </c>
      <c r="G21" s="176">
        <f>G$6*Assum!G189</f>
        <v>345.50567110781549</v>
      </c>
      <c r="H21" s="176">
        <f>H$6*Assum!H189</f>
        <v>354.14331288551085</v>
      </c>
      <c r="I21" s="176">
        <f>I$6*Assum!I189</f>
        <v>362.9968957076486</v>
      </c>
      <c r="J21" s="176">
        <f>J$6*Assum!J189</f>
        <v>372.07181810033978</v>
      </c>
      <c r="K21" s="176">
        <f>K$6*Assum!K189</f>
        <v>381.37361355284827</v>
      </c>
      <c r="L21" s="176">
        <f>L$6*Assum!L189</f>
        <v>390.90795389166942</v>
      </c>
      <c r="M21" s="176">
        <f>M$6*Assum!M189</f>
        <v>400.6806527389611</v>
      </c>
      <c r="N21" s="176">
        <f>N$6*Assum!N189</f>
        <v>410.69766905743506</v>
      </c>
      <c r="O21" s="176">
        <f>O$6*Assum!O189</f>
        <v>420.9651107838709</v>
      </c>
      <c r="P21" s="176">
        <f>P$6*Assum!P189</f>
        <v>431.48923855346766</v>
      </c>
      <c r="Q21" s="176">
        <f>Q$6*Assum!Q189</f>
        <v>442.27646951730429</v>
      </c>
      <c r="R21" s="176">
        <f>R$6*Assum!R189</f>
        <v>453.33338125523687</v>
      </c>
      <c r="S21" s="176">
        <f>S$6*Assum!S189</f>
        <v>464.66671578661777</v>
      </c>
      <c r="T21" s="176">
        <f>T$6*Assum!T189</f>
        <v>476.28338368128317</v>
      </c>
      <c r="U21" s="176">
        <f>U$6*Assum!U189</f>
        <v>488.19046827331522</v>
      </c>
      <c r="V21" s="176">
        <f>V$6*Assum!V189</f>
        <v>500.39522998014803</v>
      </c>
      <c r="W21" s="176">
        <f>W$6*Assum!W189</f>
        <v>512.90511072965171</v>
      </c>
      <c r="X21" s="176">
        <f>X$6*Assum!X189</f>
        <v>525.72773849789291</v>
      </c>
      <c r="Y21" s="176">
        <f>Y$6*Assum!Y189</f>
        <v>1.4968636998898284</v>
      </c>
      <c r="Z21" s="176">
        <f>Z$6*Assum!Z189</f>
        <v>0</v>
      </c>
      <c r="AA21" s="176">
        <f>AA$6*Assum!AA189</f>
        <v>0</v>
      </c>
      <c r="AB21" s="176">
        <f>AB$6*Assum!AB189</f>
        <v>0</v>
      </c>
      <c r="AC21" s="176">
        <f>AC$6*Assum!AC189</f>
        <v>0</v>
      </c>
      <c r="AD21" s="176">
        <f>AD$6*Assum!AD189</f>
        <v>0</v>
      </c>
      <c r="AE21" s="176">
        <f>AE$6*Assum!AE189</f>
        <v>0</v>
      </c>
      <c r="AF21" s="176">
        <f>AF$6*Assum!AF189</f>
        <v>0</v>
      </c>
      <c r="AG21" s="176">
        <f>AG$6*Assum!AG189</f>
        <v>0</v>
      </c>
      <c r="AH21" s="176">
        <f>AH$6*Assum!AH189</f>
        <v>0</v>
      </c>
      <c r="AI21" s="176">
        <f>AI$6*Assum!AI189</f>
        <v>0</v>
      </c>
      <c r="AJ21" s="184"/>
      <c r="AK21" s="184"/>
      <c r="AL21" s="184"/>
      <c r="AM21" s="184"/>
      <c r="AN21" s="184"/>
      <c r="AO21" s="184"/>
      <c r="AP21" s="184"/>
      <c r="AQ21" s="184"/>
      <c r="AR21" s="184"/>
      <c r="AS21" s="184"/>
      <c r="AT21" s="184"/>
      <c r="AU21" s="184"/>
      <c r="AV21" s="184"/>
      <c r="AW21" s="184"/>
      <c r="AX21" s="184"/>
      <c r="AY21" s="184"/>
      <c r="AZ21" s="184"/>
      <c r="BA21" s="184"/>
      <c r="BB21" s="184"/>
      <c r="BC21" s="184"/>
      <c r="BD21" s="184"/>
      <c r="BE21" s="184"/>
      <c r="BF21" s="184"/>
      <c r="BG21" s="184"/>
      <c r="BH21" s="184"/>
      <c r="BI21" s="184"/>
      <c r="BJ21" s="184"/>
      <c r="BK21" s="184"/>
      <c r="BL21" s="184"/>
      <c r="BM21" s="184"/>
      <c r="BN21" s="184"/>
      <c r="BO21" s="184"/>
      <c r="BP21" s="184"/>
      <c r="BQ21" s="184"/>
      <c r="BR21" s="184"/>
      <c r="BS21" s="184"/>
      <c r="BT21" s="184"/>
      <c r="BU21" s="184"/>
      <c r="BV21" s="184"/>
      <c r="BW21" s="184"/>
      <c r="BX21" s="184"/>
      <c r="BY21" s="184"/>
      <c r="BZ21" s="184"/>
      <c r="CA21" s="184"/>
      <c r="CB21" s="184"/>
      <c r="CC21" s="184"/>
      <c r="CD21" s="184"/>
      <c r="CE21" s="184"/>
      <c r="CF21" s="184"/>
      <c r="CG21" s="184"/>
      <c r="CH21" s="184"/>
      <c r="CI21" s="184"/>
      <c r="CJ21" s="184"/>
      <c r="CK21" s="184"/>
      <c r="CL21" s="184"/>
      <c r="CM21" s="184"/>
      <c r="CN21" s="184"/>
      <c r="CO21" s="184"/>
      <c r="CP21" s="184"/>
      <c r="CQ21" s="184"/>
      <c r="CR21" s="184"/>
      <c r="CS21" s="184"/>
      <c r="CT21" s="184"/>
      <c r="CU21" s="184"/>
      <c r="CV21" s="184"/>
      <c r="CW21" s="184"/>
      <c r="CX21" s="184"/>
      <c r="CY21" s="184"/>
      <c r="CZ21" s="184"/>
      <c r="DA21" s="184"/>
      <c r="DB21" s="184"/>
      <c r="DC21" s="184"/>
      <c r="DD21" s="184"/>
      <c r="DE21" s="184"/>
      <c r="DF21" s="184"/>
      <c r="DG21" s="184"/>
      <c r="DH21" s="184"/>
      <c r="DI21" s="184"/>
      <c r="DJ21" s="184"/>
      <c r="DK21" s="184"/>
      <c r="DL21" s="184"/>
      <c r="DM21" s="184"/>
      <c r="DN21" s="184"/>
      <c r="DO21" s="184"/>
      <c r="DP21" s="184"/>
      <c r="DQ21" s="184"/>
      <c r="DR21" s="184"/>
      <c r="DS21" s="184"/>
      <c r="DT21" s="184"/>
      <c r="DU21" s="184"/>
      <c r="DV21" s="184"/>
      <c r="DW21" s="184"/>
      <c r="DX21" s="184"/>
      <c r="DY21" s="184"/>
      <c r="DZ21" s="184"/>
      <c r="EA21" s="184"/>
      <c r="EB21" s="184"/>
      <c r="EC21" s="184"/>
      <c r="ED21" s="184"/>
      <c r="EE21" s="184"/>
      <c r="EF21" s="184"/>
      <c r="EG21" s="184"/>
      <c r="EH21" s="184"/>
      <c r="EI21" s="184"/>
      <c r="EJ21" s="184"/>
      <c r="EK21" s="184"/>
      <c r="EL21" s="184"/>
      <c r="EM21" s="184"/>
      <c r="EN21" s="184"/>
      <c r="EO21" s="184"/>
      <c r="EP21" s="184"/>
      <c r="EQ21" s="184"/>
      <c r="ER21" s="184"/>
      <c r="ES21" s="184"/>
      <c r="ET21" s="184"/>
      <c r="EU21" s="184"/>
      <c r="EV21" s="184"/>
      <c r="EW21" s="184"/>
    </row>
    <row r="22" spans="1:153">
      <c r="B22" s="882" t="str">
        <f>Assum!B190</f>
        <v xml:space="preserve">AUDIT COSTS </v>
      </c>
      <c r="C22" s="59"/>
      <c r="D22" s="59"/>
      <c r="E22" s="176">
        <f>$E$4*E$6*Assum!E190</f>
        <v>0</v>
      </c>
      <c r="F22" s="176">
        <f>$E$4*F$6*Assum!F190</f>
        <v>0</v>
      </c>
      <c r="G22" s="176">
        <f>$E$4*G$6*Assum!G190</f>
        <v>0</v>
      </c>
      <c r="H22" s="176">
        <f>$E$4*H$6*Assum!H190</f>
        <v>0</v>
      </c>
      <c r="I22" s="176">
        <f>$E$4*I$6*Assum!I190</f>
        <v>0</v>
      </c>
      <c r="J22" s="176">
        <f>$E$4*J$6*Assum!J190</f>
        <v>0</v>
      </c>
      <c r="K22" s="176">
        <f>$E$4*K$6*Assum!K190</f>
        <v>0</v>
      </c>
      <c r="L22" s="176">
        <f>$E$4*L$6*Assum!L190</f>
        <v>0</v>
      </c>
      <c r="M22" s="176">
        <f>$E$4*M$6*Assum!M190</f>
        <v>0</v>
      </c>
      <c r="N22" s="176">
        <f>$E$4*N$6*Assum!N190</f>
        <v>0</v>
      </c>
      <c r="O22" s="176">
        <f>$E$4*O$6*Assum!O190</f>
        <v>0</v>
      </c>
      <c r="P22" s="176">
        <f>$E$4*P$6*Assum!P190</f>
        <v>0</v>
      </c>
      <c r="Q22" s="176">
        <f>$E$4*Q$6*Assum!Q190</f>
        <v>0</v>
      </c>
      <c r="R22" s="176">
        <f>$E$4*R$6*Assum!R190</f>
        <v>0</v>
      </c>
      <c r="S22" s="176">
        <f>$E$4*S$6*Assum!S190</f>
        <v>0</v>
      </c>
      <c r="T22" s="176">
        <f>$E$4*T$6*Assum!T190</f>
        <v>0</v>
      </c>
      <c r="U22" s="176">
        <f>$E$4*U$6*Assum!U190</f>
        <v>0</v>
      </c>
      <c r="V22" s="176">
        <f>$E$4*V$6*Assum!V190</f>
        <v>0</v>
      </c>
      <c r="W22" s="176">
        <f>$E$4*W$6*Assum!W190</f>
        <v>0</v>
      </c>
      <c r="X22" s="176">
        <f>$E$4*X$6*Assum!X190</f>
        <v>0</v>
      </c>
      <c r="Y22" s="176">
        <f>$E$4*Y$6*Assum!Y190</f>
        <v>0</v>
      </c>
      <c r="Z22" s="176">
        <f>$E$4*Z$6*Assum!Z190</f>
        <v>0</v>
      </c>
      <c r="AA22" s="176">
        <f>$E$4*AA$6*Assum!AA190</f>
        <v>0</v>
      </c>
      <c r="AB22" s="176">
        <f>$E$4*AB$6*Assum!AB190</f>
        <v>0</v>
      </c>
      <c r="AC22" s="176">
        <f>$E$4*AC$6*Assum!AC190</f>
        <v>0</v>
      </c>
      <c r="AD22" s="176">
        <f>$E$4*AD$6*Assum!AD190</f>
        <v>0</v>
      </c>
      <c r="AE22" s="176">
        <f>$E$4*AE$6*Assum!AE190</f>
        <v>0</v>
      </c>
      <c r="AF22" s="176">
        <f>$E$4*AF$6*Assum!AF190</f>
        <v>0</v>
      </c>
      <c r="AG22" s="176">
        <f>$E$4*AG$6*Assum!AG190</f>
        <v>0</v>
      </c>
      <c r="AH22" s="176">
        <f>$E$4*AH$6*Assum!AH190</f>
        <v>0</v>
      </c>
      <c r="AI22" s="176">
        <f>$E$4*AI$6*Assum!AI190</f>
        <v>0</v>
      </c>
      <c r="AJ22" s="184"/>
      <c r="AK22" s="184"/>
      <c r="AL22" s="184"/>
      <c r="AM22" s="184"/>
      <c r="AN22" s="184"/>
      <c r="AO22" s="184"/>
      <c r="AP22" s="184"/>
      <c r="AQ22" s="184"/>
      <c r="AR22" s="184"/>
      <c r="AS22" s="184"/>
      <c r="AT22" s="184"/>
      <c r="AU22" s="184"/>
      <c r="AV22" s="184"/>
      <c r="AW22" s="184"/>
      <c r="AX22" s="184"/>
      <c r="AY22" s="184"/>
      <c r="AZ22" s="184"/>
      <c r="BA22" s="184"/>
      <c r="BB22" s="184"/>
      <c r="BC22" s="184"/>
      <c r="BD22" s="184"/>
      <c r="BE22" s="184"/>
      <c r="BF22" s="184"/>
      <c r="BG22" s="184"/>
      <c r="BH22" s="184"/>
      <c r="BI22" s="184"/>
      <c r="BJ22" s="184"/>
      <c r="BK22" s="184"/>
      <c r="BL22" s="184"/>
      <c r="BM22" s="184"/>
      <c r="BN22" s="184"/>
      <c r="BO22" s="184"/>
      <c r="BP22" s="184"/>
      <c r="BQ22" s="184"/>
      <c r="BR22" s="184"/>
      <c r="BS22" s="184"/>
      <c r="BT22" s="184"/>
      <c r="BU22" s="184"/>
      <c r="BV22" s="184"/>
      <c r="BW22" s="184"/>
      <c r="BX22" s="184"/>
      <c r="BY22" s="184"/>
      <c r="BZ22" s="184"/>
      <c r="CA22" s="184"/>
      <c r="CB22" s="184"/>
      <c r="CC22" s="184"/>
      <c r="CD22" s="184"/>
      <c r="CE22" s="184"/>
      <c r="CF22" s="184"/>
      <c r="CG22" s="184"/>
      <c r="CH22" s="184"/>
      <c r="CI22" s="184"/>
      <c r="CJ22" s="184"/>
      <c r="CK22" s="184"/>
      <c r="CL22" s="184"/>
      <c r="CM22" s="184"/>
      <c r="CN22" s="184"/>
      <c r="CO22" s="184"/>
      <c r="CP22" s="184"/>
      <c r="CQ22" s="184"/>
      <c r="CR22" s="184"/>
      <c r="CS22" s="184"/>
      <c r="CT22" s="184"/>
      <c r="CU22" s="184"/>
      <c r="CV22" s="184"/>
      <c r="CW22" s="184"/>
      <c r="CX22" s="184"/>
      <c r="CY22" s="184"/>
      <c r="CZ22" s="184"/>
      <c r="DA22" s="184"/>
      <c r="DB22" s="184"/>
      <c r="DC22" s="184"/>
      <c r="DD22" s="184"/>
      <c r="DE22" s="184"/>
      <c r="DF22" s="184"/>
      <c r="DG22" s="184"/>
      <c r="DH22" s="184"/>
      <c r="DI22" s="184"/>
      <c r="DJ22" s="184"/>
      <c r="DK22" s="184"/>
      <c r="DL22" s="184"/>
      <c r="DM22" s="184"/>
      <c r="DN22" s="184"/>
      <c r="DO22" s="184"/>
      <c r="DP22" s="184"/>
      <c r="DQ22" s="184"/>
      <c r="DR22" s="184"/>
      <c r="DS22" s="184"/>
      <c r="DT22" s="184"/>
      <c r="DU22" s="184"/>
      <c r="DV22" s="184"/>
      <c r="DW22" s="184"/>
      <c r="DX22" s="184"/>
      <c r="DY22" s="184"/>
      <c r="DZ22" s="184"/>
      <c r="EA22" s="184"/>
      <c r="EB22" s="184"/>
      <c r="EC22" s="184"/>
      <c r="ED22" s="184"/>
      <c r="EE22" s="184"/>
      <c r="EF22" s="184"/>
      <c r="EG22" s="184"/>
      <c r="EH22" s="184"/>
      <c r="EI22" s="184"/>
      <c r="EJ22" s="184"/>
      <c r="EK22" s="184"/>
      <c r="EL22" s="184"/>
      <c r="EM22" s="184"/>
      <c r="EN22" s="184"/>
      <c r="EO22" s="184"/>
      <c r="EP22" s="184"/>
      <c r="EQ22" s="184"/>
      <c r="ER22" s="184"/>
      <c r="ES22" s="184"/>
      <c r="ET22" s="184"/>
      <c r="EU22" s="184"/>
      <c r="EV22" s="184"/>
      <c r="EW22" s="184"/>
    </row>
    <row r="23" spans="1:153">
      <c r="B23" s="882" t="str">
        <f>Assum!B191</f>
        <v>SR DEBT ANNUAL AGENCY FEE</v>
      </c>
      <c r="C23" s="59"/>
      <c r="D23" s="59"/>
      <c r="E23" s="176">
        <f>$E$4*E$6*Assum!E191</f>
        <v>34.902777777777779</v>
      </c>
      <c r="F23" s="176">
        <f>$E$4*F$6*Assum!F191</f>
        <v>35.910000000000004</v>
      </c>
      <c r="G23" s="176">
        <f>$E$4*G$6*Assum!G191</f>
        <v>36.807749999999999</v>
      </c>
      <c r="H23" s="176">
        <f>$E$4*H$6*Assum!H191</f>
        <v>37.727943749999994</v>
      </c>
      <c r="I23" s="176">
        <f>$E$4*I$6*Assum!I191</f>
        <v>38.671142343749992</v>
      </c>
      <c r="J23" s="176">
        <f>$E$4*J$6*Assum!J191</f>
        <v>39.637920902343737</v>
      </c>
      <c r="K23" s="176">
        <f>$E$4*K$6*Assum!K191</f>
        <v>40.628868924902328</v>
      </c>
      <c r="L23" s="176">
        <f>$E$4*L$6*Assum!L191</f>
        <v>41.644590648024881</v>
      </c>
      <c r="M23" s="176">
        <f>$E$4*M$6*Assum!M191</f>
        <v>42.685705414225502</v>
      </c>
      <c r="N23" s="176">
        <f>$E$4*N$6*Assum!N191</f>
        <v>43.752848049581139</v>
      </c>
      <c r="O23" s="176">
        <f>$E$4*O$6*Assum!O191</f>
        <v>44.846669250820661</v>
      </c>
      <c r="P23" s="176">
        <f>$E$4*P$6*Assum!P191</f>
        <v>45.967835982091174</v>
      </c>
      <c r="Q23" s="176">
        <f>$E$4*Q$6*Assum!Q191</f>
        <v>47.117031881643449</v>
      </c>
      <c r="R23" s="176">
        <f>$E$4*R$6*Assum!R191</f>
        <v>48.294957678684533</v>
      </c>
      <c r="S23" s="176">
        <f>$E$4*S$6*Assum!S191</f>
        <v>49.502331620651638</v>
      </c>
      <c r="T23" s="176">
        <f>$E$4*T$6*Assum!T191</f>
        <v>50.739889911167928</v>
      </c>
      <c r="U23" s="176">
        <f>$E$4*U$6*Assum!U191</f>
        <v>52.008387158947123</v>
      </c>
      <c r="V23" s="176">
        <f>$E$4*V$6*Assum!V191</f>
        <v>53.308596837920796</v>
      </c>
      <c r="W23" s="176">
        <f>$E$4*W$6*Assum!W191</f>
        <v>0</v>
      </c>
      <c r="X23" s="176">
        <f>$E$4*X$6*Assum!X191</f>
        <v>0</v>
      </c>
      <c r="Y23" s="176">
        <f>$E$4*Y$6*Assum!Y191</f>
        <v>0</v>
      </c>
      <c r="Z23" s="176">
        <f>$E$4*Z$6*Assum!Z191</f>
        <v>0</v>
      </c>
      <c r="AA23" s="176">
        <f>$E$4*AA$6*Assum!AA191</f>
        <v>0</v>
      </c>
      <c r="AB23" s="176">
        <f>$E$4*AB$6*Assum!AB191</f>
        <v>0</v>
      </c>
      <c r="AC23" s="176">
        <f>$E$4*AC$6*Assum!AC191</f>
        <v>0</v>
      </c>
      <c r="AD23" s="176">
        <f>$E$4*AD$6*Assum!AD191</f>
        <v>0</v>
      </c>
      <c r="AE23" s="176">
        <f>$E$4*AE$6*Assum!AE191</f>
        <v>0</v>
      </c>
      <c r="AF23" s="176">
        <f>$E$4*AF$6*Assum!AF191</f>
        <v>0</v>
      </c>
      <c r="AG23" s="176">
        <f>$E$4*AG$6*Assum!AG191</f>
        <v>0</v>
      </c>
      <c r="AH23" s="176">
        <f>$E$4*AH$6*Assum!AH191</f>
        <v>0</v>
      </c>
      <c r="AI23" s="176">
        <f>$E$4*AI$6*Assum!AI191</f>
        <v>0</v>
      </c>
      <c r="AJ23" s="184"/>
      <c r="AK23" s="184"/>
      <c r="AL23" s="184"/>
      <c r="AM23" s="184"/>
      <c r="AN23" s="184"/>
      <c r="AO23" s="184"/>
      <c r="AP23" s="184"/>
      <c r="AQ23" s="184"/>
      <c r="AR23" s="184"/>
      <c r="AS23" s="184"/>
      <c r="AT23" s="184"/>
      <c r="AU23" s="184"/>
      <c r="AV23" s="184"/>
      <c r="AW23" s="184"/>
      <c r="AX23" s="184"/>
      <c r="AY23" s="184"/>
      <c r="AZ23" s="184"/>
      <c r="BA23" s="184"/>
      <c r="BB23" s="184"/>
      <c r="BC23" s="184"/>
      <c r="BD23" s="184"/>
      <c r="BE23" s="184"/>
      <c r="BF23" s="184"/>
      <c r="BG23" s="184"/>
      <c r="BH23" s="184"/>
      <c r="BI23" s="184"/>
      <c r="BJ23" s="184"/>
      <c r="BK23" s="184"/>
      <c r="BL23" s="184"/>
      <c r="BM23" s="184"/>
      <c r="BN23" s="184"/>
      <c r="BO23" s="184"/>
      <c r="BP23" s="184"/>
      <c r="BQ23" s="184"/>
      <c r="BR23" s="184"/>
      <c r="BS23" s="184"/>
      <c r="BT23" s="184"/>
      <c r="BU23" s="184"/>
      <c r="BV23" s="184"/>
      <c r="BW23" s="184"/>
      <c r="BX23" s="184"/>
      <c r="BY23" s="184"/>
      <c r="BZ23" s="184"/>
      <c r="CA23" s="184"/>
      <c r="CB23" s="184"/>
      <c r="CC23" s="184"/>
      <c r="CD23" s="184"/>
      <c r="CE23" s="184"/>
      <c r="CF23" s="184"/>
      <c r="CG23" s="184"/>
      <c r="CH23" s="184"/>
      <c r="CI23" s="184"/>
      <c r="CJ23" s="184"/>
      <c r="CK23" s="184"/>
      <c r="CL23" s="184"/>
      <c r="CM23" s="184"/>
      <c r="CN23" s="184"/>
      <c r="CO23" s="184"/>
      <c r="CP23" s="184"/>
      <c r="CQ23" s="184"/>
      <c r="CR23" s="184"/>
      <c r="CS23" s="184"/>
      <c r="CT23" s="184"/>
      <c r="CU23" s="184"/>
      <c r="CV23" s="184"/>
      <c r="CW23" s="184"/>
      <c r="CX23" s="184"/>
      <c r="CY23" s="184"/>
      <c r="CZ23" s="184"/>
      <c r="DA23" s="184"/>
      <c r="DB23" s="184"/>
      <c r="DC23" s="184"/>
      <c r="DD23" s="184"/>
      <c r="DE23" s="184"/>
      <c r="DF23" s="184"/>
      <c r="DG23" s="184"/>
      <c r="DH23" s="184"/>
      <c r="DI23" s="184"/>
      <c r="DJ23" s="184"/>
      <c r="DK23" s="184"/>
      <c r="DL23" s="184"/>
      <c r="DM23" s="184"/>
      <c r="DN23" s="184"/>
      <c r="DO23" s="184"/>
      <c r="DP23" s="184"/>
      <c r="DQ23" s="184"/>
      <c r="DR23" s="184"/>
      <c r="DS23" s="184"/>
      <c r="DT23" s="184"/>
      <c r="DU23" s="184"/>
      <c r="DV23" s="184"/>
      <c r="DW23" s="184"/>
      <c r="DX23" s="184"/>
      <c r="DY23" s="184"/>
      <c r="DZ23" s="184"/>
      <c r="EA23" s="184"/>
      <c r="EB23" s="184"/>
      <c r="EC23" s="184"/>
      <c r="ED23" s="184"/>
      <c r="EE23" s="184"/>
      <c r="EF23" s="184"/>
      <c r="EG23" s="184"/>
      <c r="EH23" s="184"/>
      <c r="EI23" s="184"/>
      <c r="EJ23" s="184"/>
      <c r="EK23" s="184"/>
      <c r="EL23" s="184"/>
      <c r="EM23" s="184"/>
      <c r="EN23" s="184"/>
      <c r="EO23" s="184"/>
      <c r="EP23" s="184"/>
      <c r="EQ23" s="184"/>
      <c r="ER23" s="184"/>
      <c r="ES23" s="184"/>
      <c r="ET23" s="184"/>
      <c r="EU23" s="184"/>
      <c r="EV23" s="184"/>
      <c r="EW23" s="184"/>
    </row>
    <row r="24" spans="1:153">
      <c r="B24" s="882" t="str">
        <f>Assum!B192</f>
        <v>JR DEBT ANNUAL AGENCY FEE</v>
      </c>
      <c r="C24" s="59"/>
      <c r="D24" s="59"/>
      <c r="E24" s="176">
        <f>$E$4*E$6*Assum!E192</f>
        <v>0</v>
      </c>
      <c r="F24" s="176">
        <f>$E$4*F$6*Assum!F192</f>
        <v>0</v>
      </c>
      <c r="G24" s="176">
        <f>$E$4*G$6*Assum!G192</f>
        <v>0</v>
      </c>
      <c r="H24" s="176">
        <f>$E$4*H$6*Assum!H192</f>
        <v>0</v>
      </c>
      <c r="I24" s="176">
        <f>$E$4*I$6*Assum!I192</f>
        <v>0</v>
      </c>
      <c r="J24" s="176">
        <f>$E$4*J$6*Assum!J192</f>
        <v>0</v>
      </c>
      <c r="K24" s="176">
        <f>$E$4*K$6*Assum!K192</f>
        <v>0</v>
      </c>
      <c r="L24" s="176">
        <f>$E$4*L$6*Assum!L192</f>
        <v>0</v>
      </c>
      <c r="M24" s="176">
        <f>$E$4*M$6*Assum!M192</f>
        <v>0</v>
      </c>
      <c r="N24" s="176">
        <f>$E$4*N$6*Assum!N192</f>
        <v>0</v>
      </c>
      <c r="O24" s="176">
        <f>$E$4*O$6*Assum!O192</f>
        <v>0</v>
      </c>
      <c r="P24" s="176">
        <f>$E$4*P$6*Assum!P192</f>
        <v>0</v>
      </c>
      <c r="Q24" s="176">
        <f>$E$4*Q$6*Assum!Q192</f>
        <v>0</v>
      </c>
      <c r="R24" s="176">
        <f>$E$4*R$6*Assum!R192</f>
        <v>0</v>
      </c>
      <c r="S24" s="176">
        <f>$E$4*S$6*Assum!S192</f>
        <v>0</v>
      </c>
      <c r="T24" s="176">
        <f>$E$4*T$6*Assum!T192</f>
        <v>0</v>
      </c>
      <c r="U24" s="176">
        <f>$E$4*U$6*Assum!U192</f>
        <v>0</v>
      </c>
      <c r="V24" s="176">
        <f>$E$4*V$6*Assum!V192</f>
        <v>0</v>
      </c>
      <c r="W24" s="176">
        <f>$E$4*W$6*Assum!W192</f>
        <v>0</v>
      </c>
      <c r="X24" s="176">
        <f>$E$4*X$6*Assum!X192</f>
        <v>0</v>
      </c>
      <c r="Y24" s="176">
        <f>$E$4*Y$6*Assum!Y192</f>
        <v>0</v>
      </c>
      <c r="Z24" s="176">
        <f>$E$4*Z$6*Assum!Z192</f>
        <v>0</v>
      </c>
      <c r="AA24" s="176">
        <f>$E$4*AA$6*Assum!AA192</f>
        <v>0</v>
      </c>
      <c r="AB24" s="176">
        <f>$E$4*AB$6*Assum!AB192</f>
        <v>0</v>
      </c>
      <c r="AC24" s="176">
        <f>$E$4*AC$6*Assum!AC192</f>
        <v>0</v>
      </c>
      <c r="AD24" s="176">
        <f>$E$4*AD$6*Assum!AD192</f>
        <v>0</v>
      </c>
      <c r="AE24" s="176">
        <f>$E$4*AE$6*Assum!AE192</f>
        <v>0</v>
      </c>
      <c r="AF24" s="176">
        <f>$E$4*AF$6*Assum!AF192</f>
        <v>0</v>
      </c>
      <c r="AG24" s="176">
        <f>$E$4*AG$6*Assum!AG192</f>
        <v>0</v>
      </c>
      <c r="AH24" s="176">
        <f>$E$4*AH$6*Assum!AH192</f>
        <v>0</v>
      </c>
      <c r="AI24" s="176">
        <f>$E$4*AI$6*Assum!AI192</f>
        <v>0</v>
      </c>
      <c r="AJ24" s="184"/>
      <c r="AK24" s="184"/>
      <c r="AL24" s="184"/>
      <c r="AM24" s="184"/>
      <c r="AN24" s="184"/>
      <c r="AO24" s="184"/>
      <c r="AP24" s="184"/>
      <c r="AQ24" s="184"/>
      <c r="AR24" s="184"/>
      <c r="AS24" s="184"/>
      <c r="AT24" s="184"/>
      <c r="AU24" s="184"/>
      <c r="AV24" s="184"/>
      <c r="AW24" s="184"/>
      <c r="AX24" s="184"/>
      <c r="AY24" s="184"/>
      <c r="AZ24" s="184"/>
      <c r="BA24" s="184"/>
      <c r="BB24" s="184"/>
      <c r="BC24" s="184"/>
      <c r="BD24" s="184"/>
      <c r="BE24" s="184"/>
      <c r="BF24" s="184"/>
      <c r="BG24" s="184"/>
      <c r="BH24" s="184"/>
      <c r="BI24" s="184"/>
      <c r="BJ24" s="184"/>
      <c r="BK24" s="184"/>
      <c r="BL24" s="184"/>
      <c r="BM24" s="184"/>
      <c r="BN24" s="184"/>
      <c r="BO24" s="184"/>
      <c r="BP24" s="184"/>
      <c r="BQ24" s="184"/>
      <c r="BR24" s="184"/>
      <c r="BS24" s="184"/>
      <c r="BT24" s="184"/>
      <c r="BU24" s="184"/>
      <c r="BV24" s="184"/>
      <c r="BW24" s="184"/>
      <c r="BX24" s="184"/>
      <c r="BY24" s="184"/>
      <c r="BZ24" s="184"/>
      <c r="CA24" s="184"/>
      <c r="CB24" s="184"/>
      <c r="CC24" s="184"/>
      <c r="CD24" s="184"/>
      <c r="CE24" s="184"/>
      <c r="CF24" s="184"/>
      <c r="CG24" s="184"/>
      <c r="CH24" s="184"/>
      <c r="CI24" s="184"/>
      <c r="CJ24" s="184"/>
      <c r="CK24" s="184"/>
      <c r="CL24" s="184"/>
      <c r="CM24" s="184"/>
      <c r="CN24" s="184"/>
      <c r="CO24" s="184"/>
      <c r="CP24" s="184"/>
      <c r="CQ24" s="184"/>
      <c r="CR24" s="184"/>
      <c r="CS24" s="184"/>
      <c r="CT24" s="184"/>
      <c r="CU24" s="184"/>
      <c r="CV24" s="184"/>
      <c r="CW24" s="184"/>
      <c r="CX24" s="184"/>
      <c r="CY24" s="184"/>
      <c r="CZ24" s="184"/>
      <c r="DA24" s="184"/>
      <c r="DB24" s="184"/>
      <c r="DC24" s="184"/>
      <c r="DD24" s="184"/>
      <c r="DE24" s="184"/>
      <c r="DF24" s="184"/>
      <c r="DG24" s="184"/>
      <c r="DH24" s="184"/>
      <c r="DI24" s="184"/>
      <c r="DJ24" s="184"/>
      <c r="DK24" s="184"/>
      <c r="DL24" s="184"/>
      <c r="DM24" s="184"/>
      <c r="DN24" s="184"/>
      <c r="DO24" s="184"/>
      <c r="DP24" s="184"/>
      <c r="DQ24" s="184"/>
      <c r="DR24" s="184"/>
      <c r="DS24" s="184"/>
      <c r="DT24" s="184"/>
      <c r="DU24" s="184"/>
      <c r="DV24" s="184"/>
      <c r="DW24" s="184"/>
      <c r="DX24" s="184"/>
      <c r="DY24" s="184"/>
      <c r="DZ24" s="184"/>
      <c r="EA24" s="184"/>
      <c r="EB24" s="184"/>
      <c r="EC24" s="184"/>
      <c r="ED24" s="184"/>
      <c r="EE24" s="184"/>
      <c r="EF24" s="184"/>
      <c r="EG24" s="184"/>
      <c r="EH24" s="184"/>
      <c r="EI24" s="184"/>
      <c r="EJ24" s="184"/>
      <c r="EK24" s="184"/>
      <c r="EL24" s="184"/>
      <c r="EM24" s="184"/>
      <c r="EN24" s="184"/>
      <c r="EO24" s="184"/>
      <c r="EP24" s="184"/>
      <c r="EQ24" s="184"/>
      <c r="ER24" s="184"/>
      <c r="ES24" s="184"/>
      <c r="ET24" s="184"/>
      <c r="EU24" s="184"/>
      <c r="EV24" s="184"/>
      <c r="EW24" s="184"/>
    </row>
    <row r="25" spans="1:153">
      <c r="B25" s="882" t="str">
        <f>Assum!B193</f>
        <v>INDEPENDENT ENGINEER</v>
      </c>
      <c r="C25" s="59"/>
      <c r="D25" s="59"/>
      <c r="E25" s="176">
        <f>$E$4*E$6*Assum!E193</f>
        <v>39.888888888888886</v>
      </c>
      <c r="F25" s="176">
        <f>$E$4*F$6*Assum!F193</f>
        <v>41.04</v>
      </c>
      <c r="G25" s="176">
        <f>$E$4*G$6*Assum!G193</f>
        <v>42.065999999999995</v>
      </c>
      <c r="H25" s="176">
        <f>$E$4*H$6*Assum!H193</f>
        <v>43.11764999999999</v>
      </c>
      <c r="I25" s="176">
        <f>$E$4*I$6*Assum!I193</f>
        <v>44.195591249999985</v>
      </c>
      <c r="J25" s="176">
        <f>$E$4*J$6*Assum!J193</f>
        <v>45.30048103124998</v>
      </c>
      <c r="K25" s="176">
        <f>$E$4*K$6*Assum!K193</f>
        <v>46.432993057031226</v>
      </c>
      <c r="L25" s="176">
        <f>$E$4*L$6*Assum!L193</f>
        <v>47.593817883457</v>
      </c>
      <c r="M25" s="176">
        <f>$E$4*M$6*Assum!M193</f>
        <v>48.783663330543419</v>
      </c>
      <c r="N25" s="176">
        <f>$E$4*N$6*Assum!N193</f>
        <v>50.003254913806998</v>
      </c>
      <c r="O25" s="176">
        <f>$E$4*O$6*Assum!O193</f>
        <v>51.253336286652171</v>
      </c>
      <c r="P25" s="176">
        <f>$E$4*P$6*Assum!P193</f>
        <v>52.534669693818472</v>
      </c>
      <c r="Q25" s="176">
        <f>$E$4*Q$6*Assum!Q193</f>
        <v>53.84803643616393</v>
      </c>
      <c r="R25" s="176">
        <f>$E$4*R$6*Assum!R193</f>
        <v>55.194237347068025</v>
      </c>
      <c r="S25" s="176">
        <f>$E$4*S$6*Assum!S193</f>
        <v>56.574093280744719</v>
      </c>
      <c r="T25" s="176">
        <f>$E$4*T$6*Assum!T193</f>
        <v>57.988445612763336</v>
      </c>
      <c r="U25" s="176">
        <f>$E$4*U$6*Assum!U193</f>
        <v>59.438156753082417</v>
      </c>
      <c r="V25" s="176">
        <f>$E$4*V$6*Assum!V193</f>
        <v>60.924110671909474</v>
      </c>
      <c r="W25" s="176">
        <f>$E$4*W$6*Assum!W193</f>
        <v>0</v>
      </c>
      <c r="X25" s="176">
        <f>$E$4*X$6*Assum!X193</f>
        <v>0</v>
      </c>
      <c r="Y25" s="176">
        <f>$E$4*Y$6*Assum!Y193</f>
        <v>0</v>
      </c>
      <c r="Z25" s="176">
        <f>$E$4*Z$6*Assum!Z193</f>
        <v>0</v>
      </c>
      <c r="AA25" s="176">
        <f>$E$4*AA$6*Assum!AA193</f>
        <v>0</v>
      </c>
      <c r="AB25" s="176">
        <f>$E$4*AB$6*Assum!AB193</f>
        <v>0</v>
      </c>
      <c r="AC25" s="176">
        <f>$E$4*AC$6*Assum!AC193</f>
        <v>0</v>
      </c>
      <c r="AD25" s="176">
        <f>$E$4*AD$6*Assum!AD193</f>
        <v>0</v>
      </c>
      <c r="AE25" s="176">
        <f>$E$4*AE$6*Assum!AE193</f>
        <v>0</v>
      </c>
      <c r="AF25" s="176">
        <f>$E$4*AF$6*Assum!AF193</f>
        <v>0</v>
      </c>
      <c r="AG25" s="176">
        <f>$E$4*AG$6*Assum!AG193</f>
        <v>0</v>
      </c>
      <c r="AH25" s="176">
        <f>$E$4*AH$6*Assum!AH193</f>
        <v>0</v>
      </c>
      <c r="AI25" s="176">
        <f>$E$4*AI$6*Assum!AI193</f>
        <v>0</v>
      </c>
      <c r="AJ25" s="184"/>
      <c r="AK25" s="184"/>
      <c r="AL25" s="184"/>
      <c r="AM25" s="184"/>
      <c r="AN25" s="184"/>
      <c r="AO25" s="184"/>
      <c r="AP25" s="184"/>
      <c r="AQ25" s="184"/>
      <c r="AR25" s="184"/>
      <c r="AS25" s="184"/>
      <c r="AT25" s="184"/>
      <c r="AU25" s="184"/>
      <c r="AV25" s="184"/>
      <c r="AW25" s="184"/>
      <c r="AX25" s="184"/>
      <c r="AY25" s="184"/>
      <c r="AZ25" s="184"/>
      <c r="BA25" s="184"/>
      <c r="BB25" s="184"/>
      <c r="BC25" s="184"/>
      <c r="BD25" s="184"/>
      <c r="BE25" s="184"/>
      <c r="BF25" s="184"/>
      <c r="BG25" s="184"/>
      <c r="BH25" s="184"/>
      <c r="BI25" s="184"/>
      <c r="BJ25" s="184"/>
      <c r="BK25" s="184"/>
      <c r="BL25" s="184"/>
      <c r="BM25" s="184"/>
      <c r="BN25" s="184"/>
      <c r="BO25" s="184"/>
      <c r="BP25" s="184"/>
      <c r="BQ25" s="184"/>
      <c r="BR25" s="184"/>
      <c r="BS25" s="184"/>
      <c r="BT25" s="184"/>
      <c r="BU25" s="184"/>
      <c r="BV25" s="184"/>
      <c r="BW25" s="184"/>
      <c r="BX25" s="184"/>
      <c r="BY25" s="184"/>
      <c r="BZ25" s="184"/>
      <c r="CA25" s="184"/>
      <c r="CB25" s="184"/>
      <c r="CC25" s="184"/>
      <c r="CD25" s="184"/>
      <c r="CE25" s="184"/>
      <c r="CF25" s="184"/>
      <c r="CG25" s="184"/>
      <c r="CH25" s="184"/>
      <c r="CI25" s="184"/>
      <c r="CJ25" s="184"/>
      <c r="CK25" s="184"/>
      <c r="CL25" s="184"/>
      <c r="CM25" s="184"/>
      <c r="CN25" s="184"/>
      <c r="CO25" s="184"/>
      <c r="CP25" s="184"/>
      <c r="CQ25" s="184"/>
      <c r="CR25" s="184"/>
      <c r="CS25" s="184"/>
      <c r="CT25" s="184"/>
      <c r="CU25" s="184"/>
      <c r="CV25" s="184"/>
      <c r="CW25" s="184"/>
      <c r="CX25" s="184"/>
      <c r="CY25" s="184"/>
      <c r="CZ25" s="184"/>
      <c r="DA25" s="184"/>
      <c r="DB25" s="184"/>
      <c r="DC25" s="184"/>
      <c r="DD25" s="184"/>
      <c r="DE25" s="184"/>
      <c r="DF25" s="184"/>
      <c r="DG25" s="184"/>
      <c r="DH25" s="184"/>
      <c r="DI25" s="184"/>
      <c r="DJ25" s="184"/>
      <c r="DK25" s="184"/>
      <c r="DL25" s="184"/>
      <c r="DM25" s="184"/>
      <c r="DN25" s="184"/>
      <c r="DO25" s="184"/>
      <c r="DP25" s="184"/>
      <c r="DQ25" s="184"/>
      <c r="DR25" s="184"/>
      <c r="DS25" s="184"/>
      <c r="DT25" s="184"/>
      <c r="DU25" s="184"/>
      <c r="DV25" s="184"/>
      <c r="DW25" s="184"/>
      <c r="DX25" s="184"/>
      <c r="DY25" s="184"/>
      <c r="DZ25" s="184"/>
      <c r="EA25" s="184"/>
      <c r="EB25" s="184"/>
      <c r="EC25" s="184"/>
      <c r="ED25" s="184"/>
      <c r="EE25" s="184"/>
      <c r="EF25" s="184"/>
      <c r="EG25" s="184"/>
      <c r="EH25" s="184"/>
      <c r="EI25" s="184"/>
      <c r="EJ25" s="184"/>
      <c r="EK25" s="184"/>
      <c r="EL25" s="184"/>
      <c r="EM25" s="184"/>
      <c r="EN25" s="184"/>
      <c r="EO25" s="184"/>
      <c r="EP25" s="184"/>
      <c r="EQ25" s="184"/>
      <c r="ER25" s="184"/>
      <c r="ES25" s="184"/>
      <c r="ET25" s="184"/>
      <c r="EU25" s="184"/>
      <c r="EV25" s="184"/>
      <c r="EW25" s="184"/>
    </row>
    <row r="26" spans="1:153">
      <c r="B26" s="882" t="str">
        <f>Assum!B194</f>
        <v>MISCELLANEOUS</v>
      </c>
      <c r="C26" s="59"/>
      <c r="D26" s="59"/>
      <c r="E26" s="176">
        <f>$E$4*E$6*Assum!E194</f>
        <v>0</v>
      </c>
      <c r="F26" s="176">
        <f>$E$4*F$6*Assum!F194</f>
        <v>0</v>
      </c>
      <c r="G26" s="176">
        <f>$E$4*G$6*Assum!G194</f>
        <v>0</v>
      </c>
      <c r="H26" s="176">
        <f>$E$4*H$6*Assum!H194</f>
        <v>0</v>
      </c>
      <c r="I26" s="176">
        <f>$E$4*I$6*Assum!I194</f>
        <v>0</v>
      </c>
      <c r="J26" s="176">
        <f>$E$4*J$6*Assum!J194</f>
        <v>0</v>
      </c>
      <c r="K26" s="176">
        <f>$E$4*K$6*Assum!K194</f>
        <v>0</v>
      </c>
      <c r="L26" s="176">
        <f>$E$4*L$6*Assum!L194</f>
        <v>0</v>
      </c>
      <c r="M26" s="176">
        <f>$E$4*M$6*Assum!M194</f>
        <v>0</v>
      </c>
      <c r="N26" s="176">
        <f>$E$4*N$6*Assum!N194</f>
        <v>0</v>
      </c>
      <c r="O26" s="176">
        <f>$E$4*O$6*Assum!O194</f>
        <v>0</v>
      </c>
      <c r="P26" s="176">
        <f>$E$4*P$6*Assum!P194</f>
        <v>0</v>
      </c>
      <c r="Q26" s="176">
        <f>$E$4*Q$6*Assum!Q194</f>
        <v>0</v>
      </c>
      <c r="R26" s="176">
        <f>$E$4*R$6*Assum!R194</f>
        <v>0</v>
      </c>
      <c r="S26" s="176">
        <f>$E$4*S$6*Assum!S194</f>
        <v>0</v>
      </c>
      <c r="T26" s="176">
        <f>$E$4*T$6*Assum!T194</f>
        <v>0</v>
      </c>
      <c r="U26" s="176">
        <f>$E$4*U$6*Assum!U194</f>
        <v>0</v>
      </c>
      <c r="V26" s="176">
        <f>$E$4*V$6*Assum!V194</f>
        <v>0</v>
      </c>
      <c r="W26" s="176">
        <f>$E$4*W$6*Assum!W194</f>
        <v>0</v>
      </c>
      <c r="X26" s="176">
        <f>$E$4*X$6*Assum!X194</f>
        <v>0</v>
      </c>
      <c r="Y26" s="176">
        <f>$E$4*Y$6*Assum!Y194</f>
        <v>0</v>
      </c>
      <c r="Z26" s="176">
        <f>$E$4*Z$6*Assum!Z194</f>
        <v>0</v>
      </c>
      <c r="AA26" s="176">
        <f>$E$4*AA$6*Assum!AA194</f>
        <v>0</v>
      </c>
      <c r="AB26" s="176">
        <f>$E$4*AB$6*Assum!AB194</f>
        <v>0</v>
      </c>
      <c r="AC26" s="176">
        <f>$E$4*AC$6*Assum!AC194</f>
        <v>0</v>
      </c>
      <c r="AD26" s="176">
        <f>$E$4*AD$6*Assum!AD194</f>
        <v>0</v>
      </c>
      <c r="AE26" s="176">
        <f>$E$4*AE$6*Assum!AE194</f>
        <v>0</v>
      </c>
      <c r="AF26" s="176">
        <f>$E$4*AF$6*Assum!AF194</f>
        <v>0</v>
      </c>
      <c r="AG26" s="176">
        <f>$E$4*AG$6*Assum!AG194</f>
        <v>0</v>
      </c>
      <c r="AH26" s="176">
        <f>$E$4*AH$6*Assum!AH194</f>
        <v>0</v>
      </c>
      <c r="AI26" s="176">
        <f>$E$4*AI$6*Assum!AI194</f>
        <v>0</v>
      </c>
      <c r="AJ26" s="176"/>
      <c r="AK26" s="176"/>
      <c r="AL26" s="176"/>
      <c r="AM26" s="176"/>
      <c r="AN26" s="176"/>
      <c r="AO26" s="176"/>
      <c r="AP26" s="176"/>
      <c r="AQ26" s="184"/>
      <c r="AR26" s="184"/>
      <c r="AS26" s="184"/>
      <c r="AT26" s="184"/>
      <c r="AU26" s="184"/>
      <c r="AV26" s="184"/>
      <c r="AW26" s="184"/>
      <c r="AX26" s="184"/>
      <c r="AY26" s="184"/>
      <c r="AZ26" s="184"/>
      <c r="BA26" s="184"/>
      <c r="BB26" s="184"/>
      <c r="BC26" s="184"/>
      <c r="BD26" s="184"/>
      <c r="BE26" s="184"/>
      <c r="BF26" s="184"/>
      <c r="BG26" s="184"/>
      <c r="BH26" s="184"/>
      <c r="BI26" s="184"/>
      <c r="BJ26" s="184"/>
      <c r="BK26" s="184"/>
      <c r="BL26" s="184"/>
      <c r="BM26" s="184"/>
      <c r="BN26" s="184"/>
      <c r="BO26" s="184"/>
      <c r="BP26" s="184"/>
      <c r="BQ26" s="184"/>
      <c r="BR26" s="184"/>
      <c r="BS26" s="184"/>
      <c r="BT26" s="184"/>
      <c r="BU26" s="184"/>
      <c r="BV26" s="184"/>
      <c r="BW26" s="184"/>
      <c r="BX26" s="184"/>
      <c r="BY26" s="184"/>
      <c r="BZ26" s="184"/>
      <c r="CA26" s="184"/>
      <c r="CB26" s="184"/>
      <c r="CC26" s="184"/>
      <c r="CD26" s="184"/>
      <c r="CE26" s="184"/>
      <c r="CF26" s="184"/>
      <c r="CG26" s="184"/>
      <c r="CH26" s="184"/>
      <c r="CI26" s="184"/>
      <c r="CJ26" s="184"/>
      <c r="CK26" s="184"/>
      <c r="CL26" s="184"/>
      <c r="CM26" s="184"/>
      <c r="CN26" s="184"/>
      <c r="CO26" s="184"/>
      <c r="CP26" s="184"/>
      <c r="CQ26" s="184"/>
      <c r="CR26" s="184"/>
      <c r="CS26" s="184"/>
      <c r="CT26" s="184"/>
      <c r="CU26" s="184"/>
      <c r="CV26" s="184"/>
      <c r="CW26" s="184"/>
      <c r="CX26" s="184"/>
      <c r="CY26" s="184"/>
      <c r="CZ26" s="184"/>
      <c r="DA26" s="184"/>
      <c r="DB26" s="184"/>
      <c r="DC26" s="184"/>
      <c r="DD26" s="184"/>
      <c r="DE26" s="184"/>
      <c r="DF26" s="184"/>
      <c r="DG26" s="184"/>
      <c r="DH26" s="184"/>
      <c r="DI26" s="184"/>
      <c r="DJ26" s="184"/>
      <c r="DK26" s="184"/>
      <c r="DL26" s="184"/>
      <c r="DM26" s="184"/>
      <c r="DN26" s="184"/>
      <c r="DO26" s="184"/>
      <c r="DP26" s="184"/>
      <c r="DQ26" s="184"/>
      <c r="DR26" s="184"/>
      <c r="DS26" s="184"/>
      <c r="DT26" s="184"/>
      <c r="DU26" s="184"/>
      <c r="DV26" s="184"/>
      <c r="DW26" s="184"/>
      <c r="DX26" s="184"/>
      <c r="DY26" s="184"/>
      <c r="DZ26" s="184"/>
      <c r="EA26" s="184"/>
      <c r="EB26" s="184"/>
      <c r="EC26" s="184"/>
      <c r="ED26" s="184"/>
      <c r="EE26" s="184"/>
      <c r="EF26" s="184"/>
      <c r="EG26" s="184"/>
      <c r="EH26" s="184"/>
      <c r="EI26" s="184"/>
      <c r="EJ26" s="184"/>
      <c r="EK26" s="184"/>
      <c r="EL26" s="184"/>
      <c r="EM26" s="184"/>
      <c r="EN26" s="184"/>
      <c r="EO26" s="184"/>
      <c r="EP26" s="184"/>
      <c r="EQ26" s="184"/>
      <c r="ER26" s="184"/>
      <c r="ES26" s="184"/>
      <c r="ET26" s="184"/>
      <c r="EU26" s="184"/>
      <c r="EV26" s="184"/>
      <c r="EW26" s="184"/>
    </row>
    <row r="27" spans="1:153">
      <c r="B27" s="882" t="str">
        <f>Assum!B195</f>
        <v>RAROC OPEX VARIANCE</v>
      </c>
      <c r="C27" s="59"/>
      <c r="D27" s="59"/>
      <c r="E27" s="219">
        <f>$E$4*E$6*Assum!E195</f>
        <v>0</v>
      </c>
      <c r="F27" s="219">
        <f>$E$4*F$6*Assum!F195</f>
        <v>0</v>
      </c>
      <c r="G27" s="219">
        <f>$E$4*G$6*Assum!G195</f>
        <v>0</v>
      </c>
      <c r="H27" s="219">
        <f>$E$4*H$6*Assum!H195</f>
        <v>0</v>
      </c>
      <c r="I27" s="219">
        <f>$E$4*I$6*Assum!I195</f>
        <v>0</v>
      </c>
      <c r="J27" s="219">
        <f>$E$4*J$6*Assum!J195</f>
        <v>0</v>
      </c>
      <c r="K27" s="219">
        <f>$E$4*K$6*Assum!K195</f>
        <v>0</v>
      </c>
      <c r="L27" s="219">
        <f>$E$4*L$6*Assum!L195</f>
        <v>0</v>
      </c>
      <c r="M27" s="219">
        <f>$E$4*M$6*Assum!M195</f>
        <v>0</v>
      </c>
      <c r="N27" s="219">
        <f>$E$4*N$6*Assum!N195</f>
        <v>0</v>
      </c>
      <c r="O27" s="219">
        <f>$E$4*O$6*Assum!O195</f>
        <v>0</v>
      </c>
      <c r="P27" s="219">
        <f>$E$4*P$6*Assum!P195</f>
        <v>0</v>
      </c>
      <c r="Q27" s="219">
        <f>$E$4*Q$6*Assum!Q195</f>
        <v>0</v>
      </c>
      <c r="R27" s="219">
        <f>$E$4*R$6*Assum!R195</f>
        <v>0</v>
      </c>
      <c r="S27" s="219">
        <f>$E$4*S$6*Assum!S195</f>
        <v>0</v>
      </c>
      <c r="T27" s="219">
        <f>$E$4*T$6*Assum!T195</f>
        <v>0</v>
      </c>
      <c r="U27" s="219">
        <f>$E$4*U$6*Assum!U195</f>
        <v>0</v>
      </c>
      <c r="V27" s="219">
        <f>$E$4*V$6*Assum!V195</f>
        <v>0</v>
      </c>
      <c r="W27" s="219">
        <f>$E$4*W$6*Assum!W195</f>
        <v>0</v>
      </c>
      <c r="X27" s="219">
        <f>$E$4*X$6*Assum!X195</f>
        <v>0</v>
      </c>
      <c r="Y27" s="219">
        <f>$E$4*Y$6*Assum!Y195</f>
        <v>0</v>
      </c>
      <c r="Z27" s="219">
        <f>$E$4*Z$6*Assum!Z195</f>
        <v>0</v>
      </c>
      <c r="AA27" s="219">
        <f>$E$4*AA$6*Assum!AA195</f>
        <v>0</v>
      </c>
      <c r="AB27" s="219">
        <f>$E$4*AB$6*Assum!AB195</f>
        <v>0</v>
      </c>
      <c r="AC27" s="219">
        <f>$E$4*AC$6*Assum!AC195</f>
        <v>0</v>
      </c>
      <c r="AD27" s="219">
        <f>$E$4*AD$6*Assum!AD195</f>
        <v>0</v>
      </c>
      <c r="AE27" s="219">
        <f>$E$4*AE$6*Assum!AE195</f>
        <v>0</v>
      </c>
      <c r="AF27" s="219">
        <f>$E$4*AF$6*Assum!AF195</f>
        <v>0</v>
      </c>
      <c r="AG27" s="219">
        <f>$E$4*AG$6*Assum!AG195</f>
        <v>0</v>
      </c>
      <c r="AH27" s="219">
        <f>$E$4*AH$6*Assum!AH195</f>
        <v>0</v>
      </c>
      <c r="AI27" s="219">
        <f>$E$4*AI$6*Assum!AI195</f>
        <v>0</v>
      </c>
      <c r="AJ27" s="176"/>
      <c r="AK27" s="176"/>
      <c r="AL27" s="176"/>
      <c r="AM27" s="176"/>
      <c r="AN27" s="176"/>
      <c r="AO27" s="176"/>
      <c r="AP27" s="176"/>
      <c r="AQ27" s="184"/>
      <c r="AR27" s="184"/>
      <c r="AS27" s="184"/>
      <c r="AT27" s="184"/>
      <c r="AU27" s="184"/>
      <c r="AV27" s="184"/>
      <c r="AW27" s="184"/>
      <c r="AX27" s="184"/>
      <c r="AY27" s="184"/>
      <c r="AZ27" s="184"/>
      <c r="BA27" s="184"/>
      <c r="BB27" s="184"/>
      <c r="BC27" s="184"/>
      <c r="BD27" s="184"/>
      <c r="BE27" s="184"/>
      <c r="BF27" s="184"/>
      <c r="BG27" s="184"/>
      <c r="BH27" s="184"/>
      <c r="BI27" s="184"/>
      <c r="BJ27" s="184"/>
      <c r="BK27" s="184"/>
      <c r="BL27" s="184"/>
      <c r="BM27" s="184"/>
      <c r="BN27" s="184"/>
      <c r="BO27" s="184"/>
      <c r="BP27" s="184"/>
      <c r="BQ27" s="184"/>
      <c r="BR27" s="184"/>
      <c r="BS27" s="184"/>
      <c r="BT27" s="184"/>
      <c r="BU27" s="184"/>
      <c r="BV27" s="184"/>
      <c r="BW27" s="184"/>
      <c r="BX27" s="184"/>
      <c r="BY27" s="184"/>
      <c r="BZ27" s="184"/>
      <c r="CA27" s="184"/>
      <c r="CB27" s="184"/>
      <c r="CC27" s="184"/>
      <c r="CD27" s="184"/>
      <c r="CE27" s="184"/>
      <c r="CF27" s="184"/>
      <c r="CG27" s="184"/>
      <c r="CH27" s="184"/>
      <c r="CI27" s="184"/>
      <c r="CJ27" s="184"/>
      <c r="CK27" s="184"/>
      <c r="CL27" s="184"/>
      <c r="CM27" s="184"/>
      <c r="CN27" s="184"/>
      <c r="CO27" s="184"/>
      <c r="CP27" s="184"/>
      <c r="CQ27" s="184"/>
      <c r="CR27" s="184"/>
      <c r="CS27" s="184"/>
      <c r="CT27" s="184"/>
      <c r="CU27" s="184"/>
      <c r="CV27" s="184"/>
      <c r="CW27" s="184"/>
      <c r="CX27" s="184"/>
      <c r="CY27" s="184"/>
      <c r="CZ27" s="184"/>
      <c r="DA27" s="184"/>
      <c r="DB27" s="184"/>
      <c r="DC27" s="184"/>
      <c r="DD27" s="184"/>
      <c r="DE27" s="184"/>
      <c r="DF27" s="184"/>
      <c r="DG27" s="184"/>
      <c r="DH27" s="184"/>
      <c r="DI27" s="184"/>
      <c r="DJ27" s="184"/>
      <c r="DK27" s="184"/>
      <c r="DL27" s="184"/>
      <c r="DM27" s="184"/>
      <c r="DN27" s="184"/>
      <c r="DO27" s="184"/>
      <c r="DP27" s="184"/>
      <c r="DQ27" s="184"/>
      <c r="DR27" s="184"/>
      <c r="DS27" s="184"/>
      <c r="DT27" s="184"/>
      <c r="DU27" s="184"/>
      <c r="DV27" s="184"/>
      <c r="DW27" s="184"/>
      <c r="DX27" s="184"/>
      <c r="DY27" s="184"/>
      <c r="DZ27" s="184"/>
      <c r="EA27" s="184"/>
      <c r="EB27" s="184"/>
      <c r="EC27" s="184"/>
      <c r="ED27" s="184"/>
      <c r="EE27" s="184"/>
      <c r="EF27" s="184"/>
      <c r="EG27" s="184"/>
      <c r="EH27" s="184"/>
      <c r="EI27" s="184"/>
      <c r="EJ27" s="184"/>
      <c r="EK27" s="184"/>
      <c r="EL27" s="184"/>
      <c r="EM27" s="184"/>
      <c r="EN27" s="184"/>
      <c r="EO27" s="184"/>
      <c r="EP27" s="184"/>
      <c r="EQ27" s="184"/>
      <c r="ER27" s="184"/>
      <c r="ES27" s="184"/>
      <c r="ET27" s="184"/>
      <c r="EU27" s="184"/>
      <c r="EV27" s="184"/>
      <c r="EW27" s="184"/>
    </row>
    <row r="28" spans="1:153" s="895" customFormat="1">
      <c r="A28" s="319"/>
      <c r="B28" s="904" t="s">
        <v>188</v>
      </c>
      <c r="C28" s="903"/>
      <c r="D28" s="903"/>
      <c r="E28" s="904">
        <f>SUM(E15:E27)</f>
        <v>1697.5024939418195</v>
      </c>
      <c r="F28" s="904">
        <f t="shared" ref="F28:AI28" si="4">SUM(F15:F27)</f>
        <v>3592.8375606949194</v>
      </c>
      <c r="G28" s="904">
        <f t="shared" si="4"/>
        <v>3615.9190289057965</v>
      </c>
      <c r="H28" s="904">
        <f t="shared" si="4"/>
        <v>3629.8227255890542</v>
      </c>
      <c r="I28" s="904">
        <f t="shared" si="4"/>
        <v>3635.9504562682837</v>
      </c>
      <c r="J28" s="904">
        <f t="shared" si="4"/>
        <v>4444.6828730269772</v>
      </c>
      <c r="K28" s="904">
        <f t="shared" si="4"/>
        <v>4848.2721589706352</v>
      </c>
      <c r="L28" s="904">
        <f t="shared" si="4"/>
        <v>4827.6584524113023</v>
      </c>
      <c r="M28" s="904">
        <f t="shared" si="4"/>
        <v>4806.6038942116256</v>
      </c>
      <c r="N28" s="904">
        <f t="shared" si="4"/>
        <v>4709.0323768563849</v>
      </c>
      <c r="O28" s="904">
        <f t="shared" si="4"/>
        <v>4597.7609473747025</v>
      </c>
      <c r="P28" s="904">
        <f t="shared" si="4"/>
        <v>4475.0892878550167</v>
      </c>
      <c r="Q28" s="904">
        <f t="shared" si="4"/>
        <v>4340.5175745509514</v>
      </c>
      <c r="R28" s="904">
        <f t="shared" si="4"/>
        <v>4424.0148789462755</v>
      </c>
      <c r="S28" s="904">
        <f t="shared" si="4"/>
        <v>4522.5895204173039</v>
      </c>
      <c r="T28" s="904">
        <f t="shared" si="4"/>
        <v>4731.3164960039257</v>
      </c>
      <c r="U28" s="904">
        <f t="shared" si="4"/>
        <v>4796.1805084435027</v>
      </c>
      <c r="V28" s="904">
        <f t="shared" si="4"/>
        <v>4862.5861888549571</v>
      </c>
      <c r="W28" s="904">
        <f t="shared" si="4"/>
        <v>4813.4819550932334</v>
      </c>
      <c r="X28" s="904">
        <f t="shared" si="4"/>
        <v>4880.1554790794326</v>
      </c>
      <c r="Y28" s="904">
        <f t="shared" si="4"/>
        <v>12.629538129187866</v>
      </c>
      <c r="Z28" s="904">
        <f t="shared" si="4"/>
        <v>0</v>
      </c>
      <c r="AA28" s="904">
        <f t="shared" si="4"/>
        <v>0</v>
      </c>
      <c r="AB28" s="904">
        <f t="shared" si="4"/>
        <v>0</v>
      </c>
      <c r="AC28" s="904">
        <f t="shared" si="4"/>
        <v>0</v>
      </c>
      <c r="AD28" s="904">
        <f t="shared" si="4"/>
        <v>0</v>
      </c>
      <c r="AE28" s="904">
        <f t="shared" si="4"/>
        <v>0</v>
      </c>
      <c r="AF28" s="904">
        <f t="shared" si="4"/>
        <v>0</v>
      </c>
      <c r="AG28" s="904">
        <f t="shared" si="4"/>
        <v>0</v>
      </c>
      <c r="AH28" s="904">
        <f t="shared" si="4"/>
        <v>0</v>
      </c>
      <c r="AI28" s="904">
        <f t="shared" si="4"/>
        <v>0</v>
      </c>
      <c r="AJ28" s="352"/>
      <c r="AK28" s="352"/>
      <c r="AL28" s="352"/>
      <c r="AM28" s="352"/>
      <c r="AN28" s="352"/>
      <c r="AO28" s="352"/>
      <c r="AP28" s="352"/>
      <c r="AQ28" s="352"/>
      <c r="AR28" s="352"/>
      <c r="AS28" s="352"/>
      <c r="AT28" s="352"/>
      <c r="AU28" s="352"/>
      <c r="AV28" s="352"/>
      <c r="AW28" s="352"/>
      <c r="AX28" s="352"/>
      <c r="AY28" s="352"/>
      <c r="AZ28" s="352"/>
      <c r="BA28" s="352"/>
      <c r="BB28" s="352"/>
      <c r="BC28" s="352"/>
      <c r="BD28" s="352"/>
      <c r="BE28" s="352"/>
      <c r="BF28" s="352"/>
      <c r="BG28" s="352"/>
      <c r="BH28" s="352"/>
      <c r="BI28" s="352"/>
      <c r="BJ28" s="352"/>
      <c r="BK28" s="352"/>
      <c r="BL28" s="352"/>
      <c r="BM28" s="352"/>
      <c r="BN28" s="352"/>
      <c r="BO28" s="352"/>
      <c r="BP28" s="352"/>
      <c r="BQ28" s="352"/>
      <c r="BR28" s="352"/>
      <c r="BS28" s="352"/>
      <c r="BT28" s="352"/>
      <c r="BU28" s="352"/>
      <c r="BV28" s="352"/>
      <c r="BW28" s="352"/>
      <c r="BX28" s="352"/>
      <c r="BY28" s="352"/>
      <c r="BZ28" s="352"/>
      <c r="CA28" s="352"/>
      <c r="CB28" s="352"/>
      <c r="CC28" s="352"/>
      <c r="CD28" s="352"/>
      <c r="CE28" s="352"/>
      <c r="CF28" s="352"/>
      <c r="CG28" s="352"/>
      <c r="CH28" s="352"/>
      <c r="CI28" s="352"/>
      <c r="CJ28" s="352"/>
      <c r="CK28" s="352"/>
      <c r="CL28" s="352"/>
      <c r="CM28" s="352"/>
      <c r="CN28" s="352"/>
      <c r="CO28" s="352"/>
      <c r="CP28" s="352"/>
      <c r="CQ28" s="352"/>
      <c r="CR28" s="352"/>
      <c r="CS28" s="352"/>
      <c r="CT28" s="352"/>
      <c r="CU28" s="352"/>
      <c r="CV28" s="352"/>
      <c r="CW28" s="352"/>
      <c r="CX28" s="352"/>
      <c r="CY28" s="352"/>
      <c r="CZ28" s="352"/>
      <c r="DA28" s="352"/>
      <c r="DB28" s="352"/>
      <c r="DC28" s="352"/>
      <c r="DD28" s="352"/>
      <c r="DE28" s="352"/>
      <c r="DF28" s="352"/>
      <c r="DG28" s="352"/>
      <c r="DH28" s="352"/>
      <c r="DI28" s="352"/>
      <c r="DJ28" s="352"/>
      <c r="DK28" s="352"/>
      <c r="DL28" s="352"/>
      <c r="DM28" s="352"/>
      <c r="DN28" s="352"/>
      <c r="DO28" s="352"/>
      <c r="DP28" s="352"/>
      <c r="DQ28" s="352"/>
      <c r="DR28" s="352"/>
      <c r="DS28" s="352"/>
      <c r="DT28" s="352"/>
      <c r="DU28" s="352"/>
      <c r="DV28" s="352"/>
      <c r="DW28" s="352"/>
      <c r="DX28" s="352"/>
      <c r="DY28" s="352"/>
      <c r="DZ28" s="352"/>
      <c r="EA28" s="352"/>
      <c r="EB28" s="352"/>
      <c r="EC28" s="352"/>
      <c r="ED28" s="352"/>
      <c r="EE28" s="352"/>
      <c r="EF28" s="352"/>
      <c r="EG28" s="352"/>
      <c r="EH28" s="352"/>
      <c r="EI28" s="352"/>
      <c r="EJ28" s="352"/>
      <c r="EK28" s="352"/>
      <c r="EL28" s="352"/>
      <c r="EM28" s="352"/>
      <c r="EN28" s="352"/>
      <c r="EO28" s="352"/>
      <c r="EP28" s="352"/>
      <c r="EQ28" s="352"/>
      <c r="ER28" s="352"/>
      <c r="ES28" s="352"/>
      <c r="ET28" s="352"/>
      <c r="EU28" s="352"/>
      <c r="EV28" s="352"/>
      <c r="EW28" s="352"/>
    </row>
    <row r="29" spans="1:153" ht="13.5" thickBot="1">
      <c r="B29" s="892" t="str">
        <f>Assum!B196</f>
        <v>EPC WARRANTY PAYMENT</v>
      </c>
      <c r="C29" s="490"/>
      <c r="D29" s="490"/>
      <c r="E29" s="892">
        <f>$E$4*E$6*Assum!E196*Assum!$D$179</f>
        <v>1286.4166666666667</v>
      </c>
      <c r="F29" s="892">
        <f>$E$4*F$6*Assum!F196*Assum!$D$179</f>
        <v>1204</v>
      </c>
      <c r="G29" s="892">
        <f>$E$4*G$6*Assum!G196*Assum!$D$179</f>
        <v>1118</v>
      </c>
      <c r="H29" s="892">
        <f>$E$4*H$6*Assum!H196*Assum!$D$179</f>
        <v>1118</v>
      </c>
      <c r="I29" s="892">
        <f>$E$4*I$6*Assum!I196*Assum!$D$179</f>
        <v>1118</v>
      </c>
      <c r="J29" s="892">
        <f>$E$4*J$6*Assum!J196*Assum!$D$179</f>
        <v>0</v>
      </c>
      <c r="K29" s="892">
        <f>$E$4*K$6*Assum!K196*Assum!$D$179</f>
        <v>0</v>
      </c>
      <c r="L29" s="892">
        <f>$E$4*L$6*Assum!L196*Assum!$D$179</f>
        <v>0</v>
      </c>
      <c r="M29" s="892">
        <f>$E$4*M$6*Assum!M196*Assum!$D$179</f>
        <v>0</v>
      </c>
      <c r="N29" s="892">
        <f>$E$4*N$6*Assum!N196*Assum!$D$179</f>
        <v>0</v>
      </c>
      <c r="O29" s="892">
        <f>$E$4*O$6*Assum!O196*Assum!$D$179</f>
        <v>0</v>
      </c>
      <c r="P29" s="892">
        <f>$E$4*P$6*Assum!P196*Assum!$D$179</f>
        <v>0</v>
      </c>
      <c r="Q29" s="892">
        <f>$E$4*Q$6*Assum!Q196*Assum!$D$179</f>
        <v>0</v>
      </c>
      <c r="R29" s="892">
        <f>$E$4*R$6*Assum!R196*Assum!$D$179</f>
        <v>0</v>
      </c>
      <c r="S29" s="892">
        <f>$E$4*S$6*Assum!S196*Assum!$D$179</f>
        <v>0</v>
      </c>
      <c r="T29" s="892">
        <f>$E$4*T$6*Assum!T196*Assum!$D$179</f>
        <v>0</v>
      </c>
      <c r="U29" s="892">
        <f>$E$4*U$6*Assum!U196*Assum!$D$179</f>
        <v>0</v>
      </c>
      <c r="V29" s="892">
        <f>$E$4*V$6*Assum!V196*Assum!$D$179</f>
        <v>0</v>
      </c>
      <c r="W29" s="892">
        <f>$E$4*W$6*Assum!W196*Assum!$D$179</f>
        <v>0</v>
      </c>
      <c r="X29" s="892">
        <f>$E$4*X$6*Assum!X196*Assum!$D$179</f>
        <v>0</v>
      </c>
      <c r="Y29" s="892">
        <f>$E$4*Y$6*Assum!Y196*Assum!$D$179</f>
        <v>0</v>
      </c>
      <c r="Z29" s="892">
        <f>$E$4*Z$6*Assum!Z196*Assum!$D$179</f>
        <v>0</v>
      </c>
      <c r="AA29" s="892">
        <f>$E$4*AA$6*Assum!AA196*Assum!$D$179</f>
        <v>0</v>
      </c>
      <c r="AB29" s="892">
        <f>$E$4*AB$6*Assum!AB196*Assum!$D$179</f>
        <v>0</v>
      </c>
      <c r="AC29" s="892">
        <f>$E$4*AC$6*Assum!AC196*Assum!$D$179</f>
        <v>0</v>
      </c>
      <c r="AD29" s="892">
        <f>$E$4*AD$6*Assum!AD196*Assum!$D$179</f>
        <v>0</v>
      </c>
      <c r="AE29" s="892">
        <f>$E$4*AE$6*Assum!AE196*Assum!$D$179</f>
        <v>0</v>
      </c>
      <c r="AF29" s="892">
        <f>$E$4*AF$6*Assum!AF196*Assum!$D$179</f>
        <v>0</v>
      </c>
      <c r="AG29" s="892">
        <f>$E$4*AG$6*Assum!AG196*Assum!$D$179</f>
        <v>0</v>
      </c>
      <c r="AH29" s="892">
        <f>$E$4*AH$6*Assum!AH196*Assum!$D$179</f>
        <v>0</v>
      </c>
      <c r="AI29" s="892">
        <f>$E$4*AI$6*Assum!AI196*Assum!$D$179</f>
        <v>0</v>
      </c>
      <c r="AJ29" s="184"/>
      <c r="AK29" s="184"/>
      <c r="AL29" s="184"/>
      <c r="AM29" s="184"/>
      <c r="AN29" s="184"/>
      <c r="AO29" s="184"/>
      <c r="AP29" s="184"/>
      <c r="AQ29" s="184"/>
      <c r="AR29" s="184"/>
      <c r="AS29" s="184"/>
      <c r="AT29" s="184"/>
      <c r="AU29" s="184"/>
      <c r="AV29" s="184"/>
      <c r="AW29" s="184"/>
      <c r="AX29" s="184"/>
      <c r="AY29" s="184"/>
      <c r="AZ29" s="184"/>
      <c r="BA29" s="184"/>
      <c r="BB29" s="184"/>
      <c r="BC29" s="184"/>
      <c r="BD29" s="184"/>
      <c r="BE29" s="184"/>
      <c r="BF29" s="184"/>
      <c r="BG29" s="184"/>
      <c r="BH29" s="184"/>
      <c r="BI29" s="184"/>
      <c r="BJ29" s="184"/>
      <c r="BK29" s="184"/>
      <c r="BL29" s="184"/>
      <c r="BM29" s="184"/>
      <c r="BN29" s="184"/>
      <c r="BO29" s="184"/>
      <c r="BP29" s="184"/>
      <c r="BQ29" s="184"/>
      <c r="BR29" s="184"/>
      <c r="BS29" s="184"/>
      <c r="BT29" s="184"/>
      <c r="BU29" s="184"/>
      <c r="BV29" s="184"/>
      <c r="BW29" s="184"/>
      <c r="BX29" s="184"/>
      <c r="BY29" s="184"/>
      <c r="BZ29" s="184"/>
      <c r="CA29" s="184"/>
      <c r="CB29" s="184"/>
      <c r="CC29" s="184"/>
      <c r="CD29" s="184"/>
      <c r="CE29" s="184"/>
      <c r="CF29" s="184"/>
      <c r="CG29" s="184"/>
      <c r="CH29" s="184"/>
      <c r="CI29" s="184"/>
      <c r="CJ29" s="184"/>
      <c r="CK29" s="184"/>
      <c r="CL29" s="184"/>
      <c r="CM29" s="184"/>
      <c r="CN29" s="184"/>
      <c r="CO29" s="184"/>
      <c r="CP29" s="184"/>
      <c r="CQ29" s="184"/>
      <c r="CR29" s="184"/>
      <c r="CS29" s="184"/>
      <c r="CT29" s="184"/>
      <c r="CU29" s="184"/>
      <c r="CV29" s="184"/>
      <c r="CW29" s="184"/>
      <c r="CX29" s="184"/>
      <c r="CY29" s="184"/>
      <c r="CZ29" s="184"/>
      <c r="DA29" s="184"/>
      <c r="DB29" s="184"/>
      <c r="DC29" s="184"/>
      <c r="DD29" s="184"/>
      <c r="DE29" s="184"/>
      <c r="DF29" s="184"/>
      <c r="DG29" s="184"/>
      <c r="DH29" s="184"/>
      <c r="DI29" s="184"/>
      <c r="DJ29" s="184"/>
      <c r="DK29" s="184"/>
      <c r="DL29" s="184"/>
      <c r="DM29" s="184"/>
      <c r="DN29" s="184"/>
      <c r="DO29" s="184"/>
      <c r="DP29" s="184"/>
      <c r="DQ29" s="184"/>
      <c r="DR29" s="184"/>
      <c r="DS29" s="184"/>
      <c r="DT29" s="184"/>
      <c r="DU29" s="184"/>
      <c r="DV29" s="184"/>
      <c r="DW29" s="184"/>
      <c r="DX29" s="184"/>
      <c r="DY29" s="184"/>
      <c r="DZ29" s="184"/>
      <c r="EA29" s="184"/>
      <c r="EB29" s="184"/>
      <c r="EC29" s="184"/>
      <c r="ED29" s="184"/>
      <c r="EE29" s="184"/>
      <c r="EF29" s="184"/>
      <c r="EG29" s="184"/>
      <c r="EH29" s="184"/>
      <c r="EI29" s="184"/>
      <c r="EJ29" s="184"/>
      <c r="EK29" s="184"/>
      <c r="EL29" s="184"/>
      <c r="EM29" s="184"/>
      <c r="EN29" s="184"/>
      <c r="EO29" s="184"/>
      <c r="EP29" s="184"/>
      <c r="EQ29" s="184"/>
      <c r="ER29" s="184"/>
      <c r="ES29" s="184"/>
      <c r="ET29" s="184"/>
      <c r="EU29" s="184"/>
      <c r="EV29" s="184"/>
      <c r="EW29" s="184"/>
    </row>
    <row r="30" spans="1:153" s="442" customFormat="1" ht="13.5" thickTop="1">
      <c r="A30" s="319"/>
      <c r="B30" s="440" t="s">
        <v>285</v>
      </c>
      <c r="C30" s="59"/>
      <c r="D30" s="59"/>
      <c r="E30" s="440">
        <f t="shared" ref="E30:AI30" si="5">E13-E28-E29</f>
        <v>8006.1828418915129</v>
      </c>
      <c r="F30" s="440">
        <f t="shared" si="5"/>
        <v>6223.8775393050801</v>
      </c>
      <c r="G30" s="440">
        <f t="shared" si="5"/>
        <v>6286.7960710942025</v>
      </c>
      <c r="H30" s="440">
        <f t="shared" si="5"/>
        <v>6272.8923744109452</v>
      </c>
      <c r="I30" s="440">
        <f t="shared" si="5"/>
        <v>6266.7646437317162</v>
      </c>
      <c r="J30" s="440">
        <f t="shared" si="5"/>
        <v>6576.0322269730223</v>
      </c>
      <c r="K30" s="440">
        <f t="shared" si="5"/>
        <v>6172.4429410293642</v>
      </c>
      <c r="L30" s="440">
        <f t="shared" si="5"/>
        <v>6193.0566475886972</v>
      </c>
      <c r="M30" s="440">
        <f t="shared" si="5"/>
        <v>6214.1112057883738</v>
      </c>
      <c r="N30" s="440">
        <f t="shared" si="5"/>
        <v>6311.6827231436146</v>
      </c>
      <c r="O30" s="440">
        <f t="shared" si="5"/>
        <v>6422.954152625297</v>
      </c>
      <c r="P30" s="440">
        <f t="shared" si="5"/>
        <v>6545.6258121449828</v>
      </c>
      <c r="Q30" s="440">
        <f t="shared" si="5"/>
        <v>6680.197525449048</v>
      </c>
      <c r="R30" s="440">
        <f t="shared" si="5"/>
        <v>6596.7002210537239</v>
      </c>
      <c r="S30" s="440">
        <f t="shared" si="5"/>
        <v>6498.1255795826955</v>
      </c>
      <c r="T30" s="440">
        <f t="shared" si="5"/>
        <v>6289.3986039960737</v>
      </c>
      <c r="U30" s="440">
        <f t="shared" si="5"/>
        <v>6224.5345915564967</v>
      </c>
      <c r="V30" s="440">
        <f t="shared" si="5"/>
        <v>6158.1289111450424</v>
      </c>
      <c r="W30" s="440">
        <f t="shared" si="5"/>
        <v>6207.233144906766</v>
      </c>
      <c r="X30" s="440">
        <f t="shared" si="5"/>
        <v>6140.5596209205669</v>
      </c>
      <c r="Y30" s="440">
        <f t="shared" si="5"/>
        <v>17.983559370812024</v>
      </c>
      <c r="Z30" s="440">
        <f t="shared" si="5"/>
        <v>0</v>
      </c>
      <c r="AA30" s="440">
        <f t="shared" si="5"/>
        <v>0</v>
      </c>
      <c r="AB30" s="440">
        <f t="shared" si="5"/>
        <v>0</v>
      </c>
      <c r="AC30" s="440">
        <f t="shared" si="5"/>
        <v>0</v>
      </c>
      <c r="AD30" s="440">
        <f t="shared" si="5"/>
        <v>0</v>
      </c>
      <c r="AE30" s="440">
        <f t="shared" si="5"/>
        <v>0</v>
      </c>
      <c r="AF30" s="440">
        <f t="shared" si="5"/>
        <v>0</v>
      </c>
      <c r="AG30" s="440">
        <f t="shared" si="5"/>
        <v>0</v>
      </c>
      <c r="AH30" s="440">
        <f t="shared" si="5"/>
        <v>0</v>
      </c>
      <c r="AI30" s="440">
        <f t="shared" si="5"/>
        <v>0</v>
      </c>
      <c r="AJ30" s="441"/>
      <c r="AK30" s="441"/>
      <c r="AL30" s="441"/>
      <c r="AM30" s="441"/>
      <c r="AN30" s="441"/>
      <c r="AO30" s="441"/>
      <c r="AP30" s="441"/>
      <c r="AQ30" s="441"/>
      <c r="AR30" s="441"/>
      <c r="AS30" s="441"/>
      <c r="AT30" s="441"/>
      <c r="AU30" s="441"/>
      <c r="AV30" s="441"/>
      <c r="AW30" s="441"/>
      <c r="AX30" s="441"/>
      <c r="AY30" s="441"/>
      <c r="AZ30" s="441"/>
      <c r="BA30" s="441"/>
      <c r="BB30" s="441"/>
      <c r="BC30" s="441"/>
      <c r="BD30" s="441"/>
      <c r="BE30" s="441"/>
      <c r="BF30" s="441"/>
      <c r="BG30" s="441"/>
      <c r="BH30" s="441"/>
      <c r="BI30" s="441"/>
      <c r="BJ30" s="441"/>
      <c r="BK30" s="441"/>
      <c r="BL30" s="441"/>
      <c r="BM30" s="441"/>
      <c r="BN30" s="441"/>
      <c r="BO30" s="441"/>
      <c r="BP30" s="441"/>
      <c r="BQ30" s="441"/>
      <c r="BR30" s="441"/>
      <c r="BS30" s="441"/>
      <c r="BT30" s="441"/>
      <c r="BU30" s="441"/>
      <c r="BV30" s="441"/>
      <c r="BW30" s="441"/>
      <c r="BX30" s="441"/>
      <c r="BY30" s="441"/>
      <c r="BZ30" s="441"/>
      <c r="CA30" s="441"/>
      <c r="CB30" s="441"/>
      <c r="CC30" s="441"/>
      <c r="CD30" s="441"/>
      <c r="CE30" s="441"/>
      <c r="CF30" s="441"/>
      <c r="CG30" s="441"/>
      <c r="CH30" s="441"/>
      <c r="CI30" s="441"/>
      <c r="CJ30" s="441"/>
      <c r="CK30" s="441"/>
      <c r="CL30" s="441"/>
      <c r="CM30" s="441"/>
      <c r="CN30" s="441"/>
      <c r="CO30" s="441"/>
      <c r="CP30" s="441"/>
      <c r="CQ30" s="441"/>
      <c r="CR30" s="441"/>
      <c r="CS30" s="441"/>
      <c r="CT30" s="441"/>
      <c r="CU30" s="441"/>
      <c r="CV30" s="441"/>
      <c r="CW30" s="441"/>
      <c r="CX30" s="441"/>
      <c r="CY30" s="441"/>
      <c r="CZ30" s="441"/>
      <c r="DA30" s="441"/>
      <c r="DB30" s="441"/>
      <c r="DC30" s="441"/>
      <c r="DD30" s="441"/>
      <c r="DE30" s="441"/>
      <c r="DF30" s="441"/>
      <c r="DG30" s="441"/>
      <c r="DH30" s="441"/>
      <c r="DI30" s="441"/>
      <c r="DJ30" s="441"/>
      <c r="DK30" s="441"/>
      <c r="DL30" s="441"/>
      <c r="DM30" s="441"/>
      <c r="DN30" s="441"/>
      <c r="DO30" s="441"/>
      <c r="DP30" s="441"/>
      <c r="DQ30" s="441"/>
      <c r="DR30" s="441"/>
      <c r="DS30" s="441"/>
      <c r="DT30" s="441"/>
      <c r="DU30" s="441"/>
      <c r="DV30" s="441"/>
      <c r="DW30" s="441"/>
      <c r="DX30" s="441"/>
      <c r="DY30" s="441"/>
      <c r="DZ30" s="441"/>
      <c r="EA30" s="441"/>
      <c r="EB30" s="441"/>
      <c r="EC30" s="441"/>
      <c r="ED30" s="441"/>
      <c r="EE30" s="441"/>
      <c r="EF30" s="441"/>
      <c r="EG30" s="441"/>
      <c r="EH30" s="441"/>
      <c r="EI30" s="441"/>
      <c r="EJ30" s="441"/>
      <c r="EK30" s="441"/>
      <c r="EL30" s="441"/>
      <c r="EM30" s="441"/>
      <c r="EN30" s="441"/>
      <c r="EO30" s="441"/>
      <c r="EP30" s="441"/>
      <c r="EQ30" s="441"/>
      <c r="ER30" s="441"/>
      <c r="ES30" s="441"/>
      <c r="ET30" s="441"/>
      <c r="EU30" s="441"/>
      <c r="EV30" s="441"/>
      <c r="EW30" s="441"/>
    </row>
    <row r="31" spans="1:153">
      <c r="C31" s="59"/>
      <c r="D31" s="59"/>
      <c r="E31" s="176"/>
      <c r="F31" s="176"/>
      <c r="G31" s="176"/>
      <c r="H31" s="176"/>
      <c r="I31" s="176"/>
      <c r="J31" s="176"/>
      <c r="K31" s="176"/>
      <c r="L31" s="176"/>
      <c r="M31" s="176"/>
      <c r="N31" s="176"/>
      <c r="O31" s="176"/>
      <c r="P31" s="176"/>
      <c r="Q31" s="176"/>
      <c r="R31" s="184"/>
      <c r="S31" s="176"/>
      <c r="T31" s="176"/>
      <c r="U31" s="176"/>
      <c r="V31" s="176"/>
      <c r="W31" s="176"/>
      <c r="X31" s="176"/>
      <c r="Y31" s="176"/>
      <c r="Z31" s="176"/>
      <c r="AA31" s="176"/>
      <c r="AB31" s="176"/>
      <c r="AC31" s="176"/>
      <c r="AD31" s="176"/>
      <c r="AE31" s="176"/>
      <c r="AF31" s="176"/>
      <c r="AG31" s="176"/>
      <c r="AH31" s="176"/>
      <c r="AI31" s="176"/>
      <c r="AJ31" s="184"/>
      <c r="AK31" s="184"/>
      <c r="AL31" s="184"/>
      <c r="AM31" s="184"/>
      <c r="AN31" s="184"/>
      <c r="AO31" s="184"/>
      <c r="AP31" s="184"/>
      <c r="AQ31" s="184"/>
      <c r="AR31" s="184"/>
      <c r="AS31" s="184"/>
      <c r="AT31" s="184"/>
      <c r="AU31" s="184"/>
      <c r="AV31" s="184"/>
      <c r="AW31" s="184"/>
      <c r="AX31" s="184"/>
      <c r="AY31" s="184"/>
      <c r="AZ31" s="184"/>
      <c r="BA31" s="184"/>
      <c r="BB31" s="184"/>
      <c r="BC31" s="184"/>
      <c r="BD31" s="184"/>
      <c r="BE31" s="184"/>
      <c r="BF31" s="184"/>
      <c r="BG31" s="184"/>
      <c r="BH31" s="184"/>
      <c r="BI31" s="184"/>
      <c r="BJ31" s="184"/>
      <c r="BK31" s="184"/>
      <c r="BL31" s="184"/>
      <c r="BM31" s="184"/>
      <c r="BN31" s="184"/>
      <c r="BO31" s="184"/>
      <c r="BP31" s="184"/>
      <c r="BQ31" s="184"/>
      <c r="BR31" s="184"/>
      <c r="BS31" s="184"/>
      <c r="BT31" s="184"/>
      <c r="BU31" s="184"/>
      <c r="BV31" s="184"/>
      <c r="BW31" s="184"/>
      <c r="BX31" s="184"/>
      <c r="BY31" s="184"/>
      <c r="BZ31" s="184"/>
      <c r="CA31" s="184"/>
      <c r="CB31" s="184"/>
      <c r="CC31" s="184"/>
      <c r="CD31" s="184"/>
      <c r="CE31" s="184"/>
      <c r="CF31" s="184"/>
      <c r="CG31" s="184"/>
      <c r="CH31" s="184"/>
      <c r="CI31" s="184"/>
      <c r="CJ31" s="184"/>
      <c r="CK31" s="184"/>
      <c r="CL31" s="184"/>
      <c r="CM31" s="184"/>
      <c r="CN31" s="184"/>
      <c r="CO31" s="184"/>
      <c r="CP31" s="184"/>
      <c r="CQ31" s="184"/>
      <c r="CR31" s="184"/>
      <c r="CS31" s="184"/>
      <c r="CT31" s="184"/>
      <c r="CU31" s="184"/>
      <c r="CV31" s="184"/>
      <c r="CW31" s="184"/>
      <c r="CX31" s="184"/>
      <c r="CY31" s="184"/>
      <c r="CZ31" s="184"/>
      <c r="DA31" s="184"/>
      <c r="DB31" s="184"/>
      <c r="DC31" s="184"/>
      <c r="DD31" s="184"/>
      <c r="DE31" s="184"/>
      <c r="DF31" s="184"/>
      <c r="DG31" s="184"/>
      <c r="DH31" s="184"/>
      <c r="DI31" s="184"/>
      <c r="DJ31" s="184"/>
      <c r="DK31" s="184"/>
      <c r="DL31" s="184"/>
      <c r="DM31" s="184"/>
      <c r="DN31" s="184"/>
      <c r="DO31" s="184"/>
      <c r="DP31" s="184"/>
      <c r="DQ31" s="184"/>
      <c r="DR31" s="184"/>
      <c r="DS31" s="184"/>
      <c r="DT31" s="184"/>
      <c r="DU31" s="184"/>
      <c r="DV31" s="184"/>
      <c r="DW31" s="184"/>
      <c r="DX31" s="184"/>
      <c r="DY31" s="184"/>
      <c r="DZ31" s="184"/>
      <c r="EA31" s="184"/>
      <c r="EB31" s="184"/>
      <c r="EC31" s="184"/>
      <c r="ED31" s="184"/>
      <c r="EE31" s="184"/>
      <c r="EF31" s="184"/>
      <c r="EG31" s="184"/>
      <c r="EH31" s="184"/>
      <c r="EI31" s="184"/>
      <c r="EJ31" s="184"/>
      <c r="EK31" s="184"/>
      <c r="EL31" s="184"/>
      <c r="EM31" s="184"/>
      <c r="EN31" s="184"/>
      <c r="EO31" s="184"/>
      <c r="EP31" s="184"/>
      <c r="EQ31" s="184"/>
      <c r="ER31" s="184"/>
      <c r="ES31" s="184"/>
      <c r="ET31" s="184"/>
      <c r="EU31" s="184"/>
      <c r="EV31" s="184"/>
      <c r="EW31" s="184"/>
    </row>
    <row r="32" spans="1:153">
      <c r="A32" s="917" t="s">
        <v>356</v>
      </c>
      <c r="B32" s="882" t="s">
        <v>761</v>
      </c>
      <c r="C32" s="59"/>
      <c r="D32" s="59"/>
      <c r="E32" s="176">
        <f>SrDebt!E110</f>
        <v>3647.4391780684955</v>
      </c>
      <c r="F32" s="176">
        <f>SrDebt!F110</f>
        <v>3501.7919323124306</v>
      </c>
      <c r="G32" s="176">
        <f>SrDebt!G110</f>
        <v>3421.5036127609756</v>
      </c>
      <c r="H32" s="176">
        <f>SrDebt!H110</f>
        <v>3310.9744499185717</v>
      </c>
      <c r="I32" s="176">
        <f>SrDebt!I110</f>
        <v>3200.6554985769753</v>
      </c>
      <c r="J32" s="176">
        <f>SrDebt!J110</f>
        <v>3075.1139920557252</v>
      </c>
      <c r="K32" s="176">
        <f>SrDebt!K110</f>
        <v>2937.2205048026381</v>
      </c>
      <c r="L32" s="176">
        <f>SrDebt!L110</f>
        <v>2789.4708736427183</v>
      </c>
      <c r="M32" s="176">
        <f>SrDebt!M110</f>
        <v>2634.8656934600317</v>
      </c>
      <c r="N32" s="176">
        <f>SrDebt!N110</f>
        <v>2462.9718859667623</v>
      </c>
      <c r="O32" s="176">
        <f>SrDebt!O110</f>
        <v>2274.6973399833641</v>
      </c>
      <c r="P32" s="176">
        <f>SrDebt!P110</f>
        <v>2047.654411103787</v>
      </c>
      <c r="Q32" s="176">
        <f>SrDebt!Q110</f>
        <v>1807.4866043508746</v>
      </c>
      <c r="R32" s="176">
        <f>SrDebt!R110</f>
        <v>1536.0831557882163</v>
      </c>
      <c r="S32" s="176">
        <f>SrDebt!S110</f>
        <v>1245.272139487553</v>
      </c>
      <c r="T32" s="176">
        <f>SrDebt!T110</f>
        <v>924.13628437959096</v>
      </c>
      <c r="U32" s="176">
        <f>SrDebt!U110</f>
        <v>584.06076804614349</v>
      </c>
      <c r="V32" s="176">
        <f>SrDebt!V110</f>
        <v>211.56733620350326</v>
      </c>
      <c r="W32" s="176">
        <f>SrDebt!W110</f>
        <v>0</v>
      </c>
      <c r="X32" s="176">
        <f>SrDebt!X110</f>
        <v>0</v>
      </c>
      <c r="Y32" s="176">
        <f>SrDebt!Y110</f>
        <v>0</v>
      </c>
      <c r="Z32" s="176">
        <f>SrDebt!Z110</f>
        <v>0</v>
      </c>
      <c r="AA32" s="176">
        <f>SrDebt!AA110</f>
        <v>0</v>
      </c>
      <c r="AB32" s="176">
        <f>SrDebt!AB110</f>
        <v>0</v>
      </c>
      <c r="AC32" s="176">
        <f>SrDebt!AC110</f>
        <v>0</v>
      </c>
      <c r="AD32" s="176">
        <f>SrDebt!AD110</f>
        <v>0</v>
      </c>
      <c r="AE32" s="176">
        <f>SrDebt!AE110</f>
        <v>0</v>
      </c>
      <c r="AF32" s="176">
        <f>SrDebt!AF110</f>
        <v>0</v>
      </c>
      <c r="AG32" s="176">
        <f>SrDebt!AG110</f>
        <v>0</v>
      </c>
      <c r="AH32" s="176">
        <f>SrDebt!AH110</f>
        <v>0</v>
      </c>
      <c r="AI32" s="176">
        <f>SrDebt!AI110</f>
        <v>0</v>
      </c>
      <c r="AJ32" s="184"/>
      <c r="AK32" s="184"/>
      <c r="AL32" s="184"/>
      <c r="AM32" s="184"/>
      <c r="AN32" s="184"/>
      <c r="AO32" s="184"/>
      <c r="AP32" s="184"/>
      <c r="AQ32" s="184"/>
      <c r="AR32" s="184"/>
      <c r="AS32" s="184"/>
      <c r="AT32" s="184"/>
      <c r="AU32" s="184"/>
      <c r="AV32" s="184"/>
      <c r="AW32" s="184"/>
      <c r="AX32" s="184"/>
      <c r="AY32" s="184"/>
      <c r="AZ32" s="184"/>
      <c r="BA32" s="184"/>
      <c r="BB32" s="184"/>
      <c r="BC32" s="184"/>
      <c r="BD32" s="184"/>
      <c r="BE32" s="184"/>
      <c r="BF32" s="184"/>
      <c r="BG32" s="184"/>
      <c r="BH32" s="184"/>
      <c r="BI32" s="184"/>
      <c r="BJ32" s="184"/>
      <c r="BK32" s="184"/>
      <c r="BL32" s="184"/>
      <c r="BM32" s="184"/>
      <c r="BN32" s="184"/>
      <c r="BO32" s="184"/>
      <c r="BP32" s="184"/>
      <c r="BQ32" s="184"/>
      <c r="BR32" s="184"/>
      <c r="BS32" s="184"/>
      <c r="BT32" s="184"/>
      <c r="BU32" s="184"/>
      <c r="BV32" s="184"/>
      <c r="BW32" s="184"/>
      <c r="BX32" s="184"/>
      <c r="BY32" s="184"/>
      <c r="BZ32" s="184"/>
      <c r="CA32" s="184"/>
      <c r="CB32" s="184"/>
      <c r="CC32" s="184"/>
      <c r="CD32" s="184"/>
      <c r="CE32" s="184"/>
      <c r="CF32" s="184"/>
      <c r="CG32" s="184"/>
      <c r="CH32" s="184"/>
      <c r="CI32" s="184"/>
      <c r="CJ32" s="184"/>
      <c r="CK32" s="184"/>
      <c r="CL32" s="184"/>
      <c r="CM32" s="184"/>
      <c r="CN32" s="184"/>
      <c r="CO32" s="184"/>
      <c r="CP32" s="184"/>
      <c r="CQ32" s="184"/>
      <c r="CR32" s="184"/>
      <c r="CS32" s="184"/>
      <c r="CT32" s="184"/>
      <c r="CU32" s="184"/>
      <c r="CV32" s="184"/>
      <c r="CW32" s="184"/>
      <c r="CX32" s="184"/>
      <c r="CY32" s="184"/>
      <c r="CZ32" s="184"/>
      <c r="DA32" s="184"/>
      <c r="DB32" s="184"/>
      <c r="DC32" s="184"/>
      <c r="DD32" s="184"/>
      <c r="DE32" s="184"/>
      <c r="DF32" s="184"/>
      <c r="DG32" s="184"/>
      <c r="DH32" s="184"/>
      <c r="DI32" s="184"/>
      <c r="DJ32" s="184"/>
      <c r="DK32" s="184"/>
      <c r="DL32" s="184"/>
      <c r="DM32" s="184"/>
      <c r="DN32" s="184"/>
      <c r="DO32" s="184"/>
      <c r="DP32" s="184"/>
      <c r="DQ32" s="184"/>
      <c r="DR32" s="184"/>
      <c r="DS32" s="184"/>
      <c r="DT32" s="184"/>
      <c r="DU32" s="184"/>
      <c r="DV32" s="184"/>
      <c r="DW32" s="184"/>
      <c r="DX32" s="184"/>
      <c r="DY32" s="184"/>
      <c r="DZ32" s="184"/>
      <c r="EA32" s="184"/>
      <c r="EB32" s="184"/>
      <c r="EC32" s="184"/>
      <c r="ED32" s="184"/>
      <c r="EE32" s="184"/>
      <c r="EF32" s="184"/>
      <c r="EG32" s="184"/>
      <c r="EH32" s="184"/>
      <c r="EI32" s="184"/>
      <c r="EJ32" s="184"/>
      <c r="EK32" s="184"/>
      <c r="EL32" s="184"/>
      <c r="EM32" s="184"/>
      <c r="EN32" s="184"/>
      <c r="EO32" s="184"/>
      <c r="EP32" s="184"/>
      <c r="EQ32" s="184"/>
      <c r="ER32" s="184"/>
      <c r="ES32" s="184"/>
      <c r="ET32" s="184"/>
      <c r="EU32" s="184"/>
      <c r="EV32" s="184"/>
      <c r="EW32" s="184"/>
    </row>
    <row r="33" spans="1:153">
      <c r="B33" s="882" t="s">
        <v>764</v>
      </c>
      <c r="C33" s="59"/>
      <c r="D33" s="59"/>
      <c r="E33" s="176">
        <f>SrDebt!E111</f>
        <v>2083.6118152256513</v>
      </c>
      <c r="F33" s="176">
        <f>SrDebt!F111</f>
        <v>943.95971983363711</v>
      </c>
      <c r="G33" s="176">
        <f>SrDebt!G111</f>
        <v>1069.0374227494012</v>
      </c>
      <c r="H33" s="176">
        <f>SrDebt!H111</f>
        <v>1169.6508021791685</v>
      </c>
      <c r="I33" s="176">
        <f>SrDebt!I111</f>
        <v>1276.2185873886185</v>
      </c>
      <c r="J33" s="176">
        <f>SrDebt!J111</f>
        <v>1621.2511119608309</v>
      </c>
      <c r="K33" s="176">
        <f>SrDebt!K111</f>
        <v>1471.708210429764</v>
      </c>
      <c r="L33" s="176">
        <f>SrDebt!L111</f>
        <v>1634.1827924091283</v>
      </c>
      <c r="M33" s="176">
        <f>SrDebt!M111</f>
        <v>1803.9787620978454</v>
      </c>
      <c r="N33" s="176">
        <f>SrDebt!N111</f>
        <v>2045.593692924474</v>
      </c>
      <c r="O33" s="176">
        <f>SrDebt!O111</f>
        <v>2313.3704508988321</v>
      </c>
      <c r="P33" s="176">
        <f>SrDebt!P111</f>
        <v>2628.0596049388673</v>
      </c>
      <c r="Q33" s="176">
        <f>SrDebt!Q111</f>
        <v>2963.9173874294074</v>
      </c>
      <c r="R33" s="176">
        <f>SrDebt!R111</f>
        <v>3175.6499889297793</v>
      </c>
      <c r="S33" s="176">
        <f>SrDebt!S111</f>
        <v>3395.831990818368</v>
      </c>
      <c r="T33" s="176">
        <f>SrDebt!T111</f>
        <v>3568.1625914659394</v>
      </c>
      <c r="U33" s="176">
        <f>SrDebt!U111</f>
        <v>3861.9036114775226</v>
      </c>
      <c r="V33" s="176">
        <f>SrDebt!V111</f>
        <v>3245.2653228399968</v>
      </c>
      <c r="W33" s="176">
        <f>SrDebt!W111</f>
        <v>0</v>
      </c>
      <c r="X33" s="176">
        <f>SrDebt!X111</f>
        <v>0</v>
      </c>
      <c r="Y33" s="176">
        <f>SrDebt!Y111</f>
        <v>0</v>
      </c>
      <c r="Z33" s="176">
        <f>SrDebt!Z111</f>
        <v>0</v>
      </c>
      <c r="AA33" s="176">
        <f>SrDebt!AA111</f>
        <v>0</v>
      </c>
      <c r="AB33" s="176">
        <f>SrDebt!AB111</f>
        <v>0</v>
      </c>
      <c r="AC33" s="176">
        <f>SrDebt!AC111</f>
        <v>0</v>
      </c>
      <c r="AD33" s="176">
        <f>SrDebt!AD111</f>
        <v>0</v>
      </c>
      <c r="AE33" s="176">
        <f>SrDebt!AE111</f>
        <v>0</v>
      </c>
      <c r="AF33" s="176">
        <f>SrDebt!AF111</f>
        <v>0</v>
      </c>
      <c r="AG33" s="176">
        <f>SrDebt!AG111</f>
        <v>0</v>
      </c>
      <c r="AH33" s="176">
        <f>SrDebt!AH111</f>
        <v>0</v>
      </c>
      <c r="AI33" s="176">
        <f>SrDebt!AI111</f>
        <v>0</v>
      </c>
      <c r="AJ33" s="184"/>
      <c r="AK33" s="184"/>
      <c r="AL33" s="184"/>
      <c r="AM33" s="184"/>
      <c r="AN33" s="184"/>
      <c r="AO33" s="184"/>
      <c r="AP33" s="184"/>
      <c r="AQ33" s="184"/>
      <c r="AR33" s="184"/>
      <c r="AS33" s="184"/>
      <c r="AT33" s="184"/>
      <c r="AU33" s="184"/>
      <c r="AV33" s="184"/>
      <c r="AW33" s="184"/>
      <c r="AX33" s="184"/>
      <c r="AY33" s="184"/>
      <c r="AZ33" s="184"/>
      <c r="BA33" s="184"/>
      <c r="BB33" s="184"/>
      <c r="BC33" s="184"/>
      <c r="BD33" s="184"/>
      <c r="BE33" s="184"/>
      <c r="BF33" s="184"/>
      <c r="BG33" s="184"/>
      <c r="BH33" s="184"/>
      <c r="BI33" s="184"/>
      <c r="BJ33" s="184"/>
      <c r="BK33" s="184"/>
      <c r="BL33" s="184"/>
      <c r="BM33" s="184"/>
      <c r="BN33" s="184"/>
      <c r="BO33" s="184"/>
      <c r="BP33" s="184"/>
      <c r="BQ33" s="184"/>
      <c r="BR33" s="184"/>
      <c r="BS33" s="184"/>
      <c r="BT33" s="184"/>
      <c r="BU33" s="184"/>
      <c r="BV33" s="184"/>
      <c r="BW33" s="184"/>
      <c r="BX33" s="184"/>
      <c r="BY33" s="184"/>
      <c r="BZ33" s="184"/>
      <c r="CA33" s="184"/>
      <c r="CB33" s="184"/>
      <c r="CC33" s="184"/>
      <c r="CD33" s="184"/>
      <c r="CE33" s="184"/>
      <c r="CF33" s="184"/>
      <c r="CG33" s="184"/>
      <c r="CH33" s="184"/>
      <c r="CI33" s="184"/>
      <c r="CJ33" s="184"/>
      <c r="CK33" s="184"/>
      <c r="CL33" s="184"/>
      <c r="CM33" s="184"/>
      <c r="CN33" s="184"/>
      <c r="CO33" s="184"/>
      <c r="CP33" s="184"/>
      <c r="CQ33" s="184"/>
      <c r="CR33" s="184"/>
      <c r="CS33" s="184"/>
      <c r="CT33" s="184"/>
      <c r="CU33" s="184"/>
      <c r="CV33" s="184"/>
      <c r="CW33" s="184"/>
      <c r="CX33" s="184"/>
      <c r="CY33" s="184"/>
      <c r="CZ33" s="184"/>
      <c r="DA33" s="184"/>
      <c r="DB33" s="184"/>
      <c r="DC33" s="184"/>
      <c r="DD33" s="184"/>
      <c r="DE33" s="184"/>
      <c r="DF33" s="184"/>
      <c r="DG33" s="184"/>
      <c r="DH33" s="184"/>
      <c r="DI33" s="184"/>
      <c r="DJ33" s="184"/>
      <c r="DK33" s="184"/>
      <c r="DL33" s="184"/>
      <c r="DM33" s="184"/>
      <c r="DN33" s="184"/>
      <c r="DO33" s="184"/>
      <c r="DP33" s="184"/>
      <c r="DQ33" s="184"/>
      <c r="DR33" s="184"/>
      <c r="DS33" s="184"/>
      <c r="DT33" s="184"/>
      <c r="DU33" s="184"/>
      <c r="DV33" s="184"/>
      <c r="DW33" s="184"/>
      <c r="DX33" s="184"/>
      <c r="DY33" s="184"/>
      <c r="DZ33" s="184"/>
      <c r="EA33" s="184"/>
      <c r="EB33" s="184"/>
      <c r="EC33" s="184"/>
      <c r="ED33" s="184"/>
      <c r="EE33" s="184"/>
      <c r="EF33" s="184"/>
      <c r="EG33" s="184"/>
      <c r="EH33" s="184"/>
      <c r="EI33" s="184"/>
      <c r="EJ33" s="184"/>
      <c r="EK33" s="184"/>
      <c r="EL33" s="184"/>
      <c r="EM33" s="184"/>
      <c r="EN33" s="184"/>
      <c r="EO33" s="184"/>
      <c r="EP33" s="184"/>
      <c r="EQ33" s="184"/>
      <c r="ER33" s="184"/>
      <c r="ES33" s="184"/>
      <c r="ET33" s="184"/>
      <c r="EU33" s="184"/>
      <c r="EV33" s="184"/>
      <c r="EW33" s="184"/>
    </row>
    <row r="34" spans="1:153">
      <c r="A34" s="177"/>
      <c r="B34" s="882" t="s">
        <v>763</v>
      </c>
      <c r="C34" s="59"/>
      <c r="D34" s="59"/>
      <c r="E34" s="176">
        <f>SrDebt!E116</f>
        <v>0</v>
      </c>
      <c r="F34" s="176">
        <f>SrDebt!F116</f>
        <v>0</v>
      </c>
      <c r="G34" s="176">
        <f>SrDebt!G116</f>
        <v>0</v>
      </c>
      <c r="H34" s="176">
        <f>SrDebt!H116</f>
        <v>0</v>
      </c>
      <c r="I34" s="176">
        <f>SrDebt!I116</f>
        <v>0</v>
      </c>
      <c r="J34" s="176">
        <f>SrDebt!J116</f>
        <v>0</v>
      </c>
      <c r="K34" s="176">
        <f>SrDebt!K116</f>
        <v>0</v>
      </c>
      <c r="L34" s="176">
        <f>SrDebt!L116</f>
        <v>0</v>
      </c>
      <c r="M34" s="176">
        <f>SrDebt!M116</f>
        <v>0</v>
      </c>
      <c r="N34" s="176">
        <f>SrDebt!N116</f>
        <v>0</v>
      </c>
      <c r="O34" s="176">
        <f>SrDebt!O116</f>
        <v>0</v>
      </c>
      <c r="P34" s="176">
        <f>SrDebt!P116</f>
        <v>0</v>
      </c>
      <c r="Q34" s="176">
        <f>SrDebt!Q116</f>
        <v>0</v>
      </c>
      <c r="R34" s="176">
        <f>SrDebt!R116</f>
        <v>0</v>
      </c>
      <c r="S34" s="176">
        <f>SrDebt!S116</f>
        <v>0</v>
      </c>
      <c r="T34" s="176">
        <f>SrDebt!T116</f>
        <v>0</v>
      </c>
      <c r="U34" s="176">
        <f>SrDebt!U116</f>
        <v>0</v>
      </c>
      <c r="V34" s="176">
        <f>SrDebt!V116</f>
        <v>0</v>
      </c>
      <c r="W34" s="176">
        <f>SrDebt!W116</f>
        <v>0</v>
      </c>
      <c r="X34" s="176">
        <f>SrDebt!X116</f>
        <v>0</v>
      </c>
      <c r="Y34" s="176">
        <f>SrDebt!Y116</f>
        <v>0</v>
      </c>
      <c r="Z34" s="176">
        <f>SrDebt!Z116</f>
        <v>0</v>
      </c>
      <c r="AA34" s="176">
        <f>SrDebt!AA116</f>
        <v>0</v>
      </c>
      <c r="AB34" s="176">
        <f>SrDebt!AB116</f>
        <v>0</v>
      </c>
      <c r="AC34" s="176">
        <f>SrDebt!AC116</f>
        <v>0</v>
      </c>
      <c r="AD34" s="176">
        <f>SrDebt!AD116</f>
        <v>0</v>
      </c>
      <c r="AE34" s="176">
        <f>SrDebt!AE116</f>
        <v>0</v>
      </c>
      <c r="AF34" s="176">
        <f>SrDebt!AF116</f>
        <v>0</v>
      </c>
      <c r="AG34" s="176">
        <f>SrDebt!AG116</f>
        <v>0</v>
      </c>
      <c r="AH34" s="176">
        <f>SrDebt!AH116</f>
        <v>0</v>
      </c>
      <c r="AI34" s="176">
        <f>SrDebt!AI116</f>
        <v>0</v>
      </c>
      <c r="AJ34" s="184"/>
      <c r="AK34" s="184"/>
      <c r="AL34" s="184"/>
      <c r="AM34" s="184"/>
      <c r="AN34" s="184"/>
      <c r="AO34" s="184"/>
      <c r="AP34" s="184"/>
      <c r="AQ34" s="184"/>
      <c r="AR34" s="184"/>
      <c r="AS34" s="184"/>
      <c r="AT34" s="184"/>
      <c r="AU34" s="184"/>
      <c r="AV34" s="184"/>
      <c r="AW34" s="184"/>
      <c r="AX34" s="184"/>
      <c r="AY34" s="184"/>
      <c r="AZ34" s="184"/>
      <c r="BA34" s="184"/>
      <c r="BB34" s="184"/>
      <c r="BC34" s="184"/>
      <c r="BD34" s="184"/>
      <c r="BE34" s="184"/>
      <c r="BF34" s="184"/>
      <c r="BG34" s="184"/>
      <c r="BH34" s="184"/>
      <c r="BI34" s="184"/>
      <c r="BJ34" s="184"/>
      <c r="BK34" s="184"/>
      <c r="BL34" s="184"/>
      <c r="BM34" s="184"/>
      <c r="BN34" s="184"/>
      <c r="BO34" s="184"/>
      <c r="BP34" s="184"/>
      <c r="BQ34" s="184"/>
      <c r="BR34" s="184"/>
      <c r="BS34" s="184"/>
      <c r="BT34" s="184"/>
      <c r="BU34" s="184"/>
      <c r="BV34" s="184"/>
      <c r="BW34" s="184"/>
      <c r="BX34" s="184"/>
      <c r="BY34" s="184"/>
      <c r="BZ34" s="184"/>
      <c r="CA34" s="184"/>
      <c r="CB34" s="184"/>
      <c r="CC34" s="184"/>
      <c r="CD34" s="184"/>
      <c r="CE34" s="184"/>
      <c r="CF34" s="184"/>
      <c r="CG34" s="184"/>
      <c r="CH34" s="184"/>
      <c r="CI34" s="184"/>
      <c r="CJ34" s="184"/>
      <c r="CK34" s="184"/>
      <c r="CL34" s="184"/>
      <c r="CM34" s="184"/>
      <c r="CN34" s="184"/>
      <c r="CO34" s="184"/>
      <c r="CP34" s="184"/>
      <c r="CQ34" s="184"/>
      <c r="CR34" s="184"/>
      <c r="CS34" s="184"/>
      <c r="CT34" s="184"/>
      <c r="CU34" s="184"/>
      <c r="CV34" s="184"/>
      <c r="CW34" s="184"/>
      <c r="CX34" s="184"/>
      <c r="CY34" s="184"/>
      <c r="CZ34" s="184"/>
      <c r="DA34" s="184"/>
      <c r="DB34" s="184"/>
      <c r="DC34" s="184"/>
      <c r="DD34" s="184"/>
      <c r="DE34" s="184"/>
      <c r="DF34" s="184"/>
      <c r="DG34" s="184"/>
      <c r="DH34" s="184"/>
      <c r="DI34" s="184"/>
      <c r="DJ34" s="184"/>
      <c r="DK34" s="184"/>
      <c r="DL34" s="184"/>
      <c r="DM34" s="184"/>
      <c r="DN34" s="184"/>
      <c r="DO34" s="184"/>
      <c r="DP34" s="184"/>
      <c r="DQ34" s="184"/>
      <c r="DR34" s="184"/>
      <c r="DS34" s="184"/>
      <c r="DT34" s="184"/>
      <c r="DU34" s="184"/>
      <c r="DV34" s="184"/>
      <c r="DW34" s="184"/>
      <c r="DX34" s="184"/>
      <c r="DY34" s="184"/>
      <c r="DZ34" s="184"/>
      <c r="EA34" s="184"/>
      <c r="EB34" s="184"/>
      <c r="EC34" s="184"/>
      <c r="ED34" s="184"/>
      <c r="EE34" s="184"/>
      <c r="EF34" s="184"/>
      <c r="EG34" s="184"/>
      <c r="EH34" s="184"/>
      <c r="EI34" s="184"/>
      <c r="EJ34" s="184"/>
      <c r="EK34" s="184"/>
      <c r="EL34" s="184"/>
      <c r="EM34" s="184"/>
      <c r="EN34" s="184"/>
      <c r="EO34" s="184"/>
      <c r="EP34" s="184"/>
      <c r="EQ34" s="184"/>
      <c r="ER34" s="184"/>
      <c r="ES34" s="184"/>
      <c r="ET34" s="184"/>
      <c r="EU34" s="184"/>
      <c r="EV34" s="184"/>
      <c r="EW34" s="184"/>
    </row>
    <row r="35" spans="1:153">
      <c r="B35" s="882" t="s">
        <v>762</v>
      </c>
      <c r="C35" s="59"/>
      <c r="D35" s="59"/>
      <c r="E35" s="176">
        <f>SrDebt!E117</f>
        <v>0</v>
      </c>
      <c r="F35" s="176">
        <f>SrDebt!F117</f>
        <v>0</v>
      </c>
      <c r="G35" s="176">
        <f>SrDebt!G117</f>
        <v>0</v>
      </c>
      <c r="H35" s="176">
        <f>SrDebt!H117</f>
        <v>0</v>
      </c>
      <c r="I35" s="176">
        <f>SrDebt!I117</f>
        <v>0</v>
      </c>
      <c r="J35" s="176">
        <f>SrDebt!J117</f>
        <v>0</v>
      </c>
      <c r="K35" s="176">
        <f>SrDebt!K117</f>
        <v>0</v>
      </c>
      <c r="L35" s="176">
        <f>SrDebt!L117</f>
        <v>0</v>
      </c>
      <c r="M35" s="176">
        <f>SrDebt!M117</f>
        <v>0</v>
      </c>
      <c r="N35" s="176">
        <f>SrDebt!N117</f>
        <v>0</v>
      </c>
      <c r="O35" s="176">
        <f>SrDebt!O117</f>
        <v>0</v>
      </c>
      <c r="P35" s="176">
        <f>SrDebt!P117</f>
        <v>0</v>
      </c>
      <c r="Q35" s="176">
        <f>SrDebt!Q117</f>
        <v>0</v>
      </c>
      <c r="R35" s="176">
        <f>SrDebt!R117</f>
        <v>0</v>
      </c>
      <c r="S35" s="176">
        <f>SrDebt!S117</f>
        <v>0</v>
      </c>
      <c r="T35" s="176">
        <f>SrDebt!T117</f>
        <v>0</v>
      </c>
      <c r="U35" s="176">
        <f>SrDebt!U117</f>
        <v>0</v>
      </c>
      <c r="V35" s="176">
        <f>SrDebt!V117</f>
        <v>0</v>
      </c>
      <c r="W35" s="176">
        <f>SrDebt!W117</f>
        <v>0</v>
      </c>
      <c r="X35" s="176">
        <f>SrDebt!X117</f>
        <v>0</v>
      </c>
      <c r="Y35" s="176">
        <f>SrDebt!Y117</f>
        <v>0</v>
      </c>
      <c r="Z35" s="176">
        <f>SrDebt!Z117</f>
        <v>0</v>
      </c>
      <c r="AA35" s="176">
        <f>SrDebt!AA117</f>
        <v>0</v>
      </c>
      <c r="AB35" s="176">
        <f>SrDebt!AB117</f>
        <v>0</v>
      </c>
      <c r="AC35" s="176">
        <f>SrDebt!AC117</f>
        <v>0</v>
      </c>
      <c r="AD35" s="176">
        <f>SrDebt!AD117</f>
        <v>0</v>
      </c>
      <c r="AE35" s="176">
        <f>SrDebt!AE117</f>
        <v>0</v>
      </c>
      <c r="AF35" s="176">
        <f>SrDebt!AF117</f>
        <v>0</v>
      </c>
      <c r="AG35" s="176">
        <f>SrDebt!AG117</f>
        <v>0</v>
      </c>
      <c r="AH35" s="176">
        <f>SrDebt!AH117</f>
        <v>0</v>
      </c>
      <c r="AI35" s="176">
        <f>SrDebt!AI117</f>
        <v>0</v>
      </c>
      <c r="AJ35" s="184"/>
      <c r="AK35" s="184"/>
      <c r="AL35" s="184"/>
      <c r="AM35" s="184"/>
      <c r="AN35" s="184"/>
      <c r="AO35" s="184"/>
      <c r="AP35" s="184"/>
      <c r="AQ35" s="184"/>
      <c r="AR35" s="184"/>
      <c r="AS35" s="184"/>
      <c r="AT35" s="184"/>
      <c r="AU35" s="184"/>
      <c r="AV35" s="184"/>
      <c r="AW35" s="184"/>
      <c r="AX35" s="184"/>
      <c r="AY35" s="184"/>
      <c r="AZ35" s="184"/>
      <c r="BA35" s="184"/>
      <c r="BB35" s="184"/>
      <c r="BC35" s="184"/>
      <c r="BD35" s="184"/>
      <c r="BE35" s="184"/>
      <c r="BF35" s="184"/>
      <c r="BG35" s="184"/>
      <c r="BH35" s="184"/>
      <c r="BI35" s="184"/>
      <c r="BJ35" s="184"/>
      <c r="BK35" s="184"/>
      <c r="BL35" s="184"/>
      <c r="BM35" s="184"/>
      <c r="BN35" s="184"/>
      <c r="BO35" s="184"/>
      <c r="BP35" s="184"/>
      <c r="BQ35" s="184"/>
      <c r="BR35" s="184"/>
      <c r="BS35" s="184"/>
      <c r="BT35" s="184"/>
      <c r="BU35" s="184"/>
      <c r="BV35" s="184"/>
      <c r="BW35" s="184"/>
      <c r="BX35" s="184"/>
      <c r="BY35" s="184"/>
      <c r="BZ35" s="184"/>
      <c r="CA35" s="184"/>
      <c r="CB35" s="184"/>
      <c r="CC35" s="184"/>
      <c r="CD35" s="184"/>
      <c r="CE35" s="184"/>
      <c r="CF35" s="184"/>
      <c r="CG35" s="184"/>
      <c r="CH35" s="184"/>
      <c r="CI35" s="184"/>
      <c r="CJ35" s="184"/>
      <c r="CK35" s="184"/>
      <c r="CL35" s="184"/>
      <c r="CM35" s="184"/>
      <c r="CN35" s="184"/>
      <c r="CO35" s="184"/>
      <c r="CP35" s="184"/>
      <c r="CQ35" s="184"/>
      <c r="CR35" s="184"/>
      <c r="CS35" s="184"/>
      <c r="CT35" s="184"/>
      <c r="CU35" s="184"/>
      <c r="CV35" s="184"/>
      <c r="CW35" s="184"/>
      <c r="CX35" s="184"/>
      <c r="CY35" s="184"/>
      <c r="CZ35" s="184"/>
      <c r="DA35" s="184"/>
      <c r="DB35" s="184"/>
      <c r="DC35" s="184"/>
      <c r="DD35" s="184"/>
      <c r="DE35" s="184"/>
      <c r="DF35" s="184"/>
      <c r="DG35" s="184"/>
      <c r="DH35" s="184"/>
      <c r="DI35" s="184"/>
      <c r="DJ35" s="184"/>
      <c r="DK35" s="184"/>
      <c r="DL35" s="184"/>
      <c r="DM35" s="184"/>
      <c r="DN35" s="184"/>
      <c r="DO35" s="184"/>
      <c r="DP35" s="184"/>
      <c r="DQ35" s="184"/>
      <c r="DR35" s="184"/>
      <c r="DS35" s="184"/>
      <c r="DT35" s="184"/>
      <c r="DU35" s="184"/>
      <c r="DV35" s="184"/>
      <c r="DW35" s="184"/>
      <c r="DX35" s="184"/>
      <c r="DY35" s="184"/>
      <c r="DZ35" s="184"/>
      <c r="EA35" s="184"/>
      <c r="EB35" s="184"/>
      <c r="EC35" s="184"/>
      <c r="ED35" s="184"/>
      <c r="EE35" s="184"/>
      <c r="EF35" s="184"/>
      <c r="EG35" s="184"/>
      <c r="EH35" s="184"/>
      <c r="EI35" s="184"/>
      <c r="EJ35" s="184"/>
      <c r="EK35" s="184"/>
      <c r="EL35" s="184"/>
      <c r="EM35" s="184"/>
      <c r="EN35" s="184"/>
      <c r="EO35" s="184"/>
      <c r="EP35" s="184"/>
      <c r="EQ35" s="184"/>
      <c r="ER35" s="184"/>
      <c r="ES35" s="184"/>
      <c r="ET35" s="184"/>
      <c r="EU35" s="184"/>
      <c r="EV35" s="184"/>
      <c r="EW35" s="184"/>
    </row>
    <row r="36" spans="1:153">
      <c r="B36" s="905" t="s">
        <v>106</v>
      </c>
      <c r="C36" s="906"/>
      <c r="D36" s="906"/>
      <c r="E36" s="893">
        <f>SUM(E32:E35)</f>
        <v>5731.0509932941468</v>
      </c>
      <c r="F36" s="893">
        <f t="shared" ref="F36:AI36" si="6">SUM(F32:F35)</f>
        <v>4445.7516521460675</v>
      </c>
      <c r="G36" s="893">
        <f t="shared" si="6"/>
        <v>4490.5410355103768</v>
      </c>
      <c r="H36" s="893">
        <f t="shared" si="6"/>
        <v>4480.6252520977405</v>
      </c>
      <c r="I36" s="893">
        <f t="shared" si="6"/>
        <v>4476.8740859655936</v>
      </c>
      <c r="J36" s="893">
        <f t="shared" si="6"/>
        <v>4696.365104016556</v>
      </c>
      <c r="K36" s="893">
        <f t="shared" si="6"/>
        <v>4408.9287152324023</v>
      </c>
      <c r="L36" s="893">
        <f t="shared" si="6"/>
        <v>4423.6536660518468</v>
      </c>
      <c r="M36" s="893">
        <f t="shared" si="6"/>
        <v>4438.8444555578772</v>
      </c>
      <c r="N36" s="893">
        <f t="shared" si="6"/>
        <v>4508.5655788912363</v>
      </c>
      <c r="O36" s="893">
        <f t="shared" si="6"/>
        <v>4588.0677908821963</v>
      </c>
      <c r="P36" s="893">
        <f t="shared" si="6"/>
        <v>4675.7140160426543</v>
      </c>
      <c r="Q36" s="893">
        <f t="shared" si="6"/>
        <v>4771.403991780282</v>
      </c>
      <c r="R36" s="893">
        <f t="shared" si="6"/>
        <v>4711.7331447179959</v>
      </c>
      <c r="S36" s="893">
        <f t="shared" si="6"/>
        <v>4641.104130305921</v>
      </c>
      <c r="T36" s="893">
        <f t="shared" si="6"/>
        <v>4492.2988758455303</v>
      </c>
      <c r="U36" s="893">
        <f t="shared" si="6"/>
        <v>4445.9643795236661</v>
      </c>
      <c r="V36" s="893">
        <f t="shared" si="6"/>
        <v>3456.8326590434999</v>
      </c>
      <c r="W36" s="893">
        <f t="shared" si="6"/>
        <v>0</v>
      </c>
      <c r="X36" s="893">
        <f t="shared" si="6"/>
        <v>0</v>
      </c>
      <c r="Y36" s="893">
        <f t="shared" si="6"/>
        <v>0</v>
      </c>
      <c r="Z36" s="893">
        <f t="shared" si="6"/>
        <v>0</v>
      </c>
      <c r="AA36" s="893">
        <f t="shared" si="6"/>
        <v>0</v>
      </c>
      <c r="AB36" s="893">
        <f t="shared" si="6"/>
        <v>0</v>
      </c>
      <c r="AC36" s="893">
        <f t="shared" si="6"/>
        <v>0</v>
      </c>
      <c r="AD36" s="893">
        <f t="shared" si="6"/>
        <v>0</v>
      </c>
      <c r="AE36" s="893">
        <f t="shared" si="6"/>
        <v>0</v>
      </c>
      <c r="AF36" s="893">
        <f t="shared" si="6"/>
        <v>0</v>
      </c>
      <c r="AG36" s="893">
        <f t="shared" si="6"/>
        <v>0</v>
      </c>
      <c r="AH36" s="893">
        <f t="shared" si="6"/>
        <v>0</v>
      </c>
      <c r="AI36" s="893">
        <f t="shared" si="6"/>
        <v>0</v>
      </c>
      <c r="AJ36" s="184"/>
      <c r="AK36" s="184"/>
      <c r="AL36" s="184"/>
      <c r="AM36" s="184"/>
      <c r="AN36" s="184"/>
      <c r="AO36" s="184"/>
      <c r="AP36" s="184"/>
      <c r="AQ36" s="184"/>
      <c r="AR36" s="184"/>
      <c r="AS36" s="184"/>
      <c r="AT36" s="184"/>
      <c r="AU36" s="184"/>
      <c r="AV36" s="184"/>
      <c r="AW36" s="184"/>
      <c r="AX36" s="184"/>
      <c r="AY36" s="184"/>
      <c r="AZ36" s="184"/>
      <c r="BA36" s="184"/>
      <c r="BB36" s="184"/>
      <c r="BC36" s="184"/>
      <c r="BD36" s="184"/>
      <c r="BE36" s="184"/>
      <c r="BF36" s="184"/>
      <c r="BG36" s="184"/>
      <c r="BH36" s="184"/>
      <c r="BI36" s="184"/>
      <c r="BJ36" s="184"/>
      <c r="BK36" s="184"/>
      <c r="BL36" s="184"/>
      <c r="BM36" s="184"/>
      <c r="BN36" s="184"/>
      <c r="BO36" s="184"/>
      <c r="BP36" s="184"/>
      <c r="BQ36" s="184"/>
      <c r="BR36" s="184"/>
      <c r="BS36" s="184"/>
      <c r="BT36" s="184"/>
      <c r="BU36" s="184"/>
      <c r="BV36" s="184"/>
      <c r="BW36" s="184"/>
      <c r="BX36" s="184"/>
      <c r="BY36" s="184"/>
      <c r="BZ36" s="184"/>
      <c r="CA36" s="184"/>
      <c r="CB36" s="184"/>
      <c r="CC36" s="184"/>
      <c r="CD36" s="184"/>
      <c r="CE36" s="184"/>
      <c r="CF36" s="184"/>
      <c r="CG36" s="184"/>
      <c r="CH36" s="184"/>
      <c r="CI36" s="184"/>
      <c r="CJ36" s="184"/>
      <c r="CK36" s="184"/>
      <c r="CL36" s="184"/>
      <c r="CM36" s="184"/>
      <c r="CN36" s="184"/>
      <c r="CO36" s="184"/>
      <c r="CP36" s="184"/>
      <c r="CQ36" s="184"/>
      <c r="CR36" s="184"/>
      <c r="CS36" s="184"/>
      <c r="CT36" s="184"/>
      <c r="CU36" s="184"/>
      <c r="CV36" s="184"/>
      <c r="CW36" s="184"/>
      <c r="CX36" s="184"/>
      <c r="CY36" s="184"/>
      <c r="CZ36" s="184"/>
      <c r="DA36" s="184"/>
      <c r="DB36" s="184"/>
      <c r="DC36" s="184"/>
      <c r="DD36" s="184"/>
      <c r="DE36" s="184"/>
      <c r="DF36" s="184"/>
      <c r="DG36" s="184"/>
      <c r="DH36" s="184"/>
      <c r="DI36" s="184"/>
      <c r="DJ36" s="184"/>
      <c r="DK36" s="184"/>
      <c r="DL36" s="184"/>
      <c r="DM36" s="184"/>
      <c r="DN36" s="184"/>
      <c r="DO36" s="184"/>
      <c r="DP36" s="184"/>
      <c r="DQ36" s="184"/>
      <c r="DR36" s="184"/>
      <c r="DS36" s="184"/>
      <c r="DT36" s="184"/>
      <c r="DU36" s="184"/>
      <c r="DV36" s="184"/>
      <c r="DW36" s="184"/>
      <c r="DX36" s="184"/>
      <c r="DY36" s="184"/>
      <c r="DZ36" s="184"/>
      <c r="EA36" s="184"/>
      <c r="EB36" s="184"/>
      <c r="EC36" s="184"/>
      <c r="ED36" s="184"/>
      <c r="EE36" s="184"/>
      <c r="EF36" s="184"/>
      <c r="EG36" s="184"/>
      <c r="EH36" s="184"/>
      <c r="EI36" s="184"/>
      <c r="EJ36" s="184"/>
      <c r="EK36" s="184"/>
      <c r="EL36" s="184"/>
      <c r="EM36" s="184"/>
      <c r="EN36" s="184"/>
      <c r="EO36" s="184"/>
      <c r="EP36" s="184"/>
      <c r="EQ36" s="184"/>
      <c r="ER36" s="184"/>
      <c r="ES36" s="184"/>
      <c r="ET36" s="184"/>
      <c r="EU36" s="184"/>
      <c r="EV36" s="184"/>
      <c r="EW36" s="184"/>
    </row>
    <row r="37" spans="1:153" ht="13.5" thickBot="1">
      <c r="B37" s="907" t="s">
        <v>530</v>
      </c>
      <c r="C37" s="490"/>
      <c r="D37" s="490"/>
      <c r="E37" s="892">
        <f>(F36*Assum!$E$319)*Assum!$E$317</f>
        <v>33.343137391095503</v>
      </c>
      <c r="F37" s="892">
        <f>(G36*Assum!$E$319)*Assum!$E$317</f>
        <v>33.679057766327823</v>
      </c>
      <c r="G37" s="892">
        <f>(H36*Assum!$E$319)*Assum!$E$317</f>
        <v>33.60468939073305</v>
      </c>
      <c r="H37" s="892">
        <f>(I36*Assum!$E$319)*Assum!$E$317</f>
        <v>33.576555644741951</v>
      </c>
      <c r="I37" s="892">
        <f>(J36*Assum!$E$319)*Assum!$E$317</f>
        <v>35.222738280124169</v>
      </c>
      <c r="J37" s="892">
        <f>(K36*Assum!$E$319)*Assum!$E$317</f>
        <v>33.066965364243018</v>
      </c>
      <c r="K37" s="892">
        <f>(L36*Assum!$E$319)*Assum!$E$317</f>
        <v>33.177402495388847</v>
      </c>
      <c r="L37" s="892">
        <f>(M36*Assum!$E$319)*Assum!$E$317</f>
        <v>33.291333416684076</v>
      </c>
      <c r="M37" s="892">
        <f>(N36*Assum!$E$319)*Assum!$E$317</f>
        <v>33.814241841684272</v>
      </c>
      <c r="N37" s="892">
        <f>(O36*Assum!$E$319)*Assum!$E$317</f>
        <v>34.410508431616471</v>
      </c>
      <c r="O37" s="892">
        <f>(P36*Assum!$E$319)*Assum!$E$317</f>
        <v>35.067855120319905</v>
      </c>
      <c r="P37" s="892">
        <f>(Q36*Assum!$E$319)*Assum!$E$317</f>
        <v>35.785529938352113</v>
      </c>
      <c r="Q37" s="892">
        <f>(R36*Assum!$E$319)*Assum!$E$317</f>
        <v>35.337998585384966</v>
      </c>
      <c r="R37" s="892">
        <f>(S36*Assum!$E$319)*Assum!$E$317</f>
        <v>34.808280977294409</v>
      </c>
      <c r="S37" s="892">
        <f>(T36*Assum!$E$319)*Assum!$E$317</f>
        <v>33.692241568841474</v>
      </c>
      <c r="T37" s="892">
        <f>(U36*Assum!$E$319)*Assum!$E$317</f>
        <v>33.344732846427497</v>
      </c>
      <c r="U37" s="892">
        <f>(V36*Assum!$E$319)*Assum!$E$317</f>
        <v>25.926244942826248</v>
      </c>
      <c r="V37" s="892">
        <f>(W36*Assum!$E$319)*Assum!$E$317</f>
        <v>0</v>
      </c>
      <c r="W37" s="892">
        <f>(X36*Assum!$E$319)*Assum!$E$317</f>
        <v>0</v>
      </c>
      <c r="X37" s="892">
        <f>(Y36*Assum!$E$319)*Assum!$E$317</f>
        <v>0</v>
      </c>
      <c r="Y37" s="892">
        <f>(Z36*Assum!$E$319)*Assum!$E$317</f>
        <v>0</v>
      </c>
      <c r="Z37" s="892">
        <f>(AA36*Assum!$E$319)*Assum!$E$317</f>
        <v>0</v>
      </c>
      <c r="AA37" s="892">
        <f>(AB36*Assum!$E$319)*Assum!$E$317</f>
        <v>0</v>
      </c>
      <c r="AB37" s="892">
        <f>(AC36*Assum!$E$319)*Assum!$E$317</f>
        <v>0</v>
      </c>
      <c r="AC37" s="892">
        <f>(AD36*Assum!$E$319)*Assum!$E$317</f>
        <v>0</v>
      </c>
      <c r="AD37" s="892">
        <f>(AE36*Assum!$E$319)*Assum!$E$317</f>
        <v>0</v>
      </c>
      <c r="AE37" s="892">
        <f>(AF36*Assum!$E$319)*Assum!$E$317</f>
        <v>0</v>
      </c>
      <c r="AF37" s="892">
        <f>(AG36*Assum!$E$319)*Assum!$E$317</f>
        <v>0</v>
      </c>
      <c r="AG37" s="892">
        <f>(AH36*Assum!$E$319)*Assum!$E$317</f>
        <v>0</v>
      </c>
      <c r="AH37" s="892">
        <f>(AI36*Assum!$E$319)*Assum!$E$317</f>
        <v>0</v>
      </c>
      <c r="AI37" s="892">
        <f>(AJ36*Assum!$E$319)*Assum!$E$317</f>
        <v>0</v>
      </c>
      <c r="AJ37" s="184"/>
      <c r="AK37" s="184"/>
      <c r="AL37" s="184"/>
      <c r="AM37" s="184"/>
      <c r="AN37" s="184"/>
      <c r="AO37" s="184"/>
      <c r="AP37" s="184"/>
      <c r="AQ37" s="184"/>
      <c r="AR37" s="184"/>
      <c r="AS37" s="184"/>
      <c r="AT37" s="184"/>
      <c r="AU37" s="184"/>
      <c r="AV37" s="184"/>
      <c r="AW37" s="184"/>
      <c r="AX37" s="184"/>
      <c r="AY37" s="184"/>
      <c r="AZ37" s="184"/>
      <c r="BA37" s="184"/>
      <c r="BB37" s="184"/>
      <c r="BC37" s="184"/>
      <c r="BD37" s="184"/>
      <c r="BE37" s="184"/>
      <c r="BF37" s="184"/>
      <c r="BG37" s="184"/>
      <c r="BH37" s="184"/>
      <c r="BI37" s="184"/>
      <c r="BJ37" s="184"/>
      <c r="BK37" s="184"/>
      <c r="BL37" s="184"/>
      <c r="BM37" s="184"/>
      <c r="BN37" s="184"/>
      <c r="BO37" s="184"/>
      <c r="BP37" s="184"/>
      <c r="BQ37" s="184"/>
      <c r="BR37" s="184"/>
      <c r="BS37" s="184"/>
      <c r="BT37" s="184"/>
      <c r="BU37" s="184"/>
      <c r="BV37" s="184"/>
      <c r="BW37" s="184"/>
      <c r="BX37" s="184"/>
      <c r="BY37" s="184"/>
      <c r="BZ37" s="184"/>
      <c r="CA37" s="184"/>
      <c r="CB37" s="184"/>
      <c r="CC37" s="184"/>
      <c r="CD37" s="184"/>
      <c r="CE37" s="184"/>
      <c r="CF37" s="184"/>
      <c r="CG37" s="184"/>
      <c r="CH37" s="184"/>
      <c r="CI37" s="184"/>
      <c r="CJ37" s="184"/>
      <c r="CK37" s="184"/>
      <c r="CL37" s="184"/>
      <c r="CM37" s="184"/>
      <c r="CN37" s="184"/>
      <c r="CO37" s="184"/>
      <c r="CP37" s="184"/>
      <c r="CQ37" s="184"/>
      <c r="CR37" s="184"/>
      <c r="CS37" s="184"/>
      <c r="CT37" s="184"/>
      <c r="CU37" s="184"/>
      <c r="CV37" s="184"/>
      <c r="CW37" s="184"/>
      <c r="CX37" s="184"/>
      <c r="CY37" s="184"/>
      <c r="CZ37" s="184"/>
      <c r="DA37" s="184"/>
      <c r="DB37" s="184"/>
      <c r="DC37" s="184"/>
      <c r="DD37" s="184"/>
      <c r="DE37" s="184"/>
      <c r="DF37" s="184"/>
      <c r="DG37" s="184"/>
      <c r="DH37" s="184"/>
      <c r="DI37" s="184"/>
      <c r="DJ37" s="184"/>
      <c r="DK37" s="184"/>
      <c r="DL37" s="184"/>
      <c r="DM37" s="184"/>
      <c r="DN37" s="184"/>
      <c r="DO37" s="184"/>
      <c r="DP37" s="184"/>
      <c r="DQ37" s="184"/>
      <c r="DR37" s="184"/>
      <c r="DS37" s="184"/>
      <c r="DT37" s="184"/>
      <c r="DU37" s="184"/>
      <c r="DV37" s="184"/>
      <c r="DW37" s="184"/>
      <c r="DX37" s="184"/>
      <c r="DY37" s="184"/>
      <c r="DZ37" s="184"/>
      <c r="EA37" s="184"/>
      <c r="EB37" s="184"/>
      <c r="EC37" s="184"/>
      <c r="ED37" s="184"/>
      <c r="EE37" s="184"/>
      <c r="EF37" s="184"/>
      <c r="EG37" s="184"/>
      <c r="EH37" s="184"/>
      <c r="EI37" s="184"/>
      <c r="EJ37" s="184"/>
      <c r="EK37" s="184"/>
      <c r="EL37" s="184"/>
      <c r="EM37" s="184"/>
      <c r="EN37" s="184"/>
      <c r="EO37" s="184"/>
      <c r="EP37" s="184"/>
      <c r="EQ37" s="184"/>
      <c r="ER37" s="184"/>
      <c r="ES37" s="184"/>
      <c r="ET37" s="184"/>
      <c r="EU37" s="184"/>
      <c r="EV37" s="184"/>
      <c r="EW37" s="184"/>
    </row>
    <row r="38" spans="1:153" s="442" customFormat="1" ht="13.5" thickTop="1">
      <c r="A38" s="319"/>
      <c r="B38" s="889" t="s">
        <v>662</v>
      </c>
      <c r="C38" s="59"/>
      <c r="D38" s="59"/>
      <c r="E38" s="218">
        <f t="shared" ref="E38:AI38" si="7">E30-E36-E37</f>
        <v>2241.7887112062708</v>
      </c>
      <c r="F38" s="218">
        <f t="shared" si="7"/>
        <v>1744.4468293926848</v>
      </c>
      <c r="G38" s="218">
        <f t="shared" si="7"/>
        <v>1762.6503461930927</v>
      </c>
      <c r="H38" s="218">
        <f t="shared" si="7"/>
        <v>1758.6905666684627</v>
      </c>
      <c r="I38" s="218">
        <f t="shared" si="7"/>
        <v>1754.6678194859985</v>
      </c>
      <c r="J38" s="218">
        <f t="shared" si="7"/>
        <v>1846.6001575922232</v>
      </c>
      <c r="K38" s="218">
        <f t="shared" si="7"/>
        <v>1730.3368233015731</v>
      </c>
      <c r="L38" s="218">
        <f t="shared" si="7"/>
        <v>1736.1116481201664</v>
      </c>
      <c r="M38" s="218">
        <f t="shared" si="7"/>
        <v>1741.4525083888125</v>
      </c>
      <c r="N38" s="218">
        <f t="shared" si="7"/>
        <v>1768.7066358207617</v>
      </c>
      <c r="O38" s="218">
        <f t="shared" si="7"/>
        <v>1799.8185066227807</v>
      </c>
      <c r="P38" s="218">
        <f t="shared" si="7"/>
        <v>1834.1262661639764</v>
      </c>
      <c r="Q38" s="218">
        <f t="shared" si="7"/>
        <v>1873.4555350833812</v>
      </c>
      <c r="R38" s="218">
        <f t="shared" si="7"/>
        <v>1850.1587953584337</v>
      </c>
      <c r="S38" s="218">
        <f t="shared" si="7"/>
        <v>1823.3292077079332</v>
      </c>
      <c r="T38" s="218">
        <f t="shared" si="7"/>
        <v>1763.7549953041159</v>
      </c>
      <c r="U38" s="218">
        <f t="shared" si="7"/>
        <v>1752.6439670900043</v>
      </c>
      <c r="V38" s="218">
        <f t="shared" si="7"/>
        <v>2701.2962521015424</v>
      </c>
      <c r="W38" s="218">
        <f t="shared" si="7"/>
        <v>6207.233144906766</v>
      </c>
      <c r="X38" s="218">
        <f t="shared" si="7"/>
        <v>6140.5596209205669</v>
      </c>
      <c r="Y38" s="218">
        <f t="shared" si="7"/>
        <v>17.983559370812024</v>
      </c>
      <c r="Z38" s="218">
        <f t="shared" si="7"/>
        <v>0</v>
      </c>
      <c r="AA38" s="218">
        <f t="shared" si="7"/>
        <v>0</v>
      </c>
      <c r="AB38" s="218">
        <f t="shared" si="7"/>
        <v>0</v>
      </c>
      <c r="AC38" s="218">
        <f t="shared" si="7"/>
        <v>0</v>
      </c>
      <c r="AD38" s="218">
        <f t="shared" si="7"/>
        <v>0</v>
      </c>
      <c r="AE38" s="218">
        <f t="shared" si="7"/>
        <v>0</v>
      </c>
      <c r="AF38" s="218">
        <f t="shared" si="7"/>
        <v>0</v>
      </c>
      <c r="AG38" s="218">
        <f t="shared" si="7"/>
        <v>0</v>
      </c>
      <c r="AH38" s="218">
        <f t="shared" si="7"/>
        <v>0</v>
      </c>
      <c r="AI38" s="218">
        <f t="shared" si="7"/>
        <v>0</v>
      </c>
      <c r="AJ38" s="441"/>
      <c r="AK38" s="441"/>
      <c r="AL38" s="441"/>
      <c r="AM38" s="441"/>
      <c r="AN38" s="441"/>
      <c r="AO38" s="441"/>
      <c r="AP38" s="441"/>
      <c r="AQ38" s="441"/>
      <c r="AR38" s="441"/>
      <c r="AS38" s="441"/>
      <c r="AT38" s="441"/>
      <c r="AU38" s="441"/>
      <c r="AV38" s="441"/>
      <c r="AW38" s="441"/>
      <c r="AX38" s="441"/>
      <c r="AY38" s="441"/>
      <c r="AZ38" s="441"/>
      <c r="BA38" s="441"/>
      <c r="BB38" s="441"/>
      <c r="BC38" s="441"/>
      <c r="BD38" s="441"/>
      <c r="BE38" s="441"/>
      <c r="BF38" s="441"/>
      <c r="BG38" s="441"/>
      <c r="BH38" s="441"/>
      <c r="BI38" s="441"/>
      <c r="BJ38" s="441"/>
      <c r="BK38" s="441"/>
      <c r="BL38" s="441"/>
      <c r="BM38" s="441"/>
      <c r="BN38" s="441"/>
      <c r="BO38" s="441"/>
      <c r="BP38" s="441"/>
      <c r="BQ38" s="441"/>
      <c r="BR38" s="441"/>
      <c r="BS38" s="441"/>
      <c r="BT38" s="441"/>
      <c r="BU38" s="441"/>
      <c r="BV38" s="441"/>
      <c r="BW38" s="441"/>
      <c r="BX38" s="441"/>
      <c r="BY38" s="441"/>
      <c r="BZ38" s="441"/>
      <c r="CA38" s="441"/>
      <c r="CB38" s="441"/>
      <c r="CC38" s="441"/>
      <c r="CD38" s="441"/>
      <c r="CE38" s="441"/>
      <c r="CF38" s="441"/>
      <c r="CG38" s="441"/>
      <c r="CH38" s="441"/>
      <c r="CI38" s="441"/>
      <c r="CJ38" s="441"/>
      <c r="CK38" s="441"/>
      <c r="CL38" s="441"/>
      <c r="CM38" s="441"/>
      <c r="CN38" s="441"/>
      <c r="CO38" s="441"/>
      <c r="CP38" s="441"/>
      <c r="CQ38" s="441"/>
      <c r="CR38" s="441"/>
      <c r="CS38" s="441"/>
      <c r="CT38" s="441"/>
      <c r="CU38" s="441"/>
      <c r="CV38" s="441"/>
      <c r="CW38" s="441"/>
      <c r="CX38" s="441"/>
      <c r="CY38" s="441"/>
      <c r="CZ38" s="441"/>
      <c r="DA38" s="441"/>
      <c r="DB38" s="441"/>
      <c r="DC38" s="441"/>
      <c r="DD38" s="441"/>
      <c r="DE38" s="441"/>
      <c r="DF38" s="441"/>
      <c r="DG38" s="441"/>
      <c r="DH38" s="441"/>
      <c r="DI38" s="441"/>
      <c r="DJ38" s="441"/>
      <c r="DK38" s="441"/>
      <c r="DL38" s="441"/>
      <c r="DM38" s="441"/>
      <c r="DN38" s="441"/>
      <c r="DO38" s="441"/>
      <c r="DP38" s="441"/>
      <c r="DQ38" s="441"/>
      <c r="DR38" s="441"/>
      <c r="DS38" s="441"/>
      <c r="DT38" s="441"/>
      <c r="DU38" s="441"/>
      <c r="DV38" s="441"/>
      <c r="DW38" s="441"/>
      <c r="DX38" s="441"/>
      <c r="DY38" s="441"/>
      <c r="DZ38" s="441"/>
      <c r="EA38" s="441"/>
      <c r="EB38" s="441"/>
      <c r="EC38" s="441"/>
      <c r="ED38" s="441"/>
      <c r="EE38" s="441"/>
      <c r="EF38" s="441"/>
      <c r="EG38" s="441"/>
      <c r="EH38" s="441"/>
      <c r="EI38" s="441"/>
      <c r="EJ38" s="441"/>
      <c r="EK38" s="441"/>
      <c r="EL38" s="441"/>
      <c r="EM38" s="441"/>
      <c r="EN38" s="441"/>
      <c r="EO38" s="441"/>
      <c r="EP38" s="441"/>
      <c r="EQ38" s="441"/>
      <c r="ER38" s="441"/>
      <c r="ES38" s="441"/>
      <c r="ET38" s="441"/>
      <c r="EU38" s="441"/>
      <c r="EV38" s="441"/>
      <c r="EW38" s="441"/>
    </row>
    <row r="39" spans="1:153">
      <c r="C39" s="59"/>
      <c r="D39" s="59"/>
    </row>
    <row r="40" spans="1:153">
      <c r="A40" s="917" t="s">
        <v>185</v>
      </c>
      <c r="B40" s="882" t="s">
        <v>531</v>
      </c>
      <c r="C40" s="59"/>
      <c r="D40" s="59"/>
      <c r="E40" s="219">
        <f>IF(E37&gt;0,(Assum!$E$321*F15*Assum!$E$322),0)</f>
        <v>7.2723749999999985</v>
      </c>
      <c r="F40" s="219">
        <f>IF(F37&gt;0,(Assum!$E$321*G15*Assum!$E$322),0)</f>
        <v>7.4541843749999979</v>
      </c>
      <c r="G40" s="219">
        <f>IF(G37&gt;0,(Assum!$E$321*H15*Assum!$E$322),0)</f>
        <v>7.6405389843749987</v>
      </c>
      <c r="H40" s="219">
        <f>IF(H37&gt;0,(Assum!$E$321*I15*Assum!$E$322),0)</f>
        <v>7.8315524589843735</v>
      </c>
      <c r="I40" s="219">
        <f>IF(I37&gt;0,(Assum!$E$321*J15*Assum!$E$322),0)</f>
        <v>8.0273412704589813</v>
      </c>
      <c r="J40" s="219">
        <f>IF(J37&gt;0,(Assum!$E$321*K15*Assum!$E$322),0)</f>
        <v>8.228024802220455</v>
      </c>
      <c r="K40" s="219">
        <f>IF(K37&gt;0,(Assum!$E$321*L15*Assum!$E$322),0)</f>
        <v>8.4337254222759661</v>
      </c>
      <c r="L40" s="219">
        <f>IF(L37&gt;0,(Assum!$E$321*M15*Assum!$E$322),0)</f>
        <v>8.6445685578328639</v>
      </c>
      <c r="M40" s="219">
        <f>IF(M37&gt;0,(Assum!$E$321*N15*Assum!$E$322),0)</f>
        <v>8.8606827717786842</v>
      </c>
      <c r="N40" s="219">
        <f>IF(N37&gt;0,(Assum!$E$321*O15*Assum!$E$322),0)</f>
        <v>9.0821998410731499</v>
      </c>
      <c r="O40" s="219">
        <f>IF(O37&gt;0,(Assum!$E$321*P15*Assum!$E$322),0)</f>
        <v>9.3092548370999797</v>
      </c>
      <c r="P40" s="219">
        <f>IF(P37&gt;0,(Assum!$E$321*Q15*Assum!$E$322),0)</f>
        <v>9.5419862080274775</v>
      </c>
      <c r="Q40" s="219">
        <f>IF(Q37&gt;0,(Assum!$E$321*R15*Assum!$E$322),0)</f>
        <v>9.7805358632281649</v>
      </c>
      <c r="R40" s="219">
        <f>IF(R37&gt;0,(Assum!$E$321*S15*Assum!$E$322),0)</f>
        <v>10.025049259808867</v>
      </c>
      <c r="S40" s="219">
        <f>IF(S37&gt;0,(Assum!$E$321*T15*Assum!$E$322),0)</f>
        <v>10.275675491304089</v>
      </c>
      <c r="T40" s="219">
        <f>IF(T37&gt;0,(Assum!$E$321*U15*Assum!$E$322),0)</f>
        <v>10.532567378586689</v>
      </c>
      <c r="U40" s="219">
        <f>IF(U37&gt;0,(Assum!$E$321*V15*Assum!$E$322),0)</f>
        <v>10.795881563051356</v>
      </c>
      <c r="V40" s="219">
        <f>IF(V37&gt;0,(Assum!$E$321*W15*Assum!$E$322),0)</f>
        <v>0</v>
      </c>
      <c r="W40" s="219">
        <f>IF(W37&gt;0,(Assum!$E$321*X15*Assum!$E$322),0)</f>
        <v>0</v>
      </c>
      <c r="X40" s="219">
        <f>IF(X37&gt;0,(Assum!$E$321*Y15*Assum!$E$322),0)</f>
        <v>0</v>
      </c>
      <c r="Y40" s="219">
        <f>IF(Y37&gt;0,(Assum!$E$321*Z15*Assum!$E$322),0)</f>
        <v>0</v>
      </c>
      <c r="Z40" s="219">
        <f>IF(Z37&gt;0,(Assum!$E$321*AA15*Assum!$E$322),0)</f>
        <v>0</v>
      </c>
      <c r="AA40" s="219">
        <f>IF(AA37&gt;0,(Assum!$E$321*AB15*Assum!$E$322),0)</f>
        <v>0</v>
      </c>
      <c r="AB40" s="219">
        <f>IF(AB37&gt;0,(Assum!$E$321*AC15*Assum!$E$322),0)</f>
        <v>0</v>
      </c>
      <c r="AC40" s="219">
        <f>IF(AC37&gt;0,(Assum!$E$321*AD15*Assum!$E$322),0)</f>
        <v>0</v>
      </c>
      <c r="AD40" s="219">
        <f>IF(AD37&gt;0,(Assum!$E$321*AE15*Assum!$E$322),0)</f>
        <v>0</v>
      </c>
      <c r="AE40" s="219">
        <f>IF(AE37&gt;0,(Assum!$E$321*AF15*Assum!$E$322),0)</f>
        <v>0</v>
      </c>
      <c r="AF40" s="219">
        <f>IF(AF37&gt;0,(Assum!$E$321*AG15*Assum!$E$322),0)</f>
        <v>0</v>
      </c>
      <c r="AG40" s="219">
        <f>IF(AG37&gt;0,(Assum!$E$321*AH15*Assum!$E$322),0)</f>
        <v>0</v>
      </c>
      <c r="AH40" s="219">
        <f>IF(AH37&gt;0,(Assum!$E$321*AI15*Assum!$E$322),0)</f>
        <v>0</v>
      </c>
      <c r="AI40" s="219">
        <f>IF(AI37&gt;0,(Assum!$E$321*AJ15*Assum!$E$322),0)</f>
        <v>0</v>
      </c>
      <c r="AJ40" s="184"/>
      <c r="AK40" s="184"/>
      <c r="AL40" s="184"/>
      <c r="AM40" s="184"/>
      <c r="AN40" s="184"/>
      <c r="AO40" s="184"/>
      <c r="AP40" s="184"/>
      <c r="AQ40" s="184"/>
      <c r="AR40" s="184"/>
      <c r="AS40" s="184"/>
      <c r="AT40" s="184"/>
      <c r="AU40" s="184"/>
      <c r="AV40" s="184"/>
      <c r="AW40" s="184"/>
      <c r="AX40" s="184"/>
      <c r="AY40" s="184"/>
      <c r="AZ40" s="184"/>
      <c r="BA40" s="184"/>
      <c r="BB40" s="184"/>
      <c r="BC40" s="184"/>
      <c r="BD40" s="184"/>
      <c r="BE40" s="184"/>
      <c r="BF40" s="184"/>
      <c r="BG40" s="184"/>
      <c r="BH40" s="184"/>
      <c r="BI40" s="184"/>
      <c r="BJ40" s="184"/>
      <c r="BK40" s="184"/>
      <c r="BL40" s="184"/>
      <c r="BM40" s="184"/>
      <c r="BN40" s="184"/>
      <c r="BO40" s="184"/>
      <c r="BP40" s="184"/>
      <c r="BQ40" s="184"/>
      <c r="BR40" s="184"/>
      <c r="BS40" s="184"/>
      <c r="BT40" s="184"/>
      <c r="BU40" s="184"/>
      <c r="BV40" s="184"/>
      <c r="BW40" s="184"/>
      <c r="BX40" s="184"/>
      <c r="BY40" s="184"/>
      <c r="BZ40" s="184"/>
      <c r="CA40" s="184"/>
      <c r="CB40" s="184"/>
      <c r="CC40" s="184"/>
      <c r="CD40" s="184"/>
      <c r="CE40" s="184"/>
      <c r="CF40" s="184"/>
      <c r="CG40" s="184"/>
      <c r="CH40" s="184"/>
      <c r="CI40" s="184"/>
      <c r="CJ40" s="184"/>
      <c r="CK40" s="184"/>
      <c r="CL40" s="184"/>
      <c r="CM40" s="184"/>
      <c r="CN40" s="184"/>
      <c r="CO40" s="184"/>
      <c r="CP40" s="184"/>
      <c r="CQ40" s="184"/>
      <c r="CR40" s="184"/>
      <c r="CS40" s="184"/>
      <c r="CT40" s="184"/>
      <c r="CU40" s="184"/>
      <c r="CV40" s="184"/>
      <c r="CW40" s="184"/>
      <c r="CX40" s="184"/>
      <c r="CY40" s="184"/>
      <c r="CZ40" s="184"/>
      <c r="DA40" s="184"/>
      <c r="DB40" s="184"/>
      <c r="DC40" s="184"/>
      <c r="DD40" s="184"/>
      <c r="DE40" s="184"/>
      <c r="DF40" s="184"/>
      <c r="DG40" s="184"/>
      <c r="DH40" s="184"/>
      <c r="DI40" s="184"/>
      <c r="DJ40" s="184"/>
      <c r="DK40" s="184"/>
      <c r="DL40" s="184"/>
      <c r="DM40" s="184"/>
      <c r="DN40" s="184"/>
      <c r="DO40" s="184"/>
      <c r="DP40" s="184"/>
      <c r="DQ40" s="184"/>
      <c r="DR40" s="184"/>
      <c r="DS40" s="184"/>
      <c r="DT40" s="184"/>
      <c r="DU40" s="184"/>
      <c r="DV40" s="184"/>
      <c r="DW40" s="184"/>
      <c r="DX40" s="184"/>
      <c r="DY40" s="184"/>
      <c r="DZ40" s="184"/>
      <c r="EA40" s="184"/>
      <c r="EB40" s="184"/>
      <c r="EC40" s="184"/>
      <c r="ED40" s="184"/>
      <c r="EE40" s="184"/>
      <c r="EF40" s="184"/>
      <c r="EG40" s="184"/>
      <c r="EH40" s="184"/>
      <c r="EI40" s="184"/>
      <c r="EJ40" s="184"/>
      <c r="EK40" s="184"/>
      <c r="EL40" s="184"/>
      <c r="EM40" s="184"/>
      <c r="EN40" s="184"/>
      <c r="EO40" s="184"/>
      <c r="EP40" s="184"/>
      <c r="EQ40" s="184"/>
      <c r="ER40" s="184"/>
      <c r="ES40" s="184"/>
      <c r="ET40" s="184"/>
      <c r="EU40" s="184"/>
      <c r="EV40" s="184"/>
      <c r="EW40" s="184"/>
    </row>
    <row r="41" spans="1:153">
      <c r="A41" s="917" t="s">
        <v>184</v>
      </c>
      <c r="B41" s="882" t="s">
        <v>260</v>
      </c>
      <c r="C41" s="59"/>
      <c r="D41" s="59"/>
      <c r="E41" s="219">
        <f>$E$4*E6*Assum!E197</f>
        <v>249.30555555555557</v>
      </c>
      <c r="F41" s="219">
        <f>$E$4*F6*Assum!F197</f>
        <v>256.5</v>
      </c>
      <c r="G41" s="219">
        <f>$E$4*G6*Assum!G197</f>
        <v>262.91249999999997</v>
      </c>
      <c r="H41" s="219">
        <f>$E$4*H6*Assum!H197</f>
        <v>269.48531249999996</v>
      </c>
      <c r="I41" s="219">
        <f>$E$4*I6*Assum!I197</f>
        <v>276.22244531249993</v>
      </c>
      <c r="J41" s="219">
        <f>$E$4*J6*Assum!J197</f>
        <v>283.12800644531239</v>
      </c>
      <c r="K41" s="219">
        <f>$E$4*K6*Assum!K197</f>
        <v>290.20620660644516</v>
      </c>
      <c r="L41" s="219">
        <f>$E$4*L6*Assum!L197</f>
        <v>297.46136177160628</v>
      </c>
      <c r="M41" s="219">
        <f>$E$4*M6*Assum!M197</f>
        <v>304.89789581589639</v>
      </c>
      <c r="N41" s="219">
        <f>$E$4*N6*Assum!N197</f>
        <v>312.52034321129378</v>
      </c>
      <c r="O41" s="219">
        <f>$E$4*O6*Assum!O197</f>
        <v>320.33335179157609</v>
      </c>
      <c r="P41" s="219">
        <f>$E$4*P6*Assum!P197</f>
        <v>328.34168558636549</v>
      </c>
      <c r="Q41" s="219">
        <f>$E$4*Q6*Assum!Q197</f>
        <v>336.55022772602462</v>
      </c>
      <c r="R41" s="219">
        <f>$E$4*R6*Assum!R197</f>
        <v>344.96398341917518</v>
      </c>
      <c r="S41" s="219">
        <f>$E$4*S6*Assum!S197</f>
        <v>353.58808300465455</v>
      </c>
      <c r="T41" s="219">
        <f>$E$4*T6*Assum!T197</f>
        <v>362.4277850797709</v>
      </c>
      <c r="U41" s="219">
        <f>$E$4*U6*Assum!U197</f>
        <v>371.48847970676513</v>
      </c>
      <c r="V41" s="219">
        <f>$E$4*V6*Assum!V197</f>
        <v>380.77569169943422</v>
      </c>
      <c r="W41" s="219">
        <f>$E$4*W6*Assum!W197</f>
        <v>390.29508399192002</v>
      </c>
      <c r="X41" s="219">
        <f>$E$4*X6*Assum!X197</f>
        <v>400.05246109171799</v>
      </c>
      <c r="Y41" s="219">
        <f>$E$4*Y6*Assum!Y197</f>
        <v>1.1390382572750262</v>
      </c>
      <c r="Z41" s="219">
        <f>$E$4*Z6*Assum!Z197</f>
        <v>0</v>
      </c>
      <c r="AA41" s="219">
        <f>$E$4*AA6*Assum!AA197</f>
        <v>0</v>
      </c>
      <c r="AB41" s="219">
        <f>$E$4*AB6*Assum!AB197</f>
        <v>0</v>
      </c>
      <c r="AC41" s="219">
        <f>$E$4*AC6*Assum!AC197</f>
        <v>0</v>
      </c>
      <c r="AD41" s="219">
        <f>$E$4*AD6*Assum!AD197</f>
        <v>0</v>
      </c>
      <c r="AE41" s="219">
        <f>$E$4*AE6*Assum!AE197</f>
        <v>0</v>
      </c>
      <c r="AF41" s="219">
        <f>$E$4*AF6*Assum!AF197</f>
        <v>0</v>
      </c>
      <c r="AG41" s="219">
        <f>$E$4*AG6*Assum!AG197</f>
        <v>0</v>
      </c>
      <c r="AH41" s="219">
        <f>$E$4*AH6*Assum!AH197</f>
        <v>0</v>
      </c>
      <c r="AI41" s="219">
        <f>$E$4*AI6*Assum!AI197</f>
        <v>0</v>
      </c>
      <c r="AJ41" s="184"/>
      <c r="AK41" s="184"/>
      <c r="AL41" s="184"/>
      <c r="AM41" s="184"/>
      <c r="AN41" s="184"/>
      <c r="AO41" s="184"/>
      <c r="AP41" s="184"/>
      <c r="AQ41" s="184"/>
      <c r="AR41" s="184"/>
      <c r="AS41" s="184"/>
      <c r="AT41" s="184"/>
      <c r="AU41" s="184"/>
      <c r="AV41" s="184"/>
      <c r="AW41" s="184"/>
      <c r="AX41" s="184"/>
      <c r="AY41" s="184"/>
      <c r="AZ41" s="184"/>
      <c r="BA41" s="184"/>
      <c r="BB41" s="184"/>
      <c r="BC41" s="184"/>
      <c r="BD41" s="184"/>
      <c r="BE41" s="184"/>
      <c r="BF41" s="184"/>
      <c r="BG41" s="184"/>
      <c r="BH41" s="184"/>
      <c r="BI41" s="184"/>
      <c r="BJ41" s="184"/>
      <c r="BK41" s="184"/>
      <c r="BL41" s="184"/>
      <c r="BM41" s="184"/>
      <c r="BN41" s="184"/>
      <c r="BO41" s="184"/>
      <c r="BP41" s="184"/>
      <c r="BQ41" s="184"/>
      <c r="BR41" s="184"/>
      <c r="BS41" s="184"/>
      <c r="BT41" s="184"/>
      <c r="BU41" s="184"/>
      <c r="BV41" s="184"/>
      <c r="BW41" s="184"/>
      <c r="BX41" s="184"/>
      <c r="BY41" s="184"/>
      <c r="BZ41" s="184"/>
      <c r="CA41" s="184"/>
      <c r="CB41" s="184"/>
      <c r="CC41" s="184"/>
      <c r="CD41" s="184"/>
      <c r="CE41" s="184"/>
      <c r="CF41" s="184"/>
      <c r="CG41" s="184"/>
      <c r="CH41" s="184"/>
      <c r="CI41" s="184"/>
      <c r="CJ41" s="184"/>
      <c r="CK41" s="184"/>
      <c r="CL41" s="184"/>
      <c r="CM41" s="184"/>
      <c r="CN41" s="184"/>
      <c r="CO41" s="184"/>
      <c r="CP41" s="184"/>
      <c r="CQ41" s="184"/>
      <c r="CR41" s="184"/>
      <c r="CS41" s="184"/>
      <c r="CT41" s="184"/>
      <c r="CU41" s="184"/>
      <c r="CV41" s="184"/>
      <c r="CW41" s="184"/>
      <c r="CX41" s="184"/>
      <c r="CY41" s="184"/>
      <c r="CZ41" s="184"/>
      <c r="DA41" s="184"/>
      <c r="DB41" s="184"/>
      <c r="DC41" s="184"/>
      <c r="DD41" s="184"/>
      <c r="DE41" s="184"/>
      <c r="DF41" s="184"/>
      <c r="DG41" s="184"/>
      <c r="DH41" s="184"/>
      <c r="DI41" s="184"/>
      <c r="DJ41" s="184"/>
      <c r="DK41" s="184"/>
      <c r="DL41" s="184"/>
      <c r="DM41" s="184"/>
      <c r="DN41" s="184"/>
      <c r="DO41" s="184"/>
      <c r="DP41" s="184"/>
      <c r="DQ41" s="184"/>
      <c r="DR41" s="184"/>
      <c r="DS41" s="184"/>
      <c r="DT41" s="184"/>
      <c r="DU41" s="184"/>
      <c r="DV41" s="184"/>
      <c r="DW41" s="184"/>
      <c r="DX41" s="184"/>
      <c r="DY41" s="184"/>
      <c r="DZ41" s="184"/>
      <c r="EA41" s="184"/>
      <c r="EB41" s="184"/>
      <c r="EC41" s="184"/>
      <c r="ED41" s="184"/>
      <c r="EE41" s="184"/>
      <c r="EF41" s="184"/>
      <c r="EG41" s="184"/>
      <c r="EH41" s="184"/>
      <c r="EI41" s="184"/>
      <c r="EJ41" s="184"/>
      <c r="EK41" s="184"/>
      <c r="EL41" s="184"/>
      <c r="EM41" s="184"/>
      <c r="EN41" s="184"/>
      <c r="EO41" s="184"/>
      <c r="EP41" s="184"/>
      <c r="EQ41" s="184"/>
      <c r="ER41" s="184"/>
      <c r="ES41" s="184"/>
      <c r="ET41" s="184"/>
      <c r="EU41" s="184"/>
      <c r="EV41" s="184"/>
      <c r="EW41" s="184"/>
    </row>
    <row r="42" spans="1:153" ht="13.5" thickBot="1">
      <c r="A42" s="177"/>
      <c r="B42" s="908" t="s">
        <v>572</v>
      </c>
      <c r="C42" s="909"/>
      <c r="D42" s="909"/>
      <c r="E42" s="534">
        <f>SUM(E40:E41)</f>
        <v>256.57793055555555</v>
      </c>
      <c r="F42" s="534">
        <f t="shared" ref="F42:AI42" si="8">SUM(F40:F41)</f>
        <v>263.95418437500001</v>
      </c>
      <c r="G42" s="534">
        <f t="shared" si="8"/>
        <v>270.55303898437495</v>
      </c>
      <c r="H42" s="534">
        <f t="shared" si="8"/>
        <v>277.31686495898435</v>
      </c>
      <c r="I42" s="534">
        <f t="shared" si="8"/>
        <v>284.2497865829589</v>
      </c>
      <c r="J42" s="534">
        <f t="shared" si="8"/>
        <v>291.35603124753283</v>
      </c>
      <c r="K42" s="534">
        <f t="shared" si="8"/>
        <v>298.63993202872115</v>
      </c>
      <c r="L42" s="534">
        <f t="shared" si="8"/>
        <v>306.10593032943916</v>
      </c>
      <c r="M42" s="534">
        <f t="shared" si="8"/>
        <v>313.75857858767506</v>
      </c>
      <c r="N42" s="534">
        <f t="shared" si="8"/>
        <v>321.60254305236691</v>
      </c>
      <c r="O42" s="534">
        <f t="shared" si="8"/>
        <v>329.64260662867605</v>
      </c>
      <c r="P42" s="534">
        <f t="shared" si="8"/>
        <v>337.88367179439297</v>
      </c>
      <c r="Q42" s="534">
        <f t="shared" si="8"/>
        <v>346.3307635892528</v>
      </c>
      <c r="R42" s="534">
        <f t="shared" si="8"/>
        <v>354.98903267898402</v>
      </c>
      <c r="S42" s="534">
        <f t="shared" si="8"/>
        <v>363.86375849595862</v>
      </c>
      <c r="T42" s="534">
        <f t="shared" si="8"/>
        <v>372.96035245835759</v>
      </c>
      <c r="U42" s="534">
        <f t="shared" si="8"/>
        <v>382.28436126981649</v>
      </c>
      <c r="V42" s="534">
        <f t="shared" si="8"/>
        <v>380.77569169943422</v>
      </c>
      <c r="W42" s="534">
        <f t="shared" si="8"/>
        <v>390.29508399192002</v>
      </c>
      <c r="X42" s="534">
        <f t="shared" si="8"/>
        <v>400.05246109171799</v>
      </c>
      <c r="Y42" s="534">
        <f t="shared" si="8"/>
        <v>1.1390382572750262</v>
      </c>
      <c r="Z42" s="534">
        <f t="shared" si="8"/>
        <v>0</v>
      </c>
      <c r="AA42" s="534">
        <f t="shared" si="8"/>
        <v>0</v>
      </c>
      <c r="AB42" s="534">
        <f t="shared" si="8"/>
        <v>0</v>
      </c>
      <c r="AC42" s="534">
        <f t="shared" si="8"/>
        <v>0</v>
      </c>
      <c r="AD42" s="534">
        <f t="shared" si="8"/>
        <v>0</v>
      </c>
      <c r="AE42" s="534">
        <f t="shared" si="8"/>
        <v>0</v>
      </c>
      <c r="AF42" s="534">
        <f t="shared" si="8"/>
        <v>0</v>
      </c>
      <c r="AG42" s="534">
        <f t="shared" si="8"/>
        <v>0</v>
      </c>
      <c r="AH42" s="534">
        <f t="shared" si="8"/>
        <v>0</v>
      </c>
      <c r="AI42" s="534">
        <f t="shared" si="8"/>
        <v>0</v>
      </c>
      <c r="AJ42" s="184"/>
      <c r="AK42" s="184"/>
      <c r="AL42" s="184"/>
      <c r="AM42" s="184"/>
      <c r="AN42" s="184"/>
      <c r="AO42" s="184"/>
      <c r="AP42" s="184"/>
      <c r="AQ42" s="184"/>
      <c r="AR42" s="184"/>
      <c r="AS42" s="184"/>
      <c r="AT42" s="184"/>
      <c r="AU42" s="184"/>
      <c r="AV42" s="184"/>
      <c r="AW42" s="184"/>
      <c r="AX42" s="184"/>
      <c r="AY42" s="184"/>
      <c r="AZ42" s="184"/>
      <c r="BA42" s="184"/>
      <c r="BB42" s="184"/>
      <c r="BC42" s="184"/>
      <c r="BD42" s="184"/>
      <c r="BE42" s="184"/>
      <c r="BF42" s="184"/>
      <c r="BG42" s="184"/>
      <c r="BH42" s="184"/>
      <c r="BI42" s="184"/>
      <c r="BJ42" s="184"/>
      <c r="BK42" s="184"/>
      <c r="BL42" s="184"/>
      <c r="BM42" s="184"/>
      <c r="BN42" s="184"/>
      <c r="BO42" s="184"/>
      <c r="BP42" s="184"/>
      <c r="BQ42" s="184"/>
      <c r="BR42" s="184"/>
      <c r="BS42" s="184"/>
      <c r="BT42" s="184"/>
      <c r="BU42" s="184"/>
      <c r="BV42" s="184"/>
      <c r="BW42" s="184"/>
      <c r="BX42" s="184"/>
      <c r="BY42" s="184"/>
      <c r="BZ42" s="184"/>
      <c r="CA42" s="184"/>
      <c r="CB42" s="184"/>
      <c r="CC42" s="184"/>
      <c r="CD42" s="184"/>
      <c r="CE42" s="184"/>
      <c r="CF42" s="184"/>
      <c r="CG42" s="184"/>
      <c r="CH42" s="184"/>
      <c r="CI42" s="184"/>
      <c r="CJ42" s="184"/>
      <c r="CK42" s="184"/>
      <c r="CL42" s="184"/>
      <c r="CM42" s="184"/>
      <c r="CN42" s="184"/>
      <c r="CO42" s="184"/>
      <c r="CP42" s="184"/>
      <c r="CQ42" s="184"/>
      <c r="CR42" s="184"/>
      <c r="CS42" s="184"/>
      <c r="CT42" s="184"/>
      <c r="CU42" s="184"/>
      <c r="CV42" s="184"/>
      <c r="CW42" s="184"/>
      <c r="CX42" s="184"/>
      <c r="CY42" s="184"/>
      <c r="CZ42" s="184"/>
      <c r="DA42" s="184"/>
      <c r="DB42" s="184"/>
      <c r="DC42" s="184"/>
      <c r="DD42" s="184"/>
      <c r="DE42" s="184"/>
      <c r="DF42" s="184"/>
      <c r="DG42" s="184"/>
      <c r="DH42" s="184"/>
      <c r="DI42" s="184"/>
      <c r="DJ42" s="184"/>
      <c r="DK42" s="184"/>
      <c r="DL42" s="184"/>
      <c r="DM42" s="184"/>
      <c r="DN42" s="184"/>
      <c r="DO42" s="184"/>
      <c r="DP42" s="184"/>
      <c r="DQ42" s="184"/>
      <c r="DR42" s="184"/>
      <c r="DS42" s="184"/>
      <c r="DT42" s="184"/>
      <c r="DU42" s="184"/>
      <c r="DV42" s="184"/>
      <c r="DW42" s="184"/>
      <c r="DX42" s="184"/>
      <c r="DY42" s="184"/>
      <c r="DZ42" s="184"/>
      <c r="EA42" s="184"/>
      <c r="EB42" s="184"/>
      <c r="EC42" s="184"/>
      <c r="ED42" s="184"/>
      <c r="EE42" s="184"/>
      <c r="EF42" s="184"/>
      <c r="EG42" s="184"/>
      <c r="EH42" s="184"/>
      <c r="EI42" s="184"/>
      <c r="EJ42" s="184"/>
      <c r="EK42" s="184"/>
      <c r="EL42" s="184"/>
      <c r="EM42" s="184"/>
      <c r="EN42" s="184"/>
      <c r="EO42" s="184"/>
      <c r="EP42" s="184"/>
      <c r="EQ42" s="184"/>
      <c r="ER42" s="184"/>
      <c r="ES42" s="184"/>
      <c r="ET42" s="184"/>
      <c r="EU42" s="184"/>
      <c r="EV42" s="184"/>
      <c r="EW42" s="184"/>
    </row>
    <row r="43" spans="1:153" s="442" customFormat="1" ht="13.5" thickTop="1">
      <c r="A43" s="319"/>
      <c r="B43" s="218" t="s">
        <v>532</v>
      </c>
      <c r="C43" s="59"/>
      <c r="D43" s="59"/>
      <c r="E43" s="218">
        <f t="shared" ref="E43:AI43" si="9">E38-E42</f>
        <v>1985.2107806507152</v>
      </c>
      <c r="F43" s="218">
        <f t="shared" si="9"/>
        <v>1480.4926450176847</v>
      </c>
      <c r="G43" s="218">
        <f t="shared" si="9"/>
        <v>1492.0973072087177</v>
      </c>
      <c r="H43" s="218">
        <f t="shared" si="9"/>
        <v>1481.3737017094784</v>
      </c>
      <c r="I43" s="218">
        <f t="shared" si="9"/>
        <v>1470.4180329030396</v>
      </c>
      <c r="J43" s="218">
        <f t="shared" si="9"/>
        <v>1555.2441263446904</v>
      </c>
      <c r="K43" s="218">
        <f t="shared" si="9"/>
        <v>1431.6968912728519</v>
      </c>
      <c r="L43" s="218">
        <f t="shared" si="9"/>
        <v>1430.0057177907272</v>
      </c>
      <c r="M43" s="218">
        <f t="shared" si="9"/>
        <v>1427.6939298011375</v>
      </c>
      <c r="N43" s="218">
        <f t="shared" si="9"/>
        <v>1447.1040927683948</v>
      </c>
      <c r="O43" s="218">
        <f t="shared" si="9"/>
        <v>1470.1758999941046</v>
      </c>
      <c r="P43" s="218">
        <f t="shared" si="9"/>
        <v>1496.2425943695835</v>
      </c>
      <c r="Q43" s="218">
        <f t="shared" si="9"/>
        <v>1527.1247714941283</v>
      </c>
      <c r="R43" s="218">
        <f t="shared" si="9"/>
        <v>1495.1697626794498</v>
      </c>
      <c r="S43" s="218">
        <f t="shared" si="9"/>
        <v>1459.4654492119746</v>
      </c>
      <c r="T43" s="218">
        <f t="shared" si="9"/>
        <v>1390.7946428457583</v>
      </c>
      <c r="U43" s="218">
        <f t="shared" si="9"/>
        <v>1370.3596058201879</v>
      </c>
      <c r="V43" s="218">
        <f t="shared" si="9"/>
        <v>2320.5205604021085</v>
      </c>
      <c r="W43" s="218">
        <f t="shared" si="9"/>
        <v>5816.9380609148457</v>
      </c>
      <c r="X43" s="218">
        <f t="shared" si="9"/>
        <v>5740.5071598288487</v>
      </c>
      <c r="Y43" s="218">
        <f t="shared" si="9"/>
        <v>16.844521113536999</v>
      </c>
      <c r="Z43" s="218">
        <f t="shared" si="9"/>
        <v>0</v>
      </c>
      <c r="AA43" s="218">
        <f t="shared" si="9"/>
        <v>0</v>
      </c>
      <c r="AB43" s="218">
        <f t="shared" si="9"/>
        <v>0</v>
      </c>
      <c r="AC43" s="218">
        <f t="shared" si="9"/>
        <v>0</v>
      </c>
      <c r="AD43" s="218">
        <f t="shared" si="9"/>
        <v>0</v>
      </c>
      <c r="AE43" s="218">
        <f t="shared" si="9"/>
        <v>0</v>
      </c>
      <c r="AF43" s="218">
        <f t="shared" si="9"/>
        <v>0</v>
      </c>
      <c r="AG43" s="218">
        <f t="shared" si="9"/>
        <v>0</v>
      </c>
      <c r="AH43" s="218">
        <f t="shared" si="9"/>
        <v>0</v>
      </c>
      <c r="AI43" s="218">
        <f t="shared" si="9"/>
        <v>0</v>
      </c>
      <c r="AJ43" s="441"/>
      <c r="AK43" s="441"/>
      <c r="AL43" s="441"/>
      <c r="AM43" s="441"/>
      <c r="AN43" s="441"/>
      <c r="AO43" s="441"/>
      <c r="AP43" s="441"/>
      <c r="AQ43" s="441"/>
      <c r="AR43" s="441"/>
      <c r="AS43" s="441"/>
      <c r="AT43" s="441"/>
      <c r="AU43" s="441"/>
      <c r="AV43" s="441"/>
      <c r="AW43" s="441"/>
      <c r="AX43" s="441"/>
      <c r="AY43" s="441"/>
      <c r="AZ43" s="441"/>
      <c r="BA43" s="441"/>
      <c r="BB43" s="441"/>
      <c r="BC43" s="441"/>
      <c r="BD43" s="441"/>
      <c r="BE43" s="441"/>
      <c r="BF43" s="441"/>
      <c r="BG43" s="441"/>
      <c r="BH43" s="441"/>
      <c r="BI43" s="441"/>
      <c r="BJ43" s="441"/>
      <c r="BK43" s="441"/>
      <c r="BL43" s="441"/>
      <c r="BM43" s="441"/>
      <c r="BN43" s="441"/>
      <c r="BO43" s="441"/>
      <c r="BP43" s="441"/>
      <c r="BQ43" s="441"/>
      <c r="BR43" s="441"/>
      <c r="BS43" s="441"/>
      <c r="BT43" s="441"/>
      <c r="BU43" s="441"/>
      <c r="BV43" s="441"/>
      <c r="BW43" s="441"/>
      <c r="BX43" s="441"/>
      <c r="BY43" s="441"/>
      <c r="BZ43" s="441"/>
      <c r="CA43" s="441"/>
      <c r="CB43" s="441"/>
      <c r="CC43" s="441"/>
      <c r="CD43" s="441"/>
      <c r="CE43" s="441"/>
      <c r="CF43" s="441"/>
      <c r="CG43" s="441"/>
      <c r="CH43" s="441"/>
      <c r="CI43" s="441"/>
      <c r="CJ43" s="441"/>
      <c r="CK43" s="441"/>
      <c r="CL43" s="441"/>
      <c r="CM43" s="441"/>
      <c r="CN43" s="441"/>
      <c r="CO43" s="441"/>
      <c r="CP43" s="441"/>
      <c r="CQ43" s="441"/>
      <c r="CR43" s="441"/>
      <c r="CS43" s="441"/>
      <c r="CT43" s="441"/>
      <c r="CU43" s="441"/>
      <c r="CV43" s="441"/>
      <c r="CW43" s="441"/>
      <c r="CX43" s="441"/>
      <c r="CY43" s="441"/>
      <c r="CZ43" s="441"/>
      <c r="DA43" s="441"/>
      <c r="DB43" s="441"/>
      <c r="DC43" s="441"/>
      <c r="DD43" s="441"/>
      <c r="DE43" s="441"/>
      <c r="DF43" s="441"/>
      <c r="DG43" s="441"/>
      <c r="DH43" s="441"/>
      <c r="DI43" s="441"/>
      <c r="DJ43" s="441"/>
      <c r="DK43" s="441"/>
      <c r="DL43" s="441"/>
      <c r="DM43" s="441"/>
      <c r="DN43" s="441"/>
      <c r="DO43" s="441"/>
      <c r="DP43" s="441"/>
      <c r="DQ43" s="441"/>
      <c r="DR43" s="441"/>
      <c r="DS43" s="441"/>
      <c r="DT43" s="441"/>
      <c r="DU43" s="441"/>
      <c r="DV43" s="441"/>
      <c r="DW43" s="441"/>
      <c r="DX43" s="441"/>
      <c r="DY43" s="441"/>
      <c r="DZ43" s="441"/>
      <c r="EA43" s="441"/>
      <c r="EB43" s="441"/>
      <c r="EC43" s="441"/>
      <c r="ED43" s="441"/>
      <c r="EE43" s="441"/>
      <c r="EF43" s="441"/>
      <c r="EG43" s="441"/>
      <c r="EH43" s="441"/>
      <c r="EI43" s="441"/>
      <c r="EJ43" s="441"/>
      <c r="EK43" s="441"/>
      <c r="EL43" s="441"/>
      <c r="EM43" s="441"/>
      <c r="EN43" s="441"/>
      <c r="EO43" s="441"/>
      <c r="EP43" s="441"/>
      <c r="EQ43" s="441"/>
      <c r="ER43" s="441"/>
      <c r="ES43" s="441"/>
      <c r="ET43" s="441"/>
      <c r="EU43" s="441"/>
      <c r="EV43" s="441"/>
      <c r="EW43" s="441"/>
    </row>
    <row r="44" spans="1:153" s="442" customFormat="1">
      <c r="A44" s="319"/>
      <c r="B44" s="218"/>
      <c r="C44" s="59"/>
      <c r="D44" s="59"/>
      <c r="E44" s="218"/>
      <c r="F44" s="218"/>
      <c r="G44" s="218"/>
      <c r="H44" s="218"/>
      <c r="I44" s="218"/>
      <c r="J44" s="218"/>
      <c r="K44" s="218"/>
      <c r="L44" s="218"/>
      <c r="M44" s="218"/>
      <c r="N44" s="218"/>
      <c r="O44" s="218"/>
      <c r="P44" s="218"/>
      <c r="Q44" s="218"/>
      <c r="R44" s="218"/>
      <c r="S44" s="218"/>
      <c r="T44" s="218"/>
      <c r="U44" s="218"/>
      <c r="V44" s="218"/>
      <c r="W44" s="218"/>
      <c r="X44" s="218"/>
      <c r="Y44" s="218"/>
      <c r="Z44" s="218"/>
      <c r="AA44" s="218"/>
      <c r="AB44" s="218"/>
      <c r="AC44" s="218"/>
      <c r="AD44" s="218"/>
      <c r="AE44" s="218"/>
      <c r="AF44" s="218"/>
      <c r="AG44" s="218"/>
      <c r="AH44" s="218"/>
      <c r="AI44" s="218"/>
      <c r="AJ44" s="441"/>
      <c r="AK44" s="441"/>
      <c r="AL44" s="441"/>
      <c r="AM44" s="441"/>
      <c r="AN44" s="441"/>
      <c r="AO44" s="441"/>
      <c r="AP44" s="441"/>
      <c r="AQ44" s="441"/>
      <c r="AR44" s="441"/>
      <c r="AS44" s="441"/>
      <c r="AT44" s="441"/>
      <c r="AU44" s="441"/>
      <c r="AV44" s="441"/>
      <c r="AW44" s="441"/>
      <c r="AX44" s="441"/>
      <c r="AY44" s="441"/>
      <c r="AZ44" s="441"/>
      <c r="BA44" s="441"/>
      <c r="BB44" s="441"/>
      <c r="BC44" s="441"/>
      <c r="BD44" s="441"/>
      <c r="BE44" s="441"/>
      <c r="BF44" s="441"/>
      <c r="BG44" s="441"/>
      <c r="BH44" s="441"/>
      <c r="BI44" s="441"/>
      <c r="BJ44" s="441"/>
      <c r="BK44" s="441"/>
      <c r="BL44" s="441"/>
      <c r="BM44" s="441"/>
      <c r="BN44" s="441"/>
      <c r="BO44" s="441"/>
      <c r="BP44" s="441"/>
      <c r="BQ44" s="441"/>
      <c r="BR44" s="441"/>
      <c r="BS44" s="441"/>
      <c r="BT44" s="441"/>
      <c r="BU44" s="441"/>
      <c r="BV44" s="441"/>
      <c r="BW44" s="441"/>
      <c r="BX44" s="441"/>
      <c r="BY44" s="441"/>
      <c r="BZ44" s="441"/>
      <c r="CA44" s="441"/>
      <c r="CB44" s="441"/>
      <c r="CC44" s="441"/>
      <c r="CD44" s="441"/>
      <c r="CE44" s="441"/>
      <c r="CF44" s="441"/>
      <c r="CG44" s="441"/>
      <c r="CH44" s="441"/>
      <c r="CI44" s="441"/>
      <c r="CJ44" s="441"/>
      <c r="CK44" s="441"/>
      <c r="CL44" s="441"/>
      <c r="CM44" s="441"/>
      <c r="CN44" s="441"/>
      <c r="CO44" s="441"/>
      <c r="CP44" s="441"/>
      <c r="CQ44" s="441"/>
      <c r="CR44" s="441"/>
      <c r="CS44" s="441"/>
      <c r="CT44" s="441"/>
      <c r="CU44" s="441"/>
      <c r="CV44" s="441"/>
      <c r="CW44" s="441"/>
      <c r="CX44" s="441"/>
      <c r="CY44" s="441"/>
      <c r="CZ44" s="441"/>
      <c r="DA44" s="441"/>
      <c r="DB44" s="441"/>
      <c r="DC44" s="441"/>
      <c r="DD44" s="441"/>
      <c r="DE44" s="441"/>
      <c r="DF44" s="441"/>
      <c r="DG44" s="441"/>
      <c r="DH44" s="441"/>
      <c r="DI44" s="441"/>
      <c r="DJ44" s="441"/>
      <c r="DK44" s="441"/>
      <c r="DL44" s="441"/>
      <c r="DM44" s="441"/>
      <c r="DN44" s="441"/>
      <c r="DO44" s="441"/>
      <c r="DP44" s="441"/>
      <c r="DQ44" s="441"/>
      <c r="DR44" s="441"/>
      <c r="DS44" s="441"/>
      <c r="DT44" s="441"/>
      <c r="DU44" s="441"/>
      <c r="DV44" s="441"/>
      <c r="DW44" s="441"/>
      <c r="DX44" s="441"/>
      <c r="DY44" s="441"/>
      <c r="DZ44" s="441"/>
      <c r="EA44" s="441"/>
      <c r="EB44" s="441"/>
      <c r="EC44" s="441"/>
      <c r="ED44" s="441"/>
      <c r="EE44" s="441"/>
      <c r="EF44" s="441"/>
      <c r="EG44" s="441"/>
      <c r="EH44" s="441"/>
      <c r="EI44" s="441"/>
      <c r="EJ44" s="441"/>
      <c r="EK44" s="441"/>
      <c r="EL44" s="441"/>
      <c r="EM44" s="441"/>
      <c r="EN44" s="441"/>
      <c r="EO44" s="441"/>
      <c r="EP44" s="441"/>
      <c r="EQ44" s="441"/>
      <c r="ER44" s="441"/>
      <c r="ES44" s="441"/>
      <c r="ET44" s="441"/>
      <c r="EU44" s="441"/>
      <c r="EV44" s="441"/>
      <c r="EW44" s="441"/>
    </row>
    <row r="45" spans="1:153">
      <c r="B45" s="176" t="s">
        <v>183</v>
      </c>
      <c r="C45" s="59"/>
      <c r="D45" s="59"/>
      <c r="E45" s="176">
        <f>JrDebt!E73</f>
        <v>0</v>
      </c>
      <c r="F45" s="176">
        <f>JrDebt!F73</f>
        <v>0</v>
      </c>
      <c r="G45" s="176">
        <f>JrDebt!G73</f>
        <v>0</v>
      </c>
      <c r="H45" s="176">
        <f>JrDebt!H73</f>
        <v>0</v>
      </c>
      <c r="I45" s="176">
        <f>JrDebt!I73</f>
        <v>0</v>
      </c>
      <c r="J45" s="176">
        <f>JrDebt!J73</f>
        <v>0</v>
      </c>
      <c r="K45" s="176">
        <f>JrDebt!K73</f>
        <v>0</v>
      </c>
      <c r="L45" s="176">
        <f>JrDebt!L73</f>
        <v>0</v>
      </c>
      <c r="M45" s="176">
        <f>JrDebt!M73</f>
        <v>0</v>
      </c>
      <c r="N45" s="176">
        <f>JrDebt!N73</f>
        <v>0</v>
      </c>
      <c r="O45" s="176">
        <f>JrDebt!O73</f>
        <v>0</v>
      </c>
      <c r="P45" s="176">
        <f>JrDebt!P73</f>
        <v>0</v>
      </c>
      <c r="Q45" s="176">
        <f>JrDebt!Q73</f>
        <v>0</v>
      </c>
      <c r="R45" s="176">
        <f>JrDebt!R73</f>
        <v>0</v>
      </c>
      <c r="S45" s="176">
        <f>JrDebt!S73</f>
        <v>0</v>
      </c>
      <c r="T45" s="176">
        <f>JrDebt!T73</f>
        <v>0</v>
      </c>
      <c r="U45" s="176">
        <f>JrDebt!U73</f>
        <v>0</v>
      </c>
      <c r="V45" s="176">
        <f>JrDebt!V73</f>
        <v>0</v>
      </c>
      <c r="W45" s="176">
        <f>JrDebt!W73</f>
        <v>0</v>
      </c>
      <c r="X45" s="176">
        <f>JrDebt!X73</f>
        <v>0</v>
      </c>
      <c r="Y45" s="176">
        <f>JrDebt!Y73</f>
        <v>0</v>
      </c>
      <c r="Z45" s="176">
        <f>JrDebt!Z73</f>
        <v>0</v>
      </c>
      <c r="AA45" s="176">
        <f>JrDebt!AA73</f>
        <v>0</v>
      </c>
      <c r="AB45" s="176">
        <f>JrDebt!AB73</f>
        <v>0</v>
      </c>
      <c r="AC45" s="176">
        <f>JrDebt!AC73</f>
        <v>0</v>
      </c>
      <c r="AD45" s="176">
        <f>JrDebt!AD73</f>
        <v>0</v>
      </c>
      <c r="AE45" s="176">
        <f>JrDebt!AE73</f>
        <v>0</v>
      </c>
      <c r="AF45" s="176">
        <f>JrDebt!AF73</f>
        <v>0</v>
      </c>
      <c r="AG45" s="176">
        <f>JrDebt!AG73</f>
        <v>0</v>
      </c>
      <c r="AH45" s="176">
        <f>JrDebt!AH73</f>
        <v>0</v>
      </c>
      <c r="AI45" s="176">
        <f>JrDebt!AI73</f>
        <v>0</v>
      </c>
      <c r="AJ45" s="184"/>
      <c r="AK45" s="184"/>
      <c r="AL45" s="184"/>
      <c r="AM45" s="184"/>
      <c r="AN45" s="184"/>
      <c r="AO45" s="184"/>
      <c r="AP45" s="184"/>
      <c r="AQ45" s="184"/>
      <c r="AR45" s="184"/>
      <c r="AS45" s="184"/>
      <c r="AT45" s="184"/>
      <c r="AU45" s="184"/>
      <c r="AV45" s="184"/>
      <c r="AW45" s="184"/>
      <c r="AX45" s="184"/>
      <c r="AY45" s="184"/>
      <c r="AZ45" s="184"/>
      <c r="BA45" s="184"/>
      <c r="BB45" s="184"/>
      <c r="BC45" s="184"/>
      <c r="BD45" s="184"/>
      <c r="BE45" s="184"/>
      <c r="BF45" s="184"/>
      <c r="BG45" s="184"/>
      <c r="BH45" s="184"/>
      <c r="BI45" s="184"/>
      <c r="BJ45" s="184"/>
      <c r="BK45" s="184"/>
      <c r="BL45" s="184"/>
      <c r="BM45" s="184"/>
      <c r="BN45" s="184"/>
      <c r="BO45" s="184"/>
      <c r="BP45" s="184"/>
      <c r="BQ45" s="184"/>
      <c r="BR45" s="184"/>
      <c r="BS45" s="184"/>
      <c r="BT45" s="184"/>
      <c r="BU45" s="184"/>
      <c r="BV45" s="184"/>
      <c r="BW45" s="184"/>
      <c r="BX45" s="184"/>
      <c r="BY45" s="184"/>
      <c r="BZ45" s="184"/>
      <c r="CA45" s="184"/>
      <c r="CB45" s="184"/>
      <c r="CC45" s="184"/>
      <c r="CD45" s="184"/>
      <c r="CE45" s="184"/>
      <c r="CF45" s="184"/>
      <c r="CG45" s="184"/>
      <c r="CH45" s="184"/>
      <c r="CI45" s="184"/>
      <c r="CJ45" s="184"/>
      <c r="CK45" s="184"/>
      <c r="CL45" s="184"/>
      <c r="CM45" s="184"/>
      <c r="CN45" s="184"/>
      <c r="CO45" s="184"/>
      <c r="CP45" s="184"/>
      <c r="CQ45" s="184"/>
      <c r="CR45" s="184"/>
      <c r="CS45" s="184"/>
      <c r="CT45" s="184"/>
      <c r="CU45" s="184"/>
      <c r="CV45" s="184"/>
      <c r="CW45" s="184"/>
      <c r="CX45" s="184"/>
      <c r="CY45" s="184"/>
      <c r="CZ45" s="184"/>
      <c r="DA45" s="184"/>
      <c r="DB45" s="184"/>
      <c r="DC45" s="184"/>
      <c r="DD45" s="184"/>
      <c r="DE45" s="184"/>
      <c r="DF45" s="184"/>
      <c r="DG45" s="184"/>
      <c r="DH45" s="184"/>
      <c r="DI45" s="184"/>
      <c r="DJ45" s="184"/>
      <c r="DK45" s="184"/>
      <c r="DL45" s="184"/>
      <c r="DM45" s="184"/>
      <c r="DN45" s="184"/>
      <c r="DO45" s="184"/>
      <c r="DP45" s="184"/>
      <c r="DQ45" s="184"/>
      <c r="DR45" s="184"/>
      <c r="DS45" s="184"/>
      <c r="DT45" s="184"/>
      <c r="DU45" s="184"/>
      <c r="DV45" s="184"/>
      <c r="DW45" s="184"/>
      <c r="DX45" s="184"/>
      <c r="DY45" s="184"/>
      <c r="DZ45" s="184"/>
      <c r="EA45" s="184"/>
      <c r="EB45" s="184"/>
      <c r="EC45" s="184"/>
      <c r="ED45" s="184"/>
      <c r="EE45" s="184"/>
      <c r="EF45" s="184"/>
      <c r="EG45" s="184"/>
      <c r="EH45" s="184"/>
      <c r="EI45" s="184"/>
      <c r="EJ45" s="184"/>
      <c r="EK45" s="184"/>
      <c r="EL45" s="184"/>
      <c r="EM45" s="184"/>
      <c r="EN45" s="184"/>
      <c r="EO45" s="184"/>
      <c r="EP45" s="184"/>
      <c r="EQ45" s="184"/>
      <c r="ER45" s="184"/>
      <c r="ES45" s="184"/>
      <c r="ET45" s="184"/>
      <c r="EU45" s="184"/>
      <c r="EV45" s="184"/>
      <c r="EW45" s="184"/>
    </row>
    <row r="46" spans="1:153" ht="13.5" thickBot="1">
      <c r="B46" s="892" t="s">
        <v>27</v>
      </c>
      <c r="C46" s="490"/>
      <c r="D46" s="490"/>
      <c r="E46" s="892">
        <f>JrDebt!E74</f>
        <v>0</v>
      </c>
      <c r="F46" s="892">
        <f>JrDebt!F74</f>
        <v>0</v>
      </c>
      <c r="G46" s="892">
        <f>JrDebt!G74</f>
        <v>0</v>
      </c>
      <c r="H46" s="892">
        <f>JrDebt!H74</f>
        <v>0</v>
      </c>
      <c r="I46" s="892">
        <f>JrDebt!I74</f>
        <v>0</v>
      </c>
      <c r="J46" s="892">
        <f>JrDebt!J74</f>
        <v>0</v>
      </c>
      <c r="K46" s="892">
        <f>JrDebt!K74</f>
        <v>0</v>
      </c>
      <c r="L46" s="892">
        <f>JrDebt!L74</f>
        <v>0</v>
      </c>
      <c r="M46" s="892">
        <f>JrDebt!M74</f>
        <v>0</v>
      </c>
      <c r="N46" s="892">
        <f>JrDebt!N74</f>
        <v>0</v>
      </c>
      <c r="O46" s="892">
        <f>JrDebt!O74</f>
        <v>0</v>
      </c>
      <c r="P46" s="892">
        <f>JrDebt!P74</f>
        <v>0</v>
      </c>
      <c r="Q46" s="892">
        <f>JrDebt!Q74</f>
        <v>0</v>
      </c>
      <c r="R46" s="892">
        <f>JrDebt!R74</f>
        <v>0</v>
      </c>
      <c r="S46" s="892">
        <f>JrDebt!S74</f>
        <v>0</v>
      </c>
      <c r="T46" s="892">
        <f>JrDebt!T74</f>
        <v>0</v>
      </c>
      <c r="U46" s="892">
        <f>JrDebt!U74</f>
        <v>0</v>
      </c>
      <c r="V46" s="892">
        <f>JrDebt!V74</f>
        <v>0</v>
      </c>
      <c r="W46" s="892">
        <f>JrDebt!W74</f>
        <v>0</v>
      </c>
      <c r="X46" s="892">
        <f>JrDebt!X74</f>
        <v>0</v>
      </c>
      <c r="Y46" s="892">
        <f>JrDebt!Y74</f>
        <v>0</v>
      </c>
      <c r="Z46" s="892">
        <f>JrDebt!Z74</f>
        <v>0</v>
      </c>
      <c r="AA46" s="892">
        <f>JrDebt!AA74</f>
        <v>0</v>
      </c>
      <c r="AB46" s="892">
        <f>JrDebt!AB74</f>
        <v>0</v>
      </c>
      <c r="AC46" s="892">
        <f>JrDebt!AC74</f>
        <v>0</v>
      </c>
      <c r="AD46" s="892">
        <f>JrDebt!AD74</f>
        <v>0</v>
      </c>
      <c r="AE46" s="892">
        <f>JrDebt!AE74</f>
        <v>0</v>
      </c>
      <c r="AF46" s="892">
        <f>JrDebt!AF74</f>
        <v>0</v>
      </c>
      <c r="AG46" s="892">
        <f>JrDebt!AG74</f>
        <v>0</v>
      </c>
      <c r="AH46" s="892">
        <f>JrDebt!AH74</f>
        <v>0</v>
      </c>
      <c r="AI46" s="892">
        <f>JrDebt!AI74</f>
        <v>0</v>
      </c>
      <c r="AJ46" s="184"/>
      <c r="AK46" s="184"/>
      <c r="AL46" s="184"/>
      <c r="AM46" s="184"/>
      <c r="AN46" s="184"/>
      <c r="AO46" s="184"/>
      <c r="AP46" s="184"/>
      <c r="AQ46" s="184"/>
      <c r="AR46" s="184"/>
      <c r="AS46" s="184"/>
      <c r="AT46" s="184"/>
      <c r="AU46" s="184"/>
      <c r="AV46" s="184"/>
      <c r="AW46" s="184"/>
      <c r="AX46" s="184"/>
      <c r="AY46" s="184"/>
      <c r="AZ46" s="184"/>
      <c r="BA46" s="184"/>
      <c r="BB46" s="184"/>
      <c r="BC46" s="184"/>
      <c r="BD46" s="184"/>
      <c r="BE46" s="184"/>
      <c r="BF46" s="184"/>
      <c r="BG46" s="184"/>
      <c r="BH46" s="184"/>
      <c r="BI46" s="184"/>
      <c r="BJ46" s="184"/>
      <c r="BK46" s="184"/>
      <c r="BL46" s="184"/>
      <c r="BM46" s="184"/>
      <c r="BN46" s="184"/>
      <c r="BO46" s="184"/>
      <c r="BP46" s="184"/>
      <c r="BQ46" s="184"/>
      <c r="BR46" s="184"/>
      <c r="BS46" s="184"/>
      <c r="BT46" s="184"/>
      <c r="BU46" s="184"/>
      <c r="BV46" s="184"/>
      <c r="BW46" s="184"/>
      <c r="BX46" s="184"/>
      <c r="BY46" s="184"/>
      <c r="BZ46" s="184"/>
      <c r="CA46" s="184"/>
      <c r="CB46" s="184"/>
      <c r="CC46" s="184"/>
      <c r="CD46" s="184"/>
      <c r="CE46" s="184"/>
      <c r="CF46" s="184"/>
      <c r="CG46" s="184"/>
      <c r="CH46" s="184"/>
      <c r="CI46" s="184"/>
      <c r="CJ46" s="184"/>
      <c r="CK46" s="184"/>
      <c r="CL46" s="184"/>
      <c r="CM46" s="184"/>
      <c r="CN46" s="184"/>
      <c r="CO46" s="184"/>
      <c r="CP46" s="184"/>
      <c r="CQ46" s="184"/>
      <c r="CR46" s="184"/>
      <c r="CS46" s="184"/>
      <c r="CT46" s="184"/>
      <c r="CU46" s="184"/>
      <c r="CV46" s="184"/>
      <c r="CW46" s="184"/>
      <c r="CX46" s="184"/>
      <c r="CY46" s="184"/>
      <c r="CZ46" s="184"/>
      <c r="DA46" s="184"/>
      <c r="DB46" s="184"/>
      <c r="DC46" s="184"/>
      <c r="DD46" s="184"/>
      <c r="DE46" s="184"/>
      <c r="DF46" s="184"/>
      <c r="DG46" s="184"/>
      <c r="DH46" s="184"/>
      <c r="DI46" s="184"/>
      <c r="DJ46" s="184"/>
      <c r="DK46" s="184"/>
      <c r="DL46" s="184"/>
      <c r="DM46" s="184"/>
      <c r="DN46" s="184"/>
      <c r="DO46" s="184"/>
      <c r="DP46" s="184"/>
      <c r="DQ46" s="184"/>
      <c r="DR46" s="184"/>
      <c r="DS46" s="184"/>
      <c r="DT46" s="184"/>
      <c r="DU46" s="184"/>
      <c r="DV46" s="184"/>
      <c r="DW46" s="184"/>
      <c r="DX46" s="184"/>
      <c r="DY46" s="184"/>
      <c r="DZ46" s="184"/>
      <c r="EA46" s="184"/>
      <c r="EB46" s="184"/>
      <c r="EC46" s="184"/>
      <c r="ED46" s="184"/>
      <c r="EE46" s="184"/>
      <c r="EF46" s="184"/>
      <c r="EG46" s="184"/>
      <c r="EH46" s="184"/>
      <c r="EI46" s="184"/>
      <c r="EJ46" s="184"/>
      <c r="EK46" s="184"/>
      <c r="EL46" s="184"/>
      <c r="EM46" s="184"/>
      <c r="EN46" s="184"/>
      <c r="EO46" s="184"/>
      <c r="EP46" s="184"/>
      <c r="EQ46" s="184"/>
      <c r="ER46" s="184"/>
      <c r="ES46" s="184"/>
      <c r="ET46" s="184"/>
      <c r="EU46" s="184"/>
      <c r="EV46" s="184"/>
      <c r="EW46" s="184"/>
    </row>
    <row r="47" spans="1:153" ht="13.5" thickTop="1">
      <c r="B47" s="440" t="s">
        <v>186</v>
      </c>
      <c r="C47" s="500"/>
      <c r="D47" s="500"/>
      <c r="E47" s="440">
        <f>SUM(E43:E46)</f>
        <v>1985.2107806507152</v>
      </c>
      <c r="F47" s="440">
        <f t="shared" ref="F47:AI47" si="10">SUM(F43:F46)</f>
        <v>1480.4926450176847</v>
      </c>
      <c r="G47" s="440">
        <f t="shared" si="10"/>
        <v>1492.0973072087177</v>
      </c>
      <c r="H47" s="440">
        <f t="shared" si="10"/>
        <v>1481.3737017094784</v>
      </c>
      <c r="I47" s="440">
        <f t="shared" si="10"/>
        <v>1470.4180329030396</v>
      </c>
      <c r="J47" s="440">
        <f t="shared" si="10"/>
        <v>1555.2441263446904</v>
      </c>
      <c r="K47" s="440">
        <f t="shared" si="10"/>
        <v>1431.6968912728519</v>
      </c>
      <c r="L47" s="440">
        <f t="shared" si="10"/>
        <v>1430.0057177907272</v>
      </c>
      <c r="M47" s="440">
        <f t="shared" si="10"/>
        <v>1427.6939298011375</v>
      </c>
      <c r="N47" s="440">
        <f t="shared" si="10"/>
        <v>1447.1040927683948</v>
      </c>
      <c r="O47" s="440">
        <f t="shared" si="10"/>
        <v>1470.1758999941046</v>
      </c>
      <c r="P47" s="440">
        <f t="shared" si="10"/>
        <v>1496.2425943695835</v>
      </c>
      <c r="Q47" s="440">
        <f t="shared" si="10"/>
        <v>1527.1247714941283</v>
      </c>
      <c r="R47" s="440">
        <f t="shared" si="10"/>
        <v>1495.1697626794498</v>
      </c>
      <c r="S47" s="440">
        <f t="shared" si="10"/>
        <v>1459.4654492119746</v>
      </c>
      <c r="T47" s="440">
        <f t="shared" si="10"/>
        <v>1390.7946428457583</v>
      </c>
      <c r="U47" s="440">
        <f t="shared" si="10"/>
        <v>1370.3596058201879</v>
      </c>
      <c r="V47" s="440">
        <f t="shared" si="10"/>
        <v>2320.5205604021085</v>
      </c>
      <c r="W47" s="440">
        <f t="shared" si="10"/>
        <v>5816.9380609148457</v>
      </c>
      <c r="X47" s="440">
        <f t="shared" si="10"/>
        <v>5740.5071598288487</v>
      </c>
      <c r="Y47" s="440">
        <f t="shared" si="10"/>
        <v>16.844521113536999</v>
      </c>
      <c r="Z47" s="440">
        <f t="shared" si="10"/>
        <v>0</v>
      </c>
      <c r="AA47" s="440">
        <f t="shared" si="10"/>
        <v>0</v>
      </c>
      <c r="AB47" s="440">
        <f t="shared" si="10"/>
        <v>0</v>
      </c>
      <c r="AC47" s="440">
        <f t="shared" si="10"/>
        <v>0</v>
      </c>
      <c r="AD47" s="440">
        <f t="shared" si="10"/>
        <v>0</v>
      </c>
      <c r="AE47" s="440">
        <f t="shared" si="10"/>
        <v>0</v>
      </c>
      <c r="AF47" s="440">
        <f t="shared" si="10"/>
        <v>0</v>
      </c>
      <c r="AG47" s="440">
        <f t="shared" si="10"/>
        <v>0</v>
      </c>
      <c r="AH47" s="440">
        <f t="shared" si="10"/>
        <v>0</v>
      </c>
      <c r="AI47" s="440">
        <f t="shared" si="10"/>
        <v>0</v>
      </c>
      <c r="AJ47" s="184"/>
      <c r="AK47" s="184"/>
      <c r="AL47" s="184"/>
      <c r="AM47" s="184"/>
      <c r="AN47" s="184"/>
      <c r="AO47" s="184"/>
      <c r="AP47" s="184"/>
      <c r="AQ47" s="184"/>
      <c r="AR47" s="184"/>
      <c r="AS47" s="184"/>
      <c r="AT47" s="184"/>
      <c r="AU47" s="184"/>
      <c r="AV47" s="184"/>
      <c r="AW47" s="184"/>
      <c r="AX47" s="184"/>
      <c r="AY47" s="184"/>
      <c r="AZ47" s="184"/>
      <c r="BA47" s="184"/>
      <c r="BB47" s="184"/>
      <c r="BC47" s="184"/>
      <c r="BD47" s="184"/>
      <c r="BE47" s="184"/>
      <c r="BF47" s="184"/>
      <c r="BG47" s="184"/>
      <c r="BH47" s="184"/>
      <c r="BI47" s="184"/>
      <c r="BJ47" s="184"/>
      <c r="BK47" s="184"/>
      <c r="BL47" s="184"/>
      <c r="BM47" s="184"/>
      <c r="BN47" s="184"/>
      <c r="BO47" s="184"/>
      <c r="BP47" s="184"/>
      <c r="BQ47" s="184"/>
      <c r="BR47" s="184"/>
      <c r="BS47" s="184"/>
      <c r="BT47" s="184"/>
      <c r="BU47" s="184"/>
      <c r="BV47" s="184"/>
      <c r="BW47" s="184"/>
      <c r="BX47" s="184"/>
      <c r="BY47" s="184"/>
      <c r="BZ47" s="184"/>
      <c r="CA47" s="184"/>
      <c r="CB47" s="184"/>
      <c r="CC47" s="184"/>
      <c r="CD47" s="184"/>
      <c r="CE47" s="184"/>
      <c r="CF47" s="184"/>
      <c r="CG47" s="184"/>
      <c r="CH47" s="184"/>
      <c r="CI47" s="184"/>
      <c r="CJ47" s="184"/>
      <c r="CK47" s="184"/>
      <c r="CL47" s="184"/>
      <c r="CM47" s="184"/>
      <c r="CN47" s="184"/>
      <c r="CO47" s="184"/>
      <c r="CP47" s="184"/>
      <c r="CQ47" s="184"/>
      <c r="CR47" s="184"/>
      <c r="CS47" s="184"/>
      <c r="CT47" s="184"/>
      <c r="CU47" s="184"/>
      <c r="CV47" s="184"/>
      <c r="CW47" s="184"/>
      <c r="CX47" s="184"/>
      <c r="CY47" s="184"/>
      <c r="CZ47" s="184"/>
      <c r="DA47" s="184"/>
      <c r="DB47" s="184"/>
      <c r="DC47" s="184"/>
      <c r="DD47" s="184"/>
      <c r="DE47" s="184"/>
      <c r="DF47" s="184"/>
      <c r="DG47" s="184"/>
      <c r="DH47" s="184"/>
      <c r="DI47" s="184"/>
      <c r="DJ47" s="184"/>
      <c r="DK47" s="184"/>
      <c r="DL47" s="184"/>
      <c r="DM47" s="184"/>
      <c r="DN47" s="184"/>
      <c r="DO47" s="184"/>
      <c r="DP47" s="184"/>
      <c r="DQ47" s="184"/>
      <c r="DR47" s="184"/>
      <c r="DS47" s="184"/>
      <c r="DT47" s="184"/>
      <c r="DU47" s="184"/>
      <c r="DV47" s="184"/>
      <c r="DW47" s="184"/>
      <c r="DX47" s="184"/>
      <c r="DY47" s="184"/>
      <c r="DZ47" s="184"/>
      <c r="EA47" s="184"/>
      <c r="EB47" s="184"/>
      <c r="EC47" s="184"/>
      <c r="ED47" s="184"/>
      <c r="EE47" s="184"/>
      <c r="EF47" s="184"/>
      <c r="EG47" s="184"/>
      <c r="EH47" s="184"/>
      <c r="EI47" s="184"/>
      <c r="EJ47" s="184"/>
      <c r="EK47" s="184"/>
      <c r="EL47" s="184"/>
      <c r="EM47" s="184"/>
      <c r="EN47" s="184"/>
      <c r="EO47" s="184"/>
      <c r="EP47" s="184"/>
      <c r="EQ47" s="184"/>
      <c r="ER47" s="184"/>
      <c r="ES47" s="184"/>
      <c r="ET47" s="184"/>
      <c r="EU47" s="184"/>
      <c r="EV47" s="184"/>
      <c r="EW47" s="184"/>
    </row>
    <row r="48" spans="1:153">
      <c r="B48" s="440"/>
      <c r="C48" s="59"/>
      <c r="D48" s="59"/>
      <c r="E48" s="176"/>
      <c r="F48" s="176"/>
      <c r="G48" s="176"/>
      <c r="H48" s="176"/>
      <c r="I48" s="176"/>
      <c r="J48" s="176"/>
      <c r="K48" s="176"/>
      <c r="L48" s="176"/>
      <c r="M48" s="176"/>
      <c r="N48" s="176"/>
      <c r="O48" s="176"/>
      <c r="P48" s="176"/>
      <c r="Q48" s="176"/>
      <c r="R48" s="176"/>
      <c r="S48" s="176"/>
      <c r="T48" s="176"/>
      <c r="U48" s="176"/>
      <c r="V48" s="176"/>
      <c r="W48" s="176"/>
      <c r="X48" s="176"/>
      <c r="Y48" s="176"/>
      <c r="Z48" s="176"/>
      <c r="AA48" s="176"/>
      <c r="AB48" s="176"/>
      <c r="AC48" s="176"/>
      <c r="AD48" s="176"/>
      <c r="AE48" s="176"/>
      <c r="AF48" s="176"/>
      <c r="AG48" s="176"/>
      <c r="AH48" s="176"/>
      <c r="AI48" s="176"/>
      <c r="AJ48" s="184"/>
      <c r="AK48" s="184"/>
      <c r="AL48" s="184"/>
      <c r="AM48" s="184"/>
      <c r="AN48" s="184"/>
      <c r="AO48" s="184"/>
      <c r="AP48" s="184"/>
      <c r="AQ48" s="184"/>
      <c r="AR48" s="184"/>
      <c r="AS48" s="184"/>
      <c r="AT48" s="184"/>
      <c r="AU48" s="184"/>
      <c r="AV48" s="184"/>
      <c r="AW48" s="184"/>
      <c r="AX48" s="184"/>
      <c r="AY48" s="184"/>
      <c r="AZ48" s="184"/>
      <c r="BA48" s="184"/>
      <c r="BB48" s="184"/>
      <c r="BC48" s="184"/>
      <c r="BD48" s="184"/>
      <c r="BE48" s="184"/>
      <c r="BF48" s="184"/>
      <c r="BG48" s="184"/>
      <c r="BH48" s="184"/>
      <c r="BI48" s="184"/>
      <c r="BJ48" s="184"/>
      <c r="BK48" s="184"/>
      <c r="BL48" s="184"/>
      <c r="BM48" s="184"/>
      <c r="BN48" s="184"/>
      <c r="BO48" s="184"/>
      <c r="BP48" s="184"/>
      <c r="BQ48" s="184"/>
      <c r="BR48" s="184"/>
      <c r="BS48" s="184"/>
      <c r="BT48" s="184"/>
      <c r="BU48" s="184"/>
      <c r="BV48" s="184"/>
      <c r="BW48" s="184"/>
      <c r="BX48" s="184"/>
      <c r="BY48" s="184"/>
      <c r="BZ48" s="184"/>
      <c r="CA48" s="184"/>
      <c r="CB48" s="184"/>
      <c r="CC48" s="184"/>
      <c r="CD48" s="184"/>
      <c r="CE48" s="184"/>
      <c r="CF48" s="184"/>
      <c r="CG48" s="184"/>
      <c r="CH48" s="184"/>
      <c r="CI48" s="184"/>
      <c r="CJ48" s="184"/>
      <c r="CK48" s="184"/>
      <c r="CL48" s="184"/>
      <c r="CM48" s="184"/>
      <c r="CN48" s="184"/>
      <c r="CO48" s="184"/>
      <c r="CP48" s="184"/>
      <c r="CQ48" s="184"/>
      <c r="CR48" s="184"/>
      <c r="CS48" s="184"/>
      <c r="CT48" s="184"/>
      <c r="CU48" s="184"/>
      <c r="CV48" s="184"/>
      <c r="CW48" s="184"/>
      <c r="CX48" s="184"/>
      <c r="CY48" s="184"/>
      <c r="CZ48" s="184"/>
      <c r="DA48" s="184"/>
      <c r="DB48" s="184"/>
      <c r="DC48" s="184"/>
      <c r="DD48" s="184"/>
      <c r="DE48" s="184"/>
      <c r="DF48" s="184"/>
      <c r="DG48" s="184"/>
      <c r="DH48" s="184"/>
      <c r="DI48" s="184"/>
      <c r="DJ48" s="184"/>
      <c r="DK48" s="184"/>
      <c r="DL48" s="184"/>
      <c r="DM48" s="184"/>
      <c r="DN48" s="184"/>
      <c r="DO48" s="184"/>
      <c r="DP48" s="184"/>
      <c r="DQ48" s="184"/>
      <c r="DR48" s="184"/>
      <c r="DS48" s="184"/>
      <c r="DT48" s="184"/>
      <c r="DU48" s="184"/>
      <c r="DV48" s="184"/>
      <c r="DW48" s="184"/>
      <c r="DX48" s="184"/>
      <c r="DY48" s="184"/>
      <c r="DZ48" s="184"/>
      <c r="EA48" s="184"/>
      <c r="EB48" s="184"/>
      <c r="EC48" s="184"/>
      <c r="ED48" s="184"/>
      <c r="EE48" s="184"/>
      <c r="EF48" s="184"/>
      <c r="EG48" s="184"/>
      <c r="EH48" s="184"/>
      <c r="EI48" s="184"/>
      <c r="EJ48" s="184"/>
      <c r="EK48" s="184"/>
      <c r="EL48" s="184"/>
      <c r="EM48" s="184"/>
      <c r="EN48" s="184"/>
      <c r="EO48" s="184"/>
      <c r="EP48" s="184"/>
      <c r="EQ48" s="184"/>
      <c r="ER48" s="184"/>
      <c r="ES48" s="184"/>
      <c r="ET48" s="184"/>
      <c r="EU48" s="184"/>
      <c r="EV48" s="184"/>
      <c r="EW48" s="184"/>
    </row>
    <row r="49" spans="1:153">
      <c r="A49" s="917" t="s">
        <v>149</v>
      </c>
      <c r="B49" s="176" t="s">
        <v>571</v>
      </c>
      <c r="C49" s="59"/>
      <c r="D49" s="59"/>
      <c r="E49" s="176">
        <f>JrDebt!E69</f>
        <v>0</v>
      </c>
      <c r="F49" s="176">
        <f>JrDebt!F69</f>
        <v>0</v>
      </c>
      <c r="G49" s="176">
        <f>JrDebt!G69</f>
        <v>0</v>
      </c>
      <c r="H49" s="176">
        <f>JrDebt!H69</f>
        <v>0</v>
      </c>
      <c r="I49" s="176">
        <f>JrDebt!I69</f>
        <v>0</v>
      </c>
      <c r="J49" s="176">
        <f>JrDebt!J69</f>
        <v>0</v>
      </c>
      <c r="K49" s="176">
        <f>JrDebt!K69</f>
        <v>0</v>
      </c>
      <c r="L49" s="176">
        <f>JrDebt!L69</f>
        <v>0</v>
      </c>
      <c r="M49" s="176">
        <f>JrDebt!M69</f>
        <v>0</v>
      </c>
      <c r="N49" s="176">
        <f>JrDebt!N69</f>
        <v>0</v>
      </c>
      <c r="O49" s="176">
        <f>JrDebt!O69</f>
        <v>0</v>
      </c>
      <c r="P49" s="176">
        <f>JrDebt!P69</f>
        <v>0</v>
      </c>
      <c r="Q49" s="176">
        <f>JrDebt!Q69</f>
        <v>0</v>
      </c>
      <c r="R49" s="176">
        <f>JrDebt!R69</f>
        <v>0</v>
      </c>
      <c r="S49" s="176">
        <f>JrDebt!S69</f>
        <v>0</v>
      </c>
      <c r="T49" s="176">
        <f>JrDebt!T69</f>
        <v>0</v>
      </c>
      <c r="U49" s="176">
        <f>JrDebt!U69</f>
        <v>0</v>
      </c>
      <c r="V49" s="176">
        <f>JrDebt!V69</f>
        <v>0</v>
      </c>
      <c r="W49" s="176">
        <f>JrDebt!W69</f>
        <v>0</v>
      </c>
      <c r="X49" s="176">
        <f>JrDebt!X69</f>
        <v>0</v>
      </c>
      <c r="Y49" s="176">
        <f>JrDebt!Y69</f>
        <v>0</v>
      </c>
      <c r="Z49" s="176">
        <f>JrDebt!Z69</f>
        <v>0</v>
      </c>
      <c r="AA49" s="176">
        <f>JrDebt!AA69</f>
        <v>0</v>
      </c>
      <c r="AB49" s="176">
        <f>JrDebt!AB69</f>
        <v>0</v>
      </c>
      <c r="AC49" s="176">
        <f>JrDebt!AC69</f>
        <v>0</v>
      </c>
      <c r="AD49" s="176">
        <f>JrDebt!AD69</f>
        <v>0</v>
      </c>
      <c r="AE49" s="176">
        <f>JrDebt!AE69</f>
        <v>0</v>
      </c>
      <c r="AF49" s="176">
        <f>JrDebt!AF69</f>
        <v>0</v>
      </c>
      <c r="AG49" s="176">
        <f>JrDebt!AG69</f>
        <v>0</v>
      </c>
      <c r="AH49" s="176">
        <f>JrDebt!AH69</f>
        <v>0</v>
      </c>
      <c r="AI49" s="176">
        <f>JrDebt!AI69</f>
        <v>0</v>
      </c>
      <c r="AJ49" s="184"/>
      <c r="AK49" s="184"/>
      <c r="AL49" s="184"/>
      <c r="AM49" s="184"/>
      <c r="AN49" s="184"/>
      <c r="AO49" s="184"/>
      <c r="AP49" s="184"/>
      <c r="AQ49" s="184"/>
      <c r="AR49" s="184"/>
      <c r="AS49" s="184"/>
      <c r="AT49" s="184"/>
      <c r="AU49" s="184"/>
      <c r="AV49" s="184"/>
      <c r="AW49" s="184"/>
      <c r="AX49" s="184"/>
      <c r="AY49" s="184"/>
      <c r="AZ49" s="184"/>
      <c r="BA49" s="184"/>
      <c r="BB49" s="184"/>
      <c r="BC49" s="184"/>
      <c r="BD49" s="184"/>
      <c r="BE49" s="184"/>
      <c r="BF49" s="184"/>
      <c r="BG49" s="184"/>
      <c r="BH49" s="184"/>
      <c r="BI49" s="184"/>
      <c r="BJ49" s="184"/>
      <c r="BK49" s="184"/>
      <c r="BL49" s="184"/>
      <c r="BM49" s="184"/>
      <c r="BN49" s="184"/>
      <c r="BO49" s="184"/>
      <c r="BP49" s="184"/>
      <c r="BQ49" s="184"/>
      <c r="BR49" s="184"/>
      <c r="BS49" s="184"/>
      <c r="BT49" s="184"/>
      <c r="BU49" s="184"/>
      <c r="BV49" s="184"/>
      <c r="BW49" s="184"/>
      <c r="BX49" s="184"/>
      <c r="BY49" s="184"/>
      <c r="BZ49" s="184"/>
      <c r="CA49" s="184"/>
      <c r="CB49" s="184"/>
      <c r="CC49" s="184"/>
      <c r="CD49" s="184"/>
      <c r="CE49" s="184"/>
      <c r="CF49" s="184"/>
      <c r="CG49" s="184"/>
      <c r="CH49" s="184"/>
      <c r="CI49" s="184"/>
      <c r="CJ49" s="184"/>
      <c r="CK49" s="184"/>
      <c r="CL49" s="184"/>
      <c r="CM49" s="184"/>
      <c r="CN49" s="184"/>
      <c r="CO49" s="184"/>
      <c r="CP49" s="184"/>
      <c r="CQ49" s="184"/>
      <c r="CR49" s="184"/>
      <c r="CS49" s="184"/>
      <c r="CT49" s="184"/>
      <c r="CU49" s="184"/>
      <c r="CV49" s="184"/>
      <c r="CW49" s="184"/>
      <c r="CX49" s="184"/>
      <c r="CY49" s="184"/>
      <c r="CZ49" s="184"/>
      <c r="DA49" s="184"/>
      <c r="DB49" s="184"/>
      <c r="DC49" s="184"/>
      <c r="DD49" s="184"/>
      <c r="DE49" s="184"/>
      <c r="DF49" s="184"/>
      <c r="DG49" s="184"/>
      <c r="DH49" s="184"/>
      <c r="DI49" s="184"/>
      <c r="DJ49" s="184"/>
      <c r="DK49" s="184"/>
      <c r="DL49" s="184"/>
      <c r="DM49" s="184"/>
      <c r="DN49" s="184"/>
      <c r="DO49" s="184"/>
      <c r="DP49" s="184"/>
      <c r="DQ49" s="184"/>
      <c r="DR49" s="184"/>
      <c r="DS49" s="184"/>
      <c r="DT49" s="184"/>
      <c r="DU49" s="184"/>
      <c r="DV49" s="184"/>
      <c r="DW49" s="184"/>
      <c r="DX49" s="184"/>
      <c r="DY49" s="184"/>
      <c r="DZ49" s="184"/>
      <c r="EA49" s="184"/>
      <c r="EB49" s="184"/>
      <c r="EC49" s="184"/>
      <c r="ED49" s="184"/>
      <c r="EE49" s="184"/>
      <c r="EF49" s="184"/>
      <c r="EG49" s="184"/>
      <c r="EH49" s="184"/>
      <c r="EI49" s="184"/>
      <c r="EJ49" s="184"/>
      <c r="EK49" s="184"/>
      <c r="EL49" s="184"/>
      <c r="EM49" s="184"/>
      <c r="EN49" s="184"/>
      <c r="EO49" s="184"/>
      <c r="EP49" s="184"/>
      <c r="EQ49" s="184"/>
      <c r="ER49" s="184"/>
      <c r="ES49" s="184"/>
      <c r="ET49" s="184"/>
      <c r="EU49" s="184"/>
      <c r="EV49" s="184"/>
      <c r="EW49" s="184"/>
    </row>
    <row r="50" spans="1:153">
      <c r="B50" s="176" t="s">
        <v>573</v>
      </c>
      <c r="C50" s="59"/>
      <c r="D50" s="59"/>
      <c r="E50" s="219">
        <f>JrDebt!E70</f>
        <v>0</v>
      </c>
      <c r="F50" s="397">
        <f>JrDebt!F70</f>
        <v>0</v>
      </c>
      <c r="G50" s="397">
        <f>JrDebt!G70</f>
        <v>0</v>
      </c>
      <c r="H50" s="397">
        <f>JrDebt!H70</f>
        <v>0</v>
      </c>
      <c r="I50" s="397">
        <f>JrDebt!I70</f>
        <v>0</v>
      </c>
      <c r="J50" s="397">
        <f>JrDebt!J70</f>
        <v>0</v>
      </c>
      <c r="K50" s="397">
        <f>JrDebt!K70</f>
        <v>0</v>
      </c>
      <c r="L50" s="397">
        <f>JrDebt!L70</f>
        <v>0</v>
      </c>
      <c r="M50" s="397">
        <f>JrDebt!M70</f>
        <v>0</v>
      </c>
      <c r="N50" s="397">
        <f>JrDebt!N70</f>
        <v>0</v>
      </c>
      <c r="O50" s="397">
        <f>JrDebt!O70</f>
        <v>0</v>
      </c>
      <c r="P50" s="397">
        <f>JrDebt!P70</f>
        <v>0</v>
      </c>
      <c r="Q50" s="397">
        <f>JrDebt!Q70</f>
        <v>0</v>
      </c>
      <c r="R50" s="397">
        <f>JrDebt!R70</f>
        <v>0</v>
      </c>
      <c r="S50" s="397">
        <f>JrDebt!S70</f>
        <v>0</v>
      </c>
      <c r="T50" s="397">
        <f>JrDebt!T70</f>
        <v>0</v>
      </c>
      <c r="U50" s="397">
        <f>JrDebt!U70</f>
        <v>0</v>
      </c>
      <c r="V50" s="397">
        <f>JrDebt!V70</f>
        <v>0</v>
      </c>
      <c r="W50" s="397">
        <f>JrDebt!W70</f>
        <v>0</v>
      </c>
      <c r="X50" s="397">
        <f>JrDebt!X70</f>
        <v>0</v>
      </c>
      <c r="Y50" s="397">
        <f>JrDebt!Y70</f>
        <v>0</v>
      </c>
      <c r="Z50" s="397">
        <f>JrDebt!Z70</f>
        <v>0</v>
      </c>
      <c r="AA50" s="397">
        <f>JrDebt!AA70</f>
        <v>0</v>
      </c>
      <c r="AB50" s="397">
        <f>JrDebt!AB70</f>
        <v>0</v>
      </c>
      <c r="AC50" s="397">
        <f>JrDebt!AC70</f>
        <v>0</v>
      </c>
      <c r="AD50" s="397">
        <f>JrDebt!AD70</f>
        <v>0</v>
      </c>
      <c r="AE50" s="397">
        <f>JrDebt!AE70</f>
        <v>0</v>
      </c>
      <c r="AF50" s="397">
        <f>JrDebt!AF70</f>
        <v>0</v>
      </c>
      <c r="AG50" s="397">
        <f>JrDebt!AG70</f>
        <v>0</v>
      </c>
      <c r="AH50" s="397">
        <f>JrDebt!AH70</f>
        <v>0</v>
      </c>
      <c r="AI50" s="397">
        <f>JrDebt!AI70</f>
        <v>0</v>
      </c>
      <c r="AJ50" s="184"/>
      <c r="AK50" s="184"/>
      <c r="AL50" s="184"/>
      <c r="AM50" s="184"/>
      <c r="AN50" s="184"/>
      <c r="AO50" s="184"/>
      <c r="AP50" s="184"/>
      <c r="AQ50" s="184"/>
      <c r="AR50" s="184"/>
      <c r="AS50" s="184"/>
      <c r="AT50" s="184"/>
      <c r="AU50" s="184"/>
      <c r="AV50" s="184"/>
      <c r="AW50" s="184"/>
      <c r="AX50" s="184"/>
      <c r="AY50" s="184"/>
      <c r="AZ50" s="184"/>
      <c r="BA50" s="184"/>
      <c r="BB50" s="184"/>
      <c r="BC50" s="184"/>
      <c r="BD50" s="184"/>
      <c r="BE50" s="184"/>
      <c r="BF50" s="184"/>
      <c r="BG50" s="184"/>
      <c r="BH50" s="184"/>
      <c r="BI50" s="184"/>
      <c r="BJ50" s="184"/>
      <c r="BK50" s="184"/>
      <c r="BL50" s="184"/>
      <c r="BM50" s="184"/>
      <c r="BN50" s="184"/>
      <c r="BO50" s="184"/>
      <c r="BP50" s="184"/>
      <c r="BQ50" s="184"/>
      <c r="BR50" s="184"/>
      <c r="BS50" s="184"/>
      <c r="BT50" s="184"/>
      <c r="BU50" s="184"/>
      <c r="BV50" s="184"/>
      <c r="BW50" s="184"/>
      <c r="BX50" s="184"/>
      <c r="BY50" s="184"/>
      <c r="BZ50" s="184"/>
      <c r="CA50" s="184"/>
      <c r="CB50" s="184"/>
      <c r="CC50" s="184"/>
      <c r="CD50" s="184"/>
      <c r="CE50" s="184"/>
      <c r="CF50" s="184"/>
      <c r="CG50" s="184"/>
      <c r="CH50" s="184"/>
      <c r="CI50" s="184"/>
      <c r="CJ50" s="184"/>
      <c r="CK50" s="184"/>
      <c r="CL50" s="184"/>
      <c r="CM50" s="184"/>
      <c r="CN50" s="184"/>
      <c r="CO50" s="184"/>
      <c r="CP50" s="184"/>
      <c r="CQ50" s="184"/>
      <c r="CR50" s="184"/>
      <c r="CS50" s="184"/>
      <c r="CT50" s="184"/>
      <c r="CU50" s="184"/>
      <c r="CV50" s="184"/>
      <c r="CW50" s="184"/>
      <c r="CX50" s="184"/>
      <c r="CY50" s="184"/>
      <c r="CZ50" s="184"/>
      <c r="DA50" s="184"/>
      <c r="DB50" s="184"/>
      <c r="DC50" s="184"/>
      <c r="DD50" s="184"/>
      <c r="DE50" s="184"/>
      <c r="DF50" s="184"/>
      <c r="DG50" s="184"/>
      <c r="DH50" s="184"/>
      <c r="DI50" s="184"/>
      <c r="DJ50" s="184"/>
      <c r="DK50" s="184"/>
      <c r="DL50" s="184"/>
      <c r="DM50" s="184"/>
      <c r="DN50" s="184"/>
      <c r="DO50" s="184"/>
      <c r="DP50" s="184"/>
      <c r="DQ50" s="184"/>
      <c r="DR50" s="184"/>
      <c r="DS50" s="184"/>
      <c r="DT50" s="184"/>
      <c r="DU50" s="184"/>
      <c r="DV50" s="184"/>
      <c r="DW50" s="184"/>
      <c r="DX50" s="184"/>
      <c r="DY50" s="184"/>
      <c r="DZ50" s="184"/>
      <c r="EA50" s="184"/>
      <c r="EB50" s="184"/>
      <c r="EC50" s="184"/>
      <c r="ED50" s="184"/>
      <c r="EE50" s="184"/>
      <c r="EF50" s="184"/>
      <c r="EG50" s="184"/>
      <c r="EH50" s="184"/>
      <c r="EI50" s="184"/>
      <c r="EJ50" s="184"/>
      <c r="EK50" s="184"/>
      <c r="EL50" s="184"/>
      <c r="EM50" s="184"/>
      <c r="EN50" s="184"/>
      <c r="EO50" s="184"/>
      <c r="EP50" s="184"/>
      <c r="EQ50" s="184"/>
      <c r="ER50" s="184"/>
      <c r="ES50" s="184"/>
      <c r="ET50" s="184"/>
      <c r="EU50" s="184"/>
      <c r="EV50" s="184"/>
      <c r="EW50" s="184"/>
    </row>
    <row r="51" spans="1:153">
      <c r="B51" s="893" t="s">
        <v>107</v>
      </c>
      <c r="C51" s="906"/>
      <c r="D51" s="906"/>
      <c r="E51" s="893">
        <f>SUM(E49:E50)</f>
        <v>0</v>
      </c>
      <c r="F51" s="893">
        <f t="shared" ref="F51:AI51" si="11">SUM(F49:F50)</f>
        <v>0</v>
      </c>
      <c r="G51" s="893">
        <f t="shared" si="11"/>
        <v>0</v>
      </c>
      <c r="H51" s="893">
        <f t="shared" si="11"/>
        <v>0</v>
      </c>
      <c r="I51" s="893">
        <f t="shared" si="11"/>
        <v>0</v>
      </c>
      <c r="J51" s="893">
        <f t="shared" si="11"/>
        <v>0</v>
      </c>
      <c r="K51" s="893">
        <f t="shared" si="11"/>
        <v>0</v>
      </c>
      <c r="L51" s="893">
        <f t="shared" si="11"/>
        <v>0</v>
      </c>
      <c r="M51" s="893">
        <f t="shared" si="11"/>
        <v>0</v>
      </c>
      <c r="N51" s="893">
        <f t="shared" si="11"/>
        <v>0</v>
      </c>
      <c r="O51" s="893">
        <f t="shared" si="11"/>
        <v>0</v>
      </c>
      <c r="P51" s="893">
        <f t="shared" si="11"/>
        <v>0</v>
      </c>
      <c r="Q51" s="893">
        <f t="shared" si="11"/>
        <v>0</v>
      </c>
      <c r="R51" s="893">
        <f t="shared" si="11"/>
        <v>0</v>
      </c>
      <c r="S51" s="893">
        <f t="shared" si="11"/>
        <v>0</v>
      </c>
      <c r="T51" s="893">
        <f t="shared" si="11"/>
        <v>0</v>
      </c>
      <c r="U51" s="893">
        <f t="shared" si="11"/>
        <v>0</v>
      </c>
      <c r="V51" s="893">
        <f t="shared" si="11"/>
        <v>0</v>
      </c>
      <c r="W51" s="893">
        <f t="shared" si="11"/>
        <v>0</v>
      </c>
      <c r="X51" s="893">
        <f t="shared" si="11"/>
        <v>0</v>
      </c>
      <c r="Y51" s="893">
        <f t="shared" si="11"/>
        <v>0</v>
      </c>
      <c r="Z51" s="893">
        <f t="shared" si="11"/>
        <v>0</v>
      </c>
      <c r="AA51" s="893">
        <f t="shared" si="11"/>
        <v>0</v>
      </c>
      <c r="AB51" s="893">
        <f t="shared" si="11"/>
        <v>0</v>
      </c>
      <c r="AC51" s="893">
        <f t="shared" si="11"/>
        <v>0</v>
      </c>
      <c r="AD51" s="893">
        <f t="shared" si="11"/>
        <v>0</v>
      </c>
      <c r="AE51" s="893">
        <f t="shared" si="11"/>
        <v>0</v>
      </c>
      <c r="AF51" s="893">
        <f t="shared" si="11"/>
        <v>0</v>
      </c>
      <c r="AG51" s="893">
        <f t="shared" si="11"/>
        <v>0</v>
      </c>
      <c r="AH51" s="893">
        <f t="shared" si="11"/>
        <v>0</v>
      </c>
      <c r="AI51" s="893">
        <f t="shared" si="11"/>
        <v>0</v>
      </c>
      <c r="AJ51" s="184"/>
      <c r="AK51" s="184"/>
      <c r="AL51" s="184"/>
      <c r="AM51" s="184"/>
      <c r="AN51" s="184"/>
      <c r="AO51" s="184"/>
      <c r="AP51" s="184"/>
      <c r="AQ51" s="184"/>
      <c r="AR51" s="184"/>
      <c r="AS51" s="184"/>
      <c r="AT51" s="184"/>
      <c r="AU51" s="184"/>
      <c r="AV51" s="184"/>
      <c r="AW51" s="184"/>
      <c r="AX51" s="184"/>
      <c r="AY51" s="184"/>
      <c r="AZ51" s="184"/>
      <c r="BA51" s="184"/>
      <c r="BB51" s="184"/>
      <c r="BC51" s="184"/>
      <c r="BD51" s="184"/>
      <c r="BE51" s="184"/>
      <c r="BF51" s="184"/>
      <c r="BG51" s="184"/>
      <c r="BH51" s="184"/>
      <c r="BI51" s="184"/>
      <c r="BJ51" s="184"/>
      <c r="BK51" s="184"/>
      <c r="BL51" s="184"/>
      <c r="BM51" s="184"/>
      <c r="BN51" s="184"/>
      <c r="BO51" s="184"/>
      <c r="BP51" s="184"/>
      <c r="BQ51" s="184"/>
      <c r="BR51" s="184"/>
      <c r="BS51" s="184"/>
      <c r="BT51" s="184"/>
      <c r="BU51" s="184"/>
      <c r="BV51" s="184"/>
      <c r="BW51" s="184"/>
      <c r="BX51" s="184"/>
      <c r="BY51" s="184"/>
      <c r="BZ51" s="184"/>
      <c r="CA51" s="184"/>
      <c r="CB51" s="184"/>
      <c r="CC51" s="184"/>
      <c r="CD51" s="184"/>
      <c r="CE51" s="184"/>
      <c r="CF51" s="184"/>
      <c r="CG51" s="184"/>
      <c r="CH51" s="184"/>
      <c r="CI51" s="184"/>
      <c r="CJ51" s="184"/>
      <c r="CK51" s="184"/>
      <c r="CL51" s="184"/>
      <c r="CM51" s="184"/>
      <c r="CN51" s="184"/>
      <c r="CO51" s="184"/>
      <c r="CP51" s="184"/>
      <c r="CQ51" s="184"/>
      <c r="CR51" s="184"/>
      <c r="CS51" s="184"/>
      <c r="CT51" s="184"/>
      <c r="CU51" s="184"/>
      <c r="CV51" s="184"/>
      <c r="CW51" s="184"/>
      <c r="CX51" s="184"/>
      <c r="CY51" s="184"/>
      <c r="CZ51" s="184"/>
      <c r="DA51" s="184"/>
      <c r="DB51" s="184"/>
      <c r="DC51" s="184"/>
      <c r="DD51" s="184"/>
      <c r="DE51" s="184"/>
      <c r="DF51" s="184"/>
      <c r="DG51" s="184"/>
      <c r="DH51" s="184"/>
      <c r="DI51" s="184"/>
      <c r="DJ51" s="184"/>
      <c r="DK51" s="184"/>
      <c r="DL51" s="184"/>
      <c r="DM51" s="184"/>
      <c r="DN51" s="184"/>
      <c r="DO51" s="184"/>
      <c r="DP51" s="184"/>
      <c r="DQ51" s="184"/>
      <c r="DR51" s="184"/>
      <c r="DS51" s="184"/>
      <c r="DT51" s="184"/>
      <c r="DU51" s="184"/>
      <c r="DV51" s="184"/>
      <c r="DW51" s="184"/>
      <c r="DX51" s="184"/>
      <c r="DY51" s="184"/>
      <c r="DZ51" s="184"/>
      <c r="EA51" s="184"/>
      <c r="EB51" s="184"/>
      <c r="EC51" s="184"/>
      <c r="ED51" s="184"/>
      <c r="EE51" s="184"/>
      <c r="EF51" s="184"/>
      <c r="EG51" s="184"/>
      <c r="EH51" s="184"/>
      <c r="EI51" s="184"/>
      <c r="EJ51" s="184"/>
      <c r="EK51" s="184"/>
      <c r="EL51" s="184"/>
      <c r="EM51" s="184"/>
      <c r="EN51" s="184"/>
      <c r="EO51" s="184"/>
      <c r="EP51" s="184"/>
      <c r="EQ51" s="184"/>
      <c r="ER51" s="184"/>
      <c r="ES51" s="184"/>
      <c r="ET51" s="184"/>
      <c r="EU51" s="184"/>
      <c r="EV51" s="184"/>
      <c r="EW51" s="184"/>
    </row>
    <row r="52" spans="1:153" ht="13.5" thickBot="1">
      <c r="B52" s="892" t="s">
        <v>533</v>
      </c>
      <c r="C52" s="490"/>
      <c r="D52" s="490"/>
      <c r="E52" s="892">
        <f>F51*Assum!$E$318*Assum!$E$319</f>
        <v>0</v>
      </c>
      <c r="F52" s="892">
        <f>G51*Assum!$E$318*Assum!$E$319</f>
        <v>0</v>
      </c>
      <c r="G52" s="892">
        <f>H51*Assum!$E$318*Assum!$E$319</f>
        <v>0</v>
      </c>
      <c r="H52" s="892">
        <f>I51*Assum!$E$318*Assum!$E$319</f>
        <v>0</v>
      </c>
      <c r="I52" s="892">
        <f>J51*Assum!$E$318*Assum!$E$319</f>
        <v>0</v>
      </c>
      <c r="J52" s="892">
        <f>K51*Assum!$E$318*Assum!$E$319</f>
        <v>0</v>
      </c>
      <c r="K52" s="892">
        <f>L51*Assum!$E$318*Assum!$E$319</f>
        <v>0</v>
      </c>
      <c r="L52" s="892">
        <f>M51*Assum!$E$318*Assum!$E$319</f>
        <v>0</v>
      </c>
      <c r="M52" s="892">
        <f>N51*Assum!$E$318*Assum!$E$319</f>
        <v>0</v>
      </c>
      <c r="N52" s="892">
        <f>O51*Assum!$E$318*Assum!$E$319</f>
        <v>0</v>
      </c>
      <c r="O52" s="892">
        <f>P51*Assum!$E$318*Assum!$E$319</f>
        <v>0</v>
      </c>
      <c r="P52" s="892">
        <f>Q51*Assum!$E$318*Assum!$E$319</f>
        <v>0</v>
      </c>
      <c r="Q52" s="892">
        <f>R51*Assum!$E$318*Assum!$E$319</f>
        <v>0</v>
      </c>
      <c r="R52" s="892">
        <f>S51*Assum!$E$318*Assum!$E$319</f>
        <v>0</v>
      </c>
      <c r="S52" s="892">
        <f>T51*Assum!$E$318*Assum!$E$319</f>
        <v>0</v>
      </c>
      <c r="T52" s="892">
        <f>U51*Assum!$E$318*Assum!$E$319</f>
        <v>0</v>
      </c>
      <c r="U52" s="892">
        <f>V51*Assum!$E$318*Assum!$E$319</f>
        <v>0</v>
      </c>
      <c r="V52" s="892">
        <f>W51*Assum!$E$318*Assum!$E$319</f>
        <v>0</v>
      </c>
      <c r="W52" s="892">
        <f>X51*Assum!$E$318*Assum!$E$319</f>
        <v>0</v>
      </c>
      <c r="X52" s="892">
        <f>Y51*Assum!$E$318*Assum!$E$319</f>
        <v>0</v>
      </c>
      <c r="Y52" s="892">
        <f>Z51*Assum!$E$318*Assum!$E$319</f>
        <v>0</v>
      </c>
      <c r="Z52" s="892">
        <f>AA51*Assum!$E$318*Assum!$E$319</f>
        <v>0</v>
      </c>
      <c r="AA52" s="892">
        <f>AB51*Assum!$E$318*Assum!$E$319</f>
        <v>0</v>
      </c>
      <c r="AB52" s="892">
        <f>AC51*Assum!$E$318*Assum!$E$319</f>
        <v>0</v>
      </c>
      <c r="AC52" s="892">
        <f>AD51*Assum!$E$318*Assum!$E$319</f>
        <v>0</v>
      </c>
      <c r="AD52" s="892">
        <f>AE51*Assum!$E$318*Assum!$E$319</f>
        <v>0</v>
      </c>
      <c r="AE52" s="892">
        <f>AF51*Assum!$E$318*Assum!$E$319</f>
        <v>0</v>
      </c>
      <c r="AF52" s="892">
        <f>AG51*Assum!$E$318*Assum!$E$319</f>
        <v>0</v>
      </c>
      <c r="AG52" s="892">
        <f>AH51*Assum!$E$318*Assum!$E$319</f>
        <v>0</v>
      </c>
      <c r="AH52" s="892">
        <f>AI51*Assum!$E$318*Assum!$E$319</f>
        <v>0</v>
      </c>
      <c r="AI52" s="892">
        <f>AJ51*Assum!$E$318*Assum!$E$319</f>
        <v>0</v>
      </c>
      <c r="AJ52" s="184"/>
      <c r="AK52" s="184"/>
      <c r="AL52" s="184"/>
      <c r="AM52" s="184"/>
      <c r="AN52" s="184"/>
      <c r="AO52" s="184"/>
      <c r="AP52" s="184"/>
      <c r="AQ52" s="184"/>
      <c r="AR52" s="184"/>
      <c r="AS52" s="184"/>
      <c r="AT52" s="184"/>
      <c r="AU52" s="184"/>
      <c r="AV52" s="184"/>
      <c r="AW52" s="184"/>
      <c r="AX52" s="184"/>
      <c r="AY52" s="184"/>
      <c r="AZ52" s="184"/>
      <c r="BA52" s="184"/>
      <c r="BB52" s="184"/>
      <c r="BC52" s="184"/>
      <c r="BD52" s="184"/>
      <c r="BE52" s="184"/>
      <c r="BF52" s="184"/>
      <c r="BG52" s="184"/>
      <c r="BH52" s="184"/>
      <c r="BI52" s="184"/>
      <c r="BJ52" s="184"/>
      <c r="BK52" s="184"/>
      <c r="BL52" s="184"/>
      <c r="BM52" s="184"/>
      <c r="BN52" s="184"/>
      <c r="BO52" s="184"/>
      <c r="BP52" s="184"/>
      <c r="BQ52" s="184"/>
      <c r="BR52" s="184"/>
      <c r="BS52" s="184"/>
      <c r="BT52" s="184"/>
      <c r="BU52" s="184"/>
      <c r="BV52" s="184"/>
      <c r="BW52" s="184"/>
      <c r="BX52" s="184"/>
      <c r="BY52" s="184"/>
      <c r="BZ52" s="184"/>
      <c r="CA52" s="184"/>
      <c r="CB52" s="184"/>
      <c r="CC52" s="184"/>
      <c r="CD52" s="184"/>
      <c r="CE52" s="184"/>
      <c r="CF52" s="184"/>
      <c r="CG52" s="184"/>
      <c r="CH52" s="184"/>
      <c r="CI52" s="184"/>
      <c r="CJ52" s="184"/>
      <c r="CK52" s="184"/>
      <c r="CL52" s="184"/>
      <c r="CM52" s="184"/>
      <c r="CN52" s="184"/>
      <c r="CO52" s="184"/>
      <c r="CP52" s="184"/>
      <c r="CQ52" s="184"/>
      <c r="CR52" s="184"/>
      <c r="CS52" s="184"/>
      <c r="CT52" s="184"/>
      <c r="CU52" s="184"/>
      <c r="CV52" s="184"/>
      <c r="CW52" s="184"/>
      <c r="CX52" s="184"/>
      <c r="CY52" s="184"/>
      <c r="CZ52" s="184"/>
      <c r="DA52" s="184"/>
      <c r="DB52" s="184"/>
      <c r="DC52" s="184"/>
      <c r="DD52" s="184"/>
      <c r="DE52" s="184"/>
      <c r="DF52" s="184"/>
      <c r="DG52" s="184"/>
      <c r="DH52" s="184"/>
      <c r="DI52" s="184"/>
      <c r="DJ52" s="184"/>
      <c r="DK52" s="184"/>
      <c r="DL52" s="184"/>
      <c r="DM52" s="184"/>
      <c r="DN52" s="184"/>
      <c r="DO52" s="184"/>
      <c r="DP52" s="184"/>
      <c r="DQ52" s="184"/>
      <c r="DR52" s="184"/>
      <c r="DS52" s="184"/>
      <c r="DT52" s="184"/>
      <c r="DU52" s="184"/>
      <c r="DV52" s="184"/>
      <c r="DW52" s="184"/>
      <c r="DX52" s="184"/>
      <c r="DY52" s="184"/>
      <c r="DZ52" s="184"/>
      <c r="EA52" s="184"/>
      <c r="EB52" s="184"/>
      <c r="EC52" s="184"/>
      <c r="ED52" s="184"/>
      <c r="EE52" s="184"/>
      <c r="EF52" s="184"/>
      <c r="EG52" s="184"/>
      <c r="EH52" s="184"/>
      <c r="EI52" s="184"/>
      <c r="EJ52" s="184"/>
      <c r="EK52" s="184"/>
      <c r="EL52" s="184"/>
      <c r="EM52" s="184"/>
      <c r="EN52" s="184"/>
      <c r="EO52" s="184"/>
      <c r="EP52" s="184"/>
      <c r="EQ52" s="184"/>
      <c r="ER52" s="184"/>
      <c r="ES52" s="184"/>
      <c r="ET52" s="184"/>
      <c r="EU52" s="184"/>
      <c r="EV52" s="184"/>
      <c r="EW52" s="184"/>
    </row>
    <row r="53" spans="1:153" s="442" customFormat="1" ht="13.5" thickTop="1">
      <c r="A53" s="319"/>
      <c r="B53" s="218" t="s">
        <v>28</v>
      </c>
      <c r="C53" s="59"/>
      <c r="D53" s="59"/>
      <c r="E53" s="218">
        <f t="shared" ref="E53:AI53" si="12">SUM(E43:E46)-E51-E52</f>
        <v>1985.2107806507152</v>
      </c>
      <c r="F53" s="218">
        <f t="shared" si="12"/>
        <v>1480.4926450176847</v>
      </c>
      <c r="G53" s="218">
        <f t="shared" si="12"/>
        <v>1492.0973072087177</v>
      </c>
      <c r="H53" s="218">
        <f t="shared" si="12"/>
        <v>1481.3737017094784</v>
      </c>
      <c r="I53" s="218">
        <f t="shared" si="12"/>
        <v>1470.4180329030396</v>
      </c>
      <c r="J53" s="218">
        <f t="shared" si="12"/>
        <v>1555.2441263446904</v>
      </c>
      <c r="K53" s="218">
        <f t="shared" si="12"/>
        <v>1431.6968912728519</v>
      </c>
      <c r="L53" s="218">
        <f t="shared" si="12"/>
        <v>1430.0057177907272</v>
      </c>
      <c r="M53" s="218">
        <f t="shared" si="12"/>
        <v>1427.6939298011375</v>
      </c>
      <c r="N53" s="218">
        <f t="shared" si="12"/>
        <v>1447.1040927683948</v>
      </c>
      <c r="O53" s="218">
        <f t="shared" si="12"/>
        <v>1470.1758999941046</v>
      </c>
      <c r="P53" s="218">
        <f t="shared" si="12"/>
        <v>1496.2425943695835</v>
      </c>
      <c r="Q53" s="218">
        <f t="shared" si="12"/>
        <v>1527.1247714941283</v>
      </c>
      <c r="R53" s="218">
        <f t="shared" si="12"/>
        <v>1495.1697626794498</v>
      </c>
      <c r="S53" s="218">
        <f t="shared" si="12"/>
        <v>1459.4654492119746</v>
      </c>
      <c r="T53" s="218">
        <f t="shared" si="12"/>
        <v>1390.7946428457583</v>
      </c>
      <c r="U53" s="218">
        <f t="shared" si="12"/>
        <v>1370.3596058201879</v>
      </c>
      <c r="V53" s="218">
        <f t="shared" si="12"/>
        <v>2320.5205604021085</v>
      </c>
      <c r="W53" s="218">
        <f t="shared" si="12"/>
        <v>5816.9380609148457</v>
      </c>
      <c r="X53" s="218">
        <f t="shared" si="12"/>
        <v>5740.5071598288487</v>
      </c>
      <c r="Y53" s="218">
        <f t="shared" si="12"/>
        <v>16.844521113536999</v>
      </c>
      <c r="Z53" s="218">
        <f t="shared" si="12"/>
        <v>0</v>
      </c>
      <c r="AA53" s="218">
        <f t="shared" si="12"/>
        <v>0</v>
      </c>
      <c r="AB53" s="218">
        <f t="shared" si="12"/>
        <v>0</v>
      </c>
      <c r="AC53" s="218">
        <f t="shared" si="12"/>
        <v>0</v>
      </c>
      <c r="AD53" s="218">
        <f t="shared" si="12"/>
        <v>0</v>
      </c>
      <c r="AE53" s="218">
        <f t="shared" si="12"/>
        <v>0</v>
      </c>
      <c r="AF53" s="218">
        <f t="shared" si="12"/>
        <v>0</v>
      </c>
      <c r="AG53" s="218">
        <f t="shared" si="12"/>
        <v>0</v>
      </c>
      <c r="AH53" s="218">
        <f t="shared" si="12"/>
        <v>0</v>
      </c>
      <c r="AI53" s="218">
        <f t="shared" si="12"/>
        <v>0</v>
      </c>
      <c r="AJ53" s="441"/>
      <c r="AK53" s="441"/>
      <c r="AL53" s="441"/>
      <c r="AM53" s="441"/>
      <c r="AN53" s="441"/>
      <c r="AO53" s="441"/>
      <c r="AP53" s="441"/>
      <c r="AQ53" s="441"/>
      <c r="AR53" s="441"/>
      <c r="AS53" s="441"/>
      <c r="AT53" s="441"/>
      <c r="AU53" s="441"/>
      <c r="AV53" s="441"/>
      <c r="AW53" s="441"/>
      <c r="AX53" s="441"/>
      <c r="AY53" s="441"/>
      <c r="AZ53" s="441"/>
      <c r="BA53" s="441"/>
      <c r="BB53" s="441"/>
      <c r="BC53" s="441"/>
      <c r="BD53" s="441"/>
      <c r="BE53" s="441"/>
      <c r="BF53" s="441"/>
      <c r="BG53" s="441"/>
      <c r="BH53" s="441"/>
      <c r="BI53" s="441"/>
      <c r="BJ53" s="441"/>
      <c r="BK53" s="441"/>
      <c r="BL53" s="441"/>
      <c r="BM53" s="441"/>
      <c r="BN53" s="441"/>
      <c r="BO53" s="441"/>
      <c r="BP53" s="441"/>
      <c r="BQ53" s="441"/>
      <c r="BR53" s="441"/>
      <c r="BS53" s="441"/>
      <c r="BT53" s="441"/>
      <c r="BU53" s="441"/>
      <c r="BV53" s="441"/>
      <c r="BW53" s="441"/>
      <c r="BX53" s="441"/>
      <c r="BY53" s="441"/>
      <c r="BZ53" s="441"/>
      <c r="CA53" s="441"/>
      <c r="CB53" s="441"/>
      <c r="CC53" s="441"/>
      <c r="CD53" s="441"/>
      <c r="CE53" s="441"/>
      <c r="CF53" s="441"/>
      <c r="CG53" s="441"/>
      <c r="CH53" s="441"/>
      <c r="CI53" s="441"/>
      <c r="CJ53" s="441"/>
      <c r="CK53" s="441"/>
      <c r="CL53" s="441"/>
      <c r="CM53" s="441"/>
      <c r="CN53" s="441"/>
      <c r="CO53" s="441"/>
      <c r="CP53" s="441"/>
      <c r="CQ53" s="441"/>
      <c r="CR53" s="441"/>
      <c r="CS53" s="441"/>
      <c r="CT53" s="441"/>
      <c r="CU53" s="441"/>
      <c r="CV53" s="441"/>
      <c r="CW53" s="441"/>
      <c r="CX53" s="441"/>
      <c r="CY53" s="441"/>
      <c r="CZ53" s="441"/>
      <c r="DA53" s="441"/>
      <c r="DB53" s="441"/>
      <c r="DC53" s="441"/>
      <c r="DD53" s="441"/>
      <c r="DE53" s="441"/>
      <c r="DF53" s="441"/>
      <c r="DG53" s="441"/>
      <c r="DH53" s="441"/>
      <c r="DI53" s="441"/>
      <c r="DJ53" s="441"/>
      <c r="DK53" s="441"/>
      <c r="DL53" s="441"/>
      <c r="DM53" s="441"/>
      <c r="DN53" s="441"/>
      <c r="DO53" s="441"/>
      <c r="DP53" s="441"/>
      <c r="DQ53" s="441"/>
      <c r="DR53" s="441"/>
      <c r="DS53" s="441"/>
      <c r="DT53" s="441"/>
      <c r="DU53" s="441"/>
      <c r="DV53" s="441"/>
      <c r="DW53" s="441"/>
      <c r="DX53" s="441"/>
      <c r="DY53" s="441"/>
      <c r="DZ53" s="441"/>
      <c r="EA53" s="441"/>
      <c r="EB53" s="441"/>
      <c r="EC53" s="441"/>
      <c r="ED53" s="441"/>
      <c r="EE53" s="441"/>
      <c r="EF53" s="441"/>
      <c r="EG53" s="441"/>
      <c r="EH53" s="441"/>
      <c r="EI53" s="441"/>
      <c r="EJ53" s="441"/>
      <c r="EK53" s="441"/>
      <c r="EL53" s="441"/>
      <c r="EM53" s="441"/>
      <c r="EN53" s="441"/>
      <c r="EO53" s="441"/>
      <c r="EP53" s="441"/>
      <c r="EQ53" s="441"/>
      <c r="ER53" s="441"/>
      <c r="ES53" s="441"/>
      <c r="ET53" s="441"/>
      <c r="EU53" s="441"/>
      <c r="EV53" s="441"/>
      <c r="EW53" s="441"/>
    </row>
    <row r="54" spans="1:153" s="895" customFormat="1">
      <c r="A54" s="319"/>
      <c r="B54" s="894"/>
      <c r="C54" s="59"/>
      <c r="D54" s="59"/>
      <c r="E54" s="894"/>
      <c r="F54" s="894"/>
      <c r="G54" s="894"/>
      <c r="H54" s="894"/>
      <c r="I54" s="894"/>
      <c r="J54" s="894"/>
      <c r="K54" s="894"/>
      <c r="L54" s="894"/>
      <c r="M54" s="894"/>
      <c r="N54" s="894"/>
      <c r="O54" s="894"/>
      <c r="P54" s="894"/>
      <c r="Q54" s="894"/>
      <c r="R54" s="894"/>
      <c r="S54" s="894"/>
      <c r="T54" s="894"/>
      <c r="U54" s="894"/>
      <c r="V54" s="894"/>
      <c r="W54" s="894"/>
      <c r="X54" s="894"/>
      <c r="Y54" s="894"/>
      <c r="Z54" s="894"/>
      <c r="AA54" s="894"/>
      <c r="AB54" s="894"/>
      <c r="AC54" s="894"/>
      <c r="AD54" s="894"/>
      <c r="AE54" s="894"/>
      <c r="AF54" s="894"/>
      <c r="AG54" s="894"/>
      <c r="AH54" s="894"/>
      <c r="AI54" s="894"/>
      <c r="AJ54" s="352"/>
      <c r="AK54" s="352"/>
      <c r="AL54" s="352"/>
      <c r="AM54" s="352"/>
      <c r="AN54" s="352"/>
      <c r="AO54" s="352"/>
      <c r="AP54" s="352"/>
      <c r="AQ54" s="352"/>
      <c r="AR54" s="352"/>
      <c r="AS54" s="352"/>
      <c r="AT54" s="352"/>
      <c r="AU54" s="352"/>
      <c r="AV54" s="352"/>
      <c r="AW54" s="352"/>
      <c r="AX54" s="352"/>
      <c r="AY54" s="352"/>
      <c r="AZ54" s="352"/>
      <c r="BA54" s="352"/>
      <c r="BB54" s="352"/>
      <c r="BC54" s="352"/>
      <c r="BD54" s="352"/>
      <c r="BE54" s="352"/>
      <c r="BF54" s="352"/>
      <c r="BG54" s="352"/>
      <c r="BH54" s="352"/>
      <c r="BI54" s="352"/>
      <c r="BJ54" s="352"/>
      <c r="BK54" s="352"/>
      <c r="BL54" s="352"/>
      <c r="BM54" s="352"/>
      <c r="BN54" s="352"/>
      <c r="BO54" s="352"/>
      <c r="BP54" s="352"/>
      <c r="BQ54" s="352"/>
      <c r="BR54" s="352"/>
      <c r="BS54" s="352"/>
      <c r="BT54" s="352"/>
      <c r="BU54" s="352"/>
      <c r="BV54" s="352"/>
      <c r="BW54" s="352"/>
      <c r="BX54" s="352"/>
      <c r="BY54" s="352"/>
      <c r="BZ54" s="352"/>
      <c r="CA54" s="352"/>
      <c r="CB54" s="352"/>
      <c r="CC54" s="352"/>
      <c r="CD54" s="352"/>
      <c r="CE54" s="352"/>
      <c r="CF54" s="352"/>
      <c r="CG54" s="352"/>
      <c r="CH54" s="352"/>
      <c r="CI54" s="352"/>
      <c r="CJ54" s="352"/>
      <c r="CK54" s="352"/>
      <c r="CL54" s="352"/>
      <c r="CM54" s="352"/>
      <c r="CN54" s="352"/>
      <c r="CO54" s="352"/>
      <c r="CP54" s="352"/>
      <c r="CQ54" s="352"/>
      <c r="CR54" s="352"/>
      <c r="CS54" s="352"/>
      <c r="CT54" s="352"/>
      <c r="CU54" s="352"/>
      <c r="CV54" s="352"/>
      <c r="CW54" s="352"/>
      <c r="CX54" s="352"/>
      <c r="CY54" s="352"/>
      <c r="CZ54" s="352"/>
      <c r="DA54" s="352"/>
      <c r="DB54" s="352"/>
      <c r="DC54" s="352"/>
      <c r="DD54" s="352"/>
      <c r="DE54" s="352"/>
      <c r="DF54" s="352"/>
      <c r="DG54" s="352"/>
      <c r="DH54" s="352"/>
      <c r="DI54" s="352"/>
      <c r="DJ54" s="352"/>
      <c r="DK54" s="352"/>
      <c r="DL54" s="352"/>
      <c r="DM54" s="352"/>
      <c r="DN54" s="352"/>
      <c r="DO54" s="352"/>
      <c r="DP54" s="352"/>
      <c r="DQ54" s="352"/>
      <c r="DR54" s="352"/>
      <c r="DS54" s="352"/>
      <c r="DT54" s="352"/>
      <c r="DU54" s="352"/>
      <c r="DV54" s="352"/>
      <c r="DW54" s="352"/>
      <c r="DX54" s="352"/>
      <c r="DY54" s="352"/>
      <c r="DZ54" s="352"/>
      <c r="EA54" s="352"/>
      <c r="EB54" s="352"/>
      <c r="EC54" s="352"/>
      <c r="ED54" s="352"/>
      <c r="EE54" s="352"/>
      <c r="EF54" s="352"/>
      <c r="EG54" s="352"/>
      <c r="EH54" s="352"/>
      <c r="EI54" s="352"/>
      <c r="EJ54" s="352"/>
      <c r="EK54" s="352"/>
      <c r="EL54" s="352"/>
      <c r="EM54" s="352"/>
      <c r="EN54" s="352"/>
      <c r="EO54" s="352"/>
      <c r="EP54" s="352"/>
      <c r="EQ54" s="352"/>
      <c r="ER54" s="352"/>
      <c r="ES54" s="352"/>
      <c r="ET54" s="352"/>
      <c r="EU54" s="352"/>
      <c r="EV54" s="352"/>
      <c r="EW54" s="352"/>
    </row>
    <row r="55" spans="1:153" s="895" customFormat="1">
      <c r="A55" s="917" t="s">
        <v>401</v>
      </c>
      <c r="B55" s="894" t="s">
        <v>719</v>
      </c>
      <c r="C55" s="59"/>
      <c r="D55" s="59"/>
      <c r="E55" s="894">
        <f>Revolver!D8</f>
        <v>0</v>
      </c>
      <c r="F55" s="894">
        <f>Revolver!E8</f>
        <v>0</v>
      </c>
      <c r="G55" s="894">
        <f>Revolver!F8</f>
        <v>0</v>
      </c>
      <c r="H55" s="894">
        <f>Revolver!G8</f>
        <v>0</v>
      </c>
      <c r="I55" s="894">
        <f>Revolver!H8</f>
        <v>0</v>
      </c>
      <c r="J55" s="894">
        <f>Revolver!I8</f>
        <v>0</v>
      </c>
      <c r="K55" s="894">
        <f>Revolver!J8</f>
        <v>0</v>
      </c>
      <c r="L55" s="894">
        <f>Revolver!K8</f>
        <v>0</v>
      </c>
      <c r="M55" s="894">
        <f>Revolver!L8</f>
        <v>0</v>
      </c>
      <c r="N55" s="894">
        <f>Revolver!M8</f>
        <v>0</v>
      </c>
      <c r="O55" s="894">
        <f>Revolver!N8</f>
        <v>0</v>
      </c>
      <c r="P55" s="894">
        <f>Revolver!O8</f>
        <v>0</v>
      </c>
      <c r="Q55" s="894">
        <f>Revolver!P8</f>
        <v>0</v>
      </c>
      <c r="R55" s="894">
        <f>Revolver!Q8</f>
        <v>0</v>
      </c>
      <c r="S55" s="894">
        <f>Revolver!R8</f>
        <v>0</v>
      </c>
      <c r="T55" s="894">
        <f>Revolver!S8</f>
        <v>0</v>
      </c>
      <c r="U55" s="894">
        <f>Revolver!T8</f>
        <v>0</v>
      </c>
      <c r="V55" s="894">
        <f>Revolver!U8</f>
        <v>0</v>
      </c>
      <c r="W55" s="894">
        <f>Revolver!V8</f>
        <v>0</v>
      </c>
      <c r="X55" s="894">
        <f>Revolver!W8</f>
        <v>0</v>
      </c>
      <c r="Y55" s="894">
        <f>Revolver!X8</f>
        <v>0</v>
      </c>
      <c r="Z55" s="894">
        <f>Revolver!Y8</f>
        <v>0</v>
      </c>
      <c r="AA55" s="894">
        <f>Revolver!Z8</f>
        <v>0</v>
      </c>
      <c r="AB55" s="894">
        <f>Revolver!AA8</f>
        <v>0</v>
      </c>
      <c r="AC55" s="894">
        <f>Revolver!AB8</f>
        <v>0</v>
      </c>
      <c r="AD55" s="894">
        <f>Revolver!AC8</f>
        <v>0</v>
      </c>
      <c r="AE55" s="894">
        <f>Revolver!AD8</f>
        <v>0</v>
      </c>
      <c r="AF55" s="894">
        <f>Revolver!AE8</f>
        <v>0</v>
      </c>
      <c r="AG55" s="894">
        <f>Revolver!AF8</f>
        <v>0</v>
      </c>
      <c r="AH55" s="894">
        <f>Revolver!AG8</f>
        <v>0</v>
      </c>
      <c r="AI55" s="894">
        <f>Revolver!AH8</f>
        <v>0</v>
      </c>
      <c r="AJ55" s="352"/>
      <c r="AK55" s="352"/>
      <c r="AL55" s="352"/>
      <c r="AM55" s="352"/>
      <c r="AN55" s="352"/>
      <c r="AO55" s="352"/>
      <c r="AP55" s="352"/>
      <c r="AQ55" s="352"/>
      <c r="AR55" s="352"/>
      <c r="AS55" s="352"/>
      <c r="AT55" s="352"/>
      <c r="AU55" s="352"/>
      <c r="AV55" s="352"/>
      <c r="AW55" s="352"/>
      <c r="AX55" s="352"/>
      <c r="AY55" s="352"/>
      <c r="AZ55" s="352"/>
      <c r="BA55" s="352"/>
      <c r="BB55" s="352"/>
      <c r="BC55" s="352"/>
      <c r="BD55" s="352"/>
      <c r="BE55" s="352"/>
      <c r="BF55" s="352"/>
      <c r="BG55" s="352"/>
      <c r="BH55" s="352"/>
      <c r="BI55" s="352"/>
      <c r="BJ55" s="352"/>
      <c r="BK55" s="352"/>
      <c r="BL55" s="352"/>
      <c r="BM55" s="352"/>
      <c r="BN55" s="352"/>
      <c r="BO55" s="352"/>
      <c r="BP55" s="352"/>
      <c r="BQ55" s="352"/>
      <c r="BR55" s="352"/>
      <c r="BS55" s="352"/>
      <c r="BT55" s="352"/>
      <c r="BU55" s="352"/>
      <c r="BV55" s="352"/>
      <c r="BW55" s="352"/>
      <c r="BX55" s="352"/>
      <c r="BY55" s="352"/>
      <c r="BZ55" s="352"/>
      <c r="CA55" s="352"/>
      <c r="CB55" s="352"/>
      <c r="CC55" s="352"/>
      <c r="CD55" s="352"/>
      <c r="CE55" s="352"/>
      <c r="CF55" s="352"/>
      <c r="CG55" s="352"/>
      <c r="CH55" s="352"/>
      <c r="CI55" s="352"/>
      <c r="CJ55" s="352"/>
      <c r="CK55" s="352"/>
      <c r="CL55" s="352"/>
      <c r="CM55" s="352"/>
      <c r="CN55" s="352"/>
      <c r="CO55" s="352"/>
      <c r="CP55" s="352"/>
      <c r="CQ55" s="352"/>
      <c r="CR55" s="352"/>
      <c r="CS55" s="352"/>
      <c r="CT55" s="352"/>
      <c r="CU55" s="352"/>
      <c r="CV55" s="352"/>
      <c r="CW55" s="352"/>
      <c r="CX55" s="352"/>
      <c r="CY55" s="352"/>
      <c r="CZ55" s="352"/>
      <c r="DA55" s="352"/>
      <c r="DB55" s="352"/>
      <c r="DC55" s="352"/>
      <c r="DD55" s="352"/>
      <c r="DE55" s="352"/>
      <c r="DF55" s="352"/>
      <c r="DG55" s="352"/>
      <c r="DH55" s="352"/>
      <c r="DI55" s="352"/>
      <c r="DJ55" s="352"/>
      <c r="DK55" s="352"/>
      <c r="DL55" s="352"/>
      <c r="DM55" s="352"/>
      <c r="DN55" s="352"/>
      <c r="DO55" s="352"/>
      <c r="DP55" s="352"/>
      <c r="DQ55" s="352"/>
      <c r="DR55" s="352"/>
      <c r="DS55" s="352"/>
      <c r="DT55" s="352"/>
      <c r="DU55" s="352"/>
      <c r="DV55" s="352"/>
      <c r="DW55" s="352"/>
      <c r="DX55" s="352"/>
      <c r="DY55" s="352"/>
      <c r="DZ55" s="352"/>
      <c r="EA55" s="352"/>
      <c r="EB55" s="352"/>
      <c r="EC55" s="352"/>
      <c r="ED55" s="352"/>
      <c r="EE55" s="352"/>
      <c r="EF55" s="352"/>
      <c r="EG55" s="352"/>
      <c r="EH55" s="352"/>
      <c r="EI55" s="352"/>
      <c r="EJ55" s="352"/>
      <c r="EK55" s="352"/>
      <c r="EL55" s="352"/>
      <c r="EM55" s="352"/>
      <c r="EN55" s="352"/>
      <c r="EO55" s="352"/>
      <c r="EP55" s="352"/>
      <c r="EQ55" s="352"/>
      <c r="ER55" s="352"/>
      <c r="ES55" s="352"/>
      <c r="ET55" s="352"/>
      <c r="EU55" s="352"/>
      <c r="EV55" s="352"/>
      <c r="EW55" s="352"/>
    </row>
    <row r="56" spans="1:153" s="895" customFormat="1">
      <c r="A56" s="917" t="s">
        <v>402</v>
      </c>
      <c r="B56" s="894" t="s">
        <v>720</v>
      </c>
      <c r="C56" s="59"/>
      <c r="D56" s="59"/>
      <c r="E56" s="894">
        <f>-Revolver!D10</f>
        <v>0</v>
      </c>
      <c r="F56" s="894">
        <f>-Revolver!E10</f>
        <v>0</v>
      </c>
      <c r="G56" s="894">
        <f>-Revolver!F10</f>
        <v>0</v>
      </c>
      <c r="H56" s="894">
        <f>-Revolver!G10</f>
        <v>0</v>
      </c>
      <c r="I56" s="894">
        <f>-Revolver!H10</f>
        <v>0</v>
      </c>
      <c r="J56" s="894">
        <f>-Revolver!I10</f>
        <v>0</v>
      </c>
      <c r="K56" s="894">
        <f>-Revolver!J10</f>
        <v>0</v>
      </c>
      <c r="L56" s="894">
        <f>-Revolver!K10</f>
        <v>0</v>
      </c>
      <c r="M56" s="894">
        <f>-Revolver!L10</f>
        <v>0</v>
      </c>
      <c r="N56" s="894">
        <f>-Revolver!M10</f>
        <v>0</v>
      </c>
      <c r="O56" s="894">
        <f>-Revolver!N10</f>
        <v>0</v>
      </c>
      <c r="P56" s="894">
        <f>-Revolver!O10</f>
        <v>0</v>
      </c>
      <c r="Q56" s="894">
        <f>-Revolver!P10</f>
        <v>0</v>
      </c>
      <c r="R56" s="894">
        <f>-Revolver!Q10</f>
        <v>0</v>
      </c>
      <c r="S56" s="894">
        <f>-Revolver!R10</f>
        <v>0</v>
      </c>
      <c r="T56" s="894">
        <f>-Revolver!S10</f>
        <v>0</v>
      </c>
      <c r="U56" s="894">
        <f>-Revolver!T10</f>
        <v>0</v>
      </c>
      <c r="V56" s="894">
        <f>-Revolver!U10</f>
        <v>0</v>
      </c>
      <c r="W56" s="894">
        <f>-Revolver!V10</f>
        <v>0</v>
      </c>
      <c r="X56" s="894">
        <f>-Revolver!W10</f>
        <v>0</v>
      </c>
      <c r="Y56" s="894">
        <f>-Revolver!X10</f>
        <v>0</v>
      </c>
      <c r="Z56" s="894">
        <f>-Revolver!Y10</f>
        <v>0</v>
      </c>
      <c r="AA56" s="894">
        <f>-Revolver!Z10</f>
        <v>0</v>
      </c>
      <c r="AB56" s="894">
        <f>-Revolver!AA10</f>
        <v>0</v>
      </c>
      <c r="AC56" s="894">
        <f>-Revolver!AB10</f>
        <v>0</v>
      </c>
      <c r="AD56" s="894">
        <f>-Revolver!AC10</f>
        <v>0</v>
      </c>
      <c r="AE56" s="894">
        <f>-Revolver!AD10</f>
        <v>0</v>
      </c>
      <c r="AF56" s="894">
        <f>-Revolver!AE10</f>
        <v>0</v>
      </c>
      <c r="AG56" s="894">
        <f>-Revolver!AF10</f>
        <v>0</v>
      </c>
      <c r="AH56" s="894">
        <f>-Revolver!AG10</f>
        <v>0</v>
      </c>
      <c r="AI56" s="894">
        <f>-Revolver!AH10</f>
        <v>0</v>
      </c>
      <c r="AJ56" s="352"/>
      <c r="AK56" s="352"/>
      <c r="AL56" s="352"/>
      <c r="AM56" s="352"/>
      <c r="AN56" s="352"/>
      <c r="AO56" s="352"/>
      <c r="AP56" s="352"/>
      <c r="AQ56" s="352"/>
      <c r="AR56" s="352"/>
      <c r="AS56" s="352"/>
      <c r="AT56" s="352"/>
      <c r="AU56" s="352"/>
      <c r="AV56" s="352"/>
      <c r="AW56" s="352"/>
      <c r="AX56" s="352"/>
      <c r="AY56" s="352"/>
      <c r="AZ56" s="352"/>
      <c r="BA56" s="352"/>
      <c r="BB56" s="352"/>
      <c r="BC56" s="352"/>
      <c r="BD56" s="352"/>
      <c r="BE56" s="352"/>
      <c r="BF56" s="352"/>
      <c r="BG56" s="352"/>
      <c r="BH56" s="352"/>
      <c r="BI56" s="352"/>
      <c r="BJ56" s="352"/>
      <c r="BK56" s="352"/>
      <c r="BL56" s="352"/>
      <c r="BM56" s="352"/>
      <c r="BN56" s="352"/>
      <c r="BO56" s="352"/>
      <c r="BP56" s="352"/>
      <c r="BQ56" s="352"/>
      <c r="BR56" s="352"/>
      <c r="BS56" s="352"/>
      <c r="BT56" s="352"/>
      <c r="BU56" s="352"/>
      <c r="BV56" s="352"/>
      <c r="BW56" s="352"/>
      <c r="BX56" s="352"/>
      <c r="BY56" s="352"/>
      <c r="BZ56" s="352"/>
      <c r="CA56" s="352"/>
      <c r="CB56" s="352"/>
      <c r="CC56" s="352"/>
      <c r="CD56" s="352"/>
      <c r="CE56" s="352"/>
      <c r="CF56" s="352"/>
      <c r="CG56" s="352"/>
      <c r="CH56" s="352"/>
      <c r="CI56" s="352"/>
      <c r="CJ56" s="352"/>
      <c r="CK56" s="352"/>
      <c r="CL56" s="352"/>
      <c r="CM56" s="352"/>
      <c r="CN56" s="352"/>
      <c r="CO56" s="352"/>
      <c r="CP56" s="352"/>
      <c r="CQ56" s="352"/>
      <c r="CR56" s="352"/>
      <c r="CS56" s="352"/>
      <c r="CT56" s="352"/>
      <c r="CU56" s="352"/>
      <c r="CV56" s="352"/>
      <c r="CW56" s="352"/>
      <c r="CX56" s="352"/>
      <c r="CY56" s="352"/>
      <c r="CZ56" s="352"/>
      <c r="DA56" s="352"/>
      <c r="DB56" s="352"/>
      <c r="DC56" s="352"/>
      <c r="DD56" s="352"/>
      <c r="DE56" s="352"/>
      <c r="DF56" s="352"/>
      <c r="DG56" s="352"/>
      <c r="DH56" s="352"/>
      <c r="DI56" s="352"/>
      <c r="DJ56" s="352"/>
      <c r="DK56" s="352"/>
      <c r="DL56" s="352"/>
      <c r="DM56" s="352"/>
      <c r="DN56" s="352"/>
      <c r="DO56" s="352"/>
      <c r="DP56" s="352"/>
      <c r="DQ56" s="352"/>
      <c r="DR56" s="352"/>
      <c r="DS56" s="352"/>
      <c r="DT56" s="352"/>
      <c r="DU56" s="352"/>
      <c r="DV56" s="352"/>
      <c r="DW56" s="352"/>
      <c r="DX56" s="352"/>
      <c r="DY56" s="352"/>
      <c r="DZ56" s="352"/>
      <c r="EA56" s="352"/>
      <c r="EB56" s="352"/>
      <c r="EC56" s="352"/>
      <c r="ED56" s="352"/>
      <c r="EE56" s="352"/>
      <c r="EF56" s="352"/>
      <c r="EG56" s="352"/>
      <c r="EH56" s="352"/>
      <c r="EI56" s="352"/>
      <c r="EJ56" s="352"/>
      <c r="EK56" s="352"/>
      <c r="EL56" s="352"/>
      <c r="EM56" s="352"/>
      <c r="EN56" s="352"/>
      <c r="EO56" s="352"/>
      <c r="EP56" s="352"/>
      <c r="EQ56" s="352"/>
      <c r="ER56" s="352"/>
      <c r="ES56" s="352"/>
      <c r="ET56" s="352"/>
      <c r="EU56" s="352"/>
      <c r="EV56" s="352"/>
      <c r="EW56" s="352"/>
    </row>
    <row r="57" spans="1:153" s="895" customFormat="1" ht="13.5" thickBot="1">
      <c r="A57"/>
      <c r="B57" s="891" t="s">
        <v>403</v>
      </c>
      <c r="C57" s="851"/>
      <c r="D57" s="851"/>
      <c r="E57" s="891">
        <f>E53+SUM(E55:E56)</f>
        <v>1985.2107806507152</v>
      </c>
      <c r="F57" s="891">
        <f t="shared" ref="F57:AI57" si="13">F53+SUM(F55:F56)</f>
        <v>1480.4926450176847</v>
      </c>
      <c r="G57" s="891">
        <f t="shared" si="13"/>
        <v>1492.0973072087177</v>
      </c>
      <c r="H57" s="891">
        <f t="shared" si="13"/>
        <v>1481.3737017094784</v>
      </c>
      <c r="I57" s="891">
        <f t="shared" si="13"/>
        <v>1470.4180329030396</v>
      </c>
      <c r="J57" s="891">
        <f t="shared" si="13"/>
        <v>1555.2441263446904</v>
      </c>
      <c r="K57" s="891">
        <f t="shared" si="13"/>
        <v>1431.6968912728519</v>
      </c>
      <c r="L57" s="891">
        <f t="shared" si="13"/>
        <v>1430.0057177907272</v>
      </c>
      <c r="M57" s="891">
        <f t="shared" si="13"/>
        <v>1427.6939298011375</v>
      </c>
      <c r="N57" s="891">
        <f t="shared" si="13"/>
        <v>1447.1040927683948</v>
      </c>
      <c r="O57" s="891">
        <f t="shared" si="13"/>
        <v>1470.1758999941046</v>
      </c>
      <c r="P57" s="891">
        <f t="shared" si="13"/>
        <v>1496.2425943695835</v>
      </c>
      <c r="Q57" s="891">
        <f t="shared" si="13"/>
        <v>1527.1247714941283</v>
      </c>
      <c r="R57" s="891">
        <f t="shared" si="13"/>
        <v>1495.1697626794498</v>
      </c>
      <c r="S57" s="891">
        <f t="shared" si="13"/>
        <v>1459.4654492119746</v>
      </c>
      <c r="T57" s="891">
        <f t="shared" si="13"/>
        <v>1390.7946428457583</v>
      </c>
      <c r="U57" s="891">
        <f t="shared" si="13"/>
        <v>1370.3596058201879</v>
      </c>
      <c r="V57" s="891">
        <f t="shared" si="13"/>
        <v>2320.5205604021085</v>
      </c>
      <c r="W57" s="891">
        <f t="shared" si="13"/>
        <v>5816.9380609148457</v>
      </c>
      <c r="X57" s="891">
        <f t="shared" si="13"/>
        <v>5740.5071598288487</v>
      </c>
      <c r="Y57" s="891">
        <f t="shared" si="13"/>
        <v>16.844521113536999</v>
      </c>
      <c r="Z57" s="891">
        <f t="shared" si="13"/>
        <v>0</v>
      </c>
      <c r="AA57" s="891">
        <f t="shared" si="13"/>
        <v>0</v>
      </c>
      <c r="AB57" s="891">
        <f t="shared" si="13"/>
        <v>0</v>
      </c>
      <c r="AC57" s="891">
        <f t="shared" si="13"/>
        <v>0</v>
      </c>
      <c r="AD57" s="891">
        <f t="shared" si="13"/>
        <v>0</v>
      </c>
      <c r="AE57" s="891">
        <f t="shared" si="13"/>
        <v>0</v>
      </c>
      <c r="AF57" s="891">
        <f t="shared" si="13"/>
        <v>0</v>
      </c>
      <c r="AG57" s="891">
        <f t="shared" si="13"/>
        <v>0</v>
      </c>
      <c r="AH57" s="891">
        <f t="shared" si="13"/>
        <v>0</v>
      </c>
      <c r="AI57" s="891">
        <f t="shared" si="13"/>
        <v>0</v>
      </c>
      <c r="AJ57" s="352"/>
      <c r="AK57" s="352"/>
      <c r="AL57" s="352"/>
      <c r="AM57" s="352"/>
      <c r="AN57" s="352"/>
      <c r="AO57" s="352"/>
      <c r="AP57" s="352"/>
      <c r="AQ57" s="352"/>
      <c r="AR57" s="352"/>
      <c r="AS57" s="352"/>
      <c r="AT57" s="352"/>
      <c r="AU57" s="352"/>
      <c r="AV57" s="352"/>
      <c r="AW57" s="352"/>
      <c r="AX57" s="352"/>
      <c r="AY57" s="352"/>
      <c r="AZ57" s="352"/>
      <c r="BA57" s="352"/>
      <c r="BB57" s="352"/>
      <c r="BC57" s="352"/>
      <c r="BD57" s="352"/>
      <c r="BE57" s="352"/>
      <c r="BF57" s="352"/>
      <c r="BG57" s="352"/>
      <c r="BH57" s="352"/>
      <c r="BI57" s="352"/>
      <c r="BJ57" s="352"/>
      <c r="BK57" s="352"/>
      <c r="BL57" s="352"/>
      <c r="BM57" s="352"/>
      <c r="BN57" s="352"/>
      <c r="BO57" s="352"/>
      <c r="BP57" s="352"/>
      <c r="BQ57" s="352"/>
      <c r="BR57" s="352"/>
      <c r="BS57" s="352"/>
      <c r="BT57" s="352"/>
      <c r="BU57" s="352"/>
      <c r="BV57" s="352"/>
      <c r="BW57" s="352"/>
      <c r="BX57" s="352"/>
      <c r="BY57" s="352"/>
      <c r="BZ57" s="352"/>
      <c r="CA57" s="352"/>
      <c r="CB57" s="352"/>
      <c r="CC57" s="352"/>
      <c r="CD57" s="352"/>
      <c r="CE57" s="352"/>
      <c r="CF57" s="352"/>
      <c r="CG57" s="352"/>
      <c r="CH57" s="352"/>
      <c r="CI57" s="352"/>
      <c r="CJ57" s="352"/>
      <c r="CK57" s="352"/>
      <c r="CL57" s="352"/>
      <c r="CM57" s="352"/>
      <c r="CN57" s="352"/>
      <c r="CO57" s="352"/>
      <c r="CP57" s="352"/>
      <c r="CQ57" s="352"/>
      <c r="CR57" s="352"/>
      <c r="CS57" s="352"/>
      <c r="CT57" s="352"/>
      <c r="CU57" s="352"/>
      <c r="CV57" s="352"/>
      <c r="CW57" s="352"/>
      <c r="CX57" s="352"/>
      <c r="CY57" s="352"/>
      <c r="CZ57" s="352"/>
      <c r="DA57" s="352"/>
      <c r="DB57" s="352"/>
      <c r="DC57" s="352"/>
      <c r="DD57" s="352"/>
      <c r="DE57" s="352"/>
      <c r="DF57" s="352"/>
      <c r="DG57" s="352"/>
      <c r="DH57" s="352"/>
      <c r="DI57" s="352"/>
      <c r="DJ57" s="352"/>
      <c r="DK57" s="352"/>
      <c r="DL57" s="352"/>
      <c r="DM57" s="352"/>
      <c r="DN57" s="352"/>
      <c r="DO57" s="352"/>
      <c r="DP57" s="352"/>
      <c r="DQ57" s="352"/>
      <c r="DR57" s="352"/>
      <c r="DS57" s="352"/>
      <c r="DT57" s="352"/>
      <c r="DU57" s="352"/>
      <c r="DV57" s="352"/>
      <c r="DW57" s="352"/>
      <c r="DX57" s="352"/>
      <c r="DY57" s="352"/>
      <c r="DZ57" s="352"/>
      <c r="EA57" s="352"/>
      <c r="EB57" s="352"/>
      <c r="EC57" s="352"/>
      <c r="ED57" s="352"/>
      <c r="EE57" s="352"/>
      <c r="EF57" s="352"/>
      <c r="EG57" s="352"/>
      <c r="EH57" s="352"/>
      <c r="EI57" s="352"/>
      <c r="EJ57" s="352"/>
      <c r="EK57" s="352"/>
      <c r="EL57" s="352"/>
      <c r="EM57" s="352"/>
      <c r="EN57" s="352"/>
      <c r="EO57" s="352"/>
      <c r="EP57" s="352"/>
      <c r="EQ57" s="352"/>
      <c r="ER57" s="352"/>
      <c r="ES57" s="352"/>
      <c r="ET57" s="352"/>
      <c r="EU57" s="352"/>
      <c r="EV57" s="352"/>
      <c r="EW57" s="352"/>
    </row>
    <row r="58" spans="1:153" s="895" customFormat="1" ht="13.5" thickTop="1">
      <c r="A58"/>
      <c r="B58" s="894"/>
      <c r="C58" s="59"/>
      <c r="D58" s="59"/>
      <c r="E58" s="894"/>
      <c r="F58" s="894"/>
      <c r="G58" s="894"/>
      <c r="H58" s="894"/>
      <c r="I58" s="894"/>
      <c r="J58" s="894"/>
      <c r="K58" s="894"/>
      <c r="L58" s="894"/>
      <c r="M58" s="894"/>
      <c r="N58" s="894"/>
      <c r="O58" s="894"/>
      <c r="P58" s="894"/>
      <c r="Q58" s="894"/>
      <c r="R58" s="894"/>
      <c r="S58" s="894"/>
      <c r="T58" s="894"/>
      <c r="U58" s="894"/>
      <c r="V58" s="894"/>
      <c r="W58" s="894"/>
      <c r="X58" s="894"/>
      <c r="Y58" s="894"/>
      <c r="Z58" s="894"/>
      <c r="AA58" s="894"/>
      <c r="AB58" s="894"/>
      <c r="AC58" s="894"/>
      <c r="AD58" s="894"/>
      <c r="AE58" s="894"/>
      <c r="AF58" s="894"/>
      <c r="AG58" s="894"/>
      <c r="AH58" s="894"/>
      <c r="AI58" s="894"/>
      <c r="AJ58" s="352"/>
      <c r="AK58" s="352"/>
      <c r="AL58" s="352"/>
      <c r="AM58" s="352"/>
      <c r="AN58" s="352"/>
      <c r="AO58" s="352"/>
      <c r="AP58" s="352"/>
      <c r="AQ58" s="352"/>
      <c r="AR58" s="352"/>
      <c r="AS58" s="352"/>
      <c r="AT58" s="352"/>
      <c r="AU58" s="352"/>
      <c r="AV58" s="352"/>
      <c r="AW58" s="352"/>
      <c r="AX58" s="352"/>
      <c r="AY58" s="352"/>
      <c r="AZ58" s="352"/>
      <c r="BA58" s="352"/>
      <c r="BB58" s="352"/>
      <c r="BC58" s="352"/>
      <c r="BD58" s="352"/>
      <c r="BE58" s="352"/>
      <c r="BF58" s="352"/>
      <c r="BG58" s="352"/>
      <c r="BH58" s="352"/>
      <c r="BI58" s="352"/>
      <c r="BJ58" s="352"/>
      <c r="BK58" s="352"/>
      <c r="BL58" s="352"/>
      <c r="BM58" s="352"/>
      <c r="BN58" s="352"/>
      <c r="BO58" s="352"/>
      <c r="BP58" s="352"/>
      <c r="BQ58" s="352"/>
      <c r="BR58" s="352"/>
      <c r="BS58" s="352"/>
      <c r="BT58" s="352"/>
      <c r="BU58" s="352"/>
      <c r="BV58" s="352"/>
      <c r="BW58" s="352"/>
      <c r="BX58" s="352"/>
      <c r="BY58" s="352"/>
      <c r="BZ58" s="352"/>
      <c r="CA58" s="352"/>
      <c r="CB58" s="352"/>
      <c r="CC58" s="352"/>
      <c r="CD58" s="352"/>
      <c r="CE58" s="352"/>
      <c r="CF58" s="352"/>
      <c r="CG58" s="352"/>
      <c r="CH58" s="352"/>
      <c r="CI58" s="352"/>
      <c r="CJ58" s="352"/>
      <c r="CK58" s="352"/>
      <c r="CL58" s="352"/>
      <c r="CM58" s="352"/>
      <c r="CN58" s="352"/>
      <c r="CO58" s="352"/>
      <c r="CP58" s="352"/>
      <c r="CQ58" s="352"/>
      <c r="CR58" s="352"/>
      <c r="CS58" s="352"/>
      <c r="CT58" s="352"/>
      <c r="CU58" s="352"/>
      <c r="CV58" s="352"/>
      <c r="CW58" s="352"/>
      <c r="CX58" s="352"/>
      <c r="CY58" s="352"/>
      <c r="CZ58" s="352"/>
      <c r="DA58" s="352"/>
      <c r="DB58" s="352"/>
      <c r="DC58" s="352"/>
      <c r="DD58" s="352"/>
      <c r="DE58" s="352"/>
      <c r="DF58" s="352"/>
      <c r="DG58" s="352"/>
      <c r="DH58" s="352"/>
      <c r="DI58" s="352"/>
      <c r="DJ58" s="352"/>
      <c r="DK58" s="352"/>
      <c r="DL58" s="352"/>
      <c r="DM58" s="352"/>
      <c r="DN58" s="352"/>
      <c r="DO58" s="352"/>
      <c r="DP58" s="352"/>
      <c r="DQ58" s="352"/>
      <c r="DR58" s="352"/>
      <c r="DS58" s="352"/>
      <c r="DT58" s="352"/>
      <c r="DU58" s="352"/>
      <c r="DV58" s="352"/>
      <c r="DW58" s="352"/>
      <c r="DX58" s="352"/>
      <c r="DY58" s="352"/>
      <c r="DZ58" s="352"/>
      <c r="EA58" s="352"/>
      <c r="EB58" s="352"/>
      <c r="EC58" s="352"/>
      <c r="ED58" s="352"/>
      <c r="EE58" s="352"/>
      <c r="EF58" s="352"/>
      <c r="EG58" s="352"/>
      <c r="EH58" s="352"/>
      <c r="EI58" s="352"/>
      <c r="EJ58" s="352"/>
      <c r="EK58" s="352"/>
      <c r="EL58" s="352"/>
      <c r="EM58" s="352"/>
      <c r="EN58" s="352"/>
      <c r="EO58" s="352"/>
      <c r="EP58" s="352"/>
      <c r="EQ58" s="352"/>
      <c r="ER58" s="352"/>
      <c r="ES58" s="352"/>
      <c r="ET58" s="352"/>
      <c r="EU58" s="352"/>
      <c r="EV58" s="352"/>
      <c r="EW58" s="352"/>
    </row>
    <row r="59" spans="1:153">
      <c r="B59" s="882" t="s">
        <v>575</v>
      </c>
      <c r="C59" s="59"/>
      <c r="D59" s="59"/>
      <c r="E59" s="176">
        <f>Srcs_Uses!E24</f>
        <v>700</v>
      </c>
      <c r="F59" s="176">
        <f t="shared" ref="F59:AI59" si="14">E67</f>
        <v>700</v>
      </c>
      <c r="G59" s="176">
        <f t="shared" si="14"/>
        <v>700</v>
      </c>
      <c r="H59" s="176">
        <f t="shared" si="14"/>
        <v>700</v>
      </c>
      <c r="I59" s="176">
        <f t="shared" si="14"/>
        <v>700</v>
      </c>
      <c r="J59" s="176">
        <f t="shared" si="14"/>
        <v>700</v>
      </c>
      <c r="K59" s="176">
        <f t="shared" si="14"/>
        <v>700</v>
      </c>
      <c r="L59" s="176">
        <f t="shared" si="14"/>
        <v>700</v>
      </c>
      <c r="M59" s="176">
        <f t="shared" si="14"/>
        <v>700</v>
      </c>
      <c r="N59" s="176">
        <f t="shared" si="14"/>
        <v>700</v>
      </c>
      <c r="O59" s="176">
        <f t="shared" si="14"/>
        <v>700</v>
      </c>
      <c r="P59" s="176">
        <f t="shared" si="14"/>
        <v>700</v>
      </c>
      <c r="Q59" s="176">
        <f t="shared" si="14"/>
        <v>700</v>
      </c>
      <c r="R59" s="176">
        <f t="shared" si="14"/>
        <v>700</v>
      </c>
      <c r="S59" s="176">
        <f t="shared" si="14"/>
        <v>700</v>
      </c>
      <c r="T59" s="176">
        <f t="shared" si="14"/>
        <v>700</v>
      </c>
      <c r="U59" s="176">
        <f t="shared" si="14"/>
        <v>700</v>
      </c>
      <c r="V59" s="176">
        <f t="shared" si="14"/>
        <v>700</v>
      </c>
      <c r="W59" s="176">
        <f t="shared" si="14"/>
        <v>700</v>
      </c>
      <c r="X59" s="176">
        <f t="shared" si="14"/>
        <v>700</v>
      </c>
      <c r="Y59" s="176">
        <f t="shared" si="14"/>
        <v>0</v>
      </c>
      <c r="Z59" s="176">
        <f t="shared" si="14"/>
        <v>0</v>
      </c>
      <c r="AA59" s="176">
        <f t="shared" si="14"/>
        <v>0</v>
      </c>
      <c r="AB59" s="176">
        <f t="shared" si="14"/>
        <v>0</v>
      </c>
      <c r="AC59" s="176">
        <f t="shared" si="14"/>
        <v>0</v>
      </c>
      <c r="AD59" s="176">
        <f t="shared" si="14"/>
        <v>0</v>
      </c>
      <c r="AE59" s="176">
        <f t="shared" si="14"/>
        <v>0</v>
      </c>
      <c r="AF59" s="176">
        <f t="shared" si="14"/>
        <v>0</v>
      </c>
      <c r="AG59" s="176">
        <f t="shared" si="14"/>
        <v>0</v>
      </c>
      <c r="AH59" s="176">
        <f t="shared" si="14"/>
        <v>0</v>
      </c>
      <c r="AI59" s="176">
        <f t="shared" si="14"/>
        <v>0</v>
      </c>
      <c r="AJ59" s="184"/>
      <c r="AK59" s="184"/>
      <c r="AL59" s="184"/>
      <c r="AM59" s="184"/>
      <c r="AN59" s="184"/>
      <c r="AO59" s="184"/>
      <c r="AP59" s="184"/>
      <c r="AQ59" s="184"/>
      <c r="AR59" s="184"/>
      <c r="AS59" s="184"/>
      <c r="AT59" s="184"/>
      <c r="AU59" s="184"/>
      <c r="AV59" s="184"/>
      <c r="AW59" s="184"/>
      <c r="AX59" s="184"/>
      <c r="AY59" s="184"/>
      <c r="AZ59" s="184"/>
      <c r="BA59" s="184"/>
      <c r="BB59" s="184"/>
      <c r="BC59" s="184"/>
      <c r="BD59" s="184"/>
      <c r="BE59" s="184"/>
      <c r="BF59" s="184"/>
      <c r="BG59" s="184"/>
      <c r="BH59" s="184"/>
      <c r="BI59" s="184"/>
      <c r="BJ59" s="184"/>
      <c r="BK59" s="184"/>
      <c r="BL59" s="184"/>
      <c r="BM59" s="184"/>
      <c r="BN59" s="184"/>
      <c r="BO59" s="184"/>
      <c r="BP59" s="184"/>
      <c r="BQ59" s="184"/>
      <c r="BR59" s="184"/>
      <c r="BS59" s="184"/>
      <c r="BT59" s="184"/>
      <c r="BU59" s="184"/>
      <c r="BV59" s="184"/>
      <c r="BW59" s="184"/>
      <c r="BX59" s="184"/>
      <c r="BY59" s="184"/>
      <c r="BZ59" s="184"/>
      <c r="CA59" s="184"/>
      <c r="CB59" s="184"/>
      <c r="CC59" s="184"/>
      <c r="CD59" s="184"/>
      <c r="CE59" s="184"/>
      <c r="CF59" s="184"/>
      <c r="CG59" s="184"/>
      <c r="CH59" s="184"/>
      <c r="CI59" s="184"/>
      <c r="CJ59" s="184"/>
      <c r="CK59" s="184"/>
      <c r="CL59" s="184"/>
      <c r="CM59" s="184"/>
      <c r="CN59" s="184"/>
      <c r="CO59" s="184"/>
      <c r="CP59" s="184"/>
      <c r="CQ59" s="184"/>
      <c r="CR59" s="184"/>
      <c r="CS59" s="184"/>
      <c r="CT59" s="184"/>
      <c r="CU59" s="184"/>
      <c r="CV59" s="184"/>
      <c r="CW59" s="184"/>
      <c r="CX59" s="184"/>
      <c r="CY59" s="184"/>
      <c r="CZ59" s="184"/>
      <c r="DA59" s="184"/>
      <c r="DB59" s="184"/>
      <c r="DC59" s="184"/>
      <c r="DD59" s="184"/>
      <c r="DE59" s="184"/>
      <c r="DF59" s="184"/>
      <c r="DG59" s="184"/>
      <c r="DH59" s="184"/>
      <c r="DI59" s="184"/>
      <c r="DJ59" s="184"/>
      <c r="DK59" s="184"/>
      <c r="DL59" s="184"/>
      <c r="DM59" s="184"/>
      <c r="DN59" s="184"/>
      <c r="DO59" s="184"/>
      <c r="DP59" s="184"/>
      <c r="DQ59" s="184"/>
      <c r="DR59" s="184"/>
      <c r="DS59" s="184"/>
      <c r="DT59" s="184"/>
      <c r="DU59" s="184"/>
      <c r="DV59" s="184"/>
      <c r="DW59" s="184"/>
      <c r="DX59" s="184"/>
      <c r="DY59" s="184"/>
      <c r="DZ59" s="184"/>
      <c r="EA59" s="184"/>
      <c r="EB59" s="184"/>
      <c r="EC59" s="184"/>
      <c r="ED59" s="184"/>
      <c r="EE59" s="184"/>
      <c r="EF59" s="184"/>
      <c r="EG59" s="184"/>
      <c r="EH59" s="184"/>
      <c r="EI59" s="184"/>
      <c r="EJ59" s="184"/>
      <c r="EK59" s="184"/>
      <c r="EL59" s="184"/>
      <c r="EM59" s="184"/>
      <c r="EN59" s="184"/>
      <c r="EO59" s="184"/>
      <c r="EP59" s="184"/>
      <c r="EQ59" s="184"/>
      <c r="ER59" s="184"/>
      <c r="ES59" s="184"/>
      <c r="ET59" s="184"/>
      <c r="EU59" s="184"/>
      <c r="EV59" s="184"/>
      <c r="EW59" s="184"/>
    </row>
    <row r="60" spans="1:153">
      <c r="B60" s="882" t="s">
        <v>404</v>
      </c>
      <c r="C60" s="59"/>
      <c r="D60" s="59"/>
      <c r="E60" s="176">
        <f>E57</f>
        <v>1985.2107806507152</v>
      </c>
      <c r="F60" s="176">
        <f t="shared" ref="F60:AI60" si="15">F57</f>
        <v>1480.4926450176847</v>
      </c>
      <c r="G60" s="176">
        <f t="shared" si="15"/>
        <v>1492.0973072087177</v>
      </c>
      <c r="H60" s="176">
        <f t="shared" si="15"/>
        <v>1481.3737017094784</v>
      </c>
      <c r="I60" s="176">
        <f t="shared" si="15"/>
        <v>1470.4180329030396</v>
      </c>
      <c r="J60" s="176">
        <f t="shared" si="15"/>
        <v>1555.2441263446904</v>
      </c>
      <c r="K60" s="176">
        <f t="shared" si="15"/>
        <v>1431.6968912728519</v>
      </c>
      <c r="L60" s="176">
        <f t="shared" si="15"/>
        <v>1430.0057177907272</v>
      </c>
      <c r="M60" s="176">
        <f t="shared" si="15"/>
        <v>1427.6939298011375</v>
      </c>
      <c r="N60" s="176">
        <f t="shared" si="15"/>
        <v>1447.1040927683948</v>
      </c>
      <c r="O60" s="176">
        <f t="shared" si="15"/>
        <v>1470.1758999941046</v>
      </c>
      <c r="P60" s="176">
        <f t="shared" si="15"/>
        <v>1496.2425943695835</v>
      </c>
      <c r="Q60" s="176">
        <f t="shared" si="15"/>
        <v>1527.1247714941283</v>
      </c>
      <c r="R60" s="176">
        <f t="shared" si="15"/>
        <v>1495.1697626794498</v>
      </c>
      <c r="S60" s="176">
        <f t="shared" si="15"/>
        <v>1459.4654492119746</v>
      </c>
      <c r="T60" s="176">
        <f t="shared" si="15"/>
        <v>1390.7946428457583</v>
      </c>
      <c r="U60" s="176">
        <f t="shared" si="15"/>
        <v>1370.3596058201879</v>
      </c>
      <c r="V60" s="176">
        <f t="shared" si="15"/>
        <v>2320.5205604021085</v>
      </c>
      <c r="W60" s="176">
        <f t="shared" si="15"/>
        <v>5816.9380609148457</v>
      </c>
      <c r="X60" s="176">
        <f t="shared" si="15"/>
        <v>5740.5071598288487</v>
      </c>
      <c r="Y60" s="176">
        <f t="shared" si="15"/>
        <v>16.844521113536999</v>
      </c>
      <c r="Z60" s="176">
        <f t="shared" si="15"/>
        <v>0</v>
      </c>
      <c r="AA60" s="176">
        <f t="shared" si="15"/>
        <v>0</v>
      </c>
      <c r="AB60" s="176">
        <f t="shared" si="15"/>
        <v>0</v>
      </c>
      <c r="AC60" s="176">
        <f t="shared" si="15"/>
        <v>0</v>
      </c>
      <c r="AD60" s="176">
        <f t="shared" si="15"/>
        <v>0</v>
      </c>
      <c r="AE60" s="176">
        <f t="shared" si="15"/>
        <v>0</v>
      </c>
      <c r="AF60" s="176">
        <f t="shared" si="15"/>
        <v>0</v>
      </c>
      <c r="AG60" s="176">
        <f t="shared" si="15"/>
        <v>0</v>
      </c>
      <c r="AH60" s="176">
        <f t="shared" si="15"/>
        <v>0</v>
      </c>
      <c r="AI60" s="176">
        <f t="shared" si="15"/>
        <v>0</v>
      </c>
      <c r="AJ60" s="184"/>
      <c r="AK60" s="184"/>
      <c r="AL60" s="184"/>
      <c r="AM60" s="184"/>
      <c r="AN60" s="184"/>
      <c r="AO60" s="184"/>
      <c r="AP60" s="184"/>
      <c r="AQ60" s="184"/>
      <c r="AR60" s="184"/>
      <c r="AS60" s="184"/>
      <c r="AT60" s="184"/>
      <c r="AU60" s="184"/>
      <c r="AV60" s="184"/>
      <c r="AW60" s="184"/>
      <c r="AX60" s="184"/>
      <c r="AY60" s="184"/>
      <c r="AZ60" s="184"/>
      <c r="BA60" s="184"/>
      <c r="BB60" s="184"/>
      <c r="BC60" s="184"/>
      <c r="BD60" s="184"/>
      <c r="BE60" s="184"/>
      <c r="BF60" s="184"/>
      <c r="BG60" s="184"/>
      <c r="BH60" s="184"/>
      <c r="BI60" s="184"/>
      <c r="BJ60" s="184"/>
      <c r="BK60" s="184"/>
      <c r="BL60" s="184"/>
      <c r="BM60" s="184"/>
      <c r="BN60" s="184"/>
      <c r="BO60" s="184"/>
      <c r="BP60" s="184"/>
      <c r="BQ60" s="184"/>
      <c r="BR60" s="184"/>
      <c r="BS60" s="184"/>
      <c r="BT60" s="184"/>
      <c r="BU60" s="184"/>
      <c r="BV60" s="184"/>
      <c r="BW60" s="184"/>
      <c r="BX60" s="184"/>
      <c r="BY60" s="184"/>
      <c r="BZ60" s="184"/>
      <c r="CA60" s="184"/>
      <c r="CB60" s="184"/>
      <c r="CC60" s="184"/>
      <c r="CD60" s="184"/>
      <c r="CE60" s="184"/>
      <c r="CF60" s="184"/>
      <c r="CG60" s="184"/>
      <c r="CH60" s="184"/>
      <c r="CI60" s="184"/>
      <c r="CJ60" s="184"/>
      <c r="CK60" s="184"/>
      <c r="CL60" s="184"/>
      <c r="CM60" s="184"/>
      <c r="CN60" s="184"/>
      <c r="CO60" s="184"/>
      <c r="CP60" s="184"/>
      <c r="CQ60" s="184"/>
      <c r="CR60" s="184"/>
      <c r="CS60" s="184"/>
      <c r="CT60" s="184"/>
      <c r="CU60" s="184"/>
      <c r="CV60" s="184"/>
      <c r="CW60" s="184"/>
      <c r="CX60" s="184"/>
      <c r="CY60" s="184"/>
      <c r="CZ60" s="184"/>
      <c r="DA60" s="184"/>
      <c r="DB60" s="184"/>
      <c r="DC60" s="184"/>
      <c r="DD60" s="184"/>
      <c r="DE60" s="184"/>
      <c r="DF60" s="184"/>
      <c r="DG60" s="184"/>
      <c r="DH60" s="184"/>
      <c r="DI60" s="184"/>
      <c r="DJ60" s="184"/>
      <c r="DK60" s="184"/>
      <c r="DL60" s="184"/>
      <c r="DM60" s="184"/>
      <c r="DN60" s="184"/>
      <c r="DO60" s="184"/>
      <c r="DP60" s="184"/>
      <c r="DQ60" s="184"/>
      <c r="DR60" s="184"/>
      <c r="DS60" s="184"/>
      <c r="DT60" s="184"/>
      <c r="DU60" s="184"/>
      <c r="DV60" s="184"/>
      <c r="DW60" s="184"/>
      <c r="DX60" s="184"/>
      <c r="DY60" s="184"/>
      <c r="DZ60" s="184"/>
      <c r="EA60" s="184"/>
      <c r="EB60" s="184"/>
      <c r="EC60" s="184"/>
      <c r="ED60" s="184"/>
      <c r="EE60" s="184"/>
      <c r="EF60" s="184"/>
      <c r="EG60" s="184"/>
      <c r="EH60" s="184"/>
      <c r="EI60" s="184"/>
      <c r="EJ60" s="184"/>
      <c r="EK60" s="184"/>
      <c r="EL60" s="184"/>
      <c r="EM60" s="184"/>
      <c r="EN60" s="184"/>
      <c r="EO60" s="184"/>
      <c r="EP60" s="184"/>
      <c r="EQ60" s="184"/>
      <c r="ER60" s="184"/>
      <c r="ES60" s="184"/>
      <c r="ET60" s="184"/>
      <c r="EU60" s="184"/>
      <c r="EV60" s="184"/>
      <c r="EW60" s="184"/>
    </row>
    <row r="61" spans="1:153">
      <c r="B61" s="882" t="s">
        <v>834</v>
      </c>
      <c r="C61" s="59"/>
      <c r="D61" s="59"/>
      <c r="E61" s="219">
        <f>$E$4*IF(E1&lt;Assum!$F$22,(-Assum!$E$121),0)</f>
        <v>-700</v>
      </c>
      <c r="F61" s="219">
        <f>$E$4*IF(F1&lt;Assum!$F$22,(-Assum!$E$121),0)</f>
        <v>-700</v>
      </c>
      <c r="G61" s="219">
        <f>$E$4*IF(G1&lt;Assum!$F$22,(-Assum!$E$121),0)</f>
        <v>-700</v>
      </c>
      <c r="H61" s="219">
        <f>$E$4*IF(H1&lt;Assum!$F$22,(-Assum!$E$121),0)</f>
        <v>-700</v>
      </c>
      <c r="I61" s="219">
        <f>$E$4*IF(I1&lt;Assum!$F$22,(-Assum!$E$121),0)</f>
        <v>-700</v>
      </c>
      <c r="J61" s="219">
        <f>$E$4*IF(J1&lt;Assum!$F$22,(-Assum!$E$121),0)</f>
        <v>-700</v>
      </c>
      <c r="K61" s="219">
        <f>$E$4*IF(K1&lt;Assum!$F$22,(-Assum!$E$121),0)</f>
        <v>-700</v>
      </c>
      <c r="L61" s="219">
        <f>$E$4*IF(L1&lt;Assum!$F$22,(-Assum!$E$121),0)</f>
        <v>-700</v>
      </c>
      <c r="M61" s="219">
        <f>$E$4*IF(M1&lt;Assum!$F$22,(-Assum!$E$121),0)</f>
        <v>-700</v>
      </c>
      <c r="N61" s="219">
        <f>$E$4*IF(N1&lt;Assum!$F$22,(-Assum!$E$121),0)</f>
        <v>-700</v>
      </c>
      <c r="O61" s="219">
        <f>$E$4*IF(O1&lt;Assum!$F$22,(-Assum!$E$121),0)</f>
        <v>-700</v>
      </c>
      <c r="P61" s="219">
        <f>$E$4*IF(P1&lt;Assum!$F$22,(-Assum!$E$121),0)</f>
        <v>-700</v>
      </c>
      <c r="Q61" s="219">
        <f>$E$4*IF(Q1&lt;Assum!$F$22,(-Assum!$E$121),0)</f>
        <v>-700</v>
      </c>
      <c r="R61" s="219">
        <f>$E$4*IF(R1&lt;Assum!$F$22,(-Assum!$E$121),0)</f>
        <v>-700</v>
      </c>
      <c r="S61" s="219">
        <f>$E$4*IF(S1&lt;Assum!$F$22,(-Assum!$E$121),0)</f>
        <v>-700</v>
      </c>
      <c r="T61" s="219">
        <f>$E$4*IF(T1&lt;Assum!$F$22,(-Assum!$E$121),0)</f>
        <v>-700</v>
      </c>
      <c r="U61" s="219">
        <f>$E$4*IF(U1&lt;Assum!$F$22,(-Assum!$E$121),0)</f>
        <v>-700</v>
      </c>
      <c r="V61" s="219">
        <f>$E$4*IF(V1&lt;Assum!$F$22,(-Assum!$E$121),0)</f>
        <v>-700</v>
      </c>
      <c r="W61" s="219">
        <f>$E$4*IF(W1&lt;Assum!$F$22,(-Assum!$E$121),0)</f>
        <v>-700</v>
      </c>
      <c r="X61" s="219">
        <f>$E$4*IF(X1&lt;Assum!$F$22,(-Assum!$E$121),0)</f>
        <v>0</v>
      </c>
      <c r="Y61" s="219">
        <f>$E$4*IF(Y1&lt;Assum!$F$22,(-Assum!$E$121),0)</f>
        <v>0</v>
      </c>
      <c r="Z61" s="219">
        <f>$E$4*IF(Z1&lt;Assum!$F$22,(-Assum!$E$121),0)</f>
        <v>0</v>
      </c>
      <c r="AA61" s="219">
        <f>$E$4*IF(AA1&lt;Assum!$F$22,(-Assum!$E$121),0)</f>
        <v>0</v>
      </c>
      <c r="AB61" s="219">
        <f>$E$4*IF(AB1&lt;Assum!$F$22,(-Assum!$E$121),0)</f>
        <v>0</v>
      </c>
      <c r="AC61" s="219">
        <f>$E$4*IF(AC1&lt;Assum!$F$22,(-Assum!$E$121),0)</f>
        <v>0</v>
      </c>
      <c r="AD61" s="219">
        <f>$E$4*IF(AD1&lt;Assum!$F$22,(-Assum!$E$121),0)</f>
        <v>0</v>
      </c>
      <c r="AE61" s="219">
        <f>$E$4*IF(AE1&lt;Assum!$F$22,(-Assum!$E$121),0)</f>
        <v>0</v>
      </c>
      <c r="AF61" s="219">
        <f>$E$4*IF(AF1&lt;Assum!$F$22,(-Assum!$E$121),0)</f>
        <v>0</v>
      </c>
      <c r="AG61" s="219">
        <f>$E$4*IF(AG1&lt;Assum!$F$22,(-Assum!$E$121),0)</f>
        <v>0</v>
      </c>
      <c r="AH61" s="219">
        <f>$E$4*IF(AH1&lt;Assum!$F$22,(-Assum!$E$121),0)</f>
        <v>0</v>
      </c>
      <c r="AI61" s="219">
        <f>$E$4*IF(AI1&lt;Assum!$F$22,(-Assum!$E$121),0)</f>
        <v>0</v>
      </c>
      <c r="AJ61" s="184"/>
      <c r="AK61" s="184"/>
      <c r="AL61" s="184"/>
      <c r="AM61" s="184"/>
      <c r="AN61" s="184"/>
      <c r="AO61" s="184"/>
      <c r="AP61" s="184"/>
      <c r="AQ61" s="184"/>
      <c r="AR61" s="184"/>
      <c r="AS61" s="184"/>
      <c r="AT61" s="184"/>
      <c r="AU61" s="184"/>
      <c r="AV61" s="184"/>
      <c r="AW61" s="184"/>
      <c r="AX61" s="184"/>
      <c r="AY61" s="184"/>
      <c r="AZ61" s="184"/>
      <c r="BA61" s="184"/>
      <c r="BB61" s="184"/>
      <c r="BC61" s="184"/>
      <c r="BD61" s="184"/>
      <c r="BE61" s="184"/>
      <c r="BF61" s="184"/>
      <c r="BG61" s="184"/>
      <c r="BH61" s="184"/>
      <c r="BI61" s="184"/>
      <c r="BJ61" s="184"/>
      <c r="BK61" s="184"/>
      <c r="BL61" s="184"/>
      <c r="BM61" s="184"/>
      <c r="BN61" s="184"/>
      <c r="BO61" s="184"/>
      <c r="BP61" s="184"/>
      <c r="BQ61" s="184"/>
      <c r="BR61" s="184"/>
      <c r="BS61" s="184"/>
      <c r="BT61" s="184"/>
      <c r="BU61" s="184"/>
      <c r="BV61" s="184"/>
      <c r="BW61" s="184"/>
      <c r="BX61" s="184"/>
      <c r="BY61" s="184"/>
      <c r="BZ61" s="184"/>
      <c r="CA61" s="184"/>
      <c r="CB61" s="184"/>
      <c r="CC61" s="184"/>
      <c r="CD61" s="184"/>
      <c r="CE61" s="184"/>
      <c r="CF61" s="184"/>
      <c r="CG61" s="184"/>
      <c r="CH61" s="184"/>
      <c r="CI61" s="184"/>
      <c r="CJ61" s="184"/>
      <c r="CK61" s="184"/>
      <c r="CL61" s="184"/>
      <c r="CM61" s="184"/>
      <c r="CN61" s="184"/>
      <c r="CO61" s="184"/>
      <c r="CP61" s="184"/>
      <c r="CQ61" s="184"/>
      <c r="CR61" s="184"/>
      <c r="CS61" s="184"/>
      <c r="CT61" s="184"/>
      <c r="CU61" s="184"/>
      <c r="CV61" s="184"/>
      <c r="CW61" s="184"/>
      <c r="CX61" s="184"/>
      <c r="CY61" s="184"/>
      <c r="CZ61" s="184"/>
      <c r="DA61" s="184"/>
      <c r="DB61" s="184"/>
      <c r="DC61" s="184"/>
      <c r="DD61" s="184"/>
      <c r="DE61" s="184"/>
      <c r="DF61" s="184"/>
      <c r="DG61" s="184"/>
      <c r="DH61" s="184"/>
      <c r="DI61" s="184"/>
      <c r="DJ61" s="184"/>
      <c r="DK61" s="184"/>
      <c r="DL61" s="184"/>
      <c r="DM61" s="184"/>
      <c r="DN61" s="184"/>
      <c r="DO61" s="184"/>
      <c r="DP61" s="184"/>
      <c r="DQ61" s="184"/>
      <c r="DR61" s="184"/>
      <c r="DS61" s="184"/>
      <c r="DT61" s="184"/>
      <c r="DU61" s="184"/>
      <c r="DV61" s="184"/>
      <c r="DW61" s="184"/>
      <c r="DX61" s="184"/>
      <c r="DY61" s="184"/>
      <c r="DZ61" s="184"/>
      <c r="EA61" s="184"/>
      <c r="EB61" s="184"/>
      <c r="EC61" s="184"/>
      <c r="ED61" s="184"/>
      <c r="EE61" s="184"/>
      <c r="EF61" s="184"/>
      <c r="EG61" s="184"/>
      <c r="EH61" s="184"/>
      <c r="EI61" s="184"/>
      <c r="EJ61" s="184"/>
      <c r="EK61" s="184"/>
      <c r="EL61" s="184"/>
      <c r="EM61" s="184"/>
      <c r="EN61" s="184"/>
      <c r="EO61" s="184"/>
      <c r="EP61" s="184"/>
      <c r="EQ61" s="184"/>
      <c r="ER61" s="184"/>
      <c r="ES61" s="184"/>
      <c r="ET61" s="184"/>
      <c r="EU61" s="184"/>
      <c r="EV61" s="184"/>
      <c r="EW61" s="184"/>
    </row>
    <row r="62" spans="1:153" s="442" customFormat="1" ht="13.5" thickBot="1">
      <c r="A62" s="319"/>
      <c r="B62" s="910" t="s">
        <v>576</v>
      </c>
      <c r="C62" s="911"/>
      <c r="D62" s="911"/>
      <c r="E62" s="890">
        <f>IF(YEAR(SrDebt!$E$84)&gt;YEAR(SrDebt!$E$120),0,IF(SUM(E59:E61)&gt;0,SUM(E59:E61),0))</f>
        <v>1985.2107806507152</v>
      </c>
      <c r="F62" s="890">
        <f>IF(SUM(F59:F61)&gt;0,SUM(F59:F61),0)</f>
        <v>1480.4926450176845</v>
      </c>
      <c r="G62" s="890">
        <f>IF(SUM(G59:G61)&gt;0,SUM(G59:G61),0)</f>
        <v>1492.0973072087177</v>
      </c>
      <c r="H62" s="890">
        <f>IF(SUM(H59:H61)&gt;0,SUM(H59:H61),0)</f>
        <v>1481.3737017094782</v>
      </c>
      <c r="I62" s="890">
        <f>IF(SUM(I59:I61)&gt;0,SUM(I59:I61),0)</f>
        <v>1470.4180329030396</v>
      </c>
      <c r="J62" s="890">
        <f>IF(SUM(J59:J61)&gt;0,SUM(J59:J61),0)</f>
        <v>1555.2441263446904</v>
      </c>
      <c r="K62" s="890">
        <f t="shared" ref="K62:AI62" si="16">IF(SUM(K59:K61)&gt;0,SUM(K59:K61),0)</f>
        <v>1431.6968912728516</v>
      </c>
      <c r="L62" s="890">
        <f t="shared" si="16"/>
        <v>1430.0057177907274</v>
      </c>
      <c r="M62" s="890">
        <f t="shared" si="16"/>
        <v>1427.6939298011375</v>
      </c>
      <c r="N62" s="890">
        <f t="shared" si="16"/>
        <v>1447.1040927683948</v>
      </c>
      <c r="O62" s="890">
        <f t="shared" si="16"/>
        <v>1470.1758999941048</v>
      </c>
      <c r="P62" s="890">
        <f t="shared" si="16"/>
        <v>1496.2425943695835</v>
      </c>
      <c r="Q62" s="890">
        <f t="shared" si="16"/>
        <v>1527.1247714941283</v>
      </c>
      <c r="R62" s="890">
        <f t="shared" si="16"/>
        <v>1495.1697626794498</v>
      </c>
      <c r="S62" s="890">
        <f t="shared" si="16"/>
        <v>1459.4654492119744</v>
      </c>
      <c r="T62" s="890">
        <f t="shared" si="16"/>
        <v>1390.7946428457581</v>
      </c>
      <c r="U62" s="890">
        <f t="shared" si="16"/>
        <v>1370.3596058201879</v>
      </c>
      <c r="V62" s="890">
        <f t="shared" si="16"/>
        <v>2320.5205604021085</v>
      </c>
      <c r="W62" s="890">
        <f t="shared" si="16"/>
        <v>5816.9380609148457</v>
      </c>
      <c r="X62" s="890">
        <f t="shared" si="16"/>
        <v>6440.5071598288487</v>
      </c>
      <c r="Y62" s="890">
        <f t="shared" si="16"/>
        <v>16.844521113536999</v>
      </c>
      <c r="Z62" s="890">
        <f t="shared" si="16"/>
        <v>0</v>
      </c>
      <c r="AA62" s="890">
        <f t="shared" si="16"/>
        <v>0</v>
      </c>
      <c r="AB62" s="890">
        <f t="shared" si="16"/>
        <v>0</v>
      </c>
      <c r="AC62" s="890">
        <f t="shared" si="16"/>
        <v>0</v>
      </c>
      <c r="AD62" s="890">
        <f t="shared" si="16"/>
        <v>0</v>
      </c>
      <c r="AE62" s="890">
        <f t="shared" si="16"/>
        <v>0</v>
      </c>
      <c r="AF62" s="890">
        <f t="shared" si="16"/>
        <v>0</v>
      </c>
      <c r="AG62" s="890">
        <f t="shared" si="16"/>
        <v>0</v>
      </c>
      <c r="AH62" s="890">
        <f t="shared" si="16"/>
        <v>0</v>
      </c>
      <c r="AI62" s="890">
        <f t="shared" si="16"/>
        <v>0</v>
      </c>
      <c r="AJ62" s="441"/>
      <c r="AK62" s="441"/>
      <c r="AL62" s="441"/>
      <c r="AM62" s="441"/>
      <c r="AN62" s="441"/>
      <c r="AO62" s="441"/>
      <c r="AP62" s="441"/>
      <c r="AQ62" s="441"/>
      <c r="AR62" s="441"/>
      <c r="AS62" s="441"/>
      <c r="AT62" s="441"/>
      <c r="AU62" s="441"/>
      <c r="AV62" s="441"/>
      <c r="AW62" s="441"/>
      <c r="AX62" s="441"/>
      <c r="AY62" s="441"/>
      <c r="AZ62" s="441"/>
      <c r="BA62" s="441"/>
      <c r="BB62" s="441"/>
      <c r="BC62" s="441"/>
      <c r="BD62" s="441"/>
      <c r="BE62" s="441"/>
      <c r="BF62" s="441"/>
      <c r="BG62" s="441"/>
      <c r="BH62" s="441"/>
      <c r="BI62" s="441"/>
      <c r="BJ62" s="441"/>
      <c r="BK62" s="441"/>
      <c r="BL62" s="441"/>
      <c r="BM62" s="441"/>
      <c r="BN62" s="441"/>
      <c r="BO62" s="441"/>
      <c r="BP62" s="441"/>
      <c r="BQ62" s="441"/>
      <c r="BR62" s="441"/>
      <c r="BS62" s="441"/>
      <c r="BT62" s="441"/>
      <c r="BU62" s="441"/>
      <c r="BV62" s="441"/>
      <c r="BW62" s="441"/>
      <c r="BX62" s="441"/>
      <c r="BY62" s="441"/>
      <c r="BZ62" s="441"/>
      <c r="CA62" s="441"/>
      <c r="CB62" s="441"/>
      <c r="CC62" s="441"/>
      <c r="CD62" s="441"/>
      <c r="CE62" s="441"/>
      <c r="CF62" s="441"/>
      <c r="CG62" s="441"/>
      <c r="CH62" s="441"/>
      <c r="CI62" s="441"/>
      <c r="CJ62" s="441"/>
      <c r="CK62" s="441"/>
      <c r="CL62" s="441"/>
      <c r="CM62" s="441"/>
      <c r="CN62" s="441"/>
      <c r="CO62" s="441"/>
      <c r="CP62" s="441"/>
      <c r="CQ62" s="441"/>
      <c r="CR62" s="441"/>
      <c r="CS62" s="441"/>
      <c r="CT62" s="441"/>
      <c r="CU62" s="441"/>
      <c r="CV62" s="441"/>
      <c r="CW62" s="441"/>
      <c r="CX62" s="441"/>
      <c r="CY62" s="441"/>
      <c r="CZ62" s="441"/>
      <c r="DA62" s="441"/>
      <c r="DB62" s="441"/>
      <c r="DC62" s="441"/>
      <c r="DD62" s="441"/>
      <c r="DE62" s="441"/>
      <c r="DF62" s="441"/>
      <c r="DG62" s="441"/>
      <c r="DH62" s="441"/>
      <c r="DI62" s="441"/>
      <c r="DJ62" s="441"/>
      <c r="DK62" s="441"/>
      <c r="DL62" s="441"/>
      <c r="DM62" s="441"/>
      <c r="DN62" s="441"/>
      <c r="DO62" s="441"/>
      <c r="DP62" s="441"/>
      <c r="DQ62" s="441"/>
      <c r="DR62" s="441"/>
      <c r="DS62" s="441"/>
      <c r="DT62" s="441"/>
      <c r="DU62" s="441"/>
      <c r="DV62" s="441"/>
      <c r="DW62" s="441"/>
      <c r="DX62" s="441"/>
      <c r="DY62" s="441"/>
      <c r="DZ62" s="441"/>
      <c r="EA62" s="441"/>
      <c r="EB62" s="441"/>
      <c r="EC62" s="441"/>
      <c r="ED62" s="441"/>
      <c r="EE62" s="441"/>
      <c r="EF62" s="441"/>
      <c r="EG62" s="441"/>
      <c r="EH62" s="441"/>
      <c r="EI62" s="441"/>
      <c r="EJ62" s="441"/>
      <c r="EK62" s="441"/>
      <c r="EL62" s="441"/>
      <c r="EM62" s="441"/>
      <c r="EN62" s="441"/>
      <c r="EO62" s="441"/>
      <c r="EP62" s="441"/>
      <c r="EQ62" s="441"/>
      <c r="ER62" s="441"/>
      <c r="ES62" s="441"/>
      <c r="ET62" s="441"/>
      <c r="EU62" s="441"/>
      <c r="EV62" s="441"/>
      <c r="EW62" s="441"/>
    </row>
    <row r="63" spans="1:153">
      <c r="C63" s="59"/>
      <c r="D63" s="59"/>
      <c r="E63" s="176"/>
      <c r="F63" s="176"/>
      <c r="G63" s="176"/>
      <c r="H63" s="176"/>
      <c r="I63" s="176"/>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84"/>
      <c r="AK63" s="184"/>
      <c r="AL63" s="184"/>
      <c r="AM63" s="184"/>
      <c r="AN63" s="184"/>
      <c r="AO63" s="184"/>
      <c r="AP63" s="184"/>
      <c r="AQ63" s="184"/>
      <c r="AR63" s="184"/>
      <c r="AS63" s="184"/>
      <c r="AT63" s="184"/>
      <c r="AU63" s="184"/>
      <c r="AV63" s="184"/>
      <c r="AW63" s="184"/>
      <c r="AX63" s="184"/>
      <c r="AY63" s="184"/>
      <c r="AZ63" s="184"/>
      <c r="BA63" s="184"/>
      <c r="BB63" s="184"/>
      <c r="BC63" s="184"/>
      <c r="BD63" s="184"/>
      <c r="BE63" s="184"/>
      <c r="BF63" s="184"/>
      <c r="BG63" s="184"/>
      <c r="BH63" s="184"/>
      <c r="BI63" s="184"/>
      <c r="BJ63" s="184"/>
      <c r="BK63" s="184"/>
      <c r="BL63" s="184"/>
      <c r="BM63" s="184"/>
      <c r="BN63" s="184"/>
      <c r="BO63" s="184"/>
      <c r="BP63" s="184"/>
      <c r="BQ63" s="184"/>
      <c r="BR63" s="184"/>
      <c r="BS63" s="184"/>
      <c r="BT63" s="184"/>
      <c r="BU63" s="184"/>
      <c r="BV63" s="184"/>
      <c r="BW63" s="184"/>
      <c r="BX63" s="184"/>
      <c r="BY63" s="184"/>
      <c r="BZ63" s="184"/>
      <c r="CA63" s="184"/>
      <c r="CB63" s="184"/>
      <c r="CC63" s="184"/>
      <c r="CD63" s="184"/>
      <c r="CE63" s="184"/>
      <c r="CF63" s="184"/>
      <c r="CG63" s="184"/>
      <c r="CH63" s="184"/>
      <c r="CI63" s="184"/>
      <c r="CJ63" s="184"/>
      <c r="CK63" s="184"/>
      <c r="CL63" s="184"/>
      <c r="CM63" s="184"/>
      <c r="CN63" s="184"/>
      <c r="CO63" s="184"/>
      <c r="CP63" s="184"/>
      <c r="CQ63" s="184"/>
      <c r="CR63" s="184"/>
      <c r="CS63" s="184"/>
      <c r="CT63" s="184"/>
      <c r="CU63" s="184"/>
      <c r="CV63" s="184"/>
      <c r="CW63" s="184"/>
      <c r="CX63" s="184"/>
      <c r="CY63" s="184"/>
      <c r="CZ63" s="184"/>
      <c r="DA63" s="184"/>
      <c r="DB63" s="184"/>
      <c r="DC63" s="184"/>
      <c r="DD63" s="184"/>
      <c r="DE63" s="184"/>
      <c r="DF63" s="184"/>
      <c r="DG63" s="184"/>
      <c r="DH63" s="184"/>
      <c r="DI63" s="184"/>
      <c r="DJ63" s="184"/>
      <c r="DK63" s="184"/>
      <c r="DL63" s="184"/>
      <c r="DM63" s="184"/>
      <c r="DN63" s="184"/>
      <c r="DO63" s="184"/>
      <c r="DP63" s="184"/>
      <c r="DQ63" s="184"/>
      <c r="DR63" s="184"/>
      <c r="DS63" s="184"/>
      <c r="DT63" s="184"/>
      <c r="DU63" s="184"/>
      <c r="DV63" s="184"/>
      <c r="DW63" s="184"/>
      <c r="DX63" s="184"/>
      <c r="DY63" s="184"/>
      <c r="DZ63" s="184"/>
      <c r="EA63" s="184"/>
      <c r="EB63" s="184"/>
      <c r="EC63" s="184"/>
      <c r="ED63" s="184"/>
      <c r="EE63" s="184"/>
      <c r="EF63" s="184"/>
      <c r="EG63" s="184"/>
      <c r="EH63" s="184"/>
      <c r="EI63" s="184"/>
      <c r="EJ63" s="184"/>
      <c r="EK63" s="184"/>
      <c r="EL63" s="184"/>
      <c r="EM63" s="184"/>
      <c r="EN63" s="184"/>
      <c r="EO63" s="184"/>
      <c r="EP63" s="184"/>
      <c r="EQ63" s="184"/>
      <c r="ER63" s="184"/>
      <c r="ES63" s="184"/>
      <c r="ET63" s="184"/>
      <c r="EU63" s="184"/>
      <c r="EV63" s="184"/>
      <c r="EW63" s="184"/>
    </row>
    <row r="64" spans="1:153" s="442" customFormat="1">
      <c r="A64" s="917" t="s">
        <v>577</v>
      </c>
      <c r="B64" s="889" t="s">
        <v>448</v>
      </c>
      <c r="C64" s="59"/>
      <c r="D64" s="59"/>
      <c r="E64" s="218">
        <f>IF(E62&gt;1,E62*Assum!E341,0)</f>
        <v>1965.3586728442081</v>
      </c>
      <c r="F64" s="218">
        <f>IF(F62&gt;1,F62*Assum!F341,0)</f>
        <v>1465.6877185675075</v>
      </c>
      <c r="G64" s="218">
        <f>IF(G62&gt;1,G62*Assum!G341,0)</f>
        <v>1477.1763341366304</v>
      </c>
      <c r="H64" s="218">
        <f>IF(H62&gt;1,H62*Assum!H341,0)</f>
        <v>1466.5599646923833</v>
      </c>
      <c r="I64" s="218">
        <f>IF(I62&gt;1,I62*Assum!I341,0)</f>
        <v>1455.7138525740093</v>
      </c>
      <c r="J64" s="218">
        <f>IF(J62&gt;1,J62*Assum!J341,0)</f>
        <v>1539.6916850812433</v>
      </c>
      <c r="K64" s="218">
        <f>IF(K62&gt;1,K62*Assum!K341,0)</f>
        <v>1417.3799223601231</v>
      </c>
      <c r="L64" s="218">
        <f>IF(L62&gt;1,L62*Assum!L341,0)</f>
        <v>1415.7056606128201</v>
      </c>
      <c r="M64" s="218">
        <f>IF(M62&gt;1,M62*Assum!M341,0)</f>
        <v>1413.416990503126</v>
      </c>
      <c r="N64" s="218">
        <f>IF(N62&gt;1,N62*Assum!N341,0)</f>
        <v>1432.6330518407108</v>
      </c>
      <c r="O64" s="218">
        <f>IF(O62&gt;1,O62*Assum!O341,0)</f>
        <v>1455.4741409941637</v>
      </c>
      <c r="P64" s="218">
        <f>IF(P62&gt;1,P62*Assum!P341,0)</f>
        <v>1481.2801684258877</v>
      </c>
      <c r="Q64" s="218">
        <f>IF(Q62&gt;1,Q62*Assum!Q341,0)</f>
        <v>1511.8535237791871</v>
      </c>
      <c r="R64" s="218">
        <f>IF(R62&gt;1,R62*Assum!R341,0)</f>
        <v>1480.2180650526552</v>
      </c>
      <c r="S64" s="218">
        <f>IF(S62&gt;1,S62*Assum!S341,0)</f>
        <v>1444.8707947198545</v>
      </c>
      <c r="T64" s="218">
        <f>IF(T62&gt;1,T62*Assum!T341,0)</f>
        <v>1376.8866964173005</v>
      </c>
      <c r="U64" s="218">
        <f>IF(U62&gt;1,U62*Assum!U341,0)</f>
        <v>1356.6560097619861</v>
      </c>
      <c r="V64" s="218">
        <f>IF(V62&gt;1,V62*Assum!V341,0)</f>
        <v>2297.3153547980874</v>
      </c>
      <c r="W64" s="218">
        <f>IF(W62&gt;1,W62*Assum!W341,0)</f>
        <v>5758.7686803056968</v>
      </c>
      <c r="X64" s="218">
        <f>IF(X62&gt;1,X62*Assum!X341,0)</f>
        <v>6376.1020882305602</v>
      </c>
      <c r="Y64" s="218">
        <f>IF(Y62&gt;1,Y62*Assum!Y341,0)</f>
        <v>16.676075902401628</v>
      </c>
      <c r="Z64" s="218">
        <f>IF(Z62&gt;1,Z62*Assum!Z341,0)</f>
        <v>0</v>
      </c>
      <c r="AA64" s="218">
        <f>IF(AA62&gt;1,AA62*Assum!AA341,0)</f>
        <v>0</v>
      </c>
      <c r="AB64" s="218">
        <f>IF(AB62&gt;1,AB62*Assum!AB341,0)</f>
        <v>0</v>
      </c>
      <c r="AC64" s="218">
        <f>IF(AC62&gt;1,AC62*Assum!AC341,0)</f>
        <v>0</v>
      </c>
      <c r="AD64" s="218">
        <f>IF(AD62&gt;1,AD62*Assum!AD341,0)</f>
        <v>0</v>
      </c>
      <c r="AE64" s="218">
        <f>IF(AE62&gt;1,AE62*Assum!AE341,0)</f>
        <v>0</v>
      </c>
      <c r="AF64" s="218">
        <f>IF(AF62&gt;1,AF62*Assum!AF341,0)</f>
        <v>0</v>
      </c>
      <c r="AG64" s="218">
        <f>IF(AG62&gt;1,AG62*Assum!AG341,0)</f>
        <v>0</v>
      </c>
      <c r="AH64" s="218">
        <f>IF(AH62&gt;1,AH62*Assum!AH341,0)</f>
        <v>0</v>
      </c>
      <c r="AI64" s="218">
        <f>IF(AI62&gt;1,AI62*Assum!AI341,0)</f>
        <v>0</v>
      </c>
      <c r="AJ64" s="441"/>
      <c r="AK64" s="441"/>
      <c r="AL64" s="441"/>
      <c r="AM64" s="441"/>
      <c r="AN64" s="441"/>
      <c r="AO64" s="441"/>
      <c r="AP64" s="441"/>
      <c r="AQ64" s="441"/>
      <c r="AR64" s="441"/>
      <c r="AS64" s="441"/>
      <c r="AT64" s="441"/>
      <c r="AU64" s="441"/>
      <c r="AV64" s="441"/>
      <c r="AW64" s="441"/>
      <c r="AX64" s="441"/>
      <c r="AY64" s="441"/>
      <c r="AZ64" s="441"/>
      <c r="BA64" s="441"/>
      <c r="BB64" s="441"/>
      <c r="BC64" s="441"/>
      <c r="BD64" s="441"/>
      <c r="BE64" s="441"/>
      <c r="BF64" s="441"/>
      <c r="BG64" s="441"/>
      <c r="BH64" s="441"/>
      <c r="BI64" s="441"/>
      <c r="BJ64" s="441"/>
      <c r="BK64" s="441"/>
      <c r="BL64" s="441"/>
      <c r="BM64" s="441"/>
      <c r="BN64" s="441"/>
      <c r="BO64" s="441"/>
      <c r="BP64" s="441"/>
      <c r="BQ64" s="441"/>
      <c r="BR64" s="441"/>
      <c r="BS64" s="441"/>
      <c r="BT64" s="441"/>
      <c r="BU64" s="441"/>
      <c r="BV64" s="441"/>
      <c r="BW64" s="441"/>
      <c r="BX64" s="441"/>
      <c r="BY64" s="441"/>
      <c r="BZ64" s="441"/>
      <c r="CA64" s="441"/>
      <c r="CB64" s="441"/>
      <c r="CC64" s="441"/>
      <c r="CD64" s="441"/>
      <c r="CE64" s="441"/>
      <c r="CF64" s="441"/>
      <c r="CG64" s="441"/>
      <c r="CH64" s="441"/>
      <c r="CI64" s="441"/>
      <c r="CJ64" s="441"/>
      <c r="CK64" s="441"/>
      <c r="CL64" s="441"/>
      <c r="CM64" s="441"/>
      <c r="CN64" s="441"/>
      <c r="CO64" s="441"/>
      <c r="CP64" s="441"/>
      <c r="CQ64" s="441"/>
      <c r="CR64" s="441"/>
      <c r="CS64" s="441"/>
      <c r="CT64" s="441"/>
      <c r="CU64" s="441"/>
      <c r="CV64" s="441"/>
      <c r="CW64" s="441"/>
      <c r="CX64" s="441"/>
      <c r="CY64" s="441"/>
      <c r="CZ64" s="441"/>
      <c r="DA64" s="441"/>
      <c r="DB64" s="441"/>
      <c r="DC64" s="441"/>
      <c r="DD64" s="441"/>
      <c r="DE64" s="441"/>
      <c r="DF64" s="441"/>
      <c r="DG64" s="441"/>
      <c r="DH64" s="441"/>
      <c r="DI64" s="441"/>
      <c r="DJ64" s="441"/>
      <c r="DK64" s="441"/>
      <c r="DL64" s="441"/>
      <c r="DM64" s="441"/>
      <c r="DN64" s="441"/>
      <c r="DO64" s="441"/>
      <c r="DP64" s="441"/>
      <c r="DQ64" s="441"/>
      <c r="DR64" s="441"/>
      <c r="DS64" s="441"/>
      <c r="DT64" s="441"/>
      <c r="DU64" s="441"/>
      <c r="DV64" s="441"/>
      <c r="DW64" s="441"/>
      <c r="DX64" s="441"/>
      <c r="DY64" s="441"/>
      <c r="DZ64" s="441"/>
      <c r="EA64" s="441"/>
      <c r="EB64" s="441"/>
      <c r="EC64" s="441"/>
      <c r="ED64" s="441"/>
      <c r="EE64" s="441"/>
      <c r="EF64" s="441"/>
      <c r="EG64" s="441"/>
      <c r="EH64" s="441"/>
      <c r="EI64" s="441"/>
      <c r="EJ64" s="441"/>
      <c r="EK64" s="441"/>
      <c r="EL64" s="441"/>
      <c r="EM64" s="441"/>
      <c r="EN64" s="441"/>
      <c r="EO64" s="441"/>
      <c r="EP64" s="441"/>
      <c r="EQ64" s="441"/>
      <c r="ER64" s="441"/>
      <c r="ES64" s="441"/>
      <c r="ET64" s="441"/>
      <c r="EU64" s="441"/>
      <c r="EV64" s="441"/>
      <c r="EW64" s="441"/>
    </row>
    <row r="65" spans="1:153" s="442" customFormat="1">
      <c r="A65" s="319"/>
      <c r="B65" s="441" t="s">
        <v>244</v>
      </c>
      <c r="C65" s="59"/>
      <c r="D65" s="59"/>
      <c r="E65" s="440">
        <f>IF(E62&gt;1,E62*Assum!E342,0)</f>
        <v>19.852107806507153</v>
      </c>
      <c r="F65" s="440">
        <f>IF(F62&gt;1,F62*Assum!F342,0)</f>
        <v>14.804926450176845</v>
      </c>
      <c r="G65" s="440">
        <f>IF(G62&gt;1,G62*Assum!G342,0)</f>
        <v>14.920973072087177</v>
      </c>
      <c r="H65" s="440">
        <f>IF(H62&gt;1,H62*Assum!H342,0)</f>
        <v>14.813737017094782</v>
      </c>
      <c r="I65" s="440">
        <f>IF(I62&gt;1,I62*Assum!I342,0)</f>
        <v>14.704180329030397</v>
      </c>
      <c r="J65" s="440">
        <f>IF(J62&gt;1,J62*Assum!J342,0)</f>
        <v>15.552441263446903</v>
      </c>
      <c r="K65" s="440">
        <f>IF(K62&gt;1,K62*Assum!K342,0)</f>
        <v>14.316968912728516</v>
      </c>
      <c r="L65" s="440">
        <f>IF(L62&gt;1,L62*Assum!L342,0)</f>
        <v>14.300057177907275</v>
      </c>
      <c r="M65" s="440">
        <f>IF(M62&gt;1,M62*Assum!M342,0)</f>
        <v>14.276939298011376</v>
      </c>
      <c r="N65" s="440">
        <f>IF(N62&gt;1,N62*Assum!N342,0)</f>
        <v>14.471040927683948</v>
      </c>
      <c r="O65" s="440">
        <f>IF(O62&gt;1,O62*Assum!O342,0)</f>
        <v>14.701758999941049</v>
      </c>
      <c r="P65" s="440">
        <f>IF(P62&gt;1,P62*Assum!P342,0)</f>
        <v>14.962425943695834</v>
      </c>
      <c r="Q65" s="440">
        <f>IF(Q62&gt;1,Q62*Assum!Q342,0)</f>
        <v>15.271247714941282</v>
      </c>
      <c r="R65" s="440">
        <f>IF(R62&gt;1,R62*Assum!R342,0)</f>
        <v>14.951697626794498</v>
      </c>
      <c r="S65" s="440">
        <f>IF(S62&gt;1,S62*Assum!S342,0)</f>
        <v>14.594654492119744</v>
      </c>
      <c r="T65" s="440">
        <f>IF(T62&gt;1,T62*Assum!T342,0)</f>
        <v>13.907946428457581</v>
      </c>
      <c r="U65" s="440">
        <f>IF(U62&gt;1,U62*Assum!U342,0)</f>
        <v>13.70359605820188</v>
      </c>
      <c r="V65" s="440">
        <f>IF(V62&gt;1,V62*Assum!V342,0)</f>
        <v>23.205205604021085</v>
      </c>
      <c r="W65" s="440">
        <f>IF(W62&gt;1,W62*Assum!W342,0)</f>
        <v>58.169380609148455</v>
      </c>
      <c r="X65" s="440">
        <f>IF(X62&gt;1,X62*Assum!X342,0)</f>
        <v>64.405071598288487</v>
      </c>
      <c r="Y65" s="440">
        <f>IF(Y62&gt;1,Y62*Assum!Y342,0)</f>
        <v>0.16844521113537</v>
      </c>
      <c r="Z65" s="440">
        <f>IF(Z62&gt;1,Z62*Assum!Z342,0)</f>
        <v>0</v>
      </c>
      <c r="AA65" s="440">
        <f>IF(AA62&gt;1,AA62*Assum!AA342,0)</f>
        <v>0</v>
      </c>
      <c r="AB65" s="440">
        <f>IF(AB62&gt;1,AB62*Assum!AB342,0)</f>
        <v>0</v>
      </c>
      <c r="AC65" s="440">
        <f>IF(AC62&gt;1,AC62*Assum!AC342,0)</f>
        <v>0</v>
      </c>
      <c r="AD65" s="440">
        <f>IF(AD62&gt;1,AD62*Assum!AD342,0)</f>
        <v>0</v>
      </c>
      <c r="AE65" s="440">
        <f>IF(AE62&gt;1,AE62*Assum!AE342,0)</f>
        <v>0</v>
      </c>
      <c r="AF65" s="440">
        <f>IF(AF62&gt;1,AF62*Assum!AF342,0)</f>
        <v>0</v>
      </c>
      <c r="AG65" s="440">
        <f>IF(AG62&gt;1,AG62*Assum!AG342,0)</f>
        <v>0</v>
      </c>
      <c r="AH65" s="440">
        <f>IF(AH62&gt;1,AH62*Assum!AH342,0)</f>
        <v>0</v>
      </c>
      <c r="AI65" s="440">
        <f>IF(AI62&gt;1,AI62*Assum!AI342,0)</f>
        <v>0</v>
      </c>
      <c r="AJ65" s="441"/>
      <c r="AK65" s="441"/>
      <c r="AL65" s="441"/>
      <c r="AM65" s="441"/>
      <c r="AN65" s="441"/>
      <c r="AO65" s="441"/>
      <c r="AP65" s="441"/>
      <c r="AQ65" s="441"/>
      <c r="AR65" s="441"/>
      <c r="AS65" s="441"/>
      <c r="AT65" s="441"/>
      <c r="AU65" s="441"/>
      <c r="AV65" s="441"/>
      <c r="AW65" s="441"/>
      <c r="AX65" s="441"/>
      <c r="AY65" s="441"/>
      <c r="AZ65" s="441"/>
      <c r="BA65" s="441"/>
      <c r="BB65" s="441"/>
      <c r="BC65" s="441"/>
      <c r="BD65" s="441"/>
      <c r="BE65" s="441"/>
      <c r="BF65" s="441"/>
      <c r="BG65" s="441"/>
      <c r="BH65" s="441"/>
      <c r="BI65" s="441"/>
      <c r="BJ65" s="441"/>
      <c r="BK65" s="441"/>
      <c r="BL65" s="441"/>
      <c r="BM65" s="441"/>
      <c r="BN65" s="441"/>
      <c r="BO65" s="441"/>
      <c r="BP65" s="441"/>
      <c r="BQ65" s="441"/>
      <c r="BR65" s="441"/>
      <c r="BS65" s="441"/>
      <c r="BT65" s="441"/>
      <c r="BU65" s="441"/>
      <c r="BV65" s="441"/>
      <c r="BW65" s="441"/>
      <c r="BX65" s="441"/>
      <c r="BY65" s="441"/>
      <c r="BZ65" s="441"/>
      <c r="CA65" s="441"/>
      <c r="CB65" s="441"/>
      <c r="CC65" s="441"/>
      <c r="CD65" s="441"/>
      <c r="CE65" s="441"/>
      <c r="CF65" s="441"/>
      <c r="CG65" s="441"/>
      <c r="CH65" s="441"/>
      <c r="CI65" s="441"/>
      <c r="CJ65" s="441"/>
      <c r="CK65" s="441"/>
      <c r="CL65" s="441"/>
      <c r="CM65" s="441"/>
      <c r="CN65" s="441"/>
      <c r="CO65" s="441"/>
      <c r="CP65" s="441"/>
      <c r="CQ65" s="441"/>
      <c r="CR65" s="441"/>
      <c r="CS65" s="441"/>
      <c r="CT65" s="441"/>
      <c r="CU65" s="441"/>
      <c r="CV65" s="441"/>
      <c r="CW65" s="441"/>
      <c r="CX65" s="441"/>
      <c r="CY65" s="441"/>
      <c r="CZ65" s="441"/>
      <c r="DA65" s="441"/>
      <c r="DB65" s="441"/>
      <c r="DC65" s="441"/>
      <c r="DD65" s="441"/>
      <c r="DE65" s="441"/>
      <c r="DF65" s="441"/>
      <c r="DG65" s="441"/>
      <c r="DH65" s="441"/>
      <c r="DI65" s="441"/>
      <c r="DJ65" s="441"/>
      <c r="DK65" s="441"/>
      <c r="DL65" s="441"/>
      <c r="DM65" s="441"/>
      <c r="DN65" s="441"/>
      <c r="DO65" s="441"/>
      <c r="DP65" s="441"/>
      <c r="DQ65" s="441"/>
      <c r="DR65" s="441"/>
      <c r="DS65" s="441"/>
      <c r="DT65" s="441"/>
      <c r="DU65" s="441"/>
      <c r="DV65" s="441"/>
      <c r="DW65" s="441"/>
      <c r="DX65" s="441"/>
      <c r="DY65" s="441"/>
      <c r="DZ65" s="441"/>
      <c r="EA65" s="441"/>
      <c r="EB65" s="441"/>
      <c r="EC65" s="441"/>
      <c r="ED65" s="441"/>
      <c r="EE65" s="441"/>
      <c r="EF65" s="441"/>
      <c r="EG65" s="441"/>
      <c r="EH65" s="441"/>
      <c r="EI65" s="441"/>
      <c r="EJ65" s="441"/>
      <c r="EK65" s="441"/>
      <c r="EL65" s="441"/>
      <c r="EM65" s="441"/>
      <c r="EN65" s="441"/>
      <c r="EO65" s="441"/>
      <c r="EP65" s="441"/>
      <c r="EQ65" s="441"/>
      <c r="ER65" s="441"/>
      <c r="ES65" s="441"/>
      <c r="ET65" s="441"/>
      <c r="EU65" s="441"/>
      <c r="EV65" s="441"/>
      <c r="EW65" s="441"/>
    </row>
    <row r="66" spans="1:153" s="442" customFormat="1" ht="13.5" thickBot="1">
      <c r="A66" s="319"/>
      <c r="B66" s="912" t="s">
        <v>187</v>
      </c>
      <c r="C66" s="909"/>
      <c r="D66" s="909"/>
      <c r="E66" s="891">
        <f t="shared" ref="E66:AI66" si="17">E64+E65</f>
        <v>1985.2107806507152</v>
      </c>
      <c r="F66" s="891">
        <f t="shared" si="17"/>
        <v>1480.4926450176845</v>
      </c>
      <c r="G66" s="891">
        <f t="shared" si="17"/>
        <v>1492.0973072087177</v>
      </c>
      <c r="H66" s="891">
        <f t="shared" si="17"/>
        <v>1481.3737017094782</v>
      </c>
      <c r="I66" s="891">
        <f t="shared" si="17"/>
        <v>1470.4180329030396</v>
      </c>
      <c r="J66" s="891">
        <f t="shared" si="17"/>
        <v>1555.2441263446904</v>
      </c>
      <c r="K66" s="891">
        <f t="shared" si="17"/>
        <v>1431.6968912728516</v>
      </c>
      <c r="L66" s="891">
        <f t="shared" si="17"/>
        <v>1430.0057177907274</v>
      </c>
      <c r="M66" s="891">
        <f t="shared" si="17"/>
        <v>1427.6939298011375</v>
      </c>
      <c r="N66" s="891">
        <f t="shared" si="17"/>
        <v>1447.1040927683948</v>
      </c>
      <c r="O66" s="891">
        <f t="shared" si="17"/>
        <v>1470.1758999941048</v>
      </c>
      <c r="P66" s="891">
        <f t="shared" si="17"/>
        <v>1496.2425943695835</v>
      </c>
      <c r="Q66" s="891">
        <f t="shared" si="17"/>
        <v>1527.1247714941283</v>
      </c>
      <c r="R66" s="891">
        <f t="shared" si="17"/>
        <v>1495.1697626794498</v>
      </c>
      <c r="S66" s="891">
        <f t="shared" si="17"/>
        <v>1459.4654492119744</v>
      </c>
      <c r="T66" s="891">
        <f t="shared" si="17"/>
        <v>1390.7946428457581</v>
      </c>
      <c r="U66" s="891">
        <f t="shared" si="17"/>
        <v>1370.3596058201879</v>
      </c>
      <c r="V66" s="891">
        <f t="shared" si="17"/>
        <v>2320.5205604021085</v>
      </c>
      <c r="W66" s="891">
        <f t="shared" si="17"/>
        <v>5816.9380609148457</v>
      </c>
      <c r="X66" s="891">
        <f t="shared" si="17"/>
        <v>6440.5071598288487</v>
      </c>
      <c r="Y66" s="891">
        <f t="shared" si="17"/>
        <v>16.844521113536999</v>
      </c>
      <c r="Z66" s="891">
        <f t="shared" si="17"/>
        <v>0</v>
      </c>
      <c r="AA66" s="891">
        <f t="shared" si="17"/>
        <v>0</v>
      </c>
      <c r="AB66" s="891">
        <f t="shared" si="17"/>
        <v>0</v>
      </c>
      <c r="AC66" s="891">
        <f t="shared" si="17"/>
        <v>0</v>
      </c>
      <c r="AD66" s="891">
        <f t="shared" si="17"/>
        <v>0</v>
      </c>
      <c r="AE66" s="891">
        <f t="shared" si="17"/>
        <v>0</v>
      </c>
      <c r="AF66" s="891">
        <f t="shared" si="17"/>
        <v>0</v>
      </c>
      <c r="AG66" s="891">
        <f t="shared" si="17"/>
        <v>0</v>
      </c>
      <c r="AH66" s="891">
        <f t="shared" si="17"/>
        <v>0</v>
      </c>
      <c r="AI66" s="891">
        <f t="shared" si="17"/>
        <v>0</v>
      </c>
      <c r="AJ66" s="441"/>
      <c r="AK66" s="441"/>
      <c r="AL66" s="441"/>
      <c r="AM66" s="441"/>
      <c r="AN66" s="441"/>
      <c r="AO66" s="441"/>
      <c r="AP66" s="441"/>
      <c r="AQ66" s="441"/>
      <c r="AR66" s="441"/>
      <c r="AS66" s="441"/>
      <c r="AT66" s="441"/>
      <c r="AU66" s="441"/>
      <c r="AV66" s="441"/>
      <c r="AW66" s="441"/>
      <c r="AX66" s="441"/>
      <c r="AY66" s="441"/>
      <c r="AZ66" s="441"/>
      <c r="BA66" s="441"/>
      <c r="BB66" s="441"/>
      <c r="BC66" s="441"/>
      <c r="BD66" s="441"/>
      <c r="BE66" s="441"/>
      <c r="BF66" s="441"/>
      <c r="BG66" s="441"/>
      <c r="BH66" s="441"/>
      <c r="BI66" s="441"/>
      <c r="BJ66" s="441"/>
      <c r="BK66" s="441"/>
      <c r="BL66" s="441"/>
      <c r="BM66" s="441"/>
      <c r="BN66" s="441"/>
      <c r="BO66" s="441"/>
      <c r="BP66" s="441"/>
      <c r="BQ66" s="441"/>
      <c r="BR66" s="441"/>
      <c r="BS66" s="441"/>
      <c r="BT66" s="441"/>
      <c r="BU66" s="441"/>
      <c r="BV66" s="441"/>
      <c r="BW66" s="441"/>
      <c r="BX66" s="441"/>
      <c r="BY66" s="441"/>
      <c r="BZ66" s="441"/>
      <c r="CA66" s="441"/>
      <c r="CB66" s="441"/>
      <c r="CC66" s="441"/>
      <c r="CD66" s="441"/>
      <c r="CE66" s="441"/>
      <c r="CF66" s="441"/>
      <c r="CG66" s="441"/>
      <c r="CH66" s="441"/>
      <c r="CI66" s="441"/>
      <c r="CJ66" s="441"/>
      <c r="CK66" s="441"/>
      <c r="CL66" s="441"/>
      <c r="CM66" s="441"/>
      <c r="CN66" s="441"/>
      <c r="CO66" s="441"/>
      <c r="CP66" s="441"/>
      <c r="CQ66" s="441"/>
      <c r="CR66" s="441"/>
      <c r="CS66" s="441"/>
      <c r="CT66" s="441"/>
      <c r="CU66" s="441"/>
      <c r="CV66" s="441"/>
      <c r="CW66" s="441"/>
      <c r="CX66" s="441"/>
      <c r="CY66" s="441"/>
      <c r="CZ66" s="441"/>
      <c r="DA66" s="441"/>
      <c r="DB66" s="441"/>
      <c r="DC66" s="441"/>
      <c r="DD66" s="441"/>
      <c r="DE66" s="441"/>
      <c r="DF66" s="441"/>
      <c r="DG66" s="441"/>
      <c r="DH66" s="441"/>
      <c r="DI66" s="441"/>
      <c r="DJ66" s="441"/>
      <c r="DK66" s="441"/>
      <c r="DL66" s="441"/>
      <c r="DM66" s="441"/>
      <c r="DN66" s="441"/>
      <c r="DO66" s="441"/>
      <c r="DP66" s="441"/>
      <c r="DQ66" s="441"/>
      <c r="DR66" s="441"/>
      <c r="DS66" s="441"/>
      <c r="DT66" s="441"/>
      <c r="DU66" s="441"/>
      <c r="DV66" s="441"/>
      <c r="DW66" s="441"/>
      <c r="DX66" s="441"/>
      <c r="DY66" s="441"/>
      <c r="DZ66" s="441"/>
      <c r="EA66" s="441"/>
      <c r="EB66" s="441"/>
      <c r="EC66" s="441"/>
      <c r="ED66" s="441"/>
      <c r="EE66" s="441"/>
      <c r="EF66" s="441"/>
      <c r="EG66" s="441"/>
      <c r="EH66" s="441"/>
      <c r="EI66" s="441"/>
      <c r="EJ66" s="441"/>
      <c r="EK66" s="441"/>
      <c r="EL66" s="441"/>
      <c r="EM66" s="441"/>
      <c r="EN66" s="441"/>
      <c r="EO66" s="441"/>
      <c r="EP66" s="441"/>
      <c r="EQ66" s="441"/>
      <c r="ER66" s="441"/>
      <c r="ES66" s="441"/>
      <c r="ET66" s="441"/>
      <c r="EU66" s="441"/>
      <c r="EV66" s="441"/>
      <c r="EW66" s="441"/>
    </row>
    <row r="67" spans="1:153" ht="14.25" thickTop="1" thickBot="1">
      <c r="B67" s="913" t="s">
        <v>578</v>
      </c>
      <c r="C67" s="914"/>
      <c r="D67" s="914"/>
      <c r="E67" s="915">
        <f t="shared" ref="E67:AI67" si="18">SUM(E59:E60)-E66</f>
        <v>700</v>
      </c>
      <c r="F67" s="915">
        <f t="shared" si="18"/>
        <v>700</v>
      </c>
      <c r="G67" s="915">
        <f t="shared" si="18"/>
        <v>700</v>
      </c>
      <c r="H67" s="915">
        <f t="shared" si="18"/>
        <v>700</v>
      </c>
      <c r="I67" s="915">
        <f t="shared" si="18"/>
        <v>700</v>
      </c>
      <c r="J67" s="915">
        <f t="shared" si="18"/>
        <v>700</v>
      </c>
      <c r="K67" s="915">
        <f t="shared" si="18"/>
        <v>700</v>
      </c>
      <c r="L67" s="915">
        <f t="shared" si="18"/>
        <v>700</v>
      </c>
      <c r="M67" s="915">
        <f t="shared" si="18"/>
        <v>700</v>
      </c>
      <c r="N67" s="915">
        <f t="shared" si="18"/>
        <v>700</v>
      </c>
      <c r="O67" s="915">
        <f t="shared" si="18"/>
        <v>700</v>
      </c>
      <c r="P67" s="915">
        <f t="shared" si="18"/>
        <v>700</v>
      </c>
      <c r="Q67" s="915">
        <f t="shared" si="18"/>
        <v>700</v>
      </c>
      <c r="R67" s="915">
        <f t="shared" si="18"/>
        <v>700</v>
      </c>
      <c r="S67" s="915">
        <f t="shared" si="18"/>
        <v>700</v>
      </c>
      <c r="T67" s="915">
        <f t="shared" si="18"/>
        <v>700</v>
      </c>
      <c r="U67" s="915">
        <f t="shared" si="18"/>
        <v>700</v>
      </c>
      <c r="V67" s="915">
        <f t="shared" si="18"/>
        <v>700</v>
      </c>
      <c r="W67" s="915">
        <f t="shared" si="18"/>
        <v>700</v>
      </c>
      <c r="X67" s="915">
        <f t="shared" si="18"/>
        <v>0</v>
      </c>
      <c r="Y67" s="915">
        <f t="shared" si="18"/>
        <v>0</v>
      </c>
      <c r="Z67" s="915">
        <f t="shared" si="18"/>
        <v>0</v>
      </c>
      <c r="AA67" s="915">
        <f t="shared" si="18"/>
        <v>0</v>
      </c>
      <c r="AB67" s="915">
        <f t="shared" si="18"/>
        <v>0</v>
      </c>
      <c r="AC67" s="915">
        <f t="shared" si="18"/>
        <v>0</v>
      </c>
      <c r="AD67" s="915">
        <f t="shared" si="18"/>
        <v>0</v>
      </c>
      <c r="AE67" s="915">
        <f t="shared" si="18"/>
        <v>0</v>
      </c>
      <c r="AF67" s="915">
        <f t="shared" si="18"/>
        <v>0</v>
      </c>
      <c r="AG67" s="915">
        <f t="shared" si="18"/>
        <v>0</v>
      </c>
      <c r="AH67" s="915">
        <f t="shared" si="18"/>
        <v>0</v>
      </c>
      <c r="AI67" s="915">
        <f t="shared" si="18"/>
        <v>0</v>
      </c>
      <c r="AJ67" s="184"/>
      <c r="AK67" s="184"/>
      <c r="AL67" s="184"/>
      <c r="AM67" s="184"/>
      <c r="AN67" s="184"/>
      <c r="AO67" s="184"/>
      <c r="AP67" s="184"/>
      <c r="AQ67" s="184"/>
      <c r="AR67" s="184"/>
      <c r="AS67" s="184"/>
      <c r="AT67" s="184"/>
      <c r="AU67" s="184"/>
      <c r="AV67" s="184"/>
      <c r="AW67" s="184"/>
      <c r="AX67" s="184"/>
      <c r="AY67" s="184"/>
      <c r="AZ67" s="184"/>
      <c r="BA67" s="184"/>
      <c r="BB67" s="184"/>
      <c r="BC67" s="184"/>
      <c r="BD67" s="184"/>
      <c r="BE67" s="184"/>
      <c r="BF67" s="184"/>
      <c r="BG67" s="184"/>
      <c r="BH67" s="184"/>
      <c r="BI67" s="184"/>
      <c r="BJ67" s="184"/>
      <c r="BK67" s="184"/>
      <c r="BL67" s="184"/>
      <c r="BM67" s="184"/>
      <c r="BN67" s="184"/>
      <c r="BO67" s="184"/>
      <c r="BP67" s="184"/>
      <c r="BQ67" s="184"/>
      <c r="BR67" s="184"/>
      <c r="BS67" s="184"/>
      <c r="BT67" s="184"/>
      <c r="BU67" s="184"/>
      <c r="BV67" s="184"/>
      <c r="BW67" s="184"/>
      <c r="BX67" s="184"/>
      <c r="BY67" s="184"/>
      <c r="BZ67" s="184"/>
      <c r="CA67" s="184"/>
      <c r="CB67" s="184"/>
      <c r="CC67" s="184"/>
      <c r="CD67" s="184"/>
      <c r="CE67" s="184"/>
      <c r="CF67" s="184"/>
      <c r="CG67" s="184"/>
      <c r="CH67" s="184"/>
      <c r="CI67" s="184"/>
      <c r="CJ67" s="184"/>
      <c r="CK67" s="184"/>
      <c r="CL67" s="184"/>
      <c r="CM67" s="184"/>
      <c r="CN67" s="184"/>
      <c r="CO67" s="184"/>
      <c r="CP67" s="184"/>
      <c r="CQ67" s="184"/>
      <c r="CR67" s="184"/>
      <c r="CS67" s="184"/>
      <c r="CT67" s="184"/>
      <c r="CU67" s="184"/>
      <c r="CV67" s="184"/>
      <c r="CW67" s="184"/>
      <c r="CX67" s="184"/>
      <c r="CY67" s="184"/>
      <c r="CZ67" s="184"/>
      <c r="DA67" s="184"/>
      <c r="DB67" s="184"/>
      <c r="DC67" s="184"/>
      <c r="DD67" s="184"/>
      <c r="DE67" s="184"/>
      <c r="DF67" s="184"/>
      <c r="DG67" s="184"/>
      <c r="DH67" s="184"/>
      <c r="DI67" s="184"/>
      <c r="DJ67" s="184"/>
      <c r="DK67" s="184"/>
      <c r="DL67" s="184"/>
      <c r="DM67" s="184"/>
      <c r="DN67" s="184"/>
      <c r="DO67" s="184"/>
      <c r="DP67" s="184"/>
      <c r="DQ67" s="184"/>
      <c r="DR67" s="184"/>
      <c r="DS67" s="184"/>
      <c r="DT67" s="184"/>
      <c r="DU67" s="184"/>
      <c r="DV67" s="184"/>
      <c r="DW67" s="184"/>
      <c r="DX67" s="184"/>
      <c r="DY67" s="184"/>
      <c r="DZ67" s="184"/>
      <c r="EA67" s="184"/>
      <c r="EB67" s="184"/>
      <c r="EC67" s="184"/>
      <c r="ED67" s="184"/>
      <c r="EE67" s="184"/>
      <c r="EF67" s="184"/>
      <c r="EG67" s="184"/>
      <c r="EH67" s="184"/>
      <c r="EI67" s="184"/>
      <c r="EJ67" s="184"/>
      <c r="EK67" s="184"/>
      <c r="EL67" s="184"/>
      <c r="EM67" s="184"/>
      <c r="EN67" s="184"/>
      <c r="EO67" s="184"/>
      <c r="EP67" s="184"/>
      <c r="EQ67" s="184"/>
      <c r="ER67" s="184"/>
      <c r="ES67" s="184"/>
      <c r="ET67" s="184"/>
      <c r="EU67" s="184"/>
      <c r="EV67" s="184"/>
      <c r="EW67" s="184"/>
    </row>
    <row r="68" spans="1:153">
      <c r="A68" s="885"/>
      <c r="B68" s="176"/>
      <c r="C68" s="219"/>
      <c r="D68" s="219"/>
      <c r="E68" s="896"/>
      <c r="F68" s="896"/>
      <c r="G68" s="896"/>
      <c r="H68" s="896"/>
      <c r="I68" s="896"/>
      <c r="J68" s="896"/>
      <c r="K68" s="896"/>
      <c r="L68" s="896"/>
      <c r="M68" s="896"/>
      <c r="N68" s="896"/>
      <c r="O68" s="896"/>
      <c r="P68" s="896"/>
      <c r="Q68" s="896"/>
      <c r="R68" s="896"/>
      <c r="S68" s="896"/>
      <c r="T68" s="896"/>
      <c r="U68" s="896"/>
      <c r="V68" s="896"/>
      <c r="W68" s="896"/>
      <c r="X68" s="896"/>
      <c r="Y68" s="896"/>
      <c r="Z68" s="896"/>
      <c r="AA68" s="896"/>
      <c r="AB68" s="896"/>
      <c r="AC68" s="896"/>
      <c r="AD68" s="896"/>
      <c r="AE68" s="896"/>
      <c r="AF68" s="896"/>
      <c r="AG68" s="896"/>
      <c r="AH68" s="896"/>
      <c r="AI68" s="896"/>
      <c r="AJ68" s="184"/>
      <c r="AK68" s="184"/>
      <c r="AL68" s="184"/>
      <c r="AM68" s="184"/>
      <c r="AN68" s="184"/>
      <c r="AO68" s="184"/>
      <c r="AP68" s="184"/>
      <c r="AQ68" s="184"/>
      <c r="AR68" s="184"/>
      <c r="AS68" s="184"/>
      <c r="AT68" s="184"/>
      <c r="AU68" s="184"/>
      <c r="AV68" s="184"/>
      <c r="AW68" s="184"/>
      <c r="AX68" s="184"/>
      <c r="AY68" s="184"/>
      <c r="AZ68" s="184"/>
      <c r="BA68" s="184"/>
      <c r="BB68" s="184"/>
      <c r="BC68" s="184"/>
      <c r="BD68" s="184"/>
      <c r="BE68" s="184"/>
      <c r="BF68" s="184"/>
      <c r="BG68" s="184"/>
      <c r="BH68" s="184"/>
      <c r="BI68" s="184"/>
      <c r="BJ68" s="184"/>
      <c r="BK68" s="184"/>
      <c r="BL68" s="184"/>
      <c r="BM68" s="184"/>
      <c r="BN68" s="184"/>
      <c r="BO68" s="184"/>
      <c r="BP68" s="184"/>
      <c r="BQ68" s="184"/>
      <c r="BR68" s="184"/>
      <c r="BS68" s="184"/>
      <c r="BT68" s="184"/>
      <c r="BU68" s="184"/>
      <c r="BV68" s="184"/>
      <c r="BW68" s="184"/>
      <c r="BX68" s="184"/>
      <c r="BY68" s="184"/>
      <c r="BZ68" s="184"/>
      <c r="CA68" s="184"/>
      <c r="CB68" s="184"/>
      <c r="CC68" s="184"/>
      <c r="CD68" s="184"/>
      <c r="CE68" s="184"/>
      <c r="CF68" s="184"/>
      <c r="CG68" s="184"/>
      <c r="CH68" s="184"/>
      <c r="CI68" s="184"/>
      <c r="CJ68" s="184"/>
      <c r="CK68" s="184"/>
      <c r="CL68" s="184"/>
      <c r="CM68" s="184"/>
      <c r="CN68" s="184"/>
      <c r="CO68" s="184"/>
      <c r="CP68" s="184"/>
      <c r="CQ68" s="184"/>
      <c r="CR68" s="184"/>
      <c r="CS68" s="184"/>
      <c r="CT68" s="184"/>
      <c r="CU68" s="184"/>
      <c r="CV68" s="184"/>
      <c r="CW68" s="184"/>
      <c r="CX68" s="184"/>
      <c r="CY68" s="184"/>
      <c r="CZ68" s="184"/>
      <c r="DA68" s="184"/>
      <c r="DB68" s="184"/>
      <c r="DC68" s="184"/>
      <c r="DD68" s="184"/>
      <c r="DE68" s="184"/>
      <c r="DF68" s="184"/>
      <c r="DG68" s="184"/>
      <c r="DH68" s="184"/>
      <c r="DI68" s="184"/>
      <c r="DJ68" s="184"/>
      <c r="DK68" s="184"/>
      <c r="DL68" s="184"/>
      <c r="DM68" s="184"/>
      <c r="DN68" s="184"/>
      <c r="DO68" s="184"/>
      <c r="DP68" s="184"/>
      <c r="DQ68" s="184"/>
      <c r="DR68" s="184"/>
      <c r="DS68" s="184"/>
      <c r="DT68" s="184"/>
      <c r="DU68" s="184"/>
      <c r="DV68" s="184"/>
      <c r="DW68" s="184"/>
      <c r="DX68" s="184"/>
      <c r="DY68" s="184"/>
      <c r="DZ68" s="184"/>
      <c r="EA68" s="184"/>
      <c r="EB68" s="184"/>
      <c r="EC68" s="184"/>
      <c r="ED68" s="184"/>
      <c r="EE68" s="184"/>
      <c r="EF68" s="184"/>
      <c r="EG68" s="184"/>
      <c r="EH68" s="184"/>
      <c r="EI68" s="184"/>
      <c r="EJ68" s="184"/>
      <c r="EK68" s="184"/>
      <c r="EL68" s="184"/>
      <c r="EM68" s="184"/>
      <c r="EN68" s="184"/>
      <c r="EO68" s="184"/>
      <c r="EP68" s="184"/>
      <c r="EQ68" s="184"/>
      <c r="ER68" s="184"/>
      <c r="ES68" s="184"/>
      <c r="ET68" s="184"/>
      <c r="EU68" s="184"/>
      <c r="EV68" s="184"/>
      <c r="EW68" s="184"/>
    </row>
    <row r="69" spans="1:153" s="898" customFormat="1">
      <c r="A69" s="1080" t="s">
        <v>95</v>
      </c>
      <c r="B69" s="898" t="s">
        <v>596</v>
      </c>
      <c r="C69" s="59"/>
      <c r="D69" s="59"/>
      <c r="E69" s="901">
        <f>Assum!E224</f>
        <v>1.8000000000000002E-2</v>
      </c>
      <c r="F69" s="901">
        <f>Assum!F224</f>
        <v>1.8000000000000002E-2</v>
      </c>
      <c r="G69" s="901">
        <f>Assum!G224</f>
        <v>1.8000000000000002E-2</v>
      </c>
      <c r="H69" s="901">
        <f>Assum!H224</f>
        <v>1.9E-2</v>
      </c>
      <c r="I69" s="901">
        <f>Assum!I224</f>
        <v>1.9E-2</v>
      </c>
      <c r="J69" s="901">
        <f>Assum!J224</f>
        <v>1.9E-2</v>
      </c>
      <c r="K69" s="901">
        <f>Assum!K224</f>
        <v>0.02</v>
      </c>
      <c r="L69" s="901">
        <f>Assum!L224</f>
        <v>0.02</v>
      </c>
      <c r="M69" s="901">
        <f>Assum!M224</f>
        <v>2.1000000000000001E-2</v>
      </c>
      <c r="N69" s="901">
        <f>Assum!N224</f>
        <v>2.1000000000000001E-2</v>
      </c>
      <c r="O69" s="901">
        <f>Assum!O224</f>
        <v>2.2000000000000002E-2</v>
      </c>
      <c r="P69" s="901">
        <f>Assum!P224</f>
        <v>0</v>
      </c>
      <c r="Q69" s="901">
        <f>Assum!Q224</f>
        <v>0</v>
      </c>
      <c r="R69" s="901">
        <f>Assum!R224</f>
        <v>0</v>
      </c>
      <c r="S69" s="901">
        <f>Assum!S224</f>
        <v>0</v>
      </c>
      <c r="T69" s="901">
        <f>Assum!T224</f>
        <v>0</v>
      </c>
      <c r="U69" s="901">
        <f>Assum!U224</f>
        <v>0</v>
      </c>
      <c r="V69" s="901">
        <f>Assum!V224</f>
        <v>0</v>
      </c>
      <c r="W69" s="901">
        <f>Assum!W224</f>
        <v>0</v>
      </c>
      <c r="X69" s="901">
        <f>Assum!X224</f>
        <v>0</v>
      </c>
      <c r="Y69" s="901">
        <f>Assum!Y224</f>
        <v>0</v>
      </c>
      <c r="Z69" s="901">
        <f>Assum!Z224</f>
        <v>0</v>
      </c>
      <c r="AA69" s="901">
        <f>Assum!AA224</f>
        <v>0</v>
      </c>
      <c r="AB69" s="901">
        <f>Assum!AB224</f>
        <v>0</v>
      </c>
      <c r="AC69" s="901">
        <f>Assum!AC224</f>
        <v>0</v>
      </c>
      <c r="AD69" s="901">
        <f>Assum!AD224</f>
        <v>0</v>
      </c>
      <c r="AE69" s="901">
        <f>Assum!AE224</f>
        <v>0</v>
      </c>
      <c r="AF69" s="901">
        <f>Assum!AF224</f>
        <v>0</v>
      </c>
      <c r="AG69" s="901">
        <f>Assum!AG224</f>
        <v>0</v>
      </c>
      <c r="AH69" s="901">
        <f>Assum!AH224</f>
        <v>0</v>
      </c>
    </row>
    <row r="70" spans="1:153" s="899" customFormat="1">
      <c r="A70" s="897"/>
      <c r="B70" s="899" t="s">
        <v>50</v>
      </c>
      <c r="C70" s="428"/>
      <c r="D70" s="428"/>
      <c r="E70" s="900">
        <f>E69*CashFlow!E7*$E$4</f>
        <v>8417.9504699999998</v>
      </c>
      <c r="F70" s="900">
        <f>F69*CashFlow!F7*$E$4</f>
        <v>8441.3988000000008</v>
      </c>
      <c r="G70" s="900">
        <f>G69*CashFlow!G7*$E$4</f>
        <v>8441.3988000000008</v>
      </c>
      <c r="H70" s="900">
        <f>H69*CashFlow!H7*$E$4</f>
        <v>8910.3653999999988</v>
      </c>
      <c r="I70" s="900">
        <f>I69*CashFlow!I7*$E$4</f>
        <v>8910.3653999999988</v>
      </c>
      <c r="J70" s="900">
        <f>J69*CashFlow!J7*$E$4</f>
        <v>8910.3653999999988</v>
      </c>
      <c r="K70" s="900">
        <f>K69*CashFlow!K7*$E$4</f>
        <v>9379.3320000000003</v>
      </c>
      <c r="L70" s="900">
        <f>L69*CashFlow!L7*$E$4</f>
        <v>9379.3320000000003</v>
      </c>
      <c r="M70" s="900">
        <f>M69*CashFlow!M7*$E$4</f>
        <v>9848.2986000000001</v>
      </c>
      <c r="N70" s="900">
        <f>N69*CashFlow!N7*$E$4</f>
        <v>9848.2986000000001</v>
      </c>
      <c r="O70" s="900">
        <f>O69*CashFlow!O7*$E$4*(1-Assum!H23)</f>
        <v>28.659069999999897</v>
      </c>
      <c r="P70" s="900">
        <f>P69*CashFlow!P7*$E$4</f>
        <v>0</v>
      </c>
      <c r="Q70" s="900">
        <f>Q69*CashFlow!Q7*$E$4</f>
        <v>0</v>
      </c>
      <c r="R70" s="900">
        <f>R69*CashFlow!R7*$E$4</f>
        <v>0</v>
      </c>
      <c r="S70" s="900">
        <f>S69*CashFlow!S7*$E$4</f>
        <v>0</v>
      </c>
      <c r="T70" s="900">
        <f>T69*CashFlow!T7*$E$4</f>
        <v>0</v>
      </c>
      <c r="U70" s="900">
        <f>U69*CashFlow!U7*$E$4</f>
        <v>0</v>
      </c>
      <c r="V70" s="900">
        <f>V69*CashFlow!V7*$E$4</f>
        <v>0</v>
      </c>
      <c r="W70" s="900">
        <f>W69*CashFlow!W7*$E$4</f>
        <v>0</v>
      </c>
      <c r="X70" s="900">
        <f>X69*CashFlow!X7*$E$4</f>
        <v>0</v>
      </c>
      <c r="Y70" s="900">
        <f>Y69*CashFlow!Y7*$E$4</f>
        <v>0</v>
      </c>
      <c r="Z70" s="900">
        <f>Z69*CashFlow!Z7*$E$4</f>
        <v>0</v>
      </c>
      <c r="AA70" s="900">
        <f>AA69*CashFlow!AA7*Assum!$F$21</f>
        <v>0</v>
      </c>
      <c r="AB70" s="900">
        <f>AB69*CashFlow!AB7*Assum!$F$21</f>
        <v>0</v>
      </c>
      <c r="AC70" s="900">
        <f>AC69*CashFlow!AC7*Assum!$F$21</f>
        <v>0</v>
      </c>
      <c r="AD70" s="900">
        <f>AD69*CashFlow!AD7*Assum!$F$21</f>
        <v>0</v>
      </c>
      <c r="AE70" s="900">
        <f>AE69*CashFlow!AE7*Assum!$F$21</f>
        <v>0</v>
      </c>
      <c r="AF70" s="900">
        <f>AF69*CashFlow!AF7*Assum!$F$21</f>
        <v>0</v>
      </c>
      <c r="AG70" s="900">
        <f>AG69*CashFlow!AG7*Assum!$F$21</f>
        <v>0</v>
      </c>
      <c r="AH70" s="900">
        <f>AH69*CashFlow!AH7*Assum!$F$21</f>
        <v>0</v>
      </c>
    </row>
    <row r="71" spans="1:153">
      <c r="A71" s="885"/>
      <c r="B71" s="273"/>
      <c r="C71" s="184"/>
      <c r="D71" s="184"/>
      <c r="E71" s="184"/>
      <c r="F71" s="185"/>
      <c r="G71" s="184"/>
      <c r="H71" s="184"/>
      <c r="I71" s="184"/>
      <c r="J71" s="184"/>
      <c r="K71" s="184"/>
      <c r="L71" s="184"/>
      <c r="M71" s="184"/>
      <c r="N71" s="184"/>
      <c r="O71" s="184"/>
      <c r="P71" s="176"/>
      <c r="Q71" s="184"/>
      <c r="R71" s="184"/>
      <c r="S71" s="184"/>
      <c r="T71" s="184"/>
      <c r="U71" s="184"/>
      <c r="V71" s="184"/>
      <c r="W71" s="184"/>
      <c r="X71" s="184"/>
      <c r="Y71" s="184"/>
      <c r="Z71" s="184"/>
      <c r="AA71" s="184"/>
      <c r="AB71" s="184"/>
      <c r="AC71" s="184"/>
      <c r="AD71" s="184"/>
      <c r="AE71" s="184"/>
      <c r="AF71" s="184"/>
      <c r="AG71" s="184"/>
      <c r="AH71" s="184"/>
      <c r="AJ71" s="184"/>
      <c r="AK71" s="184"/>
      <c r="AL71" s="184"/>
      <c r="AM71" s="184"/>
      <c r="AN71" s="184"/>
      <c r="AO71" s="184"/>
      <c r="AP71" s="184"/>
      <c r="AQ71" s="184"/>
      <c r="AR71" s="184"/>
      <c r="AS71" s="184"/>
      <c r="AT71" s="184"/>
      <c r="AU71" s="184"/>
      <c r="AV71" s="184"/>
      <c r="AW71" s="184"/>
      <c r="AX71" s="184"/>
      <c r="AY71" s="184"/>
      <c r="AZ71" s="184"/>
      <c r="BA71" s="184"/>
      <c r="BB71" s="184"/>
      <c r="BC71" s="184"/>
      <c r="BD71" s="184"/>
      <c r="BE71" s="184"/>
      <c r="BF71" s="184"/>
      <c r="BG71" s="184"/>
      <c r="BH71" s="184"/>
      <c r="BI71" s="184"/>
      <c r="BJ71" s="184"/>
      <c r="BK71" s="184"/>
      <c r="BL71" s="184"/>
      <c r="BM71" s="184"/>
      <c r="BN71" s="184"/>
      <c r="BO71" s="184"/>
      <c r="BP71" s="184"/>
      <c r="BQ71" s="184"/>
      <c r="BR71" s="184"/>
      <c r="BS71" s="184"/>
      <c r="BT71" s="184"/>
      <c r="BU71" s="184"/>
      <c r="BV71" s="184"/>
      <c r="BW71" s="184"/>
      <c r="BX71" s="184"/>
      <c r="BY71" s="184"/>
      <c r="BZ71" s="184"/>
      <c r="CA71" s="184"/>
      <c r="CB71" s="184"/>
      <c r="CC71" s="184"/>
      <c r="CD71" s="184"/>
      <c r="CE71" s="184"/>
      <c r="CF71" s="184"/>
      <c r="CG71" s="184"/>
      <c r="CH71" s="184"/>
      <c r="CI71" s="184"/>
      <c r="CJ71" s="184"/>
      <c r="CK71" s="184"/>
      <c r="CL71" s="184"/>
      <c r="CM71" s="184"/>
      <c r="CN71" s="184"/>
      <c r="CO71" s="184"/>
      <c r="CP71" s="184"/>
      <c r="CQ71" s="184"/>
      <c r="CR71" s="184"/>
      <c r="CS71" s="184"/>
      <c r="CT71" s="184"/>
      <c r="CU71" s="184"/>
      <c r="CV71" s="184"/>
      <c r="CW71" s="184"/>
      <c r="CX71" s="184"/>
      <c r="CY71" s="184"/>
      <c r="CZ71" s="184"/>
      <c r="DA71" s="184"/>
      <c r="DB71" s="184"/>
      <c r="DC71" s="184"/>
      <c r="DD71" s="184"/>
      <c r="DE71" s="184"/>
      <c r="DF71" s="184"/>
      <c r="DG71" s="184"/>
      <c r="DH71" s="184"/>
      <c r="DI71" s="184"/>
      <c r="DJ71" s="184"/>
      <c r="DK71" s="184"/>
      <c r="DL71" s="184"/>
      <c r="DM71" s="184"/>
      <c r="DN71" s="184"/>
      <c r="DO71" s="184"/>
      <c r="DP71" s="184"/>
      <c r="DQ71" s="184"/>
      <c r="DR71" s="184"/>
      <c r="DS71" s="184"/>
      <c r="DT71" s="184"/>
      <c r="DU71" s="184"/>
      <c r="DV71" s="184"/>
      <c r="DW71" s="184"/>
      <c r="DX71" s="184"/>
      <c r="DY71" s="184"/>
      <c r="DZ71" s="184"/>
      <c r="EA71" s="184"/>
      <c r="EB71" s="184"/>
      <c r="EC71" s="184"/>
      <c r="ED71" s="184"/>
      <c r="EE71" s="184"/>
      <c r="EF71" s="184"/>
      <c r="EG71" s="184"/>
      <c r="EH71" s="184"/>
      <c r="EI71" s="184"/>
      <c r="EJ71" s="184"/>
      <c r="EK71" s="184"/>
      <c r="EL71" s="184"/>
      <c r="EM71" s="184"/>
      <c r="EN71" s="184"/>
      <c r="EO71" s="184"/>
      <c r="EP71" s="184"/>
      <c r="EQ71" s="184"/>
      <c r="ER71" s="184"/>
      <c r="ES71" s="184"/>
      <c r="ET71" s="184"/>
      <c r="EU71" s="184"/>
      <c r="EV71" s="184"/>
      <c r="EW71" s="184"/>
    </row>
    <row r="72" spans="1:153">
      <c r="A72" s="897"/>
      <c r="B72" s="1466" t="s">
        <v>773</v>
      </c>
      <c r="C72" s="899"/>
      <c r="D72" s="428"/>
      <c r="E72" s="1467">
        <f>SUM(E51:E52)-E43</f>
        <v>-1985.2107806507152</v>
      </c>
      <c r="F72" s="1467">
        <f>SUM(F51:F52)-F43</f>
        <v>-1480.4926450176847</v>
      </c>
      <c r="G72" s="1467">
        <f t="shared" ref="G72:O72" si="19">SUM(G51:G52)-G43</f>
        <v>-1492.0973072087177</v>
      </c>
      <c r="H72" s="1467">
        <f t="shared" si="19"/>
        <v>-1481.3737017094784</v>
      </c>
      <c r="I72" s="1467">
        <f t="shared" si="19"/>
        <v>-1470.4180329030396</v>
      </c>
      <c r="J72" s="1467">
        <f t="shared" si="19"/>
        <v>-1555.2441263446904</v>
      </c>
      <c r="K72" s="1467">
        <f t="shared" si="19"/>
        <v>-1431.6968912728519</v>
      </c>
      <c r="L72" s="1467">
        <f t="shared" si="19"/>
        <v>-1430.0057177907272</v>
      </c>
      <c r="M72" s="1467">
        <f t="shared" si="19"/>
        <v>-1427.6939298011375</v>
      </c>
      <c r="N72" s="1467">
        <f t="shared" si="19"/>
        <v>-1447.1040927683948</v>
      </c>
      <c r="O72" s="1467">
        <f t="shared" si="19"/>
        <v>-1470.1758999941046</v>
      </c>
      <c r="P72" s="176"/>
      <c r="Q72" s="184"/>
      <c r="R72" s="184"/>
      <c r="S72" s="184"/>
      <c r="T72" s="184"/>
      <c r="U72" s="184"/>
      <c r="V72" s="184"/>
      <c r="W72" s="184"/>
      <c r="X72" s="184"/>
      <c r="Y72" s="184"/>
      <c r="Z72" s="184"/>
      <c r="AA72" s="184"/>
      <c r="AB72" s="184"/>
      <c r="AC72" s="184"/>
      <c r="AD72" s="184"/>
      <c r="AE72" s="184"/>
      <c r="AF72" s="184"/>
      <c r="AG72" s="184"/>
      <c r="AH72" s="184"/>
      <c r="AJ72" s="184"/>
      <c r="AK72" s="184"/>
      <c r="AL72" s="184"/>
      <c r="AM72" s="184"/>
      <c r="AN72" s="184"/>
      <c r="AO72" s="184"/>
      <c r="AP72" s="184"/>
      <c r="AQ72" s="184"/>
      <c r="AR72" s="184"/>
      <c r="AS72" s="184"/>
      <c r="AT72" s="184"/>
      <c r="AU72" s="184"/>
      <c r="AV72" s="184"/>
      <c r="AW72" s="184"/>
      <c r="AX72" s="184"/>
      <c r="AY72" s="184"/>
      <c r="AZ72" s="184"/>
      <c r="BA72" s="184"/>
      <c r="BB72" s="184"/>
      <c r="BC72" s="184"/>
      <c r="BD72" s="184"/>
      <c r="BE72" s="184"/>
      <c r="BF72" s="184"/>
      <c r="BG72" s="184"/>
      <c r="BH72" s="184"/>
      <c r="BI72" s="184"/>
      <c r="BJ72" s="184"/>
      <c r="BK72" s="184"/>
      <c r="BL72" s="184"/>
      <c r="BM72" s="184"/>
      <c r="BN72" s="184"/>
      <c r="BO72" s="184"/>
      <c r="BP72" s="184"/>
      <c r="BQ72" s="184"/>
      <c r="BR72" s="184"/>
      <c r="BS72" s="184"/>
      <c r="BT72" s="184"/>
      <c r="BU72" s="184"/>
      <c r="BV72" s="184"/>
      <c r="BW72" s="184"/>
      <c r="BX72" s="184"/>
      <c r="BY72" s="184"/>
      <c r="BZ72" s="184"/>
      <c r="CA72" s="184"/>
      <c r="CB72" s="184"/>
      <c r="CC72" s="184"/>
      <c r="CD72" s="184"/>
      <c r="CE72" s="184"/>
      <c r="CF72" s="184"/>
      <c r="CG72" s="184"/>
      <c r="CH72" s="184"/>
      <c r="CI72" s="184"/>
      <c r="CJ72" s="184"/>
      <c r="CK72" s="184"/>
      <c r="CL72" s="184"/>
      <c r="CM72" s="184"/>
      <c r="CN72" s="184"/>
      <c r="CO72" s="184"/>
      <c r="CP72" s="184"/>
      <c r="CQ72" s="184"/>
      <c r="CR72" s="184"/>
      <c r="CS72" s="184"/>
      <c r="CT72" s="184"/>
      <c r="CU72" s="184"/>
      <c r="CV72" s="184"/>
      <c r="CW72" s="184"/>
      <c r="CX72" s="184"/>
      <c r="CY72" s="184"/>
      <c r="CZ72" s="184"/>
      <c r="DA72" s="184"/>
      <c r="DB72" s="184"/>
      <c r="DC72" s="184"/>
      <c r="DD72" s="184"/>
      <c r="DE72" s="184"/>
      <c r="DF72" s="184"/>
      <c r="DG72" s="184"/>
      <c r="DH72" s="184"/>
      <c r="DI72" s="184"/>
      <c r="DJ72" s="184"/>
      <c r="DK72" s="184"/>
      <c r="DL72" s="184"/>
      <c r="DM72" s="184"/>
      <c r="DN72" s="184"/>
      <c r="DO72" s="184"/>
      <c r="DP72" s="184"/>
      <c r="DQ72" s="184"/>
      <c r="DR72" s="184"/>
      <c r="DS72" s="184"/>
      <c r="DT72" s="184"/>
      <c r="DU72" s="184"/>
      <c r="DV72" s="184"/>
      <c r="DW72" s="184"/>
      <c r="DX72" s="184"/>
      <c r="DY72" s="184"/>
      <c r="DZ72" s="184"/>
      <c r="EA72" s="184"/>
      <c r="EB72" s="184"/>
      <c r="EC72" s="184"/>
      <c r="ED72" s="184"/>
      <c r="EE72" s="184"/>
      <c r="EF72" s="184"/>
      <c r="EG72" s="184"/>
      <c r="EH72" s="184"/>
      <c r="EI72" s="184"/>
      <c r="EJ72" s="184"/>
      <c r="EK72" s="184"/>
      <c r="EL72" s="184"/>
      <c r="EM72" s="184"/>
      <c r="EN72" s="184"/>
      <c r="EO72" s="184"/>
      <c r="EP72" s="184"/>
      <c r="EQ72" s="184"/>
      <c r="ER72" s="184"/>
      <c r="ES72" s="184"/>
      <c r="ET72" s="184"/>
      <c r="EU72" s="184"/>
      <c r="EV72" s="184"/>
      <c r="EW72" s="184"/>
    </row>
    <row r="73" spans="1:153">
      <c r="A73" s="885"/>
      <c r="B73" s="1468" t="s">
        <v>484</v>
      </c>
      <c r="C73" s="273"/>
      <c r="D73" s="184"/>
      <c r="E73" s="1467">
        <f>SUM(E45:E46)</f>
        <v>0</v>
      </c>
      <c r="F73" s="1467">
        <f>SUM(F45:F46)</f>
        <v>0</v>
      </c>
      <c r="G73" s="1467">
        <f t="shared" ref="G73:O73" si="20">SUM(G45:G46)</f>
        <v>0</v>
      </c>
      <c r="H73" s="1467">
        <f t="shared" si="20"/>
        <v>0</v>
      </c>
      <c r="I73" s="1467">
        <f t="shared" si="20"/>
        <v>0</v>
      </c>
      <c r="J73" s="1467">
        <f t="shared" si="20"/>
        <v>0</v>
      </c>
      <c r="K73" s="1467">
        <f t="shared" si="20"/>
        <v>0</v>
      </c>
      <c r="L73" s="1467">
        <f t="shared" si="20"/>
        <v>0</v>
      </c>
      <c r="M73" s="1467">
        <f t="shared" si="20"/>
        <v>0</v>
      </c>
      <c r="N73" s="1467">
        <f t="shared" si="20"/>
        <v>0</v>
      </c>
      <c r="O73" s="1467">
        <f t="shared" si="20"/>
        <v>0</v>
      </c>
      <c r="P73" s="176"/>
      <c r="Q73" s="184"/>
      <c r="R73" s="184"/>
      <c r="S73" s="184"/>
      <c r="T73" s="184"/>
      <c r="U73" s="184"/>
      <c r="V73" s="184"/>
      <c r="W73" s="184"/>
      <c r="X73" s="184"/>
      <c r="Y73" s="184"/>
      <c r="Z73" s="184"/>
      <c r="AA73" s="184"/>
      <c r="AB73" s="184"/>
      <c r="AC73" s="184"/>
      <c r="AD73" s="184"/>
      <c r="AE73" s="184"/>
      <c r="AF73" s="184"/>
      <c r="AG73" s="184"/>
      <c r="AH73" s="184"/>
      <c r="AJ73" s="184"/>
      <c r="AK73" s="184"/>
      <c r="AL73" s="184"/>
      <c r="AM73" s="184"/>
      <c r="AN73" s="184"/>
      <c r="AO73" s="184"/>
      <c r="AP73" s="184"/>
      <c r="AQ73" s="184"/>
      <c r="AR73" s="184"/>
      <c r="AS73" s="184"/>
      <c r="AT73" s="184"/>
      <c r="AU73" s="184"/>
      <c r="AV73" s="184"/>
      <c r="AW73" s="184"/>
      <c r="AX73" s="184"/>
      <c r="AY73" s="184"/>
      <c r="AZ73" s="184"/>
      <c r="BA73" s="184"/>
      <c r="BB73" s="184"/>
      <c r="BC73" s="184"/>
      <c r="BD73" s="184"/>
      <c r="BE73" s="184"/>
      <c r="BF73" s="184"/>
      <c r="BG73" s="184"/>
      <c r="BH73" s="184"/>
      <c r="BI73" s="184"/>
      <c r="BJ73" s="184"/>
      <c r="BK73" s="184"/>
      <c r="BL73" s="184"/>
      <c r="BM73" s="184"/>
      <c r="BN73" s="184"/>
      <c r="BO73" s="184"/>
      <c r="BP73" s="184"/>
      <c r="BQ73" s="184"/>
      <c r="BR73" s="184"/>
      <c r="BS73" s="184"/>
      <c r="BT73" s="184"/>
      <c r="BU73" s="184"/>
      <c r="BV73" s="184"/>
      <c r="BW73" s="184"/>
      <c r="BX73" s="184"/>
      <c r="BY73" s="184"/>
      <c r="BZ73" s="184"/>
      <c r="CA73" s="184"/>
      <c r="CB73" s="184"/>
      <c r="CC73" s="184"/>
      <c r="CD73" s="184"/>
      <c r="CE73" s="184"/>
      <c r="CF73" s="184"/>
      <c r="CG73" s="184"/>
      <c r="CH73" s="184"/>
      <c r="CI73" s="184"/>
      <c r="CJ73" s="184"/>
      <c r="CK73" s="184"/>
      <c r="CL73" s="184"/>
      <c r="CM73" s="184"/>
      <c r="CN73" s="184"/>
      <c r="CO73" s="184"/>
      <c r="CP73" s="184"/>
      <c r="CQ73" s="184"/>
      <c r="CR73" s="184"/>
      <c r="CS73" s="184"/>
      <c r="CT73" s="184"/>
      <c r="CU73" s="184"/>
      <c r="CV73" s="184"/>
      <c r="CW73" s="184"/>
      <c r="CX73" s="184"/>
      <c r="CY73" s="184"/>
      <c r="CZ73" s="184"/>
      <c r="DA73" s="184"/>
      <c r="DB73" s="184"/>
      <c r="DC73" s="184"/>
      <c r="DD73" s="184"/>
      <c r="DE73" s="184"/>
      <c r="DF73" s="184"/>
      <c r="DG73" s="184"/>
      <c r="DH73" s="184"/>
      <c r="DI73" s="184"/>
      <c r="DJ73" s="184"/>
      <c r="DK73" s="184"/>
      <c r="DL73" s="184"/>
      <c r="DM73" s="184"/>
      <c r="DN73" s="184"/>
      <c r="DO73" s="184"/>
      <c r="DP73" s="184"/>
      <c r="DQ73" s="184"/>
      <c r="DR73" s="184"/>
      <c r="DS73" s="184"/>
      <c r="DT73" s="184"/>
      <c r="DU73" s="184"/>
      <c r="DV73" s="184"/>
      <c r="DW73" s="184"/>
      <c r="DX73" s="184"/>
      <c r="DY73" s="184"/>
      <c r="DZ73" s="184"/>
      <c r="EA73" s="184"/>
      <c r="EB73" s="184"/>
      <c r="EC73" s="184"/>
      <c r="ED73" s="184"/>
      <c r="EE73" s="184"/>
      <c r="EF73" s="184"/>
      <c r="EG73" s="184"/>
      <c r="EH73" s="184"/>
      <c r="EI73" s="184"/>
      <c r="EJ73" s="184"/>
      <c r="EK73" s="184"/>
      <c r="EL73" s="184"/>
      <c r="EM73" s="184"/>
      <c r="EN73" s="184"/>
      <c r="EO73" s="184"/>
      <c r="EP73" s="184"/>
      <c r="EQ73" s="184"/>
      <c r="ER73" s="184"/>
      <c r="ES73" s="184"/>
      <c r="ET73" s="184"/>
      <c r="EU73" s="184"/>
      <c r="EV73" s="184"/>
      <c r="EW73" s="184"/>
    </row>
    <row r="74" spans="1:153">
      <c r="A74" s="885"/>
      <c r="B74" s="1468" t="s">
        <v>809</v>
      </c>
      <c r="C74" s="273"/>
      <c r="D74" s="184"/>
      <c r="E74" s="1469" t="str">
        <f>IF(E73=0,"N/A",E72/E73)</f>
        <v>N/A</v>
      </c>
      <c r="F74" s="1469" t="str">
        <f t="shared" ref="F74:O74" si="21">IF(F73=0,"N/A",F72/F73)</f>
        <v>N/A</v>
      </c>
      <c r="G74" s="1469" t="str">
        <f t="shared" si="21"/>
        <v>N/A</v>
      </c>
      <c r="H74" s="1469" t="str">
        <f t="shared" si="21"/>
        <v>N/A</v>
      </c>
      <c r="I74" s="1469" t="str">
        <f t="shared" si="21"/>
        <v>N/A</v>
      </c>
      <c r="J74" s="1469" t="str">
        <f t="shared" si="21"/>
        <v>N/A</v>
      </c>
      <c r="K74" s="1469" t="str">
        <f t="shared" si="21"/>
        <v>N/A</v>
      </c>
      <c r="L74" s="1469" t="str">
        <f t="shared" si="21"/>
        <v>N/A</v>
      </c>
      <c r="M74" s="1469" t="str">
        <f t="shared" si="21"/>
        <v>N/A</v>
      </c>
      <c r="N74" s="1469" t="str">
        <f t="shared" si="21"/>
        <v>N/A</v>
      </c>
      <c r="O74" s="1469" t="str">
        <f t="shared" si="21"/>
        <v>N/A</v>
      </c>
      <c r="P74" s="176"/>
      <c r="Q74" s="184"/>
      <c r="R74" s="184"/>
      <c r="S74" s="184"/>
      <c r="T74" s="184"/>
      <c r="U74" s="184"/>
      <c r="V74" s="184"/>
      <c r="W74" s="184"/>
      <c r="X74" s="184"/>
      <c r="Y74" s="184"/>
      <c r="Z74" s="184"/>
      <c r="AA74" s="184"/>
      <c r="AB74" s="184"/>
      <c r="AC74" s="184"/>
      <c r="AD74" s="184"/>
      <c r="AE74" s="184"/>
      <c r="AF74" s="184"/>
      <c r="AG74" s="184"/>
      <c r="AH74" s="184"/>
      <c r="AJ74" s="184"/>
      <c r="AK74" s="184"/>
      <c r="AL74" s="184"/>
      <c r="AM74" s="184"/>
      <c r="AN74" s="184"/>
      <c r="AO74" s="184"/>
      <c r="AP74" s="184"/>
      <c r="AQ74" s="184"/>
      <c r="AR74" s="184"/>
      <c r="AS74" s="184"/>
      <c r="AT74" s="184"/>
      <c r="AU74" s="184"/>
      <c r="AV74" s="184"/>
      <c r="AW74" s="184"/>
      <c r="AX74" s="184"/>
      <c r="AY74" s="184"/>
      <c r="AZ74" s="184"/>
      <c r="BA74" s="184"/>
      <c r="BB74" s="184"/>
      <c r="BC74" s="184"/>
      <c r="BD74" s="184"/>
      <c r="BE74" s="184"/>
      <c r="BF74" s="184"/>
      <c r="BG74" s="184"/>
      <c r="BH74" s="184"/>
      <c r="BI74" s="184"/>
      <c r="BJ74" s="184"/>
      <c r="BK74" s="184"/>
      <c r="BL74" s="184"/>
      <c r="BM74" s="184"/>
      <c r="BN74" s="184"/>
      <c r="BO74" s="184"/>
      <c r="BP74" s="184"/>
      <c r="BQ74" s="184"/>
      <c r="BR74" s="184"/>
      <c r="BS74" s="184"/>
      <c r="BT74" s="184"/>
      <c r="BU74" s="184"/>
      <c r="BV74" s="184"/>
      <c r="BW74" s="184"/>
      <c r="BX74" s="184"/>
      <c r="BY74" s="184"/>
      <c r="BZ74" s="184"/>
      <c r="CA74" s="184"/>
      <c r="CB74" s="184"/>
      <c r="CC74" s="184"/>
      <c r="CD74" s="184"/>
      <c r="CE74" s="184"/>
      <c r="CF74" s="184"/>
      <c r="CG74" s="184"/>
      <c r="CH74" s="184"/>
      <c r="CI74" s="184"/>
      <c r="CJ74" s="184"/>
      <c r="CK74" s="184"/>
      <c r="CL74" s="184"/>
      <c r="CM74" s="184"/>
      <c r="CN74" s="184"/>
      <c r="CO74" s="184"/>
      <c r="CP74" s="184"/>
      <c r="CQ74" s="184"/>
      <c r="CR74" s="184"/>
      <c r="CS74" s="184"/>
      <c r="CT74" s="184"/>
      <c r="CU74" s="184"/>
      <c r="CV74" s="184"/>
      <c r="CW74" s="184"/>
      <c r="CX74" s="184"/>
      <c r="CY74" s="184"/>
      <c r="CZ74" s="184"/>
      <c r="DA74" s="184"/>
      <c r="DB74" s="184"/>
      <c r="DC74" s="184"/>
      <c r="DD74" s="184"/>
      <c r="DE74" s="184"/>
      <c r="DF74" s="184"/>
      <c r="DG74" s="184"/>
      <c r="DH74" s="184"/>
      <c r="DI74" s="184"/>
      <c r="DJ74" s="184"/>
      <c r="DK74" s="184"/>
      <c r="DL74" s="184"/>
      <c r="DM74" s="184"/>
      <c r="DN74" s="184"/>
      <c r="DO74" s="184"/>
      <c r="DP74" s="184"/>
      <c r="DQ74" s="184"/>
      <c r="DR74" s="184"/>
      <c r="DS74" s="184"/>
      <c r="DT74" s="184"/>
      <c r="DU74" s="184"/>
      <c r="DV74" s="184"/>
      <c r="DW74" s="184"/>
      <c r="DX74" s="184"/>
      <c r="DY74" s="184"/>
      <c r="DZ74" s="184"/>
      <c r="EA74" s="184"/>
      <c r="EB74" s="184"/>
      <c r="EC74" s="184"/>
      <c r="ED74" s="184"/>
      <c r="EE74" s="184"/>
      <c r="EF74" s="184"/>
      <c r="EG74" s="184"/>
      <c r="EH74" s="184"/>
      <c r="EI74" s="184"/>
      <c r="EJ74" s="184"/>
      <c r="EK74" s="184"/>
      <c r="EL74" s="184"/>
      <c r="EM74" s="184"/>
      <c r="EN74" s="184"/>
      <c r="EO74" s="184"/>
      <c r="EP74" s="184"/>
      <c r="EQ74" s="184"/>
      <c r="ER74" s="184"/>
      <c r="ES74" s="184"/>
      <c r="ET74" s="184"/>
      <c r="EU74" s="184"/>
      <c r="EV74" s="184"/>
      <c r="EW74" s="184"/>
    </row>
    <row r="75" spans="1:153">
      <c r="A75" s="885"/>
      <c r="B75" s="1468" t="s">
        <v>808</v>
      </c>
      <c r="C75" s="273"/>
      <c r="D75" s="184"/>
      <c r="E75" s="1469">
        <f>E72/E70*Assum!E285</f>
        <v>0</v>
      </c>
      <c r="F75" s="1469">
        <f>F72/F70*Assum!F285</f>
        <v>0</v>
      </c>
      <c r="G75" s="1469">
        <f>G72/G70*Assum!G285</f>
        <v>0</v>
      </c>
      <c r="H75" s="1469">
        <f>H72/H70*Assum!H285</f>
        <v>0</v>
      </c>
      <c r="I75" s="1469">
        <f>I72/I70*Assum!I285</f>
        <v>0</v>
      </c>
      <c r="J75" s="1469">
        <f>J72/J70*Assum!J285</f>
        <v>0</v>
      </c>
      <c r="K75" s="1469">
        <f>K72/K70*Assum!K285</f>
        <v>0</v>
      </c>
      <c r="L75" s="1469">
        <f>L72/L70*Assum!L285</f>
        <v>0</v>
      </c>
      <c r="M75" s="1469">
        <f>M72/M70*Assum!M285</f>
        <v>0</v>
      </c>
      <c r="N75" s="1469">
        <f>N72/N70*Assum!N285</f>
        <v>0</v>
      </c>
      <c r="O75" s="1469">
        <f>O72/O70*Assum!O285</f>
        <v>0</v>
      </c>
      <c r="P75" s="176"/>
      <c r="Q75" s="184"/>
      <c r="R75" s="184"/>
      <c r="S75" s="184"/>
      <c r="T75" s="184"/>
      <c r="U75" s="184"/>
      <c r="V75" s="184"/>
      <c r="W75" s="184"/>
      <c r="X75" s="184"/>
      <c r="Y75" s="184"/>
      <c r="Z75" s="184"/>
      <c r="AA75" s="184"/>
      <c r="AB75" s="184"/>
      <c r="AC75" s="184"/>
      <c r="AD75" s="184"/>
      <c r="AE75" s="184"/>
      <c r="AF75" s="184"/>
      <c r="AG75" s="184"/>
      <c r="AH75" s="184"/>
      <c r="AJ75" s="184"/>
      <c r="AK75" s="184"/>
      <c r="AL75" s="184"/>
      <c r="AM75" s="184"/>
      <c r="AN75" s="184"/>
      <c r="AO75" s="184"/>
      <c r="AP75" s="184"/>
      <c r="AQ75" s="184"/>
      <c r="AR75" s="184"/>
      <c r="AS75" s="184"/>
      <c r="AT75" s="184"/>
      <c r="AU75" s="184"/>
      <c r="AV75" s="184"/>
      <c r="AW75" s="184"/>
      <c r="AX75" s="184"/>
      <c r="AY75" s="184"/>
      <c r="AZ75" s="184"/>
      <c r="BA75" s="184"/>
      <c r="BB75" s="184"/>
      <c r="BC75" s="184"/>
      <c r="BD75" s="184"/>
      <c r="BE75" s="184"/>
      <c r="BF75" s="184"/>
      <c r="BG75" s="184"/>
      <c r="BH75" s="184"/>
      <c r="BI75" s="184"/>
      <c r="BJ75" s="184"/>
      <c r="BK75" s="184"/>
      <c r="BL75" s="184"/>
      <c r="BM75" s="184"/>
      <c r="BN75" s="184"/>
      <c r="BO75" s="184"/>
      <c r="BP75" s="184"/>
      <c r="BQ75" s="184"/>
      <c r="BR75" s="184"/>
      <c r="BS75" s="184"/>
      <c r="BT75" s="184"/>
      <c r="BU75" s="184"/>
      <c r="BV75" s="184"/>
      <c r="BW75" s="184"/>
      <c r="BX75" s="184"/>
      <c r="BY75" s="184"/>
      <c r="BZ75" s="184"/>
      <c r="CA75" s="184"/>
      <c r="CB75" s="184"/>
      <c r="CC75" s="184"/>
      <c r="CD75" s="184"/>
      <c r="CE75" s="184"/>
      <c r="CF75" s="184"/>
      <c r="CG75" s="184"/>
      <c r="CH75" s="184"/>
      <c r="CI75" s="184"/>
      <c r="CJ75" s="184"/>
      <c r="CK75" s="184"/>
      <c r="CL75" s="184"/>
      <c r="CM75" s="184"/>
      <c r="CN75" s="184"/>
      <c r="CO75" s="184"/>
      <c r="CP75" s="184"/>
      <c r="CQ75" s="184"/>
      <c r="CR75" s="184"/>
      <c r="CS75" s="184"/>
      <c r="CT75" s="184"/>
      <c r="CU75" s="184"/>
      <c r="CV75" s="184"/>
      <c r="CW75" s="184"/>
      <c r="CX75" s="184"/>
      <c r="CY75" s="184"/>
      <c r="CZ75" s="184"/>
      <c r="DA75" s="184"/>
      <c r="DB75" s="184"/>
      <c r="DC75" s="184"/>
      <c r="DD75" s="184"/>
      <c r="DE75" s="184"/>
      <c r="DF75" s="184"/>
      <c r="DG75" s="184"/>
      <c r="DH75" s="184"/>
      <c r="DI75" s="184"/>
      <c r="DJ75" s="184"/>
      <c r="DK75" s="184"/>
      <c r="DL75" s="184"/>
      <c r="DM75" s="184"/>
      <c r="DN75" s="184"/>
      <c r="DO75" s="184"/>
      <c r="DP75" s="184"/>
      <c r="DQ75" s="184"/>
      <c r="DR75" s="184"/>
      <c r="DS75" s="184"/>
      <c r="DT75" s="184"/>
      <c r="DU75" s="184"/>
      <c r="DV75" s="184"/>
      <c r="DW75" s="184"/>
      <c r="DX75" s="184"/>
      <c r="DY75" s="184"/>
      <c r="DZ75" s="184"/>
      <c r="EA75" s="184"/>
      <c r="EB75" s="184"/>
      <c r="EC75" s="184"/>
      <c r="ED75" s="184"/>
      <c r="EE75" s="184"/>
      <c r="EF75" s="184"/>
      <c r="EG75" s="184"/>
      <c r="EH75" s="184"/>
      <c r="EI75" s="184"/>
      <c r="EJ75" s="184"/>
      <c r="EK75" s="184"/>
      <c r="EL75" s="184"/>
      <c r="EM75" s="184"/>
      <c r="EN75" s="184"/>
      <c r="EO75" s="184"/>
      <c r="EP75" s="184"/>
      <c r="EQ75" s="184"/>
      <c r="ER75" s="184"/>
      <c r="ES75" s="184"/>
      <c r="ET75" s="184"/>
      <c r="EU75" s="184"/>
      <c r="EV75" s="184"/>
      <c r="EW75" s="184"/>
    </row>
    <row r="76" spans="1:153" s="580" customFormat="1">
      <c r="A76" s="575"/>
      <c r="B76" s="576"/>
      <c r="C76" s="577"/>
      <c r="D76" s="577"/>
      <c r="E76" s="576"/>
      <c r="F76" s="576"/>
      <c r="G76" s="578"/>
      <c r="H76" s="576"/>
      <c r="I76" s="576"/>
      <c r="J76" s="576"/>
      <c r="K76" s="576"/>
      <c r="L76" s="576"/>
      <c r="M76" s="576"/>
      <c r="N76" s="576"/>
      <c r="O76" s="576"/>
      <c r="P76" s="576"/>
      <c r="Q76" s="579"/>
      <c r="R76" s="576"/>
      <c r="S76" s="576"/>
      <c r="T76" s="576"/>
      <c r="U76" s="576"/>
      <c r="V76" s="576"/>
      <c r="W76" s="576"/>
      <c r="X76" s="576"/>
      <c r="Y76" s="576"/>
      <c r="Z76" s="576"/>
      <c r="AA76" s="576"/>
      <c r="AB76" s="576"/>
      <c r="AC76" s="576"/>
      <c r="AD76" s="576"/>
      <c r="AE76" s="576"/>
      <c r="AF76" s="576"/>
      <c r="AG76" s="576"/>
      <c r="AH76" s="576"/>
      <c r="AI76" s="576"/>
      <c r="AJ76" s="576"/>
      <c r="AK76" s="576"/>
      <c r="AL76" s="576"/>
      <c r="AM76" s="576"/>
      <c r="AN76" s="576"/>
      <c r="AO76" s="576"/>
      <c r="AP76" s="576"/>
      <c r="AQ76" s="576"/>
      <c r="AR76" s="576"/>
      <c r="AS76" s="576"/>
      <c r="AT76" s="576"/>
      <c r="AU76" s="576"/>
      <c r="AV76" s="576"/>
      <c r="AW76" s="576"/>
      <c r="AX76" s="576"/>
      <c r="AY76" s="576"/>
      <c r="AZ76" s="576"/>
      <c r="BA76" s="576"/>
      <c r="BB76" s="576"/>
      <c r="BC76" s="576"/>
      <c r="BD76" s="576"/>
      <c r="BE76" s="576"/>
      <c r="BF76" s="576"/>
      <c r="BG76" s="576"/>
      <c r="BH76" s="576"/>
      <c r="BI76" s="576"/>
      <c r="BJ76" s="576"/>
      <c r="BK76" s="576"/>
      <c r="BL76" s="576"/>
      <c r="BM76" s="576"/>
      <c r="BN76" s="576"/>
      <c r="BO76" s="576"/>
      <c r="BP76" s="576"/>
      <c r="BQ76" s="576"/>
      <c r="BR76" s="576"/>
      <c r="BS76" s="576"/>
      <c r="BT76" s="576"/>
      <c r="BU76" s="576"/>
      <c r="BV76" s="576"/>
      <c r="BW76" s="576"/>
      <c r="BX76" s="576"/>
      <c r="BY76" s="576"/>
      <c r="BZ76" s="576"/>
      <c r="CA76" s="576"/>
      <c r="CB76" s="576"/>
      <c r="CC76" s="576"/>
      <c r="CD76" s="576"/>
      <c r="CE76" s="576"/>
      <c r="CF76" s="576"/>
      <c r="CG76" s="576"/>
      <c r="CH76" s="576"/>
      <c r="CI76" s="576"/>
      <c r="CJ76" s="576"/>
      <c r="CK76" s="576"/>
      <c r="CL76" s="576"/>
      <c r="CM76" s="576"/>
      <c r="CN76" s="576"/>
      <c r="CO76" s="576"/>
      <c r="CP76" s="576"/>
      <c r="CQ76" s="576"/>
      <c r="CR76" s="576"/>
      <c r="CS76" s="576"/>
      <c r="CT76" s="576"/>
      <c r="CU76" s="576"/>
      <c r="CV76" s="576"/>
      <c r="CW76" s="576"/>
      <c r="CX76" s="576"/>
      <c r="CY76" s="576"/>
      <c r="CZ76" s="576"/>
      <c r="DA76" s="576"/>
      <c r="DB76" s="576"/>
      <c r="DC76" s="576"/>
      <c r="DD76" s="576"/>
      <c r="DE76" s="576"/>
      <c r="DF76" s="576"/>
      <c r="DG76" s="576"/>
      <c r="DH76" s="576"/>
      <c r="DI76" s="576"/>
      <c r="DJ76" s="576"/>
      <c r="DK76" s="576"/>
      <c r="DL76" s="576"/>
      <c r="DM76" s="576"/>
      <c r="DN76" s="576"/>
      <c r="DO76" s="576"/>
      <c r="DP76" s="576"/>
      <c r="DQ76" s="576"/>
      <c r="DR76" s="576"/>
      <c r="DS76" s="576"/>
      <c r="DT76" s="576"/>
      <c r="DU76" s="576"/>
      <c r="DV76" s="576"/>
      <c r="DW76" s="576"/>
      <c r="DX76" s="576"/>
      <c r="DY76" s="576"/>
      <c r="DZ76" s="576"/>
      <c r="EA76" s="576"/>
      <c r="EB76" s="576"/>
      <c r="EC76" s="576"/>
      <c r="ED76" s="576"/>
      <c r="EE76" s="576"/>
      <c r="EF76" s="576"/>
      <c r="EG76" s="576"/>
      <c r="EH76" s="576"/>
      <c r="EI76" s="576"/>
      <c r="EJ76" s="576"/>
      <c r="EK76" s="576"/>
      <c r="EL76" s="576"/>
      <c r="EM76" s="576"/>
      <c r="EN76" s="576"/>
      <c r="EO76" s="576"/>
      <c r="EP76" s="576"/>
      <c r="EQ76" s="576"/>
      <c r="ER76" s="576"/>
      <c r="ES76" s="576"/>
      <c r="ET76" s="576"/>
      <c r="EU76" s="576"/>
      <c r="EV76" s="576"/>
      <c r="EW76" s="576"/>
    </row>
    <row r="77" spans="1:153">
      <c r="B77" s="184"/>
      <c r="C77" s="428"/>
      <c r="D77" s="428"/>
      <c r="E77" s="184"/>
      <c r="F77" s="184"/>
      <c r="G77" s="185"/>
      <c r="H77" s="184"/>
      <c r="I77" s="184"/>
      <c r="J77" s="184"/>
      <c r="K77" s="184"/>
      <c r="L77" s="184"/>
      <c r="M77" s="184"/>
      <c r="N77" s="184"/>
      <c r="O77" s="184"/>
      <c r="P77" s="184"/>
      <c r="Q77" s="176"/>
      <c r="R77" s="184"/>
      <c r="S77" s="184"/>
      <c r="T77" s="184"/>
      <c r="U77" s="184"/>
      <c r="V77" s="184"/>
      <c r="W77" s="184"/>
      <c r="X77" s="184"/>
      <c r="Y77" s="184"/>
      <c r="Z77" s="184"/>
      <c r="AA77" s="184"/>
      <c r="AB77" s="184"/>
      <c r="AC77" s="184"/>
      <c r="AD77" s="184"/>
      <c r="AE77" s="184"/>
      <c r="AF77" s="184"/>
      <c r="AG77" s="184"/>
      <c r="AH77" s="184"/>
      <c r="AI77" s="184"/>
      <c r="AJ77" s="184"/>
      <c r="AK77" s="184"/>
      <c r="AL77" s="184"/>
      <c r="AM77" s="184"/>
      <c r="AN77" s="184"/>
      <c r="AO77" s="184"/>
      <c r="AP77" s="184"/>
      <c r="AQ77" s="184"/>
      <c r="AR77" s="184"/>
      <c r="AS77" s="184"/>
      <c r="AT77" s="184"/>
      <c r="AU77" s="184"/>
      <c r="AV77" s="184"/>
      <c r="AW77" s="184"/>
      <c r="AX77" s="184"/>
      <c r="AY77" s="184"/>
      <c r="AZ77" s="184"/>
      <c r="BA77" s="184"/>
      <c r="BB77" s="184"/>
      <c r="BC77" s="184"/>
      <c r="BD77" s="184"/>
      <c r="BE77" s="184"/>
      <c r="BF77" s="184"/>
      <c r="BG77" s="184"/>
      <c r="BH77" s="184"/>
      <c r="BI77" s="184"/>
      <c r="BJ77" s="184"/>
      <c r="BK77" s="184"/>
      <c r="BL77" s="184"/>
      <c r="BM77" s="184"/>
      <c r="BN77" s="184"/>
      <c r="BO77" s="184"/>
      <c r="BP77" s="184"/>
      <c r="BQ77" s="184"/>
      <c r="BR77" s="184"/>
      <c r="BS77" s="184"/>
      <c r="BT77" s="184"/>
      <c r="BU77" s="184"/>
      <c r="BV77" s="184"/>
      <c r="BW77" s="184"/>
      <c r="BX77" s="184"/>
      <c r="BY77" s="184"/>
      <c r="BZ77" s="184"/>
      <c r="CA77" s="184"/>
      <c r="CB77" s="184"/>
      <c r="CC77" s="184"/>
      <c r="CD77" s="184"/>
      <c r="CE77" s="184"/>
      <c r="CF77" s="184"/>
      <c r="CG77" s="184"/>
      <c r="CH77" s="184"/>
      <c r="CI77" s="184"/>
      <c r="CJ77" s="184"/>
      <c r="CK77" s="184"/>
      <c r="CL77" s="184"/>
      <c r="CM77" s="184"/>
      <c r="CN77" s="184"/>
      <c r="CO77" s="184"/>
      <c r="CP77" s="184"/>
      <c r="CQ77" s="184"/>
      <c r="CR77" s="184"/>
      <c r="CS77" s="184"/>
      <c r="CT77" s="184"/>
      <c r="CU77" s="184"/>
      <c r="CV77" s="184"/>
      <c r="CW77" s="184"/>
      <c r="CX77" s="184"/>
      <c r="CY77" s="184"/>
      <c r="CZ77" s="184"/>
      <c r="DA77" s="184"/>
      <c r="DB77" s="184"/>
      <c r="DC77" s="184"/>
      <c r="DD77" s="184"/>
      <c r="DE77" s="184"/>
      <c r="DF77" s="184"/>
      <c r="DG77" s="184"/>
      <c r="DH77" s="184"/>
      <c r="DI77" s="184"/>
      <c r="DJ77" s="184"/>
      <c r="DK77" s="184"/>
      <c r="DL77" s="184"/>
      <c r="DM77" s="184"/>
      <c r="DN77" s="184"/>
      <c r="DO77" s="184"/>
      <c r="DP77" s="184"/>
      <c r="DQ77" s="184"/>
      <c r="DR77" s="184"/>
      <c r="DS77" s="184"/>
      <c r="DT77" s="184"/>
      <c r="DU77" s="184"/>
      <c r="DV77" s="184"/>
      <c r="DW77" s="184"/>
      <c r="DX77" s="184"/>
      <c r="DY77" s="184"/>
      <c r="DZ77" s="184"/>
      <c r="EA77" s="184"/>
      <c r="EB77" s="184"/>
      <c r="EC77" s="184"/>
      <c r="ED77" s="184"/>
      <c r="EE77" s="184"/>
      <c r="EF77" s="184"/>
      <c r="EG77" s="184"/>
      <c r="EH77" s="184"/>
      <c r="EI77" s="184"/>
      <c r="EJ77" s="184"/>
      <c r="EK77" s="184"/>
      <c r="EL77" s="184"/>
      <c r="EM77" s="184"/>
      <c r="EN77" s="184"/>
      <c r="EO77" s="184"/>
      <c r="EP77" s="184"/>
      <c r="EQ77" s="184"/>
      <c r="ER77" s="184"/>
      <c r="ES77" s="184"/>
      <c r="ET77" s="184"/>
      <c r="EU77" s="184"/>
      <c r="EV77" s="184"/>
      <c r="EW77" s="184"/>
    </row>
    <row r="78" spans="1:153">
      <c r="B78" s="184"/>
      <c r="C78" s="273"/>
      <c r="D78" s="273"/>
      <c r="E78" s="184"/>
      <c r="F78" s="184"/>
      <c r="G78" s="185"/>
      <c r="H78" s="184"/>
      <c r="I78" s="184"/>
      <c r="J78" s="184"/>
      <c r="K78" s="184"/>
      <c r="L78" s="184"/>
      <c r="M78" s="184"/>
      <c r="N78" s="184"/>
      <c r="O78" s="184"/>
      <c r="P78" s="184"/>
      <c r="Q78" s="176"/>
      <c r="R78" s="184"/>
      <c r="S78" s="184"/>
      <c r="T78" s="184"/>
      <c r="U78" s="184"/>
      <c r="V78" s="184"/>
      <c r="W78" s="184"/>
      <c r="X78" s="184"/>
      <c r="Y78" s="184"/>
      <c r="Z78" s="184"/>
      <c r="AA78" s="184"/>
      <c r="AB78" s="184"/>
      <c r="AC78" s="184"/>
      <c r="AD78" s="184"/>
      <c r="AE78" s="184"/>
      <c r="AF78" s="184"/>
      <c r="AG78" s="184"/>
      <c r="AH78" s="184"/>
      <c r="AI78" s="184"/>
      <c r="AJ78" s="184"/>
      <c r="AK78" s="184"/>
      <c r="AL78" s="184"/>
      <c r="AM78" s="184"/>
      <c r="AN78" s="184"/>
      <c r="AO78" s="184"/>
      <c r="AP78" s="184"/>
      <c r="AQ78" s="184"/>
      <c r="AR78" s="184"/>
      <c r="AS78" s="184"/>
      <c r="AT78" s="184"/>
      <c r="AU78" s="184"/>
      <c r="AV78" s="184"/>
      <c r="AW78" s="184"/>
      <c r="AX78" s="184"/>
      <c r="AY78" s="184"/>
      <c r="AZ78" s="184"/>
      <c r="BA78" s="184"/>
      <c r="BB78" s="184"/>
      <c r="BC78" s="184"/>
      <c r="BD78" s="184"/>
      <c r="BE78" s="184"/>
      <c r="BF78" s="184"/>
      <c r="BG78" s="184"/>
      <c r="BH78" s="184"/>
      <c r="BI78" s="184"/>
      <c r="BJ78" s="184"/>
      <c r="BK78" s="184"/>
      <c r="BL78" s="184"/>
      <c r="BM78" s="184"/>
      <c r="BN78" s="184"/>
      <c r="BO78" s="184"/>
      <c r="BP78" s="184"/>
      <c r="BQ78" s="184"/>
      <c r="BR78" s="184"/>
      <c r="BS78" s="184"/>
      <c r="BT78" s="184"/>
      <c r="BU78" s="184"/>
      <c r="BV78" s="184"/>
      <c r="BW78" s="184"/>
      <c r="BX78" s="184"/>
      <c r="BY78" s="184"/>
      <c r="BZ78" s="184"/>
      <c r="CA78" s="184"/>
      <c r="CB78" s="184"/>
      <c r="CC78" s="184"/>
      <c r="CD78" s="184"/>
      <c r="CE78" s="184"/>
      <c r="CF78" s="184"/>
      <c r="CG78" s="184"/>
      <c r="CH78" s="184"/>
      <c r="CI78" s="184"/>
      <c r="CJ78" s="184"/>
      <c r="CK78" s="184"/>
      <c r="CL78" s="184"/>
      <c r="CM78" s="184"/>
      <c r="CN78" s="184"/>
      <c r="CO78" s="184"/>
      <c r="CP78" s="184"/>
      <c r="CQ78" s="184"/>
      <c r="CR78" s="184"/>
      <c r="CS78" s="184"/>
      <c r="CT78" s="184"/>
      <c r="CU78" s="184"/>
      <c r="CV78" s="184"/>
      <c r="CW78" s="184"/>
      <c r="CX78" s="184"/>
      <c r="CY78" s="184"/>
      <c r="CZ78" s="184"/>
      <c r="DA78" s="184"/>
      <c r="DB78" s="184"/>
      <c r="DC78" s="184"/>
      <c r="DD78" s="184"/>
      <c r="DE78" s="184"/>
      <c r="DF78" s="184"/>
      <c r="DG78" s="184"/>
      <c r="DH78" s="184"/>
      <c r="DI78" s="184"/>
      <c r="DJ78" s="184"/>
      <c r="DK78" s="184"/>
      <c r="DL78" s="184"/>
      <c r="DM78" s="184"/>
      <c r="DN78" s="184"/>
      <c r="DO78" s="184"/>
      <c r="DP78" s="184"/>
      <c r="DQ78" s="184"/>
      <c r="DR78" s="184"/>
      <c r="DS78" s="184"/>
      <c r="DT78" s="184"/>
      <c r="DU78" s="184"/>
      <c r="DV78" s="184"/>
      <c r="DW78" s="184"/>
      <c r="DX78" s="184"/>
      <c r="DY78" s="184"/>
      <c r="DZ78" s="184"/>
      <c r="EA78" s="184"/>
      <c r="EB78" s="184"/>
      <c r="EC78" s="184"/>
      <c r="ED78" s="184"/>
      <c r="EE78" s="184"/>
      <c r="EF78" s="184"/>
      <c r="EG78" s="184"/>
      <c r="EH78" s="184"/>
      <c r="EI78" s="184"/>
      <c r="EJ78" s="184"/>
      <c r="EK78" s="184"/>
      <c r="EL78" s="184"/>
      <c r="EM78" s="184"/>
      <c r="EN78" s="184"/>
      <c r="EO78" s="184"/>
      <c r="EP78" s="184"/>
      <c r="EQ78" s="184"/>
      <c r="ER78" s="184"/>
      <c r="ES78" s="184"/>
      <c r="ET78" s="184"/>
      <c r="EU78" s="184"/>
      <c r="EV78" s="184"/>
      <c r="EW78" s="184"/>
    </row>
    <row r="79" spans="1:153">
      <c r="B79" s="184"/>
      <c r="C79" s="273"/>
      <c r="D79" s="273"/>
      <c r="E79" s="184"/>
      <c r="F79" s="184"/>
      <c r="G79" s="185"/>
      <c r="H79" s="184"/>
      <c r="I79" s="184"/>
      <c r="J79" s="184"/>
      <c r="K79" s="184"/>
      <c r="L79" s="184"/>
      <c r="M79" s="184"/>
      <c r="N79" s="184"/>
      <c r="O79" s="184"/>
      <c r="P79" s="184"/>
      <c r="Q79" s="176"/>
      <c r="R79" s="184"/>
      <c r="S79" s="184"/>
      <c r="T79" s="184"/>
      <c r="U79" s="184"/>
      <c r="V79" s="184"/>
      <c r="W79" s="184"/>
      <c r="X79" s="184"/>
      <c r="Y79" s="184"/>
      <c r="Z79" s="184"/>
      <c r="AA79" s="184"/>
      <c r="AB79" s="184"/>
      <c r="AC79" s="184"/>
      <c r="AD79" s="184"/>
      <c r="AE79" s="184"/>
      <c r="AF79" s="184"/>
      <c r="AG79" s="184"/>
      <c r="AH79" s="184"/>
      <c r="AI79" s="184"/>
      <c r="AJ79" s="184"/>
      <c r="AK79" s="184"/>
      <c r="AL79" s="184"/>
      <c r="AM79" s="184"/>
      <c r="AN79" s="184"/>
      <c r="AO79" s="184"/>
      <c r="AP79" s="184"/>
      <c r="AQ79" s="184"/>
      <c r="AR79" s="184"/>
      <c r="AS79" s="184"/>
      <c r="AT79" s="184"/>
      <c r="AU79" s="184"/>
      <c r="AV79" s="184"/>
      <c r="AW79" s="184"/>
      <c r="AX79" s="184"/>
      <c r="AY79" s="184"/>
      <c r="AZ79" s="184"/>
      <c r="BA79" s="184"/>
      <c r="BB79" s="184"/>
      <c r="BC79" s="184"/>
      <c r="BD79" s="184"/>
      <c r="BE79" s="184"/>
      <c r="BF79" s="184"/>
      <c r="BG79" s="184"/>
      <c r="BH79" s="184"/>
      <c r="BI79" s="184"/>
      <c r="BJ79" s="184"/>
      <c r="BK79" s="184"/>
      <c r="BL79" s="184"/>
      <c r="BM79" s="184"/>
      <c r="BN79" s="184"/>
      <c r="BO79" s="184"/>
      <c r="BP79" s="184"/>
      <c r="BQ79" s="184"/>
      <c r="BR79" s="184"/>
      <c r="BS79" s="184"/>
      <c r="BT79" s="184"/>
      <c r="BU79" s="184"/>
      <c r="BV79" s="184"/>
      <c r="BW79" s="184"/>
      <c r="BX79" s="184"/>
      <c r="BY79" s="184"/>
      <c r="BZ79" s="184"/>
      <c r="CA79" s="184"/>
      <c r="CB79" s="184"/>
      <c r="CC79" s="184"/>
      <c r="CD79" s="184"/>
      <c r="CE79" s="184"/>
      <c r="CF79" s="184"/>
      <c r="CG79" s="184"/>
      <c r="CH79" s="184"/>
      <c r="CI79" s="184"/>
      <c r="CJ79" s="184"/>
      <c r="CK79" s="184"/>
      <c r="CL79" s="184"/>
      <c r="CM79" s="184"/>
      <c r="CN79" s="184"/>
      <c r="CO79" s="184"/>
      <c r="CP79" s="184"/>
      <c r="CQ79" s="184"/>
      <c r="CR79" s="184"/>
      <c r="CS79" s="184"/>
      <c r="CT79" s="184"/>
      <c r="CU79" s="184"/>
      <c r="CV79" s="184"/>
      <c r="CW79" s="184"/>
      <c r="CX79" s="184"/>
      <c r="CY79" s="184"/>
      <c r="CZ79" s="184"/>
      <c r="DA79" s="184"/>
      <c r="DB79" s="184"/>
      <c r="DC79" s="184"/>
      <c r="DD79" s="184"/>
      <c r="DE79" s="184"/>
      <c r="DF79" s="184"/>
      <c r="DG79" s="184"/>
      <c r="DH79" s="184"/>
      <c r="DI79" s="184"/>
      <c r="DJ79" s="184"/>
      <c r="DK79" s="184"/>
      <c r="DL79" s="184"/>
      <c r="DM79" s="184"/>
      <c r="DN79" s="184"/>
      <c r="DO79" s="184"/>
      <c r="DP79" s="184"/>
      <c r="DQ79" s="184"/>
      <c r="DR79" s="184"/>
      <c r="DS79" s="184"/>
      <c r="DT79" s="184"/>
      <c r="DU79" s="184"/>
      <c r="DV79" s="184"/>
      <c r="DW79" s="184"/>
      <c r="DX79" s="184"/>
      <c r="DY79" s="184"/>
      <c r="DZ79" s="184"/>
      <c r="EA79" s="184"/>
      <c r="EB79" s="184"/>
      <c r="EC79" s="184"/>
      <c r="ED79" s="184"/>
      <c r="EE79" s="184"/>
      <c r="EF79" s="184"/>
      <c r="EG79" s="184"/>
      <c r="EH79" s="184"/>
      <c r="EI79" s="184"/>
      <c r="EJ79" s="184"/>
      <c r="EK79" s="184"/>
      <c r="EL79" s="184"/>
      <c r="EM79" s="184"/>
      <c r="EN79" s="184"/>
      <c r="EO79" s="184"/>
      <c r="EP79" s="184"/>
      <c r="EQ79" s="184"/>
      <c r="ER79" s="184"/>
      <c r="ES79" s="184"/>
      <c r="ET79" s="184"/>
      <c r="EU79" s="184"/>
      <c r="EV79" s="184"/>
      <c r="EW79" s="184"/>
    </row>
    <row r="80" spans="1:153">
      <c r="B80" s="184"/>
      <c r="C80" s="273"/>
      <c r="D80" s="273"/>
      <c r="E80" s="184"/>
      <c r="F80" s="184"/>
      <c r="G80" s="185"/>
      <c r="H80" s="184"/>
      <c r="I80" s="184"/>
      <c r="J80" s="184"/>
      <c r="K80" s="184"/>
      <c r="L80" s="184"/>
      <c r="M80" s="184"/>
      <c r="N80" s="184"/>
      <c r="O80" s="184"/>
      <c r="P80" s="184"/>
      <c r="Q80" s="176"/>
      <c r="R80" s="184"/>
      <c r="S80" s="184"/>
      <c r="T80" s="184"/>
      <c r="U80" s="184"/>
      <c r="V80" s="184"/>
      <c r="W80" s="184"/>
      <c r="X80" s="184"/>
      <c r="Y80" s="184"/>
      <c r="Z80" s="184"/>
      <c r="AA80" s="184"/>
      <c r="AB80" s="184"/>
      <c r="AC80" s="184"/>
      <c r="AD80" s="184"/>
      <c r="AE80" s="184"/>
      <c r="AF80" s="184"/>
      <c r="AG80" s="184"/>
      <c r="AH80" s="184"/>
      <c r="AI80" s="184"/>
      <c r="AJ80" s="184"/>
      <c r="AK80" s="184"/>
      <c r="AL80" s="184"/>
      <c r="AM80" s="184"/>
      <c r="AN80" s="184"/>
      <c r="AO80" s="184"/>
      <c r="AP80" s="184"/>
      <c r="AQ80" s="184"/>
      <c r="AR80" s="184"/>
      <c r="AS80" s="184"/>
      <c r="AT80" s="184"/>
      <c r="AU80" s="184"/>
      <c r="AV80" s="184"/>
      <c r="AW80" s="184"/>
      <c r="AX80" s="184"/>
      <c r="AY80" s="184"/>
      <c r="AZ80" s="184"/>
      <c r="BA80" s="184"/>
      <c r="BB80" s="184"/>
      <c r="BC80" s="184"/>
      <c r="BD80" s="184"/>
      <c r="BE80" s="184"/>
      <c r="BF80" s="184"/>
      <c r="BG80" s="184"/>
      <c r="BH80" s="184"/>
      <c r="BI80" s="184"/>
      <c r="BJ80" s="184"/>
      <c r="BK80" s="184"/>
      <c r="BL80" s="184"/>
      <c r="BM80" s="184"/>
      <c r="BN80" s="184"/>
      <c r="BO80" s="184"/>
      <c r="BP80" s="184"/>
      <c r="BQ80" s="184"/>
      <c r="BR80" s="184"/>
      <c r="BS80" s="184"/>
      <c r="BT80" s="184"/>
      <c r="BU80" s="184"/>
      <c r="BV80" s="184"/>
      <c r="BW80" s="184"/>
      <c r="BX80" s="184"/>
      <c r="BY80" s="184"/>
      <c r="BZ80" s="184"/>
      <c r="CA80" s="184"/>
      <c r="CB80" s="184"/>
      <c r="CC80" s="184"/>
      <c r="CD80" s="184"/>
      <c r="CE80" s="184"/>
      <c r="CF80" s="184"/>
      <c r="CG80" s="184"/>
      <c r="CH80" s="184"/>
      <c r="CI80" s="184"/>
      <c r="CJ80" s="184"/>
      <c r="CK80" s="184"/>
      <c r="CL80" s="184"/>
      <c r="CM80" s="184"/>
      <c r="CN80" s="184"/>
      <c r="CO80" s="184"/>
      <c r="CP80" s="184"/>
      <c r="CQ80" s="184"/>
      <c r="CR80" s="184"/>
      <c r="CS80" s="184"/>
      <c r="CT80" s="184"/>
      <c r="CU80" s="184"/>
      <c r="CV80" s="184"/>
      <c r="CW80" s="184"/>
      <c r="CX80" s="184"/>
      <c r="CY80" s="184"/>
      <c r="CZ80" s="184"/>
      <c r="DA80" s="184"/>
      <c r="DB80" s="184"/>
      <c r="DC80" s="184"/>
      <c r="DD80" s="184"/>
      <c r="DE80" s="184"/>
      <c r="DF80" s="184"/>
      <c r="DG80" s="184"/>
      <c r="DH80" s="184"/>
      <c r="DI80" s="184"/>
      <c r="DJ80" s="184"/>
      <c r="DK80" s="184"/>
      <c r="DL80" s="184"/>
      <c r="DM80" s="184"/>
      <c r="DN80" s="184"/>
      <c r="DO80" s="184"/>
      <c r="DP80" s="184"/>
      <c r="DQ80" s="184"/>
      <c r="DR80" s="184"/>
      <c r="DS80" s="184"/>
      <c r="DT80" s="184"/>
      <c r="DU80" s="184"/>
      <c r="DV80" s="184"/>
      <c r="DW80" s="184"/>
      <c r="DX80" s="184"/>
      <c r="DY80" s="184"/>
      <c r="DZ80" s="184"/>
      <c r="EA80" s="184"/>
      <c r="EB80" s="184"/>
      <c r="EC80" s="184"/>
      <c r="ED80" s="184"/>
      <c r="EE80" s="184"/>
      <c r="EF80" s="184"/>
      <c r="EG80" s="184"/>
      <c r="EH80" s="184"/>
      <c r="EI80" s="184"/>
      <c r="EJ80" s="184"/>
      <c r="EK80" s="184"/>
      <c r="EL80" s="184"/>
      <c r="EM80" s="184"/>
      <c r="EN80" s="184"/>
      <c r="EO80" s="184"/>
      <c r="EP80" s="184"/>
      <c r="EQ80" s="184"/>
      <c r="ER80" s="184"/>
      <c r="ES80" s="184"/>
      <c r="ET80" s="184"/>
      <c r="EU80" s="184"/>
      <c r="EV80" s="184"/>
      <c r="EW80" s="184"/>
    </row>
    <row r="81" spans="2:153">
      <c r="B81" s="184"/>
      <c r="C81" s="273"/>
      <c r="D81" s="273"/>
      <c r="E81" s="184"/>
      <c r="F81" s="184"/>
      <c r="G81" s="185"/>
      <c r="H81" s="184"/>
      <c r="I81" s="184"/>
      <c r="J81" s="184"/>
      <c r="K81" s="184"/>
      <c r="L81" s="184"/>
      <c r="M81" s="184"/>
      <c r="N81" s="184"/>
      <c r="O81" s="184"/>
      <c r="P81" s="184"/>
      <c r="Q81" s="176"/>
      <c r="R81" s="184"/>
      <c r="S81" s="184"/>
      <c r="T81" s="184"/>
      <c r="U81" s="184"/>
      <c r="V81" s="184"/>
      <c r="W81" s="184"/>
      <c r="X81" s="184"/>
      <c r="Y81" s="184"/>
      <c r="Z81" s="184"/>
      <c r="AA81" s="184"/>
      <c r="AB81" s="184"/>
      <c r="AC81" s="184"/>
      <c r="AD81" s="184"/>
      <c r="AE81" s="184"/>
      <c r="AF81" s="184"/>
      <c r="AG81" s="184"/>
      <c r="AH81" s="184"/>
      <c r="AI81" s="184"/>
      <c r="AJ81" s="184"/>
      <c r="AK81" s="184"/>
      <c r="AL81" s="184"/>
      <c r="AM81" s="184"/>
      <c r="AN81" s="184"/>
      <c r="AO81" s="184"/>
      <c r="AP81" s="184"/>
      <c r="AQ81" s="184"/>
      <c r="AR81" s="184"/>
      <c r="AS81" s="184"/>
      <c r="AT81" s="184"/>
      <c r="AU81" s="184"/>
      <c r="AV81" s="184"/>
      <c r="AW81" s="184"/>
      <c r="AX81" s="184"/>
      <c r="AY81" s="184"/>
      <c r="AZ81" s="184"/>
      <c r="BA81" s="184"/>
      <c r="BB81" s="184"/>
      <c r="BC81" s="184"/>
      <c r="BD81" s="184"/>
      <c r="BE81" s="184"/>
      <c r="BF81" s="184"/>
      <c r="BG81" s="184"/>
      <c r="BH81" s="184"/>
      <c r="BI81" s="184"/>
      <c r="BJ81" s="184"/>
      <c r="BK81" s="184"/>
      <c r="BL81" s="184"/>
      <c r="BM81" s="184"/>
      <c r="BN81" s="184"/>
      <c r="BO81" s="184"/>
      <c r="BP81" s="184"/>
      <c r="BQ81" s="184"/>
      <c r="BR81" s="184"/>
      <c r="BS81" s="184"/>
      <c r="BT81" s="184"/>
      <c r="BU81" s="184"/>
      <c r="BV81" s="184"/>
      <c r="BW81" s="184"/>
      <c r="BX81" s="184"/>
      <c r="BY81" s="184"/>
      <c r="BZ81" s="184"/>
      <c r="CA81" s="184"/>
      <c r="CB81" s="184"/>
      <c r="CC81" s="184"/>
      <c r="CD81" s="184"/>
      <c r="CE81" s="184"/>
      <c r="CF81" s="184"/>
      <c r="CG81" s="184"/>
      <c r="CH81" s="184"/>
      <c r="CI81" s="184"/>
      <c r="CJ81" s="184"/>
      <c r="CK81" s="184"/>
      <c r="CL81" s="184"/>
      <c r="CM81" s="184"/>
      <c r="CN81" s="184"/>
      <c r="CO81" s="184"/>
      <c r="CP81" s="184"/>
      <c r="CQ81" s="184"/>
      <c r="CR81" s="184"/>
      <c r="CS81" s="184"/>
      <c r="CT81" s="184"/>
      <c r="CU81" s="184"/>
      <c r="CV81" s="184"/>
      <c r="CW81" s="184"/>
      <c r="CX81" s="184"/>
      <c r="CY81" s="184"/>
      <c r="CZ81" s="184"/>
      <c r="DA81" s="184"/>
      <c r="DB81" s="184"/>
      <c r="DC81" s="184"/>
      <c r="DD81" s="184"/>
      <c r="DE81" s="184"/>
      <c r="DF81" s="184"/>
      <c r="DG81" s="184"/>
      <c r="DH81" s="184"/>
      <c r="DI81" s="184"/>
      <c r="DJ81" s="184"/>
      <c r="DK81" s="184"/>
      <c r="DL81" s="184"/>
      <c r="DM81" s="184"/>
      <c r="DN81" s="184"/>
      <c r="DO81" s="184"/>
      <c r="DP81" s="184"/>
      <c r="DQ81" s="184"/>
      <c r="DR81" s="184"/>
      <c r="DS81" s="184"/>
      <c r="DT81" s="184"/>
      <c r="DU81" s="184"/>
      <c r="DV81" s="184"/>
      <c r="DW81" s="184"/>
      <c r="DX81" s="184"/>
      <c r="DY81" s="184"/>
      <c r="DZ81" s="184"/>
      <c r="EA81" s="184"/>
      <c r="EB81" s="184"/>
      <c r="EC81" s="184"/>
      <c r="ED81" s="184"/>
      <c r="EE81" s="184"/>
      <c r="EF81" s="184"/>
      <c r="EG81" s="184"/>
      <c r="EH81" s="184"/>
      <c r="EI81" s="184"/>
      <c r="EJ81" s="184"/>
      <c r="EK81" s="184"/>
      <c r="EL81" s="184"/>
      <c r="EM81" s="184"/>
      <c r="EN81" s="184"/>
      <c r="EO81" s="184"/>
      <c r="EP81" s="184"/>
      <c r="EQ81" s="184"/>
      <c r="ER81" s="184"/>
      <c r="ES81" s="184"/>
      <c r="ET81" s="184"/>
      <c r="EU81" s="184"/>
      <c r="EV81" s="184"/>
      <c r="EW81" s="184"/>
    </row>
    <row r="82" spans="2:153">
      <c r="B82" s="184"/>
      <c r="C82" s="273"/>
      <c r="D82" s="273"/>
      <c r="E82" s="184"/>
      <c r="F82" s="184"/>
      <c r="G82" s="185"/>
      <c r="H82" s="184"/>
      <c r="I82" s="184"/>
      <c r="J82" s="184"/>
      <c r="K82" s="184"/>
      <c r="L82" s="184"/>
      <c r="M82" s="184"/>
      <c r="N82" s="184"/>
      <c r="O82" s="184"/>
      <c r="P82" s="184"/>
      <c r="Q82" s="176"/>
      <c r="R82" s="184"/>
      <c r="S82" s="184"/>
      <c r="T82" s="184"/>
      <c r="U82" s="184"/>
      <c r="V82" s="184"/>
      <c r="W82" s="184"/>
      <c r="X82" s="184"/>
      <c r="Y82" s="184"/>
      <c r="Z82" s="184"/>
      <c r="AA82" s="184"/>
      <c r="AB82" s="184"/>
      <c r="AC82" s="184"/>
      <c r="AD82" s="184"/>
      <c r="AE82" s="184"/>
      <c r="AF82" s="184"/>
      <c r="AG82" s="184"/>
      <c r="AH82" s="184"/>
      <c r="AI82" s="184"/>
      <c r="AJ82" s="184"/>
      <c r="AK82" s="184"/>
      <c r="AL82" s="184"/>
      <c r="AM82" s="184"/>
      <c r="AN82" s="184"/>
      <c r="AO82" s="184"/>
      <c r="AP82" s="184"/>
      <c r="AQ82" s="184"/>
      <c r="AR82" s="184"/>
      <c r="AS82" s="184"/>
      <c r="AT82" s="184"/>
      <c r="AU82" s="184"/>
      <c r="AV82" s="184"/>
      <c r="AW82" s="184"/>
      <c r="AX82" s="184"/>
      <c r="AY82" s="184"/>
      <c r="AZ82" s="184"/>
      <c r="BA82" s="184"/>
      <c r="BB82" s="184"/>
      <c r="BC82" s="184"/>
      <c r="BD82" s="184"/>
      <c r="BE82" s="184"/>
      <c r="BF82" s="184"/>
      <c r="BG82" s="184"/>
      <c r="BH82" s="184"/>
      <c r="BI82" s="184"/>
      <c r="BJ82" s="184"/>
      <c r="BK82" s="184"/>
      <c r="BL82" s="184"/>
      <c r="BM82" s="184"/>
      <c r="BN82" s="184"/>
      <c r="BO82" s="184"/>
      <c r="BP82" s="184"/>
      <c r="BQ82" s="184"/>
      <c r="BR82" s="184"/>
      <c r="BS82" s="184"/>
      <c r="BT82" s="184"/>
      <c r="BU82" s="184"/>
      <c r="BV82" s="184"/>
      <c r="BW82" s="184"/>
      <c r="BX82" s="184"/>
      <c r="BY82" s="184"/>
      <c r="BZ82" s="184"/>
      <c r="CA82" s="184"/>
      <c r="CB82" s="184"/>
      <c r="CC82" s="184"/>
      <c r="CD82" s="184"/>
      <c r="CE82" s="184"/>
      <c r="CF82" s="184"/>
      <c r="CG82" s="184"/>
      <c r="CH82" s="184"/>
      <c r="CI82" s="184"/>
      <c r="CJ82" s="184"/>
      <c r="CK82" s="184"/>
      <c r="CL82" s="184"/>
      <c r="CM82" s="184"/>
      <c r="CN82" s="184"/>
      <c r="CO82" s="184"/>
      <c r="CP82" s="184"/>
      <c r="CQ82" s="184"/>
      <c r="CR82" s="184"/>
      <c r="CS82" s="184"/>
      <c r="CT82" s="184"/>
      <c r="CU82" s="184"/>
      <c r="CV82" s="184"/>
      <c r="CW82" s="184"/>
      <c r="CX82" s="184"/>
      <c r="CY82" s="184"/>
      <c r="CZ82" s="184"/>
      <c r="DA82" s="184"/>
      <c r="DB82" s="184"/>
      <c r="DC82" s="184"/>
      <c r="DD82" s="184"/>
      <c r="DE82" s="184"/>
      <c r="DF82" s="184"/>
      <c r="DG82" s="184"/>
      <c r="DH82" s="184"/>
      <c r="DI82" s="184"/>
      <c r="DJ82" s="184"/>
      <c r="DK82" s="184"/>
      <c r="DL82" s="184"/>
      <c r="DM82" s="184"/>
      <c r="DN82" s="184"/>
      <c r="DO82" s="184"/>
      <c r="DP82" s="184"/>
      <c r="DQ82" s="184"/>
      <c r="DR82" s="184"/>
      <c r="DS82" s="184"/>
      <c r="DT82" s="184"/>
      <c r="DU82" s="184"/>
      <c r="DV82" s="184"/>
      <c r="DW82" s="184"/>
      <c r="DX82" s="184"/>
      <c r="DY82" s="184"/>
      <c r="DZ82" s="184"/>
      <c r="EA82" s="184"/>
      <c r="EB82" s="184"/>
      <c r="EC82" s="184"/>
      <c r="ED82" s="184"/>
      <c r="EE82" s="184"/>
      <c r="EF82" s="184"/>
      <c r="EG82" s="184"/>
      <c r="EH82" s="184"/>
      <c r="EI82" s="184"/>
      <c r="EJ82" s="184"/>
      <c r="EK82" s="184"/>
      <c r="EL82" s="184"/>
      <c r="EM82" s="184"/>
      <c r="EN82" s="184"/>
      <c r="EO82" s="184"/>
      <c r="EP82" s="184"/>
      <c r="EQ82" s="184"/>
      <c r="ER82" s="184"/>
      <c r="ES82" s="184"/>
      <c r="ET82" s="184"/>
      <c r="EU82" s="184"/>
      <c r="EV82" s="184"/>
      <c r="EW82" s="184"/>
    </row>
    <row r="83" spans="2:153">
      <c r="B83" s="184"/>
      <c r="C83" s="273"/>
      <c r="D83" s="273"/>
      <c r="E83" s="184"/>
      <c r="F83" s="184"/>
      <c r="G83" s="185"/>
      <c r="H83" s="184"/>
      <c r="I83" s="184"/>
      <c r="J83" s="184"/>
      <c r="K83" s="184"/>
      <c r="L83" s="184"/>
      <c r="M83" s="184"/>
      <c r="N83" s="184"/>
      <c r="O83" s="184"/>
      <c r="P83" s="184"/>
      <c r="Q83" s="176"/>
      <c r="R83" s="184"/>
      <c r="S83" s="184"/>
      <c r="T83" s="184"/>
      <c r="U83" s="184"/>
      <c r="V83" s="184"/>
      <c r="W83" s="184"/>
      <c r="X83" s="184"/>
      <c r="Y83" s="184"/>
      <c r="Z83" s="184"/>
      <c r="AA83" s="184"/>
      <c r="AB83" s="184"/>
      <c r="AC83" s="184"/>
      <c r="AD83" s="184"/>
      <c r="AE83" s="184"/>
      <c r="AF83" s="184"/>
      <c r="AG83" s="184"/>
      <c r="AH83" s="184"/>
      <c r="AI83" s="184"/>
      <c r="AJ83" s="184"/>
      <c r="AK83" s="184"/>
      <c r="AL83" s="184"/>
      <c r="AM83" s="184"/>
      <c r="AN83" s="184"/>
      <c r="AO83" s="184"/>
      <c r="AP83" s="184"/>
      <c r="AQ83" s="184"/>
      <c r="AR83" s="184"/>
      <c r="AS83" s="184"/>
      <c r="AT83" s="184"/>
      <c r="AU83" s="184"/>
      <c r="AV83" s="184"/>
      <c r="AW83" s="184"/>
      <c r="AX83" s="184"/>
      <c r="AY83" s="184"/>
      <c r="AZ83" s="184"/>
      <c r="BA83" s="184"/>
      <c r="BB83" s="184"/>
      <c r="BC83" s="184"/>
      <c r="BD83" s="184"/>
      <c r="BE83" s="184"/>
      <c r="BF83" s="184"/>
      <c r="BG83" s="184"/>
      <c r="BH83" s="184"/>
      <c r="BI83" s="184"/>
      <c r="BJ83" s="184"/>
      <c r="BK83" s="184"/>
      <c r="BL83" s="184"/>
      <c r="BM83" s="184"/>
      <c r="BN83" s="184"/>
      <c r="BO83" s="184"/>
      <c r="BP83" s="184"/>
      <c r="BQ83" s="184"/>
      <c r="BR83" s="184"/>
      <c r="BS83" s="184"/>
      <c r="BT83" s="184"/>
      <c r="BU83" s="184"/>
      <c r="BV83" s="184"/>
      <c r="BW83" s="184"/>
      <c r="BX83" s="184"/>
      <c r="BY83" s="184"/>
      <c r="BZ83" s="184"/>
      <c r="CA83" s="184"/>
      <c r="CB83" s="184"/>
      <c r="CC83" s="184"/>
      <c r="CD83" s="184"/>
      <c r="CE83" s="184"/>
      <c r="CF83" s="184"/>
      <c r="CG83" s="184"/>
      <c r="CH83" s="184"/>
      <c r="CI83" s="184"/>
      <c r="CJ83" s="184"/>
      <c r="CK83" s="184"/>
      <c r="CL83" s="184"/>
      <c r="CM83" s="184"/>
      <c r="CN83" s="184"/>
      <c r="CO83" s="184"/>
      <c r="CP83" s="184"/>
      <c r="CQ83" s="184"/>
      <c r="CR83" s="184"/>
      <c r="CS83" s="184"/>
      <c r="CT83" s="184"/>
      <c r="CU83" s="184"/>
      <c r="CV83" s="184"/>
      <c r="CW83" s="184"/>
      <c r="CX83" s="184"/>
      <c r="CY83" s="184"/>
      <c r="CZ83" s="184"/>
      <c r="DA83" s="184"/>
      <c r="DB83" s="184"/>
      <c r="DC83" s="184"/>
      <c r="DD83" s="184"/>
      <c r="DE83" s="184"/>
      <c r="DF83" s="184"/>
      <c r="DG83" s="184"/>
      <c r="DH83" s="184"/>
      <c r="DI83" s="184"/>
      <c r="DJ83" s="184"/>
      <c r="DK83" s="184"/>
      <c r="DL83" s="184"/>
      <c r="DM83" s="184"/>
      <c r="DN83" s="184"/>
      <c r="DO83" s="184"/>
      <c r="DP83" s="184"/>
      <c r="DQ83" s="184"/>
      <c r="DR83" s="184"/>
      <c r="DS83" s="184"/>
      <c r="DT83" s="184"/>
      <c r="DU83" s="184"/>
      <c r="DV83" s="184"/>
      <c r="DW83" s="184"/>
      <c r="DX83" s="184"/>
      <c r="DY83" s="184"/>
      <c r="DZ83" s="184"/>
      <c r="EA83" s="184"/>
      <c r="EB83" s="184"/>
      <c r="EC83" s="184"/>
      <c r="ED83" s="184"/>
      <c r="EE83" s="184"/>
      <c r="EF83" s="184"/>
      <c r="EG83" s="184"/>
      <c r="EH83" s="184"/>
      <c r="EI83" s="184"/>
      <c r="EJ83" s="184"/>
      <c r="EK83" s="184"/>
      <c r="EL83" s="184"/>
      <c r="EM83" s="184"/>
      <c r="EN83" s="184"/>
      <c r="EO83" s="184"/>
      <c r="EP83" s="184"/>
      <c r="EQ83" s="184"/>
      <c r="ER83" s="184"/>
      <c r="ES83" s="184"/>
      <c r="ET83" s="184"/>
      <c r="EU83" s="184"/>
      <c r="EV83" s="184"/>
      <c r="EW83" s="184"/>
    </row>
    <row r="84" spans="2:153">
      <c r="B84" s="184"/>
      <c r="C84" s="273"/>
      <c r="D84" s="273"/>
      <c r="E84" s="184"/>
      <c r="F84" s="184"/>
      <c r="G84" s="185"/>
      <c r="H84" s="184"/>
      <c r="I84" s="184"/>
      <c r="J84" s="184"/>
      <c r="K84" s="184"/>
      <c r="L84" s="184"/>
      <c r="M84" s="184"/>
      <c r="N84" s="184"/>
      <c r="O84" s="184"/>
      <c r="P84" s="184"/>
      <c r="Q84" s="176"/>
      <c r="R84" s="184"/>
      <c r="S84" s="184"/>
      <c r="T84" s="184"/>
      <c r="U84" s="184"/>
      <c r="V84" s="184"/>
      <c r="W84" s="184"/>
      <c r="X84" s="184"/>
      <c r="Y84" s="184"/>
      <c r="Z84" s="184"/>
      <c r="AA84" s="184"/>
      <c r="AB84" s="184"/>
      <c r="AC84" s="184"/>
      <c r="AD84" s="184"/>
      <c r="AE84" s="184"/>
      <c r="AF84" s="184"/>
      <c r="AG84" s="184"/>
      <c r="AH84" s="184"/>
      <c r="AI84" s="184"/>
      <c r="AJ84" s="184"/>
      <c r="AK84" s="184"/>
      <c r="AL84" s="184"/>
      <c r="AM84" s="184"/>
      <c r="AN84" s="184"/>
      <c r="AO84" s="184"/>
      <c r="AP84" s="184"/>
      <c r="AQ84" s="184"/>
      <c r="AR84" s="184"/>
      <c r="AS84" s="184"/>
      <c r="AT84" s="184"/>
      <c r="AU84" s="184"/>
      <c r="AV84" s="184"/>
      <c r="AW84" s="184"/>
      <c r="AX84" s="184"/>
      <c r="AY84" s="184"/>
      <c r="AZ84" s="184"/>
      <c r="BA84" s="184"/>
      <c r="BB84" s="184"/>
      <c r="BC84" s="184"/>
      <c r="BD84" s="184"/>
      <c r="BE84" s="184"/>
      <c r="BF84" s="184"/>
      <c r="BG84" s="184"/>
      <c r="BH84" s="184"/>
      <c r="BI84" s="184"/>
      <c r="BJ84" s="184"/>
      <c r="BK84" s="184"/>
      <c r="BL84" s="184"/>
      <c r="BM84" s="184"/>
      <c r="BN84" s="184"/>
      <c r="BO84" s="184"/>
      <c r="BP84" s="184"/>
      <c r="BQ84" s="184"/>
      <c r="BR84" s="184"/>
      <c r="BS84" s="184"/>
      <c r="BT84" s="184"/>
      <c r="BU84" s="184"/>
      <c r="BV84" s="184"/>
      <c r="BW84" s="184"/>
      <c r="BX84" s="184"/>
      <c r="BY84" s="184"/>
      <c r="BZ84" s="184"/>
      <c r="CA84" s="184"/>
      <c r="CB84" s="184"/>
      <c r="CC84" s="184"/>
      <c r="CD84" s="184"/>
      <c r="CE84" s="184"/>
      <c r="CF84" s="184"/>
      <c r="CG84" s="184"/>
      <c r="CH84" s="184"/>
      <c r="CI84" s="184"/>
      <c r="CJ84" s="184"/>
      <c r="CK84" s="184"/>
      <c r="CL84" s="184"/>
      <c r="CM84" s="184"/>
      <c r="CN84" s="184"/>
      <c r="CO84" s="184"/>
      <c r="CP84" s="184"/>
      <c r="CQ84" s="184"/>
      <c r="CR84" s="184"/>
      <c r="CS84" s="184"/>
      <c r="CT84" s="184"/>
      <c r="CU84" s="184"/>
      <c r="CV84" s="184"/>
      <c r="CW84" s="184"/>
      <c r="CX84" s="184"/>
      <c r="CY84" s="184"/>
      <c r="CZ84" s="184"/>
      <c r="DA84" s="184"/>
      <c r="DB84" s="184"/>
      <c r="DC84" s="184"/>
      <c r="DD84" s="184"/>
      <c r="DE84" s="184"/>
      <c r="DF84" s="184"/>
      <c r="DG84" s="184"/>
      <c r="DH84" s="184"/>
      <c r="DI84" s="184"/>
      <c r="DJ84" s="184"/>
      <c r="DK84" s="184"/>
      <c r="DL84" s="184"/>
      <c r="DM84" s="184"/>
      <c r="DN84" s="184"/>
      <c r="DO84" s="184"/>
      <c r="DP84" s="184"/>
      <c r="DQ84" s="184"/>
      <c r="DR84" s="184"/>
      <c r="DS84" s="184"/>
      <c r="DT84" s="184"/>
      <c r="DU84" s="184"/>
      <c r="DV84" s="184"/>
      <c r="DW84" s="184"/>
      <c r="DX84" s="184"/>
      <c r="DY84" s="184"/>
      <c r="DZ84" s="184"/>
      <c r="EA84" s="184"/>
      <c r="EB84" s="184"/>
      <c r="EC84" s="184"/>
      <c r="ED84" s="184"/>
      <c r="EE84" s="184"/>
      <c r="EF84" s="184"/>
      <c r="EG84" s="184"/>
      <c r="EH84" s="184"/>
      <c r="EI84" s="184"/>
      <c r="EJ84" s="184"/>
      <c r="EK84" s="184"/>
      <c r="EL84" s="184"/>
      <c r="EM84" s="184"/>
      <c r="EN84" s="184"/>
      <c r="EO84" s="184"/>
      <c r="EP84" s="184"/>
      <c r="EQ84" s="184"/>
      <c r="ER84" s="184"/>
      <c r="ES84" s="184"/>
      <c r="ET84" s="184"/>
      <c r="EU84" s="184"/>
      <c r="EV84" s="184"/>
      <c r="EW84" s="184"/>
    </row>
    <row r="85" spans="2:153">
      <c r="B85" s="184"/>
      <c r="C85" s="273"/>
      <c r="D85" s="273"/>
      <c r="E85" s="184"/>
      <c r="F85" s="184"/>
      <c r="G85" s="185"/>
      <c r="H85" s="184"/>
      <c r="I85" s="184"/>
      <c r="J85" s="184"/>
      <c r="K85" s="184"/>
      <c r="L85" s="184"/>
      <c r="M85" s="184"/>
      <c r="N85" s="184"/>
      <c r="O85" s="184"/>
      <c r="P85" s="184"/>
      <c r="Q85" s="176"/>
      <c r="R85" s="184"/>
      <c r="S85" s="184"/>
      <c r="T85" s="184"/>
      <c r="U85" s="184"/>
      <c r="V85" s="184"/>
      <c r="W85" s="184"/>
      <c r="X85" s="184"/>
      <c r="Y85" s="184"/>
      <c r="Z85" s="184"/>
      <c r="AA85" s="184"/>
      <c r="AB85" s="184"/>
      <c r="AC85" s="184"/>
      <c r="AD85" s="184"/>
      <c r="AE85" s="184"/>
      <c r="AF85" s="184"/>
      <c r="AG85" s="184"/>
      <c r="AH85" s="184"/>
      <c r="AI85" s="184"/>
      <c r="AJ85" s="184"/>
      <c r="AK85" s="184"/>
      <c r="AL85" s="184"/>
      <c r="AM85" s="184"/>
      <c r="AN85" s="184"/>
      <c r="AO85" s="184"/>
      <c r="AP85" s="184"/>
      <c r="AQ85" s="184"/>
      <c r="AR85" s="184"/>
      <c r="AS85" s="184"/>
      <c r="AT85" s="184"/>
      <c r="AU85" s="184"/>
      <c r="AV85" s="184"/>
      <c r="AW85" s="184"/>
      <c r="AX85" s="184"/>
      <c r="AY85" s="184"/>
      <c r="AZ85" s="184"/>
      <c r="BA85" s="184"/>
      <c r="BB85" s="184"/>
      <c r="BC85" s="184"/>
      <c r="BD85" s="184"/>
      <c r="BE85" s="184"/>
      <c r="BF85" s="184"/>
      <c r="BG85" s="184"/>
      <c r="BH85" s="184"/>
      <c r="BI85" s="184"/>
      <c r="BJ85" s="184"/>
      <c r="BK85" s="184"/>
      <c r="BL85" s="184"/>
      <c r="BM85" s="184"/>
      <c r="BN85" s="184"/>
      <c r="BO85" s="184"/>
      <c r="BP85" s="184"/>
      <c r="BQ85" s="184"/>
      <c r="BR85" s="184"/>
      <c r="BS85" s="184"/>
      <c r="BT85" s="184"/>
      <c r="BU85" s="184"/>
      <c r="BV85" s="184"/>
      <c r="BW85" s="184"/>
      <c r="BX85" s="184"/>
      <c r="BY85" s="184"/>
      <c r="BZ85" s="184"/>
      <c r="CA85" s="184"/>
      <c r="CB85" s="184"/>
      <c r="CC85" s="184"/>
      <c r="CD85" s="184"/>
      <c r="CE85" s="184"/>
      <c r="CF85" s="184"/>
      <c r="CG85" s="184"/>
      <c r="CH85" s="184"/>
      <c r="CI85" s="184"/>
      <c r="CJ85" s="184"/>
      <c r="CK85" s="184"/>
      <c r="CL85" s="184"/>
      <c r="CM85" s="184"/>
      <c r="CN85" s="184"/>
      <c r="CO85" s="184"/>
      <c r="CP85" s="184"/>
      <c r="CQ85" s="184"/>
      <c r="CR85" s="184"/>
      <c r="CS85" s="184"/>
      <c r="CT85" s="184"/>
      <c r="CU85" s="184"/>
      <c r="CV85" s="184"/>
      <c r="CW85" s="184"/>
      <c r="CX85" s="184"/>
      <c r="CY85" s="184"/>
      <c r="CZ85" s="184"/>
      <c r="DA85" s="184"/>
      <c r="DB85" s="184"/>
      <c r="DC85" s="184"/>
      <c r="DD85" s="184"/>
      <c r="DE85" s="184"/>
      <c r="DF85" s="184"/>
      <c r="DG85" s="184"/>
      <c r="DH85" s="184"/>
      <c r="DI85" s="184"/>
      <c r="DJ85" s="184"/>
      <c r="DK85" s="184"/>
      <c r="DL85" s="184"/>
      <c r="DM85" s="184"/>
      <c r="DN85" s="184"/>
      <c r="DO85" s="184"/>
      <c r="DP85" s="184"/>
      <c r="DQ85" s="184"/>
      <c r="DR85" s="184"/>
      <c r="DS85" s="184"/>
      <c r="DT85" s="184"/>
      <c r="DU85" s="184"/>
      <c r="DV85" s="184"/>
      <c r="DW85" s="184"/>
      <c r="DX85" s="184"/>
      <c r="DY85" s="184"/>
      <c r="DZ85" s="184"/>
      <c r="EA85" s="184"/>
      <c r="EB85" s="184"/>
      <c r="EC85" s="184"/>
      <c r="ED85" s="184"/>
      <c r="EE85" s="184"/>
      <c r="EF85" s="184"/>
      <c r="EG85" s="184"/>
      <c r="EH85" s="184"/>
      <c r="EI85" s="184"/>
      <c r="EJ85" s="184"/>
      <c r="EK85" s="184"/>
      <c r="EL85" s="184"/>
      <c r="EM85" s="184"/>
      <c r="EN85" s="184"/>
      <c r="EO85" s="184"/>
      <c r="EP85" s="184"/>
      <c r="EQ85" s="184"/>
      <c r="ER85" s="184"/>
      <c r="ES85" s="184"/>
      <c r="ET85" s="184"/>
      <c r="EU85" s="184"/>
      <c r="EV85" s="184"/>
      <c r="EW85" s="184"/>
    </row>
    <row r="86" spans="2:153">
      <c r="B86" s="184"/>
      <c r="C86" s="273"/>
      <c r="D86" s="273"/>
      <c r="E86" s="184"/>
      <c r="F86" s="184"/>
      <c r="G86" s="185"/>
      <c r="H86" s="184"/>
      <c r="I86" s="184"/>
      <c r="J86" s="184"/>
      <c r="K86" s="184"/>
      <c r="L86" s="184"/>
      <c r="M86" s="184"/>
      <c r="N86" s="184"/>
      <c r="O86" s="184"/>
      <c r="P86" s="184"/>
      <c r="Q86" s="176"/>
      <c r="R86" s="184"/>
      <c r="S86" s="184"/>
      <c r="T86" s="184"/>
      <c r="U86" s="184"/>
      <c r="V86" s="184"/>
      <c r="W86" s="184"/>
      <c r="X86" s="184"/>
      <c r="Y86" s="184"/>
      <c r="Z86" s="184"/>
      <c r="AA86" s="184"/>
      <c r="AB86" s="184"/>
      <c r="AC86" s="184"/>
      <c r="AD86" s="184"/>
      <c r="AE86" s="184"/>
      <c r="AF86" s="184"/>
      <c r="AG86" s="184"/>
      <c r="AH86" s="184"/>
      <c r="AI86" s="184"/>
      <c r="AJ86" s="184"/>
      <c r="AK86" s="184"/>
      <c r="AL86" s="184"/>
      <c r="AM86" s="184"/>
      <c r="AN86" s="184"/>
      <c r="AO86" s="184"/>
      <c r="AP86" s="184"/>
      <c r="AQ86" s="184"/>
      <c r="AR86" s="184"/>
      <c r="AS86" s="184"/>
      <c r="AT86" s="184"/>
      <c r="AU86" s="184"/>
      <c r="AV86" s="184"/>
      <c r="AW86" s="184"/>
      <c r="AX86" s="184"/>
      <c r="AY86" s="184"/>
      <c r="AZ86" s="184"/>
      <c r="BA86" s="184"/>
      <c r="BB86" s="184"/>
      <c r="BC86" s="184"/>
      <c r="BD86" s="184"/>
      <c r="BE86" s="184"/>
      <c r="BF86" s="184"/>
      <c r="BG86" s="184"/>
      <c r="BH86" s="184"/>
      <c r="BI86" s="184"/>
      <c r="BJ86" s="184"/>
      <c r="BK86" s="184"/>
      <c r="BL86" s="184"/>
      <c r="BM86" s="184"/>
      <c r="BN86" s="184"/>
      <c r="BO86" s="184"/>
      <c r="BP86" s="184"/>
      <c r="BQ86" s="184"/>
      <c r="BR86" s="184"/>
      <c r="BS86" s="184"/>
      <c r="BT86" s="184"/>
      <c r="BU86" s="184"/>
      <c r="BV86" s="184"/>
      <c r="BW86" s="184"/>
      <c r="BX86" s="184"/>
      <c r="BY86" s="184"/>
      <c r="BZ86" s="184"/>
      <c r="CA86" s="184"/>
      <c r="CB86" s="184"/>
      <c r="CC86" s="184"/>
      <c r="CD86" s="184"/>
      <c r="CE86" s="184"/>
      <c r="CF86" s="184"/>
      <c r="CG86" s="184"/>
      <c r="CH86" s="184"/>
      <c r="CI86" s="184"/>
      <c r="CJ86" s="184"/>
      <c r="CK86" s="184"/>
      <c r="CL86" s="184"/>
      <c r="CM86" s="184"/>
      <c r="CN86" s="184"/>
      <c r="CO86" s="184"/>
      <c r="CP86" s="184"/>
      <c r="CQ86" s="184"/>
      <c r="CR86" s="184"/>
      <c r="CS86" s="184"/>
      <c r="CT86" s="184"/>
      <c r="CU86" s="184"/>
      <c r="CV86" s="184"/>
      <c r="CW86" s="184"/>
      <c r="CX86" s="184"/>
      <c r="CY86" s="184"/>
      <c r="CZ86" s="184"/>
      <c r="DA86" s="184"/>
      <c r="DB86" s="184"/>
      <c r="DC86" s="184"/>
      <c r="DD86" s="184"/>
      <c r="DE86" s="184"/>
      <c r="DF86" s="184"/>
      <c r="DG86" s="184"/>
      <c r="DH86" s="184"/>
      <c r="DI86" s="184"/>
      <c r="DJ86" s="184"/>
      <c r="DK86" s="184"/>
      <c r="DL86" s="184"/>
      <c r="DM86" s="184"/>
      <c r="DN86" s="184"/>
      <c r="DO86" s="184"/>
      <c r="DP86" s="184"/>
      <c r="DQ86" s="184"/>
      <c r="DR86" s="184"/>
      <c r="DS86" s="184"/>
      <c r="DT86" s="184"/>
      <c r="DU86" s="184"/>
      <c r="DV86" s="184"/>
      <c r="DW86" s="184"/>
      <c r="DX86" s="184"/>
      <c r="DY86" s="184"/>
      <c r="DZ86" s="184"/>
      <c r="EA86" s="184"/>
      <c r="EB86" s="184"/>
      <c r="EC86" s="184"/>
      <c r="ED86" s="184"/>
      <c r="EE86" s="184"/>
      <c r="EF86" s="184"/>
      <c r="EG86" s="184"/>
      <c r="EH86" s="184"/>
      <c r="EI86" s="184"/>
      <c r="EJ86" s="184"/>
      <c r="EK86" s="184"/>
      <c r="EL86" s="184"/>
      <c r="EM86" s="184"/>
      <c r="EN86" s="184"/>
      <c r="EO86" s="184"/>
      <c r="EP86" s="184"/>
      <c r="EQ86" s="184"/>
      <c r="ER86" s="184"/>
      <c r="ES86" s="184"/>
      <c r="ET86" s="184"/>
      <c r="EU86" s="184"/>
      <c r="EV86" s="184"/>
      <c r="EW86" s="184"/>
    </row>
    <row r="87" spans="2:153">
      <c r="B87" s="184"/>
      <c r="C87" s="273"/>
      <c r="D87" s="273"/>
      <c r="E87" s="184"/>
      <c r="F87" s="184"/>
      <c r="G87" s="185"/>
      <c r="H87" s="184"/>
      <c r="I87" s="184"/>
      <c r="J87" s="184"/>
      <c r="K87" s="184"/>
      <c r="L87" s="184"/>
      <c r="M87" s="184"/>
      <c r="N87" s="184"/>
      <c r="O87" s="184"/>
      <c r="P87" s="184"/>
      <c r="Q87" s="176"/>
      <c r="R87" s="184"/>
      <c r="S87" s="184"/>
      <c r="T87" s="184"/>
      <c r="U87" s="184"/>
      <c r="V87" s="184"/>
      <c r="W87" s="184"/>
      <c r="X87" s="184"/>
      <c r="Y87" s="184"/>
      <c r="Z87" s="184"/>
      <c r="AA87" s="184"/>
      <c r="AB87" s="184"/>
      <c r="AC87" s="184"/>
      <c r="AD87" s="184"/>
      <c r="AE87" s="184"/>
      <c r="AF87" s="184"/>
      <c r="AG87" s="184"/>
      <c r="AH87" s="184"/>
      <c r="AI87" s="184"/>
      <c r="AJ87" s="184"/>
      <c r="AK87" s="184"/>
      <c r="AL87" s="184"/>
      <c r="AM87" s="184"/>
      <c r="AN87" s="184"/>
      <c r="AO87" s="184"/>
      <c r="AP87" s="184"/>
      <c r="AQ87" s="184"/>
      <c r="AR87" s="184"/>
      <c r="AS87" s="184"/>
      <c r="AT87" s="184"/>
      <c r="AU87" s="184"/>
      <c r="AV87" s="184"/>
      <c r="AW87" s="184"/>
      <c r="AX87" s="184"/>
      <c r="AY87" s="184"/>
      <c r="AZ87" s="184"/>
      <c r="BA87" s="184"/>
      <c r="BB87" s="184"/>
      <c r="BC87" s="184"/>
      <c r="BD87" s="184"/>
      <c r="BE87" s="184"/>
      <c r="BF87" s="184"/>
      <c r="BG87" s="184"/>
      <c r="BH87" s="184"/>
      <c r="BI87" s="184"/>
      <c r="BJ87" s="184"/>
      <c r="BK87" s="184"/>
      <c r="BL87" s="184"/>
      <c r="BM87" s="184"/>
      <c r="BN87" s="184"/>
      <c r="BO87" s="184"/>
      <c r="BP87" s="184"/>
      <c r="BQ87" s="184"/>
      <c r="BR87" s="184"/>
      <c r="BS87" s="184"/>
      <c r="BT87" s="184"/>
      <c r="BU87" s="184"/>
      <c r="BV87" s="184"/>
      <c r="BW87" s="184"/>
      <c r="BX87" s="184"/>
      <c r="BY87" s="184"/>
      <c r="BZ87" s="184"/>
      <c r="CA87" s="184"/>
      <c r="CB87" s="184"/>
      <c r="CC87" s="184"/>
      <c r="CD87" s="184"/>
      <c r="CE87" s="184"/>
      <c r="CF87" s="184"/>
      <c r="CG87" s="184"/>
      <c r="CH87" s="184"/>
      <c r="CI87" s="184"/>
      <c r="CJ87" s="184"/>
      <c r="CK87" s="184"/>
      <c r="CL87" s="184"/>
      <c r="CM87" s="184"/>
      <c r="CN87" s="184"/>
      <c r="CO87" s="184"/>
      <c r="CP87" s="184"/>
      <c r="CQ87" s="184"/>
      <c r="CR87" s="184"/>
      <c r="CS87" s="184"/>
      <c r="CT87" s="184"/>
      <c r="CU87" s="184"/>
      <c r="CV87" s="184"/>
      <c r="CW87" s="184"/>
      <c r="CX87" s="184"/>
      <c r="CY87" s="184"/>
      <c r="CZ87" s="184"/>
      <c r="DA87" s="184"/>
      <c r="DB87" s="184"/>
      <c r="DC87" s="184"/>
      <c r="DD87" s="184"/>
      <c r="DE87" s="184"/>
      <c r="DF87" s="184"/>
      <c r="DG87" s="184"/>
      <c r="DH87" s="184"/>
      <c r="DI87" s="184"/>
      <c r="DJ87" s="184"/>
      <c r="DK87" s="184"/>
      <c r="DL87" s="184"/>
      <c r="DM87" s="184"/>
      <c r="DN87" s="184"/>
      <c r="DO87" s="184"/>
      <c r="DP87" s="184"/>
      <c r="DQ87" s="184"/>
      <c r="DR87" s="184"/>
      <c r="DS87" s="184"/>
      <c r="DT87" s="184"/>
      <c r="DU87" s="184"/>
      <c r="DV87" s="184"/>
      <c r="DW87" s="184"/>
      <c r="DX87" s="184"/>
      <c r="DY87" s="184"/>
      <c r="DZ87" s="184"/>
      <c r="EA87" s="184"/>
      <c r="EB87" s="184"/>
      <c r="EC87" s="184"/>
      <c r="ED87" s="184"/>
      <c r="EE87" s="184"/>
      <c r="EF87" s="184"/>
      <c r="EG87" s="184"/>
      <c r="EH87" s="184"/>
      <c r="EI87" s="184"/>
      <c r="EJ87" s="184"/>
      <c r="EK87" s="184"/>
      <c r="EL87" s="184"/>
      <c r="EM87" s="184"/>
      <c r="EN87" s="184"/>
      <c r="EO87" s="184"/>
      <c r="EP87" s="184"/>
      <c r="EQ87" s="184"/>
      <c r="ER87" s="184"/>
      <c r="ES87" s="184"/>
      <c r="ET87" s="184"/>
      <c r="EU87" s="184"/>
      <c r="EV87" s="184"/>
      <c r="EW87" s="184"/>
    </row>
    <row r="88" spans="2:153">
      <c r="B88" s="168"/>
      <c r="C88" s="271"/>
      <c r="D88" s="271"/>
      <c r="E88" s="168"/>
      <c r="F88" s="168"/>
      <c r="G88" s="70"/>
      <c r="H88" s="168"/>
      <c r="I88" s="168"/>
      <c r="J88" s="168"/>
      <c r="K88" s="168"/>
      <c r="L88" s="168"/>
      <c r="M88" s="168"/>
      <c r="N88" s="168"/>
      <c r="O88" s="168"/>
      <c r="P88" s="168"/>
      <c r="Q88" s="82"/>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c r="CS88" s="168"/>
      <c r="CT88" s="168"/>
      <c r="CU88" s="168"/>
      <c r="CV88" s="168"/>
      <c r="CW88" s="168"/>
      <c r="CX88" s="168"/>
      <c r="CY88" s="168"/>
      <c r="CZ88" s="168"/>
      <c r="DA88" s="168"/>
      <c r="DB88" s="168"/>
      <c r="DC88" s="168"/>
      <c r="DD88" s="168"/>
      <c r="DE88" s="168"/>
      <c r="DF88" s="168"/>
      <c r="DG88" s="168"/>
      <c r="DH88" s="168"/>
      <c r="DI88" s="168"/>
      <c r="DJ88" s="168"/>
      <c r="DK88" s="168"/>
      <c r="DL88" s="168"/>
      <c r="DM88" s="168"/>
      <c r="DN88" s="168"/>
      <c r="DO88" s="168"/>
      <c r="DP88" s="168"/>
      <c r="DQ88" s="168"/>
      <c r="DR88" s="168"/>
      <c r="DS88" s="168"/>
      <c r="DT88" s="168"/>
      <c r="DU88" s="168"/>
      <c r="DV88" s="168"/>
      <c r="DW88" s="168"/>
      <c r="DX88" s="168"/>
      <c r="DY88" s="168"/>
      <c r="DZ88" s="168"/>
      <c r="EA88" s="168"/>
      <c r="EB88" s="168"/>
      <c r="EC88" s="168"/>
      <c r="ED88" s="168"/>
      <c r="EE88" s="168"/>
      <c r="EF88" s="168"/>
      <c r="EG88" s="168"/>
      <c r="EH88" s="168"/>
      <c r="EI88" s="168"/>
      <c r="EJ88" s="168"/>
      <c r="EK88" s="168"/>
      <c r="EL88" s="168"/>
      <c r="EM88" s="168"/>
      <c r="EN88" s="168"/>
      <c r="EO88" s="168"/>
      <c r="EP88" s="168"/>
      <c r="EQ88" s="168"/>
      <c r="ER88" s="168"/>
      <c r="ES88" s="168"/>
      <c r="ET88" s="168"/>
      <c r="EU88" s="168"/>
      <c r="EV88" s="168"/>
      <c r="EW88" s="168"/>
    </row>
    <row r="89" spans="2:153">
      <c r="B89" s="168"/>
      <c r="C89" s="271"/>
      <c r="D89" s="271"/>
      <c r="E89" s="168"/>
      <c r="F89" s="168"/>
      <c r="G89" s="70"/>
      <c r="H89" s="168"/>
      <c r="I89" s="168"/>
      <c r="J89" s="168"/>
      <c r="K89" s="168"/>
      <c r="L89" s="168"/>
      <c r="M89" s="168"/>
      <c r="N89" s="168"/>
      <c r="O89" s="168"/>
      <c r="P89" s="168"/>
      <c r="Q89" s="82"/>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c r="CS89" s="168"/>
      <c r="CT89" s="168"/>
      <c r="CU89" s="168"/>
      <c r="CV89" s="168"/>
      <c r="CW89" s="168"/>
      <c r="CX89" s="168"/>
      <c r="CY89" s="168"/>
      <c r="CZ89" s="168"/>
      <c r="DA89" s="168"/>
      <c r="DB89" s="168"/>
      <c r="DC89" s="168"/>
      <c r="DD89" s="168"/>
      <c r="DE89" s="168"/>
      <c r="DF89" s="168"/>
      <c r="DG89" s="168"/>
      <c r="DH89" s="168"/>
      <c r="DI89" s="168"/>
      <c r="DJ89" s="168"/>
      <c r="DK89" s="168"/>
      <c r="DL89" s="168"/>
      <c r="DM89" s="168"/>
      <c r="DN89" s="168"/>
      <c r="DO89" s="168"/>
      <c r="DP89" s="168"/>
      <c r="DQ89" s="168"/>
      <c r="DR89" s="168"/>
      <c r="DS89" s="168"/>
      <c r="DT89" s="168"/>
      <c r="DU89" s="168"/>
      <c r="DV89" s="168"/>
      <c r="DW89" s="168"/>
      <c r="DX89" s="168"/>
      <c r="DY89" s="168"/>
      <c r="DZ89" s="168"/>
      <c r="EA89" s="168"/>
      <c r="EB89" s="168"/>
      <c r="EC89" s="168"/>
      <c r="ED89" s="168"/>
      <c r="EE89" s="168"/>
      <c r="EF89" s="168"/>
      <c r="EG89" s="168"/>
      <c r="EH89" s="168"/>
      <c r="EI89" s="168"/>
      <c r="EJ89" s="168"/>
      <c r="EK89" s="168"/>
      <c r="EL89" s="168"/>
      <c r="EM89" s="168"/>
      <c r="EN89" s="168"/>
      <c r="EO89" s="168"/>
      <c r="EP89" s="168"/>
      <c r="EQ89" s="168"/>
      <c r="ER89" s="168"/>
      <c r="ES89" s="168"/>
      <c r="ET89" s="168"/>
      <c r="EU89" s="168"/>
      <c r="EV89" s="168"/>
      <c r="EW89" s="168"/>
    </row>
    <row r="90" spans="2:153">
      <c r="B90" s="168"/>
      <c r="C90" s="271"/>
      <c r="D90" s="271"/>
      <c r="E90" s="168"/>
      <c r="F90" s="168"/>
      <c r="G90" s="70"/>
      <c r="H90" s="168"/>
      <c r="I90" s="168"/>
      <c r="J90" s="168"/>
      <c r="K90" s="168"/>
      <c r="L90" s="168"/>
      <c r="M90" s="168"/>
      <c r="N90" s="168"/>
      <c r="O90" s="168"/>
      <c r="P90" s="168"/>
      <c r="Q90" s="82"/>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c r="CS90" s="168"/>
      <c r="CT90" s="168"/>
      <c r="CU90" s="168"/>
      <c r="CV90" s="168"/>
      <c r="CW90" s="168"/>
      <c r="CX90" s="168"/>
      <c r="CY90" s="168"/>
      <c r="CZ90" s="168"/>
      <c r="DA90" s="168"/>
      <c r="DB90" s="168"/>
      <c r="DC90" s="168"/>
      <c r="DD90" s="168"/>
      <c r="DE90" s="168"/>
      <c r="DF90" s="168"/>
      <c r="DG90" s="168"/>
      <c r="DH90" s="168"/>
      <c r="DI90" s="168"/>
      <c r="DJ90" s="168"/>
      <c r="DK90" s="168"/>
      <c r="DL90" s="168"/>
      <c r="DM90" s="168"/>
      <c r="DN90" s="168"/>
      <c r="DO90" s="168"/>
      <c r="DP90" s="168"/>
      <c r="DQ90" s="168"/>
      <c r="DR90" s="168"/>
      <c r="DS90" s="168"/>
      <c r="DT90" s="168"/>
      <c r="DU90" s="168"/>
      <c r="DV90" s="168"/>
      <c r="DW90" s="168"/>
      <c r="DX90" s="168"/>
      <c r="DY90" s="168"/>
      <c r="DZ90" s="168"/>
      <c r="EA90" s="168"/>
      <c r="EB90" s="168"/>
      <c r="EC90" s="168"/>
      <c r="ED90" s="168"/>
      <c r="EE90" s="168"/>
      <c r="EF90" s="168"/>
      <c r="EG90" s="168"/>
      <c r="EH90" s="168"/>
      <c r="EI90" s="168"/>
      <c r="EJ90" s="168"/>
      <c r="EK90" s="168"/>
      <c r="EL90" s="168"/>
      <c r="EM90" s="168"/>
      <c r="EN90" s="168"/>
      <c r="EO90" s="168"/>
      <c r="EP90" s="168"/>
      <c r="EQ90" s="168"/>
      <c r="ER90" s="168"/>
      <c r="ES90" s="168"/>
      <c r="ET90" s="168"/>
      <c r="EU90" s="168"/>
      <c r="EV90" s="168"/>
      <c r="EW90" s="168"/>
    </row>
    <row r="91" spans="2:153">
      <c r="B91" s="168"/>
      <c r="C91" s="271"/>
      <c r="D91" s="271"/>
      <c r="E91" s="168"/>
      <c r="F91" s="168"/>
      <c r="G91" s="70"/>
      <c r="H91" s="168"/>
      <c r="I91" s="168"/>
      <c r="J91" s="168"/>
      <c r="K91" s="168"/>
      <c r="L91" s="168"/>
      <c r="M91" s="168"/>
      <c r="N91" s="168"/>
      <c r="O91" s="168"/>
      <c r="P91" s="168"/>
      <c r="Q91" s="82"/>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c r="CS91" s="168"/>
      <c r="CT91" s="168"/>
      <c r="CU91" s="168"/>
      <c r="CV91" s="168"/>
      <c r="CW91" s="168"/>
      <c r="CX91" s="168"/>
      <c r="CY91" s="168"/>
      <c r="CZ91" s="168"/>
      <c r="DA91" s="168"/>
      <c r="DB91" s="168"/>
      <c r="DC91" s="168"/>
      <c r="DD91" s="168"/>
      <c r="DE91" s="168"/>
      <c r="DF91" s="168"/>
      <c r="DG91" s="168"/>
      <c r="DH91" s="168"/>
      <c r="DI91" s="168"/>
      <c r="DJ91" s="168"/>
      <c r="DK91" s="168"/>
      <c r="DL91" s="168"/>
      <c r="DM91" s="168"/>
      <c r="DN91" s="168"/>
      <c r="DO91" s="168"/>
      <c r="DP91" s="168"/>
      <c r="DQ91" s="168"/>
      <c r="DR91" s="168"/>
      <c r="DS91" s="168"/>
      <c r="DT91" s="168"/>
      <c r="DU91" s="168"/>
      <c r="DV91" s="168"/>
      <c r="DW91" s="168"/>
      <c r="DX91" s="168"/>
      <c r="DY91" s="168"/>
      <c r="DZ91" s="168"/>
      <c r="EA91" s="168"/>
      <c r="EB91" s="168"/>
      <c r="EC91" s="168"/>
      <c r="ED91" s="168"/>
      <c r="EE91" s="168"/>
      <c r="EF91" s="168"/>
      <c r="EG91" s="168"/>
      <c r="EH91" s="168"/>
      <c r="EI91" s="168"/>
      <c r="EJ91" s="168"/>
      <c r="EK91" s="168"/>
      <c r="EL91" s="168"/>
      <c r="EM91" s="168"/>
      <c r="EN91" s="168"/>
      <c r="EO91" s="168"/>
      <c r="EP91" s="168"/>
      <c r="EQ91" s="168"/>
      <c r="ER91" s="168"/>
      <c r="ES91" s="168"/>
      <c r="ET91" s="168"/>
      <c r="EU91" s="168"/>
      <c r="EV91" s="168"/>
      <c r="EW91" s="168"/>
    </row>
    <row r="92" spans="2:153">
      <c r="B92" s="168"/>
      <c r="C92" s="271"/>
      <c r="D92" s="271"/>
      <c r="E92" s="168"/>
      <c r="F92" s="168"/>
      <c r="G92" s="70"/>
      <c r="H92" s="168"/>
      <c r="I92" s="168"/>
      <c r="J92" s="168"/>
      <c r="K92" s="168"/>
      <c r="L92" s="168"/>
      <c r="M92" s="168"/>
      <c r="N92" s="168"/>
      <c r="O92" s="168"/>
      <c r="P92" s="168"/>
      <c r="Q92" s="82"/>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c r="CS92" s="168"/>
      <c r="CT92" s="168"/>
      <c r="CU92" s="168"/>
      <c r="CV92" s="168"/>
      <c r="CW92" s="168"/>
      <c r="CX92" s="168"/>
      <c r="CY92" s="168"/>
      <c r="CZ92" s="168"/>
      <c r="DA92" s="168"/>
      <c r="DB92" s="168"/>
      <c r="DC92" s="168"/>
      <c r="DD92" s="168"/>
      <c r="DE92" s="168"/>
      <c r="DF92" s="168"/>
      <c r="DG92" s="168"/>
      <c r="DH92" s="168"/>
      <c r="DI92" s="168"/>
      <c r="DJ92" s="168"/>
      <c r="DK92" s="168"/>
      <c r="DL92" s="168"/>
      <c r="DM92" s="168"/>
      <c r="DN92" s="168"/>
      <c r="DO92" s="168"/>
      <c r="DP92" s="168"/>
      <c r="DQ92" s="168"/>
      <c r="DR92" s="168"/>
      <c r="DS92" s="168"/>
      <c r="DT92" s="168"/>
      <c r="DU92" s="168"/>
      <c r="DV92" s="168"/>
      <c r="DW92" s="168"/>
      <c r="DX92" s="168"/>
      <c r="DY92" s="168"/>
      <c r="DZ92" s="168"/>
      <c r="EA92" s="168"/>
      <c r="EB92" s="168"/>
      <c r="EC92" s="168"/>
      <c r="ED92" s="168"/>
      <c r="EE92" s="168"/>
      <c r="EF92" s="168"/>
      <c r="EG92" s="168"/>
      <c r="EH92" s="168"/>
      <c r="EI92" s="168"/>
      <c r="EJ92" s="168"/>
      <c r="EK92" s="168"/>
      <c r="EL92" s="168"/>
      <c r="EM92" s="168"/>
      <c r="EN92" s="168"/>
      <c r="EO92" s="168"/>
      <c r="EP92" s="168"/>
      <c r="EQ92" s="168"/>
      <c r="ER92" s="168"/>
      <c r="ES92" s="168"/>
      <c r="ET92" s="168"/>
      <c r="EU92" s="168"/>
      <c r="EV92" s="168"/>
      <c r="EW92" s="168"/>
    </row>
    <row r="93" spans="2:153">
      <c r="B93" s="168"/>
      <c r="C93" s="271"/>
      <c r="D93" s="271"/>
      <c r="E93" s="168"/>
      <c r="F93" s="168"/>
      <c r="G93" s="70"/>
      <c r="H93" s="168"/>
      <c r="I93" s="168"/>
      <c r="J93" s="168"/>
      <c r="K93" s="168"/>
      <c r="L93" s="168"/>
      <c r="M93" s="168"/>
      <c r="N93" s="168"/>
      <c r="O93" s="168"/>
      <c r="P93" s="168"/>
      <c r="Q93" s="82"/>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c r="CS93" s="168"/>
      <c r="CT93" s="168"/>
      <c r="CU93" s="168"/>
      <c r="CV93" s="168"/>
      <c r="CW93" s="168"/>
      <c r="CX93" s="168"/>
      <c r="CY93" s="168"/>
      <c r="CZ93" s="168"/>
      <c r="DA93" s="168"/>
      <c r="DB93" s="168"/>
      <c r="DC93" s="168"/>
      <c r="DD93" s="168"/>
      <c r="DE93" s="168"/>
      <c r="DF93" s="168"/>
      <c r="DG93" s="168"/>
      <c r="DH93" s="168"/>
      <c r="DI93" s="168"/>
      <c r="DJ93" s="168"/>
      <c r="DK93" s="168"/>
      <c r="DL93" s="168"/>
      <c r="DM93" s="168"/>
      <c r="DN93" s="168"/>
      <c r="DO93" s="168"/>
      <c r="DP93" s="168"/>
      <c r="DQ93" s="168"/>
      <c r="DR93" s="168"/>
      <c r="DS93" s="168"/>
      <c r="DT93" s="168"/>
      <c r="DU93" s="168"/>
      <c r="DV93" s="168"/>
      <c r="DW93" s="168"/>
      <c r="DX93" s="168"/>
      <c r="DY93" s="168"/>
      <c r="DZ93" s="168"/>
      <c r="EA93" s="168"/>
      <c r="EB93" s="168"/>
      <c r="EC93" s="168"/>
      <c r="ED93" s="168"/>
      <c r="EE93" s="168"/>
      <c r="EF93" s="168"/>
      <c r="EG93" s="168"/>
      <c r="EH93" s="168"/>
      <c r="EI93" s="168"/>
      <c r="EJ93" s="168"/>
      <c r="EK93" s="168"/>
      <c r="EL93" s="168"/>
      <c r="EM93" s="168"/>
      <c r="EN93" s="168"/>
      <c r="EO93" s="168"/>
      <c r="EP93" s="168"/>
      <c r="EQ93" s="168"/>
      <c r="ER93" s="168"/>
      <c r="ES93" s="168"/>
      <c r="ET93" s="168"/>
      <c r="EU93" s="168"/>
      <c r="EV93" s="168"/>
      <c r="EW93" s="168"/>
    </row>
    <row r="94" spans="2:153">
      <c r="B94" s="168"/>
      <c r="C94" s="271"/>
      <c r="D94" s="271"/>
      <c r="E94" s="168"/>
      <c r="F94" s="168"/>
      <c r="G94" s="70"/>
      <c r="H94" s="168"/>
      <c r="I94" s="168"/>
      <c r="J94" s="168"/>
      <c r="K94" s="168"/>
      <c r="L94" s="168"/>
      <c r="M94" s="168"/>
      <c r="N94" s="168"/>
      <c r="O94" s="168"/>
      <c r="P94" s="168"/>
      <c r="Q94" s="82"/>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c r="CS94" s="168"/>
      <c r="CT94" s="168"/>
      <c r="CU94" s="168"/>
      <c r="CV94" s="168"/>
      <c r="CW94" s="168"/>
      <c r="CX94" s="168"/>
      <c r="CY94" s="168"/>
      <c r="CZ94" s="168"/>
      <c r="DA94" s="168"/>
      <c r="DB94" s="168"/>
      <c r="DC94" s="168"/>
      <c r="DD94" s="168"/>
      <c r="DE94" s="168"/>
      <c r="DF94" s="168"/>
      <c r="DG94" s="168"/>
      <c r="DH94" s="168"/>
      <c r="DI94" s="168"/>
      <c r="DJ94" s="168"/>
      <c r="DK94" s="168"/>
      <c r="DL94" s="168"/>
      <c r="DM94" s="168"/>
      <c r="DN94" s="168"/>
      <c r="DO94" s="168"/>
      <c r="DP94" s="168"/>
      <c r="DQ94" s="168"/>
      <c r="DR94" s="168"/>
      <c r="DS94" s="168"/>
      <c r="DT94" s="168"/>
      <c r="DU94" s="168"/>
      <c r="DV94" s="168"/>
      <c r="DW94" s="168"/>
      <c r="DX94" s="168"/>
      <c r="DY94" s="168"/>
      <c r="DZ94" s="168"/>
      <c r="EA94" s="168"/>
      <c r="EB94" s="168"/>
      <c r="EC94" s="168"/>
      <c r="ED94" s="168"/>
      <c r="EE94" s="168"/>
      <c r="EF94" s="168"/>
      <c r="EG94" s="168"/>
      <c r="EH94" s="168"/>
      <c r="EI94" s="168"/>
      <c r="EJ94" s="168"/>
      <c r="EK94" s="168"/>
      <c r="EL94" s="168"/>
      <c r="EM94" s="168"/>
      <c r="EN94" s="168"/>
      <c r="EO94" s="168"/>
      <c r="EP94" s="168"/>
      <c r="EQ94" s="168"/>
      <c r="ER94" s="168"/>
      <c r="ES94" s="168"/>
      <c r="ET94" s="168"/>
      <c r="EU94" s="168"/>
      <c r="EV94" s="168"/>
      <c r="EW94" s="168"/>
    </row>
    <row r="95" spans="2:153">
      <c r="B95" s="168"/>
      <c r="C95" s="271"/>
      <c r="D95" s="271"/>
      <c r="E95" s="168"/>
      <c r="F95" s="168"/>
      <c r="G95" s="70"/>
      <c r="H95" s="168"/>
      <c r="I95" s="168"/>
      <c r="J95" s="168"/>
      <c r="K95" s="168"/>
      <c r="L95" s="168"/>
      <c r="M95" s="168"/>
      <c r="N95" s="168"/>
      <c r="O95" s="168"/>
      <c r="P95" s="168"/>
      <c r="Q95" s="82"/>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c r="CS95" s="168"/>
      <c r="CT95" s="168"/>
      <c r="CU95" s="168"/>
      <c r="CV95" s="168"/>
      <c r="CW95" s="168"/>
      <c r="CX95" s="168"/>
      <c r="CY95" s="168"/>
      <c r="CZ95" s="168"/>
      <c r="DA95" s="168"/>
      <c r="DB95" s="168"/>
      <c r="DC95" s="168"/>
      <c r="DD95" s="168"/>
      <c r="DE95" s="168"/>
      <c r="DF95" s="168"/>
      <c r="DG95" s="168"/>
      <c r="DH95" s="168"/>
      <c r="DI95" s="168"/>
      <c r="DJ95" s="168"/>
      <c r="DK95" s="168"/>
      <c r="DL95" s="168"/>
      <c r="DM95" s="168"/>
      <c r="DN95" s="168"/>
      <c r="DO95" s="168"/>
      <c r="DP95" s="168"/>
      <c r="DQ95" s="168"/>
      <c r="DR95" s="168"/>
      <c r="DS95" s="168"/>
      <c r="DT95" s="168"/>
      <c r="DU95" s="168"/>
      <c r="DV95" s="168"/>
      <c r="DW95" s="168"/>
      <c r="DX95" s="168"/>
      <c r="DY95" s="168"/>
      <c r="DZ95" s="168"/>
      <c r="EA95" s="168"/>
      <c r="EB95" s="168"/>
      <c r="EC95" s="168"/>
      <c r="ED95" s="168"/>
      <c r="EE95" s="168"/>
      <c r="EF95" s="168"/>
      <c r="EG95" s="168"/>
      <c r="EH95" s="168"/>
      <c r="EI95" s="168"/>
      <c r="EJ95" s="168"/>
      <c r="EK95" s="168"/>
      <c r="EL95" s="168"/>
      <c r="EM95" s="168"/>
      <c r="EN95" s="168"/>
      <c r="EO95" s="168"/>
      <c r="EP95" s="168"/>
      <c r="EQ95" s="168"/>
      <c r="ER95" s="168"/>
      <c r="ES95" s="168"/>
      <c r="ET95" s="168"/>
      <c r="EU95" s="168"/>
      <c r="EV95" s="168"/>
      <c r="EW95" s="168"/>
    </row>
    <row r="96" spans="2:153">
      <c r="B96" s="168"/>
      <c r="C96" s="271"/>
      <c r="D96" s="271"/>
      <c r="E96" s="168"/>
      <c r="F96" s="168"/>
      <c r="G96" s="70"/>
      <c r="H96" s="168"/>
      <c r="I96" s="168"/>
      <c r="J96" s="168"/>
      <c r="K96" s="168"/>
      <c r="L96" s="168"/>
      <c r="M96" s="168"/>
      <c r="N96" s="168"/>
      <c r="O96" s="168"/>
      <c r="P96" s="168"/>
      <c r="Q96" s="82"/>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c r="CS96" s="168"/>
      <c r="CT96" s="168"/>
      <c r="CU96" s="168"/>
      <c r="CV96" s="168"/>
      <c r="CW96" s="168"/>
      <c r="CX96" s="168"/>
      <c r="CY96" s="168"/>
      <c r="CZ96" s="168"/>
      <c r="DA96" s="168"/>
      <c r="DB96" s="168"/>
      <c r="DC96" s="168"/>
      <c r="DD96" s="168"/>
      <c r="DE96" s="168"/>
      <c r="DF96" s="168"/>
      <c r="DG96" s="168"/>
      <c r="DH96" s="168"/>
      <c r="DI96" s="168"/>
      <c r="DJ96" s="168"/>
      <c r="DK96" s="168"/>
      <c r="DL96" s="168"/>
      <c r="DM96" s="168"/>
      <c r="DN96" s="168"/>
      <c r="DO96" s="168"/>
      <c r="DP96" s="168"/>
      <c r="DQ96" s="168"/>
      <c r="DR96" s="168"/>
      <c r="DS96" s="168"/>
      <c r="DT96" s="168"/>
      <c r="DU96" s="168"/>
      <c r="DV96" s="168"/>
      <c r="DW96" s="168"/>
      <c r="DX96" s="168"/>
      <c r="DY96" s="168"/>
      <c r="DZ96" s="168"/>
      <c r="EA96" s="168"/>
      <c r="EB96" s="168"/>
      <c r="EC96" s="168"/>
      <c r="ED96" s="168"/>
      <c r="EE96" s="168"/>
      <c r="EF96" s="168"/>
      <c r="EG96" s="168"/>
      <c r="EH96" s="168"/>
      <c r="EI96" s="168"/>
      <c r="EJ96" s="168"/>
      <c r="EK96" s="168"/>
      <c r="EL96" s="168"/>
      <c r="EM96" s="168"/>
      <c r="EN96" s="168"/>
      <c r="EO96" s="168"/>
      <c r="EP96" s="168"/>
      <c r="EQ96" s="168"/>
      <c r="ER96" s="168"/>
      <c r="ES96" s="168"/>
      <c r="ET96" s="168"/>
      <c r="EU96" s="168"/>
      <c r="EV96" s="168"/>
      <c r="EW96" s="168"/>
    </row>
    <row r="97" spans="2:153">
      <c r="B97" s="168"/>
      <c r="C97" s="271"/>
      <c r="D97" s="271"/>
      <c r="E97" s="168"/>
      <c r="F97" s="168"/>
      <c r="G97" s="70"/>
      <c r="H97" s="168"/>
      <c r="I97" s="168"/>
      <c r="J97" s="168"/>
      <c r="K97" s="168"/>
      <c r="L97" s="168"/>
      <c r="M97" s="168"/>
      <c r="N97" s="168"/>
      <c r="O97" s="168"/>
      <c r="P97" s="168"/>
      <c r="Q97" s="82"/>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c r="CS97" s="168"/>
      <c r="CT97" s="168"/>
      <c r="CU97" s="168"/>
      <c r="CV97" s="168"/>
      <c r="CW97" s="168"/>
      <c r="CX97" s="168"/>
      <c r="CY97" s="168"/>
      <c r="CZ97" s="168"/>
      <c r="DA97" s="168"/>
      <c r="DB97" s="168"/>
      <c r="DC97" s="168"/>
      <c r="DD97" s="168"/>
      <c r="DE97" s="168"/>
      <c r="DF97" s="168"/>
      <c r="DG97" s="168"/>
      <c r="DH97" s="168"/>
      <c r="DI97" s="168"/>
      <c r="DJ97" s="168"/>
      <c r="DK97" s="168"/>
      <c r="DL97" s="168"/>
      <c r="DM97" s="168"/>
      <c r="DN97" s="168"/>
      <c r="DO97" s="168"/>
      <c r="DP97" s="168"/>
      <c r="DQ97" s="168"/>
      <c r="DR97" s="168"/>
      <c r="DS97" s="168"/>
      <c r="DT97" s="168"/>
      <c r="DU97" s="168"/>
      <c r="DV97" s="168"/>
      <c r="DW97" s="168"/>
      <c r="DX97" s="168"/>
      <c r="DY97" s="168"/>
      <c r="DZ97" s="168"/>
      <c r="EA97" s="168"/>
      <c r="EB97" s="168"/>
      <c r="EC97" s="168"/>
      <c r="ED97" s="168"/>
      <c r="EE97" s="168"/>
      <c r="EF97" s="168"/>
      <c r="EG97" s="168"/>
      <c r="EH97" s="168"/>
      <c r="EI97" s="168"/>
      <c r="EJ97" s="168"/>
      <c r="EK97" s="168"/>
      <c r="EL97" s="168"/>
      <c r="EM97" s="168"/>
      <c r="EN97" s="168"/>
      <c r="EO97" s="168"/>
      <c r="EP97" s="168"/>
      <c r="EQ97" s="168"/>
      <c r="ER97" s="168"/>
      <c r="ES97" s="168"/>
      <c r="ET97" s="168"/>
      <c r="EU97" s="168"/>
      <c r="EV97" s="168"/>
      <c r="EW97" s="168"/>
    </row>
    <row r="98" spans="2:153">
      <c r="B98" s="168"/>
      <c r="C98" s="271"/>
      <c r="D98" s="271"/>
      <c r="E98" s="168"/>
      <c r="F98" s="168"/>
      <c r="G98" s="70"/>
      <c r="H98" s="168"/>
      <c r="I98" s="168"/>
      <c r="J98" s="168"/>
      <c r="K98" s="168"/>
      <c r="L98" s="168"/>
      <c r="M98" s="168"/>
      <c r="N98" s="168"/>
      <c r="O98" s="168"/>
      <c r="P98" s="168"/>
      <c r="Q98" s="82"/>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c r="CS98" s="168"/>
      <c r="CT98" s="168"/>
      <c r="CU98" s="168"/>
      <c r="CV98" s="168"/>
      <c r="CW98" s="168"/>
      <c r="CX98" s="168"/>
      <c r="CY98" s="168"/>
      <c r="CZ98" s="168"/>
      <c r="DA98" s="168"/>
      <c r="DB98" s="168"/>
      <c r="DC98" s="168"/>
      <c r="DD98" s="168"/>
      <c r="DE98" s="168"/>
      <c r="DF98" s="168"/>
      <c r="DG98" s="168"/>
      <c r="DH98" s="168"/>
      <c r="DI98" s="168"/>
      <c r="DJ98" s="168"/>
      <c r="DK98" s="168"/>
      <c r="DL98" s="168"/>
      <c r="DM98" s="168"/>
      <c r="DN98" s="168"/>
      <c r="DO98" s="168"/>
      <c r="DP98" s="168"/>
      <c r="DQ98" s="168"/>
      <c r="DR98" s="168"/>
      <c r="DS98" s="168"/>
      <c r="DT98" s="168"/>
      <c r="DU98" s="168"/>
      <c r="DV98" s="168"/>
      <c r="DW98" s="168"/>
      <c r="DX98" s="168"/>
      <c r="DY98" s="168"/>
      <c r="DZ98" s="168"/>
      <c r="EA98" s="168"/>
      <c r="EB98" s="168"/>
      <c r="EC98" s="168"/>
      <c r="ED98" s="168"/>
      <c r="EE98" s="168"/>
      <c r="EF98" s="168"/>
      <c r="EG98" s="168"/>
      <c r="EH98" s="168"/>
      <c r="EI98" s="168"/>
      <c r="EJ98" s="168"/>
      <c r="EK98" s="168"/>
      <c r="EL98" s="168"/>
      <c r="EM98" s="168"/>
      <c r="EN98" s="168"/>
      <c r="EO98" s="168"/>
      <c r="EP98" s="168"/>
      <c r="EQ98" s="168"/>
      <c r="ER98" s="168"/>
      <c r="ES98" s="168"/>
      <c r="ET98" s="168"/>
      <c r="EU98" s="168"/>
      <c r="EV98" s="168"/>
      <c r="EW98" s="168"/>
    </row>
    <row r="99" spans="2:153">
      <c r="B99" s="168"/>
      <c r="C99" s="271"/>
      <c r="D99" s="271"/>
      <c r="E99" s="168"/>
      <c r="F99" s="168"/>
      <c r="G99" s="70"/>
      <c r="H99" s="168"/>
      <c r="I99" s="168"/>
      <c r="J99" s="168"/>
      <c r="K99" s="168"/>
      <c r="L99" s="168"/>
      <c r="M99" s="168"/>
      <c r="N99" s="168"/>
      <c r="O99" s="168"/>
      <c r="P99" s="168"/>
      <c r="Q99" s="82"/>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c r="CS99" s="168"/>
      <c r="CT99" s="168"/>
      <c r="CU99" s="168"/>
      <c r="CV99" s="168"/>
      <c r="CW99" s="168"/>
      <c r="CX99" s="168"/>
      <c r="CY99" s="168"/>
      <c r="CZ99" s="168"/>
      <c r="DA99" s="168"/>
      <c r="DB99" s="168"/>
      <c r="DC99" s="168"/>
      <c r="DD99" s="168"/>
      <c r="DE99" s="168"/>
      <c r="DF99" s="168"/>
      <c r="DG99" s="168"/>
      <c r="DH99" s="168"/>
      <c r="DI99" s="168"/>
      <c r="DJ99" s="168"/>
      <c r="DK99" s="168"/>
      <c r="DL99" s="168"/>
      <c r="DM99" s="168"/>
      <c r="DN99" s="168"/>
      <c r="DO99" s="168"/>
      <c r="DP99" s="168"/>
      <c r="DQ99" s="168"/>
      <c r="DR99" s="168"/>
      <c r="DS99" s="168"/>
      <c r="DT99" s="168"/>
      <c r="DU99" s="168"/>
      <c r="DV99" s="168"/>
      <c r="DW99" s="168"/>
      <c r="DX99" s="168"/>
      <c r="DY99" s="168"/>
      <c r="DZ99" s="168"/>
      <c r="EA99" s="168"/>
      <c r="EB99" s="168"/>
      <c r="EC99" s="168"/>
      <c r="ED99" s="168"/>
      <c r="EE99" s="168"/>
      <c r="EF99" s="168"/>
      <c r="EG99" s="168"/>
      <c r="EH99" s="168"/>
      <c r="EI99" s="168"/>
      <c r="EJ99" s="168"/>
      <c r="EK99" s="168"/>
      <c r="EL99" s="168"/>
      <c r="EM99" s="168"/>
      <c r="EN99" s="168"/>
      <c r="EO99" s="168"/>
      <c r="EP99" s="168"/>
      <c r="EQ99" s="168"/>
      <c r="ER99" s="168"/>
      <c r="ES99" s="168"/>
      <c r="ET99" s="168"/>
      <c r="EU99" s="168"/>
      <c r="EV99" s="168"/>
      <c r="EW99" s="168"/>
    </row>
    <row r="100" spans="2:153">
      <c r="B100" s="168"/>
      <c r="C100" s="271"/>
      <c r="D100" s="271"/>
      <c r="E100" s="168"/>
      <c r="F100" s="168"/>
      <c r="G100" s="70"/>
      <c r="H100" s="168"/>
      <c r="I100" s="168"/>
      <c r="J100" s="168"/>
      <c r="K100" s="168"/>
      <c r="L100" s="168"/>
      <c r="M100" s="168"/>
      <c r="N100" s="168"/>
      <c r="O100" s="168"/>
      <c r="P100" s="168"/>
      <c r="Q100" s="82"/>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c r="CS100" s="168"/>
      <c r="CT100" s="168"/>
      <c r="CU100" s="168"/>
      <c r="CV100" s="168"/>
      <c r="CW100" s="168"/>
      <c r="CX100" s="168"/>
      <c r="CY100" s="168"/>
      <c r="CZ100" s="168"/>
      <c r="DA100" s="168"/>
      <c r="DB100" s="168"/>
      <c r="DC100" s="168"/>
      <c r="DD100" s="168"/>
      <c r="DE100" s="168"/>
      <c r="DF100" s="168"/>
      <c r="DG100" s="168"/>
      <c r="DH100" s="168"/>
      <c r="DI100" s="168"/>
      <c r="DJ100" s="168"/>
      <c r="DK100" s="168"/>
      <c r="DL100" s="168"/>
      <c r="DM100" s="168"/>
      <c r="DN100" s="168"/>
      <c r="DO100" s="168"/>
      <c r="DP100" s="168"/>
      <c r="DQ100" s="168"/>
      <c r="DR100" s="168"/>
      <c r="DS100" s="168"/>
      <c r="DT100" s="168"/>
      <c r="DU100" s="168"/>
      <c r="DV100" s="168"/>
      <c r="DW100" s="168"/>
      <c r="DX100" s="168"/>
      <c r="DY100" s="168"/>
      <c r="DZ100" s="168"/>
      <c r="EA100" s="168"/>
      <c r="EB100" s="168"/>
      <c r="EC100" s="168"/>
      <c r="ED100" s="168"/>
      <c r="EE100" s="168"/>
      <c r="EF100" s="168"/>
      <c r="EG100" s="168"/>
      <c r="EH100" s="168"/>
      <c r="EI100" s="168"/>
      <c r="EJ100" s="168"/>
      <c r="EK100" s="168"/>
      <c r="EL100" s="168"/>
      <c r="EM100" s="168"/>
      <c r="EN100" s="168"/>
      <c r="EO100" s="168"/>
      <c r="EP100" s="168"/>
      <c r="EQ100" s="168"/>
      <c r="ER100" s="168"/>
      <c r="ES100" s="168"/>
      <c r="ET100" s="168"/>
      <c r="EU100" s="168"/>
      <c r="EV100" s="168"/>
      <c r="EW100" s="168"/>
    </row>
    <row r="101" spans="2:153">
      <c r="B101" s="168"/>
      <c r="C101" s="271"/>
      <c r="D101" s="271"/>
      <c r="E101" s="168"/>
      <c r="F101" s="168"/>
      <c r="G101" s="70"/>
      <c r="H101" s="168"/>
      <c r="I101" s="168"/>
      <c r="J101" s="168"/>
      <c r="K101" s="168"/>
      <c r="L101" s="168"/>
      <c r="M101" s="168"/>
      <c r="N101" s="168"/>
      <c r="O101" s="168"/>
      <c r="P101" s="168"/>
      <c r="Q101" s="82"/>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c r="CS101" s="168"/>
      <c r="CT101" s="168"/>
      <c r="CU101" s="168"/>
      <c r="CV101" s="168"/>
      <c r="CW101" s="168"/>
      <c r="CX101" s="168"/>
      <c r="CY101" s="168"/>
      <c r="CZ101" s="168"/>
      <c r="DA101" s="168"/>
      <c r="DB101" s="168"/>
      <c r="DC101" s="168"/>
      <c r="DD101" s="168"/>
      <c r="DE101" s="168"/>
      <c r="DF101" s="168"/>
      <c r="DG101" s="168"/>
      <c r="DH101" s="168"/>
      <c r="DI101" s="168"/>
      <c r="DJ101" s="168"/>
      <c r="DK101" s="168"/>
      <c r="DL101" s="168"/>
      <c r="DM101" s="168"/>
      <c r="DN101" s="168"/>
      <c r="DO101" s="168"/>
      <c r="DP101" s="168"/>
      <c r="DQ101" s="168"/>
      <c r="DR101" s="168"/>
      <c r="DS101" s="168"/>
      <c r="DT101" s="168"/>
      <c r="DU101" s="168"/>
      <c r="DV101" s="168"/>
      <c r="DW101" s="168"/>
      <c r="DX101" s="168"/>
      <c r="DY101" s="168"/>
      <c r="DZ101" s="168"/>
      <c r="EA101" s="168"/>
      <c r="EB101" s="168"/>
      <c r="EC101" s="168"/>
      <c r="ED101" s="168"/>
      <c r="EE101" s="168"/>
      <c r="EF101" s="168"/>
      <c r="EG101" s="168"/>
      <c r="EH101" s="168"/>
      <c r="EI101" s="168"/>
      <c r="EJ101" s="168"/>
      <c r="EK101" s="168"/>
      <c r="EL101" s="168"/>
      <c r="EM101" s="168"/>
      <c r="EN101" s="168"/>
      <c r="EO101" s="168"/>
      <c r="EP101" s="168"/>
      <c r="EQ101" s="168"/>
      <c r="ER101" s="168"/>
      <c r="ES101" s="168"/>
      <c r="ET101" s="168"/>
      <c r="EU101" s="168"/>
      <c r="EV101" s="168"/>
      <c r="EW101" s="168"/>
    </row>
    <row r="102" spans="2:153">
      <c r="B102" s="168"/>
      <c r="C102" s="271"/>
      <c r="D102" s="271"/>
      <c r="E102" s="168"/>
      <c r="F102" s="168"/>
      <c r="G102" s="70"/>
      <c r="H102" s="168"/>
      <c r="I102" s="168"/>
      <c r="J102" s="168"/>
      <c r="K102" s="168"/>
      <c r="L102" s="168"/>
      <c r="M102" s="168"/>
      <c r="N102" s="168"/>
      <c r="O102" s="168"/>
      <c r="P102" s="168"/>
      <c r="Q102" s="82"/>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c r="CS102" s="168"/>
      <c r="CT102" s="168"/>
      <c r="CU102" s="168"/>
      <c r="CV102" s="168"/>
      <c r="CW102" s="168"/>
      <c r="CX102" s="168"/>
      <c r="CY102" s="168"/>
      <c r="CZ102" s="168"/>
      <c r="DA102" s="168"/>
      <c r="DB102" s="168"/>
      <c r="DC102" s="168"/>
      <c r="DD102" s="168"/>
      <c r="DE102" s="168"/>
      <c r="DF102" s="168"/>
      <c r="DG102" s="168"/>
      <c r="DH102" s="168"/>
      <c r="DI102" s="168"/>
      <c r="DJ102" s="168"/>
      <c r="DK102" s="168"/>
      <c r="DL102" s="168"/>
      <c r="DM102" s="168"/>
      <c r="DN102" s="168"/>
      <c r="DO102" s="168"/>
      <c r="DP102" s="168"/>
      <c r="DQ102" s="168"/>
      <c r="DR102" s="168"/>
      <c r="DS102" s="168"/>
      <c r="DT102" s="168"/>
      <c r="DU102" s="168"/>
      <c r="DV102" s="168"/>
      <c r="DW102" s="168"/>
      <c r="DX102" s="168"/>
      <c r="DY102" s="168"/>
      <c r="DZ102" s="168"/>
      <c r="EA102" s="168"/>
      <c r="EB102" s="168"/>
      <c r="EC102" s="168"/>
      <c r="ED102" s="168"/>
      <c r="EE102" s="168"/>
      <c r="EF102" s="168"/>
      <c r="EG102" s="168"/>
      <c r="EH102" s="168"/>
      <c r="EI102" s="168"/>
      <c r="EJ102" s="168"/>
      <c r="EK102" s="168"/>
      <c r="EL102" s="168"/>
      <c r="EM102" s="168"/>
      <c r="EN102" s="168"/>
      <c r="EO102" s="168"/>
      <c r="EP102" s="168"/>
      <c r="EQ102" s="168"/>
      <c r="ER102" s="168"/>
      <c r="ES102" s="168"/>
      <c r="ET102" s="168"/>
      <c r="EU102" s="168"/>
      <c r="EV102" s="168"/>
      <c r="EW102" s="168"/>
    </row>
    <row r="103" spans="2:153">
      <c r="B103" s="168"/>
      <c r="C103" s="271"/>
      <c r="D103" s="271"/>
      <c r="E103" s="168"/>
      <c r="F103" s="168"/>
      <c r="G103" s="70"/>
      <c r="H103" s="168"/>
      <c r="I103" s="168"/>
      <c r="J103" s="168"/>
      <c r="K103" s="168"/>
      <c r="L103" s="168"/>
      <c r="M103" s="168"/>
      <c r="N103" s="168"/>
      <c r="O103" s="168"/>
      <c r="P103" s="168"/>
      <c r="Q103" s="82"/>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c r="CS103" s="168"/>
      <c r="CT103" s="168"/>
      <c r="CU103" s="168"/>
      <c r="CV103" s="168"/>
      <c r="CW103" s="168"/>
      <c r="CX103" s="168"/>
      <c r="CY103" s="168"/>
      <c r="CZ103" s="168"/>
      <c r="DA103" s="168"/>
      <c r="DB103" s="168"/>
      <c r="DC103" s="168"/>
      <c r="DD103" s="168"/>
      <c r="DE103" s="168"/>
      <c r="DF103" s="168"/>
      <c r="DG103" s="168"/>
      <c r="DH103" s="168"/>
      <c r="DI103" s="168"/>
      <c r="DJ103" s="168"/>
      <c r="DK103" s="168"/>
      <c r="DL103" s="168"/>
      <c r="DM103" s="168"/>
      <c r="DN103" s="168"/>
      <c r="DO103" s="168"/>
      <c r="DP103" s="168"/>
      <c r="DQ103" s="168"/>
      <c r="DR103" s="168"/>
      <c r="DS103" s="168"/>
      <c r="DT103" s="168"/>
      <c r="DU103" s="168"/>
      <c r="DV103" s="168"/>
      <c r="DW103" s="168"/>
      <c r="DX103" s="168"/>
      <c r="DY103" s="168"/>
      <c r="DZ103" s="168"/>
      <c r="EA103" s="168"/>
      <c r="EB103" s="168"/>
      <c r="EC103" s="168"/>
      <c r="ED103" s="168"/>
      <c r="EE103" s="168"/>
      <c r="EF103" s="168"/>
      <c r="EG103" s="168"/>
      <c r="EH103" s="168"/>
      <c r="EI103" s="168"/>
      <c r="EJ103" s="168"/>
      <c r="EK103" s="168"/>
      <c r="EL103" s="168"/>
      <c r="EM103" s="168"/>
      <c r="EN103" s="168"/>
      <c r="EO103" s="168"/>
      <c r="EP103" s="168"/>
      <c r="EQ103" s="168"/>
      <c r="ER103" s="168"/>
      <c r="ES103" s="168"/>
      <c r="ET103" s="168"/>
      <c r="EU103" s="168"/>
      <c r="EV103" s="168"/>
      <c r="EW103" s="168"/>
    </row>
    <row r="104" spans="2:153">
      <c r="B104" s="168"/>
      <c r="C104" s="271"/>
      <c r="D104" s="271"/>
      <c r="E104" s="168"/>
      <c r="F104" s="168"/>
      <c r="G104" s="70"/>
      <c r="H104" s="168"/>
      <c r="I104" s="168"/>
      <c r="J104" s="168"/>
      <c r="K104" s="168"/>
      <c r="L104" s="168"/>
      <c r="M104" s="168"/>
      <c r="N104" s="168"/>
      <c r="O104" s="168"/>
      <c r="P104" s="168"/>
      <c r="Q104" s="82"/>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c r="CS104" s="168"/>
      <c r="CT104" s="168"/>
      <c r="CU104" s="168"/>
      <c r="CV104" s="168"/>
      <c r="CW104" s="168"/>
      <c r="CX104" s="168"/>
      <c r="CY104" s="168"/>
      <c r="CZ104" s="168"/>
      <c r="DA104" s="168"/>
      <c r="DB104" s="168"/>
      <c r="DC104" s="168"/>
      <c r="DD104" s="168"/>
      <c r="DE104" s="168"/>
      <c r="DF104" s="168"/>
      <c r="DG104" s="168"/>
      <c r="DH104" s="168"/>
      <c r="DI104" s="168"/>
      <c r="DJ104" s="168"/>
      <c r="DK104" s="168"/>
      <c r="DL104" s="168"/>
      <c r="DM104" s="168"/>
      <c r="DN104" s="168"/>
      <c r="DO104" s="168"/>
      <c r="DP104" s="168"/>
      <c r="DQ104" s="168"/>
      <c r="DR104" s="168"/>
      <c r="DS104" s="168"/>
      <c r="DT104" s="168"/>
      <c r="DU104" s="168"/>
      <c r="DV104" s="168"/>
      <c r="DW104" s="168"/>
      <c r="DX104" s="168"/>
      <c r="DY104" s="168"/>
      <c r="DZ104" s="168"/>
      <c r="EA104" s="168"/>
      <c r="EB104" s="168"/>
      <c r="EC104" s="168"/>
      <c r="ED104" s="168"/>
      <c r="EE104" s="168"/>
      <c r="EF104" s="168"/>
      <c r="EG104" s="168"/>
      <c r="EH104" s="168"/>
      <c r="EI104" s="168"/>
      <c r="EJ104" s="168"/>
      <c r="EK104" s="168"/>
      <c r="EL104" s="168"/>
      <c r="EM104" s="168"/>
      <c r="EN104" s="168"/>
      <c r="EO104" s="168"/>
      <c r="EP104" s="168"/>
      <c r="EQ104" s="168"/>
      <c r="ER104" s="168"/>
      <c r="ES104" s="168"/>
      <c r="ET104" s="168"/>
      <c r="EU104" s="168"/>
      <c r="EV104" s="168"/>
      <c r="EW104" s="168"/>
    </row>
    <row r="105" spans="2:153">
      <c r="B105" s="168"/>
      <c r="C105" s="271"/>
      <c r="D105" s="271"/>
      <c r="E105" s="168"/>
      <c r="F105" s="168"/>
      <c r="G105" s="70"/>
      <c r="H105" s="168"/>
      <c r="I105" s="168"/>
      <c r="J105" s="168"/>
      <c r="K105" s="168"/>
      <c r="L105" s="168"/>
      <c r="M105" s="168"/>
      <c r="N105" s="168"/>
      <c r="O105" s="168"/>
      <c r="P105" s="168"/>
      <c r="Q105" s="82"/>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c r="CS105" s="168"/>
      <c r="CT105" s="168"/>
      <c r="CU105" s="168"/>
      <c r="CV105" s="168"/>
      <c r="CW105" s="168"/>
      <c r="CX105" s="168"/>
      <c r="CY105" s="168"/>
      <c r="CZ105" s="168"/>
      <c r="DA105" s="168"/>
      <c r="DB105" s="168"/>
      <c r="DC105" s="168"/>
      <c r="DD105" s="168"/>
      <c r="DE105" s="168"/>
      <c r="DF105" s="168"/>
      <c r="DG105" s="168"/>
      <c r="DH105" s="168"/>
      <c r="DI105" s="168"/>
      <c r="DJ105" s="168"/>
      <c r="DK105" s="168"/>
      <c r="DL105" s="168"/>
      <c r="DM105" s="168"/>
      <c r="DN105" s="168"/>
      <c r="DO105" s="168"/>
      <c r="DP105" s="168"/>
      <c r="DQ105" s="168"/>
      <c r="DR105" s="168"/>
      <c r="DS105" s="168"/>
      <c r="DT105" s="168"/>
      <c r="DU105" s="168"/>
      <c r="DV105" s="168"/>
      <c r="DW105" s="168"/>
      <c r="DX105" s="168"/>
      <c r="DY105" s="168"/>
      <c r="DZ105" s="168"/>
      <c r="EA105" s="168"/>
      <c r="EB105" s="168"/>
      <c r="EC105" s="168"/>
      <c r="ED105" s="168"/>
      <c r="EE105" s="168"/>
      <c r="EF105" s="168"/>
      <c r="EG105" s="168"/>
      <c r="EH105" s="168"/>
      <c r="EI105" s="168"/>
      <c r="EJ105" s="168"/>
      <c r="EK105" s="168"/>
      <c r="EL105" s="168"/>
      <c r="EM105" s="168"/>
      <c r="EN105" s="168"/>
      <c r="EO105" s="168"/>
      <c r="EP105" s="168"/>
      <c r="EQ105" s="168"/>
      <c r="ER105" s="168"/>
      <c r="ES105" s="168"/>
      <c r="ET105" s="168"/>
      <c r="EU105" s="168"/>
      <c r="EV105" s="168"/>
      <c r="EW105" s="168"/>
    </row>
    <row r="106" spans="2:153">
      <c r="B106" s="168"/>
      <c r="C106" s="271"/>
      <c r="D106" s="271"/>
      <c r="E106" s="168"/>
      <c r="F106" s="168"/>
      <c r="G106" s="70"/>
      <c r="H106" s="168"/>
      <c r="I106" s="168"/>
      <c r="J106" s="168"/>
      <c r="K106" s="168"/>
      <c r="L106" s="168"/>
      <c r="M106" s="168"/>
      <c r="N106" s="168"/>
      <c r="O106" s="168"/>
      <c r="P106" s="168"/>
      <c r="Q106" s="82"/>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c r="CS106" s="168"/>
      <c r="CT106" s="168"/>
      <c r="CU106" s="168"/>
      <c r="CV106" s="168"/>
      <c r="CW106" s="168"/>
      <c r="CX106" s="168"/>
      <c r="CY106" s="168"/>
      <c r="CZ106" s="168"/>
      <c r="DA106" s="168"/>
      <c r="DB106" s="168"/>
      <c r="DC106" s="168"/>
      <c r="DD106" s="168"/>
      <c r="DE106" s="168"/>
      <c r="DF106" s="168"/>
      <c r="DG106" s="168"/>
      <c r="DH106" s="168"/>
      <c r="DI106" s="168"/>
      <c r="DJ106" s="168"/>
      <c r="DK106" s="168"/>
      <c r="DL106" s="168"/>
      <c r="DM106" s="168"/>
      <c r="DN106" s="168"/>
      <c r="DO106" s="168"/>
      <c r="DP106" s="168"/>
      <c r="DQ106" s="168"/>
      <c r="DR106" s="168"/>
      <c r="DS106" s="168"/>
      <c r="DT106" s="168"/>
      <c r="DU106" s="168"/>
      <c r="DV106" s="168"/>
      <c r="DW106" s="168"/>
      <c r="DX106" s="168"/>
      <c r="DY106" s="168"/>
      <c r="DZ106" s="168"/>
      <c r="EA106" s="168"/>
      <c r="EB106" s="168"/>
      <c r="EC106" s="168"/>
      <c r="ED106" s="168"/>
      <c r="EE106" s="168"/>
      <c r="EF106" s="168"/>
      <c r="EG106" s="168"/>
      <c r="EH106" s="168"/>
      <c r="EI106" s="168"/>
      <c r="EJ106" s="168"/>
      <c r="EK106" s="168"/>
      <c r="EL106" s="168"/>
      <c r="EM106" s="168"/>
      <c r="EN106" s="168"/>
      <c r="EO106" s="168"/>
      <c r="EP106" s="168"/>
      <c r="EQ106" s="168"/>
      <c r="ER106" s="168"/>
      <c r="ES106" s="168"/>
      <c r="ET106" s="168"/>
      <c r="EU106" s="168"/>
      <c r="EV106" s="168"/>
      <c r="EW106" s="168"/>
    </row>
    <row r="107" spans="2:153">
      <c r="B107" s="168"/>
      <c r="C107" s="271"/>
      <c r="D107" s="271"/>
      <c r="E107" s="168"/>
      <c r="F107" s="168"/>
      <c r="G107" s="70"/>
      <c r="H107" s="168"/>
      <c r="I107" s="168"/>
      <c r="J107" s="168"/>
      <c r="K107" s="168"/>
      <c r="L107" s="168"/>
      <c r="M107" s="168"/>
      <c r="N107" s="168"/>
      <c r="O107" s="168"/>
      <c r="P107" s="168"/>
      <c r="Q107" s="82"/>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c r="CS107" s="168"/>
      <c r="CT107" s="168"/>
      <c r="CU107" s="168"/>
      <c r="CV107" s="168"/>
      <c r="CW107" s="168"/>
      <c r="CX107" s="168"/>
      <c r="CY107" s="168"/>
      <c r="CZ107" s="168"/>
      <c r="DA107" s="168"/>
      <c r="DB107" s="168"/>
      <c r="DC107" s="168"/>
      <c r="DD107" s="168"/>
      <c r="DE107" s="168"/>
      <c r="DF107" s="168"/>
      <c r="DG107" s="168"/>
      <c r="DH107" s="168"/>
      <c r="DI107" s="168"/>
      <c r="DJ107" s="168"/>
      <c r="DK107" s="168"/>
      <c r="DL107" s="168"/>
      <c r="DM107" s="168"/>
      <c r="DN107" s="168"/>
      <c r="DO107" s="168"/>
      <c r="DP107" s="168"/>
      <c r="DQ107" s="168"/>
      <c r="DR107" s="168"/>
      <c r="DS107" s="168"/>
      <c r="DT107" s="168"/>
      <c r="DU107" s="168"/>
      <c r="DV107" s="168"/>
      <c r="DW107" s="168"/>
      <c r="DX107" s="168"/>
      <c r="DY107" s="168"/>
      <c r="DZ107" s="168"/>
      <c r="EA107" s="168"/>
      <c r="EB107" s="168"/>
      <c r="EC107" s="168"/>
      <c r="ED107" s="168"/>
      <c r="EE107" s="168"/>
      <c r="EF107" s="168"/>
      <c r="EG107" s="168"/>
      <c r="EH107" s="168"/>
      <c r="EI107" s="168"/>
      <c r="EJ107" s="168"/>
      <c r="EK107" s="168"/>
      <c r="EL107" s="168"/>
      <c r="EM107" s="168"/>
      <c r="EN107" s="168"/>
      <c r="EO107" s="168"/>
      <c r="EP107" s="168"/>
      <c r="EQ107" s="168"/>
      <c r="ER107" s="168"/>
      <c r="ES107" s="168"/>
      <c r="ET107" s="168"/>
      <c r="EU107" s="168"/>
      <c r="EV107" s="168"/>
      <c r="EW107" s="168"/>
    </row>
    <row r="108" spans="2:153">
      <c r="B108" s="168"/>
      <c r="C108" s="271"/>
      <c r="D108" s="271"/>
      <c r="E108" s="168"/>
      <c r="F108" s="168"/>
      <c r="G108" s="70"/>
      <c r="H108" s="168"/>
      <c r="I108" s="168"/>
      <c r="J108" s="168"/>
      <c r="K108" s="168"/>
      <c r="L108" s="168"/>
      <c r="M108" s="168"/>
      <c r="N108" s="168"/>
      <c r="O108" s="168"/>
      <c r="P108" s="168"/>
      <c r="Q108" s="82"/>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c r="CS108" s="168"/>
      <c r="CT108" s="168"/>
      <c r="CU108" s="168"/>
      <c r="CV108" s="168"/>
      <c r="CW108" s="168"/>
      <c r="CX108" s="168"/>
      <c r="CY108" s="168"/>
      <c r="CZ108" s="168"/>
      <c r="DA108" s="168"/>
      <c r="DB108" s="168"/>
      <c r="DC108" s="168"/>
      <c r="DD108" s="168"/>
      <c r="DE108" s="168"/>
      <c r="DF108" s="168"/>
      <c r="DG108" s="168"/>
      <c r="DH108" s="168"/>
      <c r="DI108" s="168"/>
      <c r="DJ108" s="168"/>
      <c r="DK108" s="168"/>
      <c r="DL108" s="168"/>
      <c r="DM108" s="168"/>
      <c r="DN108" s="168"/>
      <c r="DO108" s="168"/>
      <c r="DP108" s="168"/>
      <c r="DQ108" s="168"/>
      <c r="DR108" s="168"/>
      <c r="DS108" s="168"/>
      <c r="DT108" s="168"/>
      <c r="DU108" s="168"/>
      <c r="DV108" s="168"/>
      <c r="DW108" s="168"/>
      <c r="DX108" s="168"/>
      <c r="DY108" s="168"/>
      <c r="DZ108" s="168"/>
      <c r="EA108" s="168"/>
      <c r="EB108" s="168"/>
      <c r="EC108" s="168"/>
      <c r="ED108" s="168"/>
      <c r="EE108" s="168"/>
      <c r="EF108" s="168"/>
      <c r="EG108" s="168"/>
      <c r="EH108" s="168"/>
      <c r="EI108" s="168"/>
      <c r="EJ108" s="168"/>
      <c r="EK108" s="168"/>
      <c r="EL108" s="168"/>
      <c r="EM108" s="168"/>
      <c r="EN108" s="168"/>
      <c r="EO108" s="168"/>
      <c r="EP108" s="168"/>
      <c r="EQ108" s="168"/>
      <c r="ER108" s="168"/>
      <c r="ES108" s="168"/>
      <c r="ET108" s="168"/>
      <c r="EU108" s="168"/>
      <c r="EV108" s="168"/>
      <c r="EW108" s="168"/>
    </row>
    <row r="109" spans="2:153">
      <c r="B109" s="168"/>
      <c r="C109" s="271"/>
      <c r="D109" s="271"/>
      <c r="E109" s="168"/>
      <c r="F109" s="168"/>
      <c r="G109" s="70"/>
      <c r="H109" s="168"/>
      <c r="I109" s="168"/>
      <c r="J109" s="168"/>
      <c r="K109" s="168"/>
      <c r="L109" s="168"/>
      <c r="M109" s="168"/>
      <c r="N109" s="168"/>
      <c r="O109" s="168"/>
      <c r="P109" s="168"/>
      <c r="Q109" s="82"/>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c r="CS109" s="168"/>
      <c r="CT109" s="168"/>
      <c r="CU109" s="168"/>
      <c r="CV109" s="168"/>
      <c r="CW109" s="168"/>
      <c r="CX109" s="168"/>
      <c r="CY109" s="168"/>
      <c r="CZ109" s="168"/>
      <c r="DA109" s="168"/>
      <c r="DB109" s="168"/>
      <c r="DC109" s="168"/>
      <c r="DD109" s="168"/>
      <c r="DE109" s="168"/>
      <c r="DF109" s="168"/>
      <c r="DG109" s="168"/>
      <c r="DH109" s="168"/>
      <c r="DI109" s="168"/>
      <c r="DJ109" s="168"/>
      <c r="DK109" s="168"/>
      <c r="DL109" s="168"/>
      <c r="DM109" s="168"/>
      <c r="DN109" s="168"/>
      <c r="DO109" s="168"/>
      <c r="DP109" s="168"/>
      <c r="DQ109" s="168"/>
      <c r="DR109" s="168"/>
      <c r="DS109" s="168"/>
      <c r="DT109" s="168"/>
      <c r="DU109" s="168"/>
      <c r="DV109" s="168"/>
      <c r="DW109" s="168"/>
      <c r="DX109" s="168"/>
      <c r="DY109" s="168"/>
      <c r="DZ109" s="168"/>
      <c r="EA109" s="168"/>
      <c r="EB109" s="168"/>
      <c r="EC109" s="168"/>
      <c r="ED109" s="168"/>
      <c r="EE109" s="168"/>
      <c r="EF109" s="168"/>
      <c r="EG109" s="168"/>
      <c r="EH109" s="168"/>
      <c r="EI109" s="168"/>
      <c r="EJ109" s="168"/>
      <c r="EK109" s="168"/>
      <c r="EL109" s="168"/>
      <c r="EM109" s="168"/>
      <c r="EN109" s="168"/>
      <c r="EO109" s="168"/>
      <c r="EP109" s="168"/>
      <c r="EQ109" s="168"/>
      <c r="ER109" s="168"/>
      <c r="ES109" s="168"/>
      <c r="ET109" s="168"/>
      <c r="EU109" s="168"/>
      <c r="EV109" s="168"/>
      <c r="EW109" s="168"/>
    </row>
    <row r="110" spans="2:153">
      <c r="B110" s="168"/>
      <c r="C110" s="271"/>
      <c r="D110" s="271"/>
      <c r="E110" s="168"/>
      <c r="F110" s="168"/>
      <c r="G110" s="70"/>
      <c r="H110" s="168"/>
      <c r="I110" s="168"/>
      <c r="J110" s="168"/>
      <c r="K110" s="168"/>
      <c r="L110" s="168"/>
      <c r="M110" s="168"/>
      <c r="N110" s="168"/>
      <c r="O110" s="168"/>
      <c r="P110" s="168"/>
      <c r="Q110" s="82"/>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c r="CS110" s="168"/>
      <c r="CT110" s="168"/>
      <c r="CU110" s="168"/>
      <c r="CV110" s="168"/>
      <c r="CW110" s="168"/>
      <c r="CX110" s="168"/>
      <c r="CY110" s="168"/>
      <c r="CZ110" s="168"/>
      <c r="DA110" s="168"/>
      <c r="DB110" s="168"/>
      <c r="DC110" s="168"/>
      <c r="DD110" s="168"/>
      <c r="DE110" s="168"/>
      <c r="DF110" s="168"/>
      <c r="DG110" s="168"/>
      <c r="DH110" s="168"/>
      <c r="DI110" s="168"/>
      <c r="DJ110" s="168"/>
      <c r="DK110" s="168"/>
      <c r="DL110" s="168"/>
      <c r="DM110" s="168"/>
      <c r="DN110" s="168"/>
      <c r="DO110" s="168"/>
      <c r="DP110" s="168"/>
      <c r="DQ110" s="168"/>
      <c r="DR110" s="168"/>
      <c r="DS110" s="168"/>
      <c r="DT110" s="168"/>
      <c r="DU110" s="168"/>
      <c r="DV110" s="168"/>
      <c r="DW110" s="168"/>
      <c r="DX110" s="168"/>
      <c r="DY110" s="168"/>
      <c r="DZ110" s="168"/>
      <c r="EA110" s="168"/>
      <c r="EB110" s="168"/>
      <c r="EC110" s="168"/>
      <c r="ED110" s="168"/>
      <c r="EE110" s="168"/>
      <c r="EF110" s="168"/>
      <c r="EG110" s="168"/>
      <c r="EH110" s="168"/>
      <c r="EI110" s="168"/>
      <c r="EJ110" s="168"/>
      <c r="EK110" s="168"/>
      <c r="EL110" s="168"/>
      <c r="EM110" s="168"/>
      <c r="EN110" s="168"/>
      <c r="EO110" s="168"/>
      <c r="EP110" s="168"/>
      <c r="EQ110" s="168"/>
      <c r="ER110" s="168"/>
      <c r="ES110" s="168"/>
      <c r="ET110" s="168"/>
      <c r="EU110" s="168"/>
      <c r="EV110" s="168"/>
      <c r="EW110" s="168"/>
    </row>
    <row r="111" spans="2:153">
      <c r="B111" s="168"/>
      <c r="C111" s="271"/>
      <c r="D111" s="271"/>
      <c r="E111" s="168"/>
      <c r="F111" s="168"/>
      <c r="G111" s="70"/>
      <c r="H111" s="168"/>
      <c r="I111" s="168"/>
      <c r="J111" s="168"/>
      <c r="K111" s="168"/>
      <c r="L111" s="168"/>
      <c r="M111" s="168"/>
      <c r="N111" s="168"/>
      <c r="O111" s="168"/>
      <c r="P111" s="168"/>
      <c r="Q111" s="82"/>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c r="CS111" s="168"/>
      <c r="CT111" s="168"/>
      <c r="CU111" s="168"/>
      <c r="CV111" s="168"/>
      <c r="CW111" s="168"/>
      <c r="CX111" s="168"/>
      <c r="CY111" s="168"/>
      <c r="CZ111" s="168"/>
      <c r="DA111" s="168"/>
      <c r="DB111" s="168"/>
      <c r="DC111" s="168"/>
      <c r="DD111" s="168"/>
      <c r="DE111" s="168"/>
      <c r="DF111" s="168"/>
      <c r="DG111" s="168"/>
      <c r="DH111" s="168"/>
      <c r="DI111" s="168"/>
      <c r="DJ111" s="168"/>
      <c r="DK111" s="168"/>
      <c r="DL111" s="168"/>
      <c r="DM111" s="168"/>
      <c r="DN111" s="168"/>
      <c r="DO111" s="168"/>
      <c r="DP111" s="168"/>
      <c r="DQ111" s="168"/>
      <c r="DR111" s="168"/>
      <c r="DS111" s="168"/>
      <c r="DT111" s="168"/>
      <c r="DU111" s="168"/>
      <c r="DV111" s="168"/>
      <c r="DW111" s="168"/>
      <c r="DX111" s="168"/>
      <c r="DY111" s="168"/>
      <c r="DZ111" s="168"/>
      <c r="EA111" s="168"/>
      <c r="EB111" s="168"/>
      <c r="EC111" s="168"/>
      <c r="ED111" s="168"/>
      <c r="EE111" s="168"/>
      <c r="EF111" s="168"/>
      <c r="EG111" s="168"/>
      <c r="EH111" s="168"/>
      <c r="EI111" s="168"/>
      <c r="EJ111" s="168"/>
      <c r="EK111" s="168"/>
      <c r="EL111" s="168"/>
      <c r="EM111" s="168"/>
      <c r="EN111" s="168"/>
      <c r="EO111" s="168"/>
      <c r="EP111" s="168"/>
      <c r="EQ111" s="168"/>
      <c r="ER111" s="168"/>
      <c r="ES111" s="168"/>
      <c r="ET111" s="168"/>
      <c r="EU111" s="168"/>
      <c r="EV111" s="168"/>
      <c r="EW111" s="168"/>
    </row>
    <row r="112" spans="2:153">
      <c r="B112" s="168"/>
      <c r="C112" s="271"/>
      <c r="D112" s="271"/>
      <c r="E112" s="168"/>
      <c r="F112" s="168"/>
      <c r="G112" s="70"/>
      <c r="H112" s="168"/>
      <c r="I112" s="168"/>
      <c r="J112" s="168"/>
      <c r="K112" s="168"/>
      <c r="L112" s="168"/>
      <c r="M112" s="168"/>
      <c r="N112" s="168"/>
      <c r="O112" s="168"/>
      <c r="P112" s="168"/>
      <c r="Q112" s="82"/>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c r="CS112" s="168"/>
      <c r="CT112" s="168"/>
      <c r="CU112" s="168"/>
      <c r="CV112" s="168"/>
      <c r="CW112" s="168"/>
      <c r="CX112" s="168"/>
      <c r="CY112" s="168"/>
      <c r="CZ112" s="168"/>
      <c r="DA112" s="168"/>
      <c r="DB112" s="168"/>
      <c r="DC112" s="168"/>
      <c r="DD112" s="168"/>
      <c r="DE112" s="168"/>
      <c r="DF112" s="168"/>
      <c r="DG112" s="168"/>
      <c r="DH112" s="168"/>
      <c r="DI112" s="168"/>
      <c r="DJ112" s="168"/>
      <c r="DK112" s="168"/>
      <c r="DL112" s="168"/>
      <c r="DM112" s="168"/>
      <c r="DN112" s="168"/>
      <c r="DO112" s="168"/>
      <c r="DP112" s="168"/>
      <c r="DQ112" s="168"/>
      <c r="DR112" s="168"/>
      <c r="DS112" s="168"/>
      <c r="DT112" s="168"/>
      <c r="DU112" s="168"/>
      <c r="DV112" s="168"/>
      <c r="DW112" s="168"/>
      <c r="DX112" s="168"/>
      <c r="DY112" s="168"/>
      <c r="DZ112" s="168"/>
      <c r="EA112" s="168"/>
      <c r="EB112" s="168"/>
      <c r="EC112" s="168"/>
      <c r="ED112" s="168"/>
      <c r="EE112" s="168"/>
      <c r="EF112" s="168"/>
      <c r="EG112" s="168"/>
      <c r="EH112" s="168"/>
      <c r="EI112" s="168"/>
      <c r="EJ112" s="168"/>
      <c r="EK112" s="168"/>
      <c r="EL112" s="168"/>
      <c r="EM112" s="168"/>
      <c r="EN112" s="168"/>
      <c r="EO112" s="168"/>
      <c r="EP112" s="168"/>
      <c r="EQ112" s="168"/>
      <c r="ER112" s="168"/>
      <c r="ES112" s="168"/>
      <c r="ET112" s="168"/>
      <c r="EU112" s="168"/>
      <c r="EV112" s="168"/>
      <c r="EW112" s="168"/>
    </row>
    <row r="113" spans="2:153">
      <c r="B113" s="168"/>
      <c r="C113" s="271"/>
      <c r="D113" s="271"/>
      <c r="E113" s="168"/>
      <c r="F113" s="168"/>
      <c r="G113" s="70"/>
      <c r="H113" s="168"/>
      <c r="I113" s="168"/>
      <c r="J113" s="168"/>
      <c r="K113" s="168"/>
      <c r="L113" s="168"/>
      <c r="M113" s="168"/>
      <c r="N113" s="168"/>
      <c r="O113" s="168"/>
      <c r="P113" s="168"/>
      <c r="Q113" s="82"/>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c r="CS113" s="168"/>
      <c r="CT113" s="168"/>
      <c r="CU113" s="168"/>
      <c r="CV113" s="168"/>
      <c r="CW113" s="168"/>
      <c r="CX113" s="168"/>
      <c r="CY113" s="168"/>
      <c r="CZ113" s="168"/>
      <c r="DA113" s="168"/>
      <c r="DB113" s="168"/>
      <c r="DC113" s="168"/>
      <c r="DD113" s="168"/>
      <c r="DE113" s="168"/>
      <c r="DF113" s="168"/>
      <c r="DG113" s="168"/>
      <c r="DH113" s="168"/>
      <c r="DI113" s="168"/>
      <c r="DJ113" s="168"/>
      <c r="DK113" s="168"/>
      <c r="DL113" s="168"/>
      <c r="DM113" s="168"/>
      <c r="DN113" s="168"/>
      <c r="DO113" s="168"/>
      <c r="DP113" s="168"/>
      <c r="DQ113" s="168"/>
      <c r="DR113" s="168"/>
      <c r="DS113" s="168"/>
      <c r="DT113" s="168"/>
      <c r="DU113" s="168"/>
      <c r="DV113" s="168"/>
      <c r="DW113" s="168"/>
      <c r="DX113" s="168"/>
      <c r="DY113" s="168"/>
      <c r="DZ113" s="168"/>
      <c r="EA113" s="168"/>
      <c r="EB113" s="168"/>
      <c r="EC113" s="168"/>
      <c r="ED113" s="168"/>
      <c r="EE113" s="168"/>
      <c r="EF113" s="168"/>
      <c r="EG113" s="168"/>
      <c r="EH113" s="168"/>
      <c r="EI113" s="168"/>
      <c r="EJ113" s="168"/>
      <c r="EK113" s="168"/>
      <c r="EL113" s="168"/>
      <c r="EM113" s="168"/>
      <c r="EN113" s="168"/>
      <c r="EO113" s="168"/>
      <c r="EP113" s="168"/>
      <c r="EQ113" s="168"/>
      <c r="ER113" s="168"/>
      <c r="ES113" s="168"/>
      <c r="ET113" s="168"/>
      <c r="EU113" s="168"/>
      <c r="EV113" s="168"/>
      <c r="EW113" s="168"/>
    </row>
    <row r="114" spans="2:153">
      <c r="B114" s="168"/>
      <c r="C114" s="271"/>
      <c r="D114" s="271"/>
      <c r="E114" s="168"/>
      <c r="F114" s="168"/>
      <c r="G114" s="70"/>
      <c r="H114" s="168"/>
      <c r="I114" s="168"/>
      <c r="J114" s="168"/>
      <c r="K114" s="168"/>
      <c r="L114" s="168"/>
      <c r="M114" s="168"/>
      <c r="N114" s="168"/>
      <c r="O114" s="168"/>
      <c r="P114" s="168"/>
      <c r="Q114" s="82"/>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c r="CS114" s="168"/>
      <c r="CT114" s="168"/>
      <c r="CU114" s="168"/>
      <c r="CV114" s="168"/>
      <c r="CW114" s="168"/>
      <c r="CX114" s="168"/>
      <c r="CY114" s="168"/>
      <c r="CZ114" s="168"/>
      <c r="DA114" s="168"/>
      <c r="DB114" s="168"/>
      <c r="DC114" s="168"/>
      <c r="DD114" s="168"/>
      <c r="DE114" s="168"/>
      <c r="DF114" s="168"/>
      <c r="DG114" s="168"/>
      <c r="DH114" s="168"/>
      <c r="DI114" s="168"/>
      <c r="DJ114" s="168"/>
      <c r="DK114" s="168"/>
      <c r="DL114" s="168"/>
      <c r="DM114" s="168"/>
      <c r="DN114" s="168"/>
      <c r="DO114" s="168"/>
      <c r="DP114" s="168"/>
      <c r="DQ114" s="168"/>
      <c r="DR114" s="168"/>
      <c r="DS114" s="168"/>
      <c r="DT114" s="168"/>
      <c r="DU114" s="168"/>
      <c r="DV114" s="168"/>
      <c r="DW114" s="168"/>
      <c r="DX114" s="168"/>
      <c r="DY114" s="168"/>
      <c r="DZ114" s="168"/>
      <c r="EA114" s="168"/>
      <c r="EB114" s="168"/>
      <c r="EC114" s="168"/>
      <c r="ED114" s="168"/>
      <c r="EE114" s="168"/>
      <c r="EF114" s="168"/>
      <c r="EG114" s="168"/>
      <c r="EH114" s="168"/>
      <c r="EI114" s="168"/>
      <c r="EJ114" s="168"/>
      <c r="EK114" s="168"/>
      <c r="EL114" s="168"/>
      <c r="EM114" s="168"/>
      <c r="EN114" s="168"/>
      <c r="EO114" s="168"/>
      <c r="EP114" s="168"/>
      <c r="EQ114" s="168"/>
      <c r="ER114" s="168"/>
      <c r="ES114" s="168"/>
      <c r="ET114" s="168"/>
      <c r="EU114" s="168"/>
      <c r="EV114" s="168"/>
      <c r="EW114" s="168"/>
    </row>
  </sheetData>
  <printOptions headings="1"/>
  <pageMargins left="0.28000000000000003" right="0.32" top="0.37" bottom="0.62" header="0.34" footer="0.5"/>
  <pageSetup scale="45" orientation="landscape" verticalDpi="300" r:id="rId1"/>
  <headerFooter alignWithMargins="0">
    <oddFooter>&amp;R&amp;F</oddFooter>
  </headerFooter>
  <colBreaks count="2" manualBreakCount="2">
    <brk id="19" max="74" man="1"/>
    <brk id="35"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4258" r:id="rId4" name="Button 162">
              <controlPr defaultSize="0" print="0" autoFill="0" autoPict="0" macro="[0]!Print_Cashflow">
                <anchor moveWithCells="1" sizeWithCells="1">
                  <from>
                    <xdr:col>0</xdr:col>
                    <xdr:colOff>47625</xdr:colOff>
                    <xdr:row>0</xdr:row>
                    <xdr:rowOff>9525</xdr:rowOff>
                  </from>
                  <to>
                    <xdr:col>0</xdr:col>
                    <xdr:colOff>1219200</xdr:colOff>
                    <xdr:row>1</xdr:row>
                    <xdr:rowOff>38100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H13"/>
  <sheetViews>
    <sheetView zoomScale="75" workbookViewId="0">
      <selection activeCell="C16" sqref="C16"/>
    </sheetView>
  </sheetViews>
  <sheetFormatPr defaultColWidth="8.85546875" defaultRowHeight="12.75"/>
  <cols>
    <col min="1" max="1" width="39.42578125" customWidth="1"/>
  </cols>
  <sheetData>
    <row r="1" spans="1:34">
      <c r="D1" s="244">
        <v>1</v>
      </c>
      <c r="E1" s="245">
        <f>D1+1</f>
        <v>2</v>
      </c>
      <c r="F1" s="245">
        <f t="shared" ref="F1:AH1" si="0">E1+1</f>
        <v>3</v>
      </c>
      <c r="G1" s="245">
        <f t="shared" si="0"/>
        <v>4</v>
      </c>
      <c r="H1" s="245">
        <f t="shared" si="0"/>
        <v>5</v>
      </c>
      <c r="I1" s="245">
        <f t="shared" si="0"/>
        <v>6</v>
      </c>
      <c r="J1" s="245">
        <f t="shared" si="0"/>
        <v>7</v>
      </c>
      <c r="K1" s="245">
        <f t="shared" si="0"/>
        <v>8</v>
      </c>
      <c r="L1" s="245">
        <f t="shared" si="0"/>
        <v>9</v>
      </c>
      <c r="M1" s="245">
        <f t="shared" si="0"/>
        <v>10</v>
      </c>
      <c r="N1" s="245">
        <f t="shared" si="0"/>
        <v>11</v>
      </c>
      <c r="O1" s="245">
        <f t="shared" si="0"/>
        <v>12</v>
      </c>
      <c r="P1" s="245">
        <f t="shared" si="0"/>
        <v>13</v>
      </c>
      <c r="Q1" s="245">
        <f t="shared" si="0"/>
        <v>14</v>
      </c>
      <c r="R1" s="245">
        <f t="shared" si="0"/>
        <v>15</v>
      </c>
      <c r="S1" s="245">
        <f t="shared" si="0"/>
        <v>16</v>
      </c>
      <c r="T1" s="245">
        <f t="shared" si="0"/>
        <v>17</v>
      </c>
      <c r="U1" s="245">
        <f t="shared" si="0"/>
        <v>18</v>
      </c>
      <c r="V1" s="245">
        <f t="shared" si="0"/>
        <v>19</v>
      </c>
      <c r="W1" s="245">
        <f t="shared" si="0"/>
        <v>20</v>
      </c>
      <c r="X1" s="245">
        <f t="shared" si="0"/>
        <v>21</v>
      </c>
      <c r="Y1" s="245">
        <f t="shared" si="0"/>
        <v>22</v>
      </c>
      <c r="Z1" s="245">
        <f t="shared" si="0"/>
        <v>23</v>
      </c>
      <c r="AA1" s="245">
        <f t="shared" si="0"/>
        <v>24</v>
      </c>
      <c r="AB1" s="245">
        <f t="shared" si="0"/>
        <v>25</v>
      </c>
      <c r="AC1" s="245">
        <f t="shared" si="0"/>
        <v>26</v>
      </c>
      <c r="AD1" s="245">
        <f t="shared" si="0"/>
        <v>27</v>
      </c>
      <c r="AE1" s="245">
        <f t="shared" si="0"/>
        <v>28</v>
      </c>
      <c r="AF1" s="245">
        <f t="shared" si="0"/>
        <v>29</v>
      </c>
      <c r="AG1" s="245">
        <f t="shared" si="0"/>
        <v>30</v>
      </c>
      <c r="AH1" s="246">
        <f t="shared" si="0"/>
        <v>31</v>
      </c>
    </row>
    <row r="2" spans="1:34">
      <c r="D2" s="247">
        <f>Assum!H25</f>
        <v>2002</v>
      </c>
      <c r="E2" s="248">
        <f>D2+1</f>
        <v>2003</v>
      </c>
      <c r="F2" s="248">
        <f t="shared" ref="F2:AH2" si="1">E2+1</f>
        <v>2004</v>
      </c>
      <c r="G2" s="248">
        <f t="shared" si="1"/>
        <v>2005</v>
      </c>
      <c r="H2" s="248">
        <f t="shared" si="1"/>
        <v>2006</v>
      </c>
      <c r="I2" s="248">
        <f t="shared" si="1"/>
        <v>2007</v>
      </c>
      <c r="J2" s="248">
        <f t="shared" si="1"/>
        <v>2008</v>
      </c>
      <c r="K2" s="248">
        <f t="shared" si="1"/>
        <v>2009</v>
      </c>
      <c r="L2" s="248">
        <f t="shared" si="1"/>
        <v>2010</v>
      </c>
      <c r="M2" s="248">
        <f t="shared" si="1"/>
        <v>2011</v>
      </c>
      <c r="N2" s="248">
        <f t="shared" si="1"/>
        <v>2012</v>
      </c>
      <c r="O2" s="248">
        <f t="shared" si="1"/>
        <v>2013</v>
      </c>
      <c r="P2" s="248">
        <f t="shared" si="1"/>
        <v>2014</v>
      </c>
      <c r="Q2" s="248">
        <f t="shared" si="1"/>
        <v>2015</v>
      </c>
      <c r="R2" s="248">
        <f t="shared" si="1"/>
        <v>2016</v>
      </c>
      <c r="S2" s="248">
        <f t="shared" si="1"/>
        <v>2017</v>
      </c>
      <c r="T2" s="248">
        <f t="shared" si="1"/>
        <v>2018</v>
      </c>
      <c r="U2" s="248">
        <f t="shared" si="1"/>
        <v>2019</v>
      </c>
      <c r="V2" s="248">
        <f t="shared" si="1"/>
        <v>2020</v>
      </c>
      <c r="W2" s="248">
        <f t="shared" si="1"/>
        <v>2021</v>
      </c>
      <c r="X2" s="248">
        <f t="shared" si="1"/>
        <v>2022</v>
      </c>
      <c r="Y2" s="248">
        <f t="shared" si="1"/>
        <v>2023</v>
      </c>
      <c r="Z2" s="248">
        <f t="shared" si="1"/>
        <v>2024</v>
      </c>
      <c r="AA2" s="248">
        <f t="shared" si="1"/>
        <v>2025</v>
      </c>
      <c r="AB2" s="248">
        <f t="shared" si="1"/>
        <v>2026</v>
      </c>
      <c r="AC2" s="248">
        <f t="shared" si="1"/>
        <v>2027</v>
      </c>
      <c r="AD2" s="248">
        <f t="shared" si="1"/>
        <v>2028</v>
      </c>
      <c r="AE2" s="248">
        <f t="shared" si="1"/>
        <v>2029</v>
      </c>
      <c r="AF2" s="248">
        <f t="shared" si="1"/>
        <v>2030</v>
      </c>
      <c r="AG2" s="248">
        <f t="shared" si="1"/>
        <v>2031</v>
      </c>
      <c r="AH2" s="249">
        <f t="shared" si="1"/>
        <v>2032</v>
      </c>
    </row>
    <row r="4" spans="1:34">
      <c r="A4" s="1230" t="str">
        <f>CashFlow!B53</f>
        <v>NET CASH AFTER JR DEBT</v>
      </c>
      <c r="C4" s="442"/>
      <c r="D4" s="1230">
        <f>CashFlow!E53</f>
        <v>1985.2107806507152</v>
      </c>
      <c r="E4" s="1230">
        <f>CashFlow!F53</f>
        <v>1480.4926450176847</v>
      </c>
      <c r="F4" s="1230">
        <f>CashFlow!G53</f>
        <v>1492.0973072087177</v>
      </c>
      <c r="G4" s="1230">
        <f>CashFlow!H53</f>
        <v>1481.3737017094784</v>
      </c>
      <c r="H4" s="1230">
        <f>CashFlow!I53</f>
        <v>1470.4180329030396</v>
      </c>
      <c r="I4" s="1230">
        <f>CashFlow!J53</f>
        <v>1555.2441263446904</v>
      </c>
      <c r="J4" s="1230">
        <f>CashFlow!K53</f>
        <v>1431.6968912728519</v>
      </c>
      <c r="K4" s="1230">
        <f>CashFlow!L53</f>
        <v>1430.0057177907272</v>
      </c>
      <c r="L4" s="1230">
        <f>CashFlow!M53</f>
        <v>1427.6939298011375</v>
      </c>
      <c r="M4" s="1230">
        <f>CashFlow!N53</f>
        <v>1447.1040927683948</v>
      </c>
      <c r="N4" s="1230">
        <f>CashFlow!O53</f>
        <v>1470.1758999941046</v>
      </c>
      <c r="O4" s="1230">
        <f>CashFlow!P53</f>
        <v>1496.2425943695835</v>
      </c>
      <c r="P4" s="1230">
        <f>CashFlow!Q53</f>
        <v>1527.1247714941283</v>
      </c>
      <c r="Q4" s="1230">
        <f>CashFlow!R53</f>
        <v>1495.1697626794498</v>
      </c>
      <c r="R4" s="1230">
        <f>CashFlow!S53</f>
        <v>1459.4654492119746</v>
      </c>
      <c r="S4" s="1230">
        <f>CashFlow!T53</f>
        <v>1390.7946428457583</v>
      </c>
      <c r="T4" s="1230">
        <f>CashFlow!U53</f>
        <v>1370.3596058201879</v>
      </c>
      <c r="U4" s="1230">
        <f>CashFlow!V53</f>
        <v>2320.5205604021085</v>
      </c>
      <c r="V4" s="1230">
        <f>CashFlow!W53</f>
        <v>5816.9380609148457</v>
      </c>
      <c r="W4" s="1230">
        <f>CashFlow!X53</f>
        <v>5740.5071598288487</v>
      </c>
      <c r="X4" s="1230">
        <f>CashFlow!Y53</f>
        <v>16.844521113536999</v>
      </c>
      <c r="Y4" s="1230">
        <f>CashFlow!Z53</f>
        <v>0</v>
      </c>
      <c r="Z4" s="1230">
        <f>CashFlow!AA53</f>
        <v>0</v>
      </c>
      <c r="AA4" s="1230">
        <f>CashFlow!AB53</f>
        <v>0</v>
      </c>
      <c r="AB4" s="1230">
        <f>CashFlow!AC53</f>
        <v>0</v>
      </c>
      <c r="AC4" s="1230">
        <f>CashFlow!AD53</f>
        <v>0</v>
      </c>
      <c r="AD4" s="1230">
        <f>CashFlow!AE53</f>
        <v>0</v>
      </c>
      <c r="AE4" s="1230">
        <f>CashFlow!AF53</f>
        <v>0</v>
      </c>
      <c r="AF4" s="1230">
        <f>CashFlow!AG53</f>
        <v>0</v>
      </c>
      <c r="AG4" s="1230">
        <f>CashFlow!AH53</f>
        <v>0</v>
      </c>
      <c r="AH4" s="1230">
        <f>CashFlow!AI53</f>
        <v>0</v>
      </c>
    </row>
    <row r="6" spans="1:34">
      <c r="A6" s="241"/>
      <c r="B6" s="241"/>
      <c r="C6" s="428"/>
      <c r="D6" s="1231"/>
      <c r="E6" s="1231"/>
      <c r="F6" s="1231"/>
    </row>
    <row r="7" spans="1:34">
      <c r="A7" t="s">
        <v>7</v>
      </c>
      <c r="D7" s="317">
        <v>0</v>
      </c>
      <c r="E7" s="317">
        <f t="shared" ref="E7:AH7" si="2">D11</f>
        <v>0</v>
      </c>
      <c r="F7" s="317">
        <f t="shared" si="2"/>
        <v>0</v>
      </c>
      <c r="G7" s="317">
        <f t="shared" si="2"/>
        <v>0</v>
      </c>
      <c r="H7" s="317">
        <f t="shared" si="2"/>
        <v>0</v>
      </c>
      <c r="I7" s="317">
        <f t="shared" si="2"/>
        <v>0</v>
      </c>
      <c r="J7" s="317">
        <f t="shared" si="2"/>
        <v>0</v>
      </c>
      <c r="K7" s="317">
        <f t="shared" si="2"/>
        <v>0</v>
      </c>
      <c r="L7" s="317">
        <f t="shared" si="2"/>
        <v>0</v>
      </c>
      <c r="M7" s="317">
        <f t="shared" si="2"/>
        <v>0</v>
      </c>
      <c r="N7" s="317">
        <f t="shared" si="2"/>
        <v>0</v>
      </c>
      <c r="O7" s="317">
        <f t="shared" si="2"/>
        <v>0</v>
      </c>
      <c r="P7" s="317">
        <f t="shared" si="2"/>
        <v>0</v>
      </c>
      <c r="Q7" s="317">
        <f t="shared" si="2"/>
        <v>0</v>
      </c>
      <c r="R7" s="317">
        <f t="shared" si="2"/>
        <v>0</v>
      </c>
      <c r="S7" s="317">
        <f t="shared" si="2"/>
        <v>0</v>
      </c>
      <c r="T7" s="317">
        <f t="shared" si="2"/>
        <v>0</v>
      </c>
      <c r="U7" s="317">
        <f t="shared" si="2"/>
        <v>0</v>
      </c>
      <c r="V7" s="317">
        <f t="shared" si="2"/>
        <v>0</v>
      </c>
      <c r="W7" s="317">
        <f t="shared" si="2"/>
        <v>0</v>
      </c>
      <c r="X7" s="317">
        <f t="shared" si="2"/>
        <v>0</v>
      </c>
      <c r="Y7" s="317">
        <f t="shared" si="2"/>
        <v>0</v>
      </c>
      <c r="Z7" s="317">
        <f t="shared" si="2"/>
        <v>0</v>
      </c>
      <c r="AA7" s="317">
        <f t="shared" si="2"/>
        <v>0</v>
      </c>
      <c r="AB7" s="317">
        <f t="shared" si="2"/>
        <v>0</v>
      </c>
      <c r="AC7" s="317">
        <f t="shared" si="2"/>
        <v>0</v>
      </c>
      <c r="AD7" s="317">
        <f t="shared" si="2"/>
        <v>0</v>
      </c>
      <c r="AE7" s="317">
        <f t="shared" si="2"/>
        <v>0</v>
      </c>
      <c r="AF7" s="317">
        <f t="shared" si="2"/>
        <v>0</v>
      </c>
      <c r="AG7" s="317">
        <f t="shared" si="2"/>
        <v>0</v>
      </c>
      <c r="AH7" s="317">
        <f t="shared" si="2"/>
        <v>0</v>
      </c>
    </row>
    <row r="8" spans="1:34">
      <c r="A8" t="s">
        <v>399</v>
      </c>
      <c r="D8" s="317">
        <f t="shared" ref="D8:AH8" si="3">IF(D4&lt;0,-D4,0)</f>
        <v>0</v>
      </c>
      <c r="E8" s="317">
        <f t="shared" si="3"/>
        <v>0</v>
      </c>
      <c r="F8" s="317">
        <f t="shared" si="3"/>
        <v>0</v>
      </c>
      <c r="G8" s="317">
        <f t="shared" si="3"/>
        <v>0</v>
      </c>
      <c r="H8" s="317">
        <f t="shared" si="3"/>
        <v>0</v>
      </c>
      <c r="I8" s="317">
        <f t="shared" si="3"/>
        <v>0</v>
      </c>
      <c r="J8" s="317">
        <f t="shared" si="3"/>
        <v>0</v>
      </c>
      <c r="K8" s="317">
        <f t="shared" si="3"/>
        <v>0</v>
      </c>
      <c r="L8" s="317">
        <f t="shared" si="3"/>
        <v>0</v>
      </c>
      <c r="M8" s="317">
        <f t="shared" si="3"/>
        <v>0</v>
      </c>
      <c r="N8" s="317">
        <f t="shared" si="3"/>
        <v>0</v>
      </c>
      <c r="O8" s="317">
        <f t="shared" si="3"/>
        <v>0</v>
      </c>
      <c r="P8" s="317">
        <f t="shared" si="3"/>
        <v>0</v>
      </c>
      <c r="Q8" s="317">
        <f t="shared" si="3"/>
        <v>0</v>
      </c>
      <c r="R8" s="317">
        <f t="shared" si="3"/>
        <v>0</v>
      </c>
      <c r="S8" s="317">
        <f t="shared" si="3"/>
        <v>0</v>
      </c>
      <c r="T8" s="317">
        <f t="shared" si="3"/>
        <v>0</v>
      </c>
      <c r="U8" s="317">
        <f t="shared" si="3"/>
        <v>0</v>
      </c>
      <c r="V8" s="317">
        <f t="shared" si="3"/>
        <v>0</v>
      </c>
      <c r="W8" s="317">
        <f t="shared" si="3"/>
        <v>0</v>
      </c>
      <c r="X8" s="317">
        <f t="shared" si="3"/>
        <v>0</v>
      </c>
      <c r="Y8" s="317">
        <f t="shared" si="3"/>
        <v>0</v>
      </c>
      <c r="Z8" s="317">
        <f t="shared" si="3"/>
        <v>0</v>
      </c>
      <c r="AA8" s="317">
        <f t="shared" si="3"/>
        <v>0</v>
      </c>
      <c r="AB8" s="317">
        <f t="shared" si="3"/>
        <v>0</v>
      </c>
      <c r="AC8" s="317">
        <f t="shared" si="3"/>
        <v>0</v>
      </c>
      <c r="AD8" s="317">
        <f t="shared" si="3"/>
        <v>0</v>
      </c>
      <c r="AE8" s="317">
        <f t="shared" si="3"/>
        <v>0</v>
      </c>
      <c r="AF8" s="317">
        <f t="shared" si="3"/>
        <v>0</v>
      </c>
      <c r="AG8" s="317">
        <f t="shared" si="3"/>
        <v>0</v>
      </c>
      <c r="AH8" s="317">
        <f t="shared" si="3"/>
        <v>0</v>
      </c>
    </row>
    <row r="9" spans="1:34">
      <c r="A9" t="s">
        <v>263</v>
      </c>
      <c r="B9" s="1320">
        <v>8.5000000000000006E-2</v>
      </c>
      <c r="D9" s="317">
        <f t="shared" ref="D9:AH9" si="4">D7*$B9</f>
        <v>0</v>
      </c>
      <c r="E9" s="317">
        <f t="shared" si="4"/>
        <v>0</v>
      </c>
      <c r="F9" s="317">
        <f t="shared" si="4"/>
        <v>0</v>
      </c>
      <c r="G9" s="317">
        <f t="shared" si="4"/>
        <v>0</v>
      </c>
      <c r="H9" s="317">
        <f t="shared" si="4"/>
        <v>0</v>
      </c>
      <c r="I9" s="317">
        <f t="shared" si="4"/>
        <v>0</v>
      </c>
      <c r="J9" s="317">
        <f t="shared" si="4"/>
        <v>0</v>
      </c>
      <c r="K9" s="317">
        <f t="shared" si="4"/>
        <v>0</v>
      </c>
      <c r="L9" s="317">
        <f t="shared" si="4"/>
        <v>0</v>
      </c>
      <c r="M9" s="317">
        <f t="shared" si="4"/>
        <v>0</v>
      </c>
      <c r="N9" s="317">
        <f t="shared" si="4"/>
        <v>0</v>
      </c>
      <c r="O9" s="317">
        <f t="shared" si="4"/>
        <v>0</v>
      </c>
      <c r="P9" s="317">
        <f t="shared" si="4"/>
        <v>0</v>
      </c>
      <c r="Q9" s="317">
        <f t="shared" si="4"/>
        <v>0</v>
      </c>
      <c r="R9" s="317">
        <f t="shared" si="4"/>
        <v>0</v>
      </c>
      <c r="S9" s="317">
        <f t="shared" si="4"/>
        <v>0</v>
      </c>
      <c r="T9" s="317">
        <f t="shared" si="4"/>
        <v>0</v>
      </c>
      <c r="U9" s="317">
        <f t="shared" si="4"/>
        <v>0</v>
      </c>
      <c r="V9" s="317">
        <f t="shared" si="4"/>
        <v>0</v>
      </c>
      <c r="W9" s="317">
        <f t="shared" si="4"/>
        <v>0</v>
      </c>
      <c r="X9" s="317">
        <f t="shared" si="4"/>
        <v>0</v>
      </c>
      <c r="Y9" s="317">
        <f t="shared" si="4"/>
        <v>0</v>
      </c>
      <c r="Z9" s="317">
        <f t="shared" si="4"/>
        <v>0</v>
      </c>
      <c r="AA9" s="317">
        <f t="shared" si="4"/>
        <v>0</v>
      </c>
      <c r="AB9" s="317">
        <f t="shared" si="4"/>
        <v>0</v>
      </c>
      <c r="AC9" s="317">
        <f t="shared" si="4"/>
        <v>0</v>
      </c>
      <c r="AD9" s="317">
        <f t="shared" si="4"/>
        <v>0</v>
      </c>
      <c r="AE9" s="317">
        <f t="shared" si="4"/>
        <v>0</v>
      </c>
      <c r="AF9" s="317">
        <f t="shared" si="4"/>
        <v>0</v>
      </c>
      <c r="AG9" s="317">
        <f t="shared" si="4"/>
        <v>0</v>
      </c>
      <c r="AH9" s="317">
        <f t="shared" si="4"/>
        <v>0</v>
      </c>
    </row>
    <row r="10" spans="1:34">
      <c r="A10" t="s">
        <v>400</v>
      </c>
      <c r="D10" s="317">
        <f t="shared" ref="D10:AH10" si="5">IF(AND(D4&gt;0,SUM(D7:D8)&gt;0),MIN(SUM(D7:D9),D4),0)</f>
        <v>0</v>
      </c>
      <c r="E10" s="317">
        <f t="shared" si="5"/>
        <v>0</v>
      </c>
      <c r="F10" s="317">
        <f t="shared" si="5"/>
        <v>0</v>
      </c>
      <c r="G10" s="317">
        <f t="shared" si="5"/>
        <v>0</v>
      </c>
      <c r="H10" s="317">
        <f t="shared" si="5"/>
        <v>0</v>
      </c>
      <c r="I10" s="317">
        <f t="shared" si="5"/>
        <v>0</v>
      </c>
      <c r="J10" s="317">
        <f t="shared" si="5"/>
        <v>0</v>
      </c>
      <c r="K10" s="317">
        <f t="shared" si="5"/>
        <v>0</v>
      </c>
      <c r="L10" s="317">
        <f t="shared" si="5"/>
        <v>0</v>
      </c>
      <c r="M10" s="317">
        <f t="shared" si="5"/>
        <v>0</v>
      </c>
      <c r="N10" s="317">
        <f t="shared" si="5"/>
        <v>0</v>
      </c>
      <c r="O10" s="317">
        <f t="shared" si="5"/>
        <v>0</v>
      </c>
      <c r="P10" s="317">
        <f t="shared" si="5"/>
        <v>0</v>
      </c>
      <c r="Q10" s="317">
        <f t="shared" si="5"/>
        <v>0</v>
      </c>
      <c r="R10" s="317">
        <f t="shared" si="5"/>
        <v>0</v>
      </c>
      <c r="S10" s="317">
        <f t="shared" si="5"/>
        <v>0</v>
      </c>
      <c r="T10" s="317">
        <f t="shared" si="5"/>
        <v>0</v>
      </c>
      <c r="U10" s="317">
        <f t="shared" si="5"/>
        <v>0</v>
      </c>
      <c r="V10" s="317">
        <f t="shared" si="5"/>
        <v>0</v>
      </c>
      <c r="W10" s="317">
        <f t="shared" si="5"/>
        <v>0</v>
      </c>
      <c r="X10" s="317">
        <f t="shared" si="5"/>
        <v>0</v>
      </c>
      <c r="Y10" s="317">
        <f t="shared" si="5"/>
        <v>0</v>
      </c>
      <c r="Z10" s="317">
        <f t="shared" si="5"/>
        <v>0</v>
      </c>
      <c r="AA10" s="317">
        <f t="shared" si="5"/>
        <v>0</v>
      </c>
      <c r="AB10" s="317">
        <f t="shared" si="5"/>
        <v>0</v>
      </c>
      <c r="AC10" s="317">
        <f t="shared" si="5"/>
        <v>0</v>
      </c>
      <c r="AD10" s="317">
        <f t="shared" si="5"/>
        <v>0</v>
      </c>
      <c r="AE10" s="317">
        <f t="shared" si="5"/>
        <v>0</v>
      </c>
      <c r="AF10" s="317">
        <f t="shared" si="5"/>
        <v>0</v>
      </c>
      <c r="AG10" s="317">
        <f t="shared" si="5"/>
        <v>0</v>
      </c>
      <c r="AH10" s="317">
        <f t="shared" si="5"/>
        <v>0</v>
      </c>
    </row>
    <row r="11" spans="1:34">
      <c r="A11" t="s">
        <v>588</v>
      </c>
      <c r="D11" s="317">
        <f t="shared" ref="D11:AH11" si="6">SUM(D7:D9)-D10</f>
        <v>0</v>
      </c>
      <c r="E11" s="317">
        <f t="shared" si="6"/>
        <v>0</v>
      </c>
      <c r="F11" s="317">
        <f t="shared" si="6"/>
        <v>0</v>
      </c>
      <c r="G11" s="317">
        <f t="shared" si="6"/>
        <v>0</v>
      </c>
      <c r="H11" s="317">
        <f t="shared" si="6"/>
        <v>0</v>
      </c>
      <c r="I11" s="317">
        <f t="shared" si="6"/>
        <v>0</v>
      </c>
      <c r="J11" s="317">
        <f t="shared" si="6"/>
        <v>0</v>
      </c>
      <c r="K11" s="317">
        <f t="shared" si="6"/>
        <v>0</v>
      </c>
      <c r="L11" s="317">
        <f t="shared" si="6"/>
        <v>0</v>
      </c>
      <c r="M11" s="317">
        <f t="shared" si="6"/>
        <v>0</v>
      </c>
      <c r="N11" s="317">
        <f t="shared" si="6"/>
        <v>0</v>
      </c>
      <c r="O11" s="317">
        <f t="shared" si="6"/>
        <v>0</v>
      </c>
      <c r="P11" s="317">
        <f t="shared" si="6"/>
        <v>0</v>
      </c>
      <c r="Q11" s="317">
        <f t="shared" si="6"/>
        <v>0</v>
      </c>
      <c r="R11" s="317">
        <f t="shared" si="6"/>
        <v>0</v>
      </c>
      <c r="S11" s="317">
        <f t="shared" si="6"/>
        <v>0</v>
      </c>
      <c r="T11" s="317">
        <f t="shared" si="6"/>
        <v>0</v>
      </c>
      <c r="U11" s="317">
        <f t="shared" si="6"/>
        <v>0</v>
      </c>
      <c r="V11" s="317">
        <f t="shared" si="6"/>
        <v>0</v>
      </c>
      <c r="W11" s="317">
        <f t="shared" si="6"/>
        <v>0</v>
      </c>
      <c r="X11" s="317">
        <f t="shared" si="6"/>
        <v>0</v>
      </c>
      <c r="Y11" s="317">
        <f t="shared" si="6"/>
        <v>0</v>
      </c>
      <c r="Z11" s="317">
        <f t="shared" si="6"/>
        <v>0</v>
      </c>
      <c r="AA11" s="317">
        <f t="shared" si="6"/>
        <v>0</v>
      </c>
      <c r="AB11" s="317">
        <f t="shared" si="6"/>
        <v>0</v>
      </c>
      <c r="AC11" s="317">
        <f t="shared" si="6"/>
        <v>0</v>
      </c>
      <c r="AD11" s="317">
        <f t="shared" si="6"/>
        <v>0</v>
      </c>
      <c r="AE11" s="317">
        <f t="shared" si="6"/>
        <v>0</v>
      </c>
      <c r="AF11" s="317">
        <f t="shared" si="6"/>
        <v>0</v>
      </c>
      <c r="AG11" s="317">
        <f t="shared" si="6"/>
        <v>0</v>
      </c>
      <c r="AH11" s="317">
        <f t="shared" si="6"/>
        <v>0</v>
      </c>
    </row>
    <row r="12" spans="1:34">
      <c r="A12" s="241"/>
      <c r="B12" s="241"/>
      <c r="C12" s="500"/>
      <c r="D12" s="500"/>
      <c r="E12" s="500"/>
      <c r="F12" s="500"/>
    </row>
    <row r="13" spans="1:34" s="214" customFormat="1"/>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P411"/>
  <sheetViews>
    <sheetView zoomScale="70" workbookViewId="0">
      <selection sqref="A1:X92"/>
    </sheetView>
  </sheetViews>
  <sheetFormatPr defaultColWidth="8.7109375" defaultRowHeight="12.75"/>
  <cols>
    <col min="1" max="1" width="6.140625" customWidth="1"/>
    <col min="2" max="2" width="47" customWidth="1"/>
    <col min="3" max="3" width="10.85546875" customWidth="1"/>
    <col min="4" max="4" width="11.7109375" customWidth="1"/>
    <col min="5" max="36" width="14.42578125" customWidth="1"/>
    <col min="37" max="37" width="8.7109375" style="316" customWidth="1"/>
  </cols>
  <sheetData>
    <row r="1" spans="1:42" ht="15.75">
      <c r="A1" s="26"/>
      <c r="B1" s="338" t="str">
        <f>ExecSum!$E$4</f>
        <v>Sweetwater 129.00MW Project</v>
      </c>
      <c r="C1" s="338" t="s">
        <v>780</v>
      </c>
      <c r="D1" s="24"/>
      <c r="E1" s="244">
        <v>1</v>
      </c>
      <c r="F1" s="245">
        <v>2</v>
      </c>
      <c r="G1" s="245">
        <v>3</v>
      </c>
      <c r="H1" s="245">
        <v>4</v>
      </c>
      <c r="I1" s="245">
        <v>5</v>
      </c>
      <c r="J1" s="245">
        <v>6</v>
      </c>
      <c r="K1" s="245">
        <v>7</v>
      </c>
      <c r="L1" s="245">
        <v>8</v>
      </c>
      <c r="M1" s="245">
        <v>9</v>
      </c>
      <c r="N1" s="245">
        <v>10</v>
      </c>
      <c r="O1" s="245">
        <v>11</v>
      </c>
      <c r="P1" s="245">
        <v>12</v>
      </c>
      <c r="Q1" s="245">
        <v>13</v>
      </c>
      <c r="R1" s="245">
        <v>14</v>
      </c>
      <c r="S1" s="245">
        <v>15</v>
      </c>
      <c r="T1" s="245">
        <v>16</v>
      </c>
      <c r="U1" s="245">
        <v>17</v>
      </c>
      <c r="V1" s="245">
        <v>18</v>
      </c>
      <c r="W1" s="245">
        <v>19</v>
      </c>
      <c r="X1" s="245">
        <v>20</v>
      </c>
      <c r="Y1" s="245">
        <v>21</v>
      </c>
      <c r="Z1" s="245">
        <v>22</v>
      </c>
      <c r="AA1" s="245">
        <v>23</v>
      </c>
      <c r="AB1" s="245">
        <v>24</v>
      </c>
      <c r="AC1" s="245">
        <v>25</v>
      </c>
      <c r="AD1" s="245">
        <v>26</v>
      </c>
      <c r="AE1" s="245">
        <v>27</v>
      </c>
      <c r="AF1" s="245">
        <v>28</v>
      </c>
      <c r="AG1" s="245">
        <v>29</v>
      </c>
      <c r="AH1" s="246">
        <v>30</v>
      </c>
      <c r="AI1" s="246">
        <v>31</v>
      </c>
      <c r="AJ1" s="24"/>
      <c r="AK1" s="259"/>
      <c r="AL1" s="24"/>
      <c r="AM1" s="23"/>
      <c r="AN1" s="23"/>
      <c r="AO1" s="23"/>
      <c r="AP1" s="23"/>
    </row>
    <row r="2" spans="1:42" ht="14.25" customHeight="1">
      <c r="A2" s="26"/>
      <c r="B2" s="338" t="s">
        <v>41</v>
      </c>
      <c r="C2" s="338"/>
      <c r="D2" s="24"/>
      <c r="E2" s="247"/>
      <c r="F2" s="248"/>
      <c r="G2" s="248"/>
      <c r="H2" s="248"/>
      <c r="I2" s="248"/>
      <c r="J2" s="248"/>
      <c r="K2" s="248"/>
      <c r="L2" s="248"/>
      <c r="M2" s="248"/>
      <c r="N2" s="248"/>
      <c r="O2" s="248"/>
      <c r="P2" s="248"/>
      <c r="Q2" s="248"/>
      <c r="R2" s="248"/>
      <c r="S2" s="248"/>
      <c r="T2" s="248"/>
      <c r="U2" s="248"/>
      <c r="V2" s="248"/>
      <c r="W2" s="248"/>
      <c r="X2" s="248"/>
      <c r="Y2" s="248"/>
      <c r="Z2" s="248"/>
      <c r="AA2" s="248"/>
      <c r="AB2" s="248"/>
      <c r="AC2" s="248"/>
      <c r="AD2" s="248"/>
      <c r="AE2" s="248"/>
      <c r="AF2" s="248"/>
      <c r="AG2" s="248"/>
      <c r="AH2" s="249"/>
      <c r="AI2" s="249"/>
      <c r="AJ2" s="24"/>
      <c r="AK2" s="259"/>
      <c r="AL2" s="24"/>
      <c r="AM2" s="23"/>
      <c r="AN2" s="23"/>
      <c r="AO2" s="23"/>
      <c r="AP2" s="23"/>
    </row>
    <row r="4" spans="1:42">
      <c r="B4" s="428" t="s">
        <v>777</v>
      </c>
      <c r="C4" s="428"/>
      <c r="D4" s="1474">
        <f>SUM(E4:AI4)</f>
        <v>128305.28093770806</v>
      </c>
      <c r="E4" s="428">
        <f>CashFlow!E30</f>
        <v>8006.1828418915129</v>
      </c>
      <c r="F4" s="428">
        <f>CashFlow!F30</f>
        <v>6223.8775393050801</v>
      </c>
      <c r="G4" s="428">
        <f>CashFlow!G30</f>
        <v>6286.7960710942025</v>
      </c>
      <c r="H4" s="428">
        <f>CashFlow!H30</f>
        <v>6272.8923744109452</v>
      </c>
      <c r="I4" s="428">
        <f>CashFlow!I30</f>
        <v>6266.7646437317162</v>
      </c>
      <c r="J4" s="428">
        <f>CashFlow!J30</f>
        <v>6576.0322269730223</v>
      </c>
      <c r="K4" s="428">
        <f>CashFlow!K30</f>
        <v>6172.4429410293642</v>
      </c>
      <c r="L4" s="428">
        <f>CashFlow!L30</f>
        <v>6193.0566475886972</v>
      </c>
      <c r="M4" s="428">
        <f>CashFlow!M30</f>
        <v>6214.1112057883738</v>
      </c>
      <c r="N4" s="428">
        <f>CashFlow!N30</f>
        <v>6311.6827231436146</v>
      </c>
      <c r="O4" s="428">
        <f>CashFlow!O30</f>
        <v>6422.954152625297</v>
      </c>
      <c r="P4" s="428">
        <f>CashFlow!P30</f>
        <v>6545.6258121449828</v>
      </c>
      <c r="Q4" s="428">
        <f>CashFlow!Q30</f>
        <v>6680.197525449048</v>
      </c>
      <c r="R4" s="428">
        <f>CashFlow!R30</f>
        <v>6596.7002210537239</v>
      </c>
      <c r="S4" s="428">
        <f>CashFlow!S30</f>
        <v>6498.1255795826955</v>
      </c>
      <c r="T4" s="428">
        <f>CashFlow!T30</f>
        <v>6289.3986039960737</v>
      </c>
      <c r="U4" s="428">
        <f>CashFlow!U30</f>
        <v>6224.5345915564967</v>
      </c>
      <c r="V4" s="428">
        <f>CashFlow!V30</f>
        <v>6158.1289111450424</v>
      </c>
      <c r="W4" s="428">
        <f>CashFlow!W30</f>
        <v>6207.233144906766</v>
      </c>
      <c r="X4" s="428">
        <f>CashFlow!X30</f>
        <v>6140.5596209205669</v>
      </c>
      <c r="Y4" s="428">
        <f>CashFlow!Y30</f>
        <v>17.983559370812024</v>
      </c>
      <c r="Z4" s="428">
        <f>CashFlow!Z30</f>
        <v>0</v>
      </c>
      <c r="AA4" s="428">
        <f>CashFlow!AA30</f>
        <v>0</v>
      </c>
      <c r="AB4" s="428">
        <f>CashFlow!AB30</f>
        <v>0</v>
      </c>
      <c r="AC4" s="428">
        <f>CashFlow!AC30</f>
        <v>0</v>
      </c>
      <c r="AD4" s="428">
        <f>CashFlow!AD30</f>
        <v>0</v>
      </c>
      <c r="AE4" s="428">
        <f>CashFlow!AE30</f>
        <v>0</v>
      </c>
      <c r="AF4" s="428">
        <f>CashFlow!AF30</f>
        <v>0</v>
      </c>
      <c r="AG4" s="428">
        <f>CashFlow!AG30</f>
        <v>0</v>
      </c>
      <c r="AH4" s="428">
        <f>CashFlow!AH30</f>
        <v>0</v>
      </c>
      <c r="AI4" s="428">
        <f>CashFlow!AI30</f>
        <v>0</v>
      </c>
    </row>
    <row r="5" spans="1:42">
      <c r="B5" s="428" t="s">
        <v>778</v>
      </c>
      <c r="C5" s="428"/>
      <c r="D5" s="1474">
        <f>SUM(E5:AI5)</f>
        <v>128305.28093770804</v>
      </c>
      <c r="E5" s="431">
        <f>IF(CashFlow!E30&lt;0,0,(CashFlow!E30+(1-Assum!$H$23)*CashFlow!F30))</f>
        <v>8023.471390611805</v>
      </c>
      <c r="F5" s="431">
        <f>IF(CashFlow!F30&lt;0,0,(CashFlow!F30*Assum!$H$23+(1-Assum!$H$23)*CashFlow!G30))</f>
        <v>6224.052313004494</v>
      </c>
      <c r="G5" s="431">
        <f>IF(CashFlow!G30&lt;0,0,(CashFlow!G30*Assum!$H$23+(1-Assum!$H$23)*CashFlow!H30))</f>
        <v>6286.757449714527</v>
      </c>
      <c r="H5" s="431">
        <f>IF(CashFlow!H30&lt;0,0,(CashFlow!H30*Assum!$H$23+(1-Assum!$H$23)*CashFlow!I30))</f>
        <v>6272.875352936836</v>
      </c>
      <c r="I5" s="431">
        <f>IF(CashFlow!I30&lt;0,0,(CashFlow!I30*Assum!$H$23+(1-Assum!$H$23)*CashFlow!J30))</f>
        <v>6267.6237203518313</v>
      </c>
      <c r="J5" s="431">
        <f>IF(CashFlow!J30&lt;0,0,(CashFlow!J30*Assum!$H$23+(1-Assum!$H$23)*CashFlow!K30))</f>
        <v>6574.9111456231785</v>
      </c>
      <c r="K5" s="431">
        <f>IF(CashFlow!K30&lt;0,0,(CashFlow!K30*Assum!$H$23+(1-Assum!$H$23)*CashFlow!L30))</f>
        <v>6172.5002013253625</v>
      </c>
      <c r="L5" s="431">
        <f>IF(CashFlow!L30&lt;0,0,(CashFlow!L30*Assum!$H$23+(1-Assum!$H$23)*CashFlow!M30))</f>
        <v>6193.1151324725852</v>
      </c>
      <c r="M5" s="431">
        <f>IF(CashFlow!M30&lt;0,0,(CashFlow!M30*Assum!$H$23+(1-Assum!$H$23)*CashFlow!N30))</f>
        <v>6214.3822377810275</v>
      </c>
      <c r="N5" s="431">
        <f>IF(CashFlow!N30&lt;0,0,(CashFlow!N30*Assum!$H$23+(1-Assum!$H$23)*CashFlow!O30))</f>
        <v>6311.9918104477301</v>
      </c>
      <c r="O5" s="431">
        <f>IF(CashFlow!O30&lt;0,0,(CashFlow!O30*Assum!$H$23+(1-Assum!$H$23)*CashFlow!P30))</f>
        <v>6423.2949072350739</v>
      </c>
      <c r="P5" s="431">
        <f>IF(CashFlow!P30&lt;0,0,(CashFlow!P30*Assum!$H$23+(1-Assum!$H$23)*CashFlow!Q30))</f>
        <v>6545.9996224597162</v>
      </c>
      <c r="Q5" s="431">
        <f>IF(CashFlow!Q30&lt;0,0,(CashFlow!Q30*Assum!$H$23+(1-Assum!$H$23)*CashFlow!R30))</f>
        <v>6679.9655884923941</v>
      </c>
      <c r="R5" s="431">
        <f>IF(CashFlow!R30&lt;0,0,(CashFlow!R30*Assum!$H$23+(1-Assum!$H$23)*CashFlow!S30))</f>
        <v>6596.4264026051933</v>
      </c>
      <c r="S5" s="431">
        <f>IF(CashFlow!S30&lt;0,0,(CashFlow!S30*Assum!$H$23+(1-Assum!$H$23)*CashFlow!T30))</f>
        <v>6497.5457824282885</v>
      </c>
      <c r="T5" s="431">
        <f>IF(CashFlow!T30&lt;0,0,(CashFlow!T30*Assum!$H$23+(1-Assum!$H$23)*CashFlow!U30))</f>
        <v>6289.2184261837419</v>
      </c>
      <c r="U5" s="431">
        <f>IF(CashFlow!U30&lt;0,0,(CashFlow!U30*Assum!$H$23+(1-Assum!$H$23)*CashFlow!V30))</f>
        <v>6224.3501313331317</v>
      </c>
      <c r="V5" s="431">
        <f>IF(CashFlow!V30&lt;0,0,(CashFlow!V30*Assum!$H$23+(1-Assum!$H$23)*CashFlow!W30))</f>
        <v>6158.2653117943801</v>
      </c>
      <c r="W5" s="431">
        <f>IF(CashFlow!W30&lt;0,0,(CashFlow!W30*Assum!$H$23+(1-Assum!$H$23)*CashFlow!X30))</f>
        <v>6207.0479406734712</v>
      </c>
      <c r="X5" s="431">
        <f>IF(CashFlow!X30&lt;0,0,(CashFlow!X30*Assum!$H$23+(1-Assum!$H$23)*CashFlow!Y30))</f>
        <v>6123.5524651940395</v>
      </c>
      <c r="Y5" s="431">
        <f>IF(CashFlow!Y30&lt;0,0,(CashFlow!Y30*Assum!$H$23+(1-Assum!$H$23)*CashFlow!Z30))</f>
        <v>17.933605039226435</v>
      </c>
      <c r="Z5" s="431">
        <f>IF(CashFlow!Z30&lt;0,0,(CashFlow!Z30*Assum!$H$23+(1-Assum!$H$23)*CashFlow!AA30))</f>
        <v>0</v>
      </c>
      <c r="AA5" s="431">
        <f>IF(CashFlow!AA30&lt;0,0,(CashFlow!AA30*Assum!$H$23+(1-Assum!$H$23)*CashFlow!AB30))</f>
        <v>0</v>
      </c>
      <c r="AB5" s="431">
        <f>IF(CashFlow!AB30&lt;0,0,(CashFlow!AB30*Assum!$H$23+(1-Assum!$H$23)*CashFlow!AC30))</f>
        <v>0</v>
      </c>
      <c r="AC5" s="431">
        <f>IF(CashFlow!AC30&lt;0,0,(CashFlow!AC30*Assum!$H$23+(1-Assum!$H$23)*CashFlow!AD30))</f>
        <v>0</v>
      </c>
      <c r="AD5" s="431">
        <f>IF(CashFlow!AD30&lt;0,0,(CashFlow!AD30*Assum!$H$23+(1-Assum!$H$23)*CashFlow!AE30))</f>
        <v>0</v>
      </c>
      <c r="AE5" s="431">
        <f>IF(CashFlow!AE30&lt;0,0,(CashFlow!AE30*Assum!$H$23+(1-Assum!$H$23)*CashFlow!AF30))</f>
        <v>0</v>
      </c>
      <c r="AF5" s="431">
        <f>IF(CashFlow!AF30&lt;0,0,(CashFlow!AF30*Assum!$H$23+(1-Assum!$H$23)*CashFlow!AG30))</f>
        <v>0</v>
      </c>
      <c r="AG5" s="431">
        <f>IF(CashFlow!AG30&lt;0,0,(CashFlow!AG30*Assum!$H$23+(1-Assum!$H$23)*CashFlow!AH30))</f>
        <v>0</v>
      </c>
      <c r="AH5" s="431">
        <f>IF(CashFlow!AH30&lt;0,0,(CashFlow!AH30*Assum!$H$23+(1-Assum!$H$23)*CashFlow!AI30))</f>
        <v>0</v>
      </c>
      <c r="AI5" s="431">
        <f>IF(CashFlow!AI30&lt;0,0,(CashFlow!AI30*Assum!$H$23+(1-Assum!$H$23)*CashFlow!AJ30))</f>
        <v>0</v>
      </c>
    </row>
    <row r="6" spans="1:42" ht="13.5" thickBot="1">
      <c r="D6" s="412"/>
    </row>
    <row r="7" spans="1:42" ht="13.5" thickBot="1">
      <c r="B7" s="1408" t="s">
        <v>749</v>
      </c>
      <c r="D7" s="412" t="s">
        <v>752</v>
      </c>
    </row>
    <row r="8" spans="1:42">
      <c r="A8" s="26"/>
      <c r="B8" s="27" t="s">
        <v>65</v>
      </c>
      <c r="C8" s="259"/>
      <c r="D8" s="1346">
        <f>Assum!E258</f>
        <v>1</v>
      </c>
      <c r="E8" s="27">
        <f t="shared" ref="E8:AI8" si="0">$D$8*E5</f>
        <v>8023.471390611805</v>
      </c>
      <c r="F8" s="27">
        <f t="shared" si="0"/>
        <v>6224.052313004494</v>
      </c>
      <c r="G8" s="27">
        <f t="shared" si="0"/>
        <v>6286.757449714527</v>
      </c>
      <c r="H8" s="27">
        <f t="shared" si="0"/>
        <v>6272.875352936836</v>
      </c>
      <c r="I8" s="27">
        <f t="shared" si="0"/>
        <v>6267.6237203518313</v>
      </c>
      <c r="J8" s="27">
        <f t="shared" si="0"/>
        <v>6574.9111456231785</v>
      </c>
      <c r="K8" s="27">
        <f t="shared" si="0"/>
        <v>6172.5002013253625</v>
      </c>
      <c r="L8" s="27">
        <f t="shared" si="0"/>
        <v>6193.1151324725852</v>
      </c>
      <c r="M8" s="27">
        <f t="shared" si="0"/>
        <v>6214.3822377810275</v>
      </c>
      <c r="N8" s="27">
        <f t="shared" si="0"/>
        <v>6311.9918104477301</v>
      </c>
      <c r="O8" s="27">
        <f t="shared" si="0"/>
        <v>6423.2949072350739</v>
      </c>
      <c r="P8" s="27">
        <f t="shared" si="0"/>
        <v>6545.9996224597162</v>
      </c>
      <c r="Q8" s="27">
        <f t="shared" si="0"/>
        <v>6679.9655884923941</v>
      </c>
      <c r="R8" s="27">
        <f t="shared" si="0"/>
        <v>6596.4264026051933</v>
      </c>
      <c r="S8" s="27">
        <f t="shared" si="0"/>
        <v>6497.5457824282885</v>
      </c>
      <c r="T8" s="27">
        <f t="shared" si="0"/>
        <v>6289.2184261837419</v>
      </c>
      <c r="U8" s="27">
        <f t="shared" si="0"/>
        <v>6224.3501313331317</v>
      </c>
      <c r="V8" s="27">
        <f t="shared" si="0"/>
        <v>6158.2653117943801</v>
      </c>
      <c r="W8" s="27">
        <f t="shared" si="0"/>
        <v>6207.0479406734712</v>
      </c>
      <c r="X8" s="27">
        <f t="shared" si="0"/>
        <v>6123.5524651940395</v>
      </c>
      <c r="Y8" s="27">
        <f t="shared" si="0"/>
        <v>17.933605039226435</v>
      </c>
      <c r="Z8" s="27">
        <f t="shared" si="0"/>
        <v>0</v>
      </c>
      <c r="AA8" s="27">
        <f t="shared" si="0"/>
        <v>0</v>
      </c>
      <c r="AB8" s="27">
        <f t="shared" si="0"/>
        <v>0</v>
      </c>
      <c r="AC8" s="27">
        <f t="shared" si="0"/>
        <v>0</v>
      </c>
      <c r="AD8" s="27">
        <f t="shared" si="0"/>
        <v>0</v>
      </c>
      <c r="AE8" s="27">
        <f t="shared" si="0"/>
        <v>0</v>
      </c>
      <c r="AF8" s="27">
        <f t="shared" si="0"/>
        <v>0</v>
      </c>
      <c r="AG8" s="27">
        <f t="shared" si="0"/>
        <v>0</v>
      </c>
      <c r="AH8" s="27">
        <f t="shared" si="0"/>
        <v>0</v>
      </c>
      <c r="AI8" s="27">
        <f t="shared" si="0"/>
        <v>0</v>
      </c>
      <c r="AJ8" s="27"/>
      <c r="AK8" s="263"/>
      <c r="AL8" s="27"/>
      <c r="AM8" s="27"/>
      <c r="AN8" s="27"/>
      <c r="AO8" s="27"/>
      <c r="AP8" s="27"/>
    </row>
    <row r="9" spans="1:42">
      <c r="A9" s="26"/>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63"/>
      <c r="AL9" s="27"/>
      <c r="AM9" s="27"/>
      <c r="AN9" s="27"/>
      <c r="AO9" s="27"/>
      <c r="AP9" s="27"/>
    </row>
    <row r="10" spans="1:42" s="707" customFormat="1">
      <c r="A10" s="26"/>
      <c r="B10" s="705"/>
      <c r="C10" s="705"/>
      <c r="D10" s="705"/>
      <c r="E10" s="921">
        <v>1</v>
      </c>
      <c r="F10" s="922">
        <v>2</v>
      </c>
      <c r="G10" s="922">
        <v>3</v>
      </c>
      <c r="H10" s="922">
        <v>4</v>
      </c>
      <c r="I10" s="922">
        <v>5</v>
      </c>
      <c r="J10" s="922">
        <v>6</v>
      </c>
      <c r="K10" s="922">
        <v>7</v>
      </c>
      <c r="L10" s="922">
        <v>8</v>
      </c>
      <c r="M10" s="922">
        <v>9</v>
      </c>
      <c r="N10" s="922">
        <v>10</v>
      </c>
      <c r="O10" s="922">
        <v>11</v>
      </c>
      <c r="P10" s="922">
        <v>12</v>
      </c>
      <c r="Q10" s="922">
        <v>13</v>
      </c>
      <c r="R10" s="922">
        <v>14</v>
      </c>
      <c r="S10" s="922">
        <v>15</v>
      </c>
      <c r="T10" s="922">
        <v>16</v>
      </c>
      <c r="U10" s="922">
        <v>17</v>
      </c>
      <c r="V10" s="922">
        <v>18</v>
      </c>
      <c r="W10" s="922">
        <v>19</v>
      </c>
      <c r="X10" s="922">
        <v>20</v>
      </c>
      <c r="Y10" s="922">
        <v>21</v>
      </c>
      <c r="Z10" s="922">
        <v>22</v>
      </c>
      <c r="AA10" s="922">
        <v>23</v>
      </c>
      <c r="AB10" s="922">
        <v>24</v>
      </c>
      <c r="AC10" s="922">
        <v>25</v>
      </c>
      <c r="AD10" s="922">
        <v>26</v>
      </c>
      <c r="AE10" s="922">
        <v>27</v>
      </c>
      <c r="AF10" s="922">
        <v>28</v>
      </c>
      <c r="AG10" s="922">
        <v>29</v>
      </c>
      <c r="AH10" s="922">
        <v>30</v>
      </c>
      <c r="AI10" s="923">
        <v>31</v>
      </c>
      <c r="AJ10" s="705"/>
      <c r="AK10" s="1417"/>
      <c r="AL10" s="705"/>
      <c r="AM10" s="706"/>
      <c r="AN10" s="706"/>
      <c r="AO10" s="706"/>
      <c r="AP10" s="706"/>
    </row>
    <row r="11" spans="1:42">
      <c r="A11" s="26"/>
      <c r="B11" s="24" t="s">
        <v>359</v>
      </c>
      <c r="C11" s="24"/>
      <c r="D11" s="24"/>
      <c r="E11" s="29">
        <f>Assum!E249</f>
        <v>1.4</v>
      </c>
      <c r="F11" s="29">
        <f>Assum!F249</f>
        <v>1.4</v>
      </c>
      <c r="G11" s="29">
        <f>Assum!G249</f>
        <v>1.4</v>
      </c>
      <c r="H11" s="29">
        <f>Assum!H249</f>
        <v>1.4</v>
      </c>
      <c r="I11" s="29">
        <f>Assum!I249</f>
        <v>1.4</v>
      </c>
      <c r="J11" s="29">
        <f>Assum!J249</f>
        <v>1.4</v>
      </c>
      <c r="K11" s="29">
        <f>Assum!K249</f>
        <v>1.4</v>
      </c>
      <c r="L11" s="29">
        <f>Assum!L249</f>
        <v>1.4</v>
      </c>
      <c r="M11" s="29">
        <f>Assum!M249</f>
        <v>1.4</v>
      </c>
      <c r="N11" s="29">
        <f>Assum!N249</f>
        <v>1.4</v>
      </c>
      <c r="O11" s="29">
        <f>Assum!O249</f>
        <v>1.4</v>
      </c>
      <c r="P11" s="29">
        <f>Assum!P249</f>
        <v>1.4</v>
      </c>
      <c r="Q11" s="29">
        <f>Assum!Q249</f>
        <v>1.4</v>
      </c>
      <c r="R11" s="29">
        <f>Assum!R249</f>
        <v>1.4</v>
      </c>
      <c r="S11" s="29">
        <f>Assum!S249</f>
        <v>1.4</v>
      </c>
      <c r="T11" s="29">
        <f>Assum!T249</f>
        <v>1.4</v>
      </c>
      <c r="U11" s="29">
        <f>Assum!U249</f>
        <v>1.4</v>
      </c>
      <c r="V11" s="29">
        <f>Assum!V249</f>
        <v>1.4</v>
      </c>
      <c r="W11" s="29">
        <f>Assum!W249</f>
        <v>1.4</v>
      </c>
      <c r="X11" s="29">
        <f>Assum!X249</f>
        <v>1.4</v>
      </c>
      <c r="Y11" s="29">
        <f>Assum!Y249</f>
        <v>1.4</v>
      </c>
      <c r="Z11" s="29">
        <f>Assum!Z249</f>
        <v>1.4</v>
      </c>
      <c r="AA11" s="29">
        <f>Assum!AA249</f>
        <v>1.4</v>
      </c>
      <c r="AB11" s="29">
        <f>Assum!AB249</f>
        <v>1.4</v>
      </c>
      <c r="AC11" s="29">
        <f>Assum!AC249</f>
        <v>1.4</v>
      </c>
      <c r="AD11" s="29">
        <f>Assum!AD249</f>
        <v>1.4</v>
      </c>
      <c r="AE11" s="29">
        <f>Assum!AE249</f>
        <v>1.4</v>
      </c>
      <c r="AF11" s="29">
        <f>Assum!AF249</f>
        <v>1.4</v>
      </c>
      <c r="AG11" s="29">
        <f>Assum!AG249</f>
        <v>1.4</v>
      </c>
      <c r="AH11" s="29">
        <f>Assum!AH249</f>
        <v>1.4</v>
      </c>
      <c r="AI11" s="29">
        <f>Assum!AI249</f>
        <v>1.4</v>
      </c>
      <c r="AJ11" s="24"/>
      <c r="AK11" s="259"/>
      <c r="AL11" s="24"/>
      <c r="AM11" s="23"/>
      <c r="AN11" s="23"/>
      <c r="AO11" s="23"/>
      <c r="AP11" s="23"/>
    </row>
    <row r="12" spans="1:42">
      <c r="A12" s="26"/>
      <c r="B12" s="24" t="s">
        <v>360</v>
      </c>
      <c r="C12" s="1344"/>
      <c r="D12" s="1344"/>
      <c r="E12" s="29">
        <f t="shared" ref="E12:AI12" si="1">IF(E46=0," ",E8/E46)</f>
        <v>1.4</v>
      </c>
      <c r="F12" s="29">
        <f t="shared" si="1"/>
        <v>1.4</v>
      </c>
      <c r="G12" s="29">
        <f t="shared" si="1"/>
        <v>1.4</v>
      </c>
      <c r="H12" s="29">
        <f t="shared" si="1"/>
        <v>1.4</v>
      </c>
      <c r="I12" s="29">
        <f t="shared" si="1"/>
        <v>1.4000000000000001</v>
      </c>
      <c r="J12" s="29">
        <f t="shared" si="1"/>
        <v>1.4000000000000001</v>
      </c>
      <c r="K12" s="29">
        <f t="shared" si="1"/>
        <v>1.4</v>
      </c>
      <c r="L12" s="29">
        <f t="shared" si="1"/>
        <v>1.4</v>
      </c>
      <c r="M12" s="29">
        <f t="shared" si="1"/>
        <v>1.4</v>
      </c>
      <c r="N12" s="29">
        <f t="shared" si="1"/>
        <v>1.4</v>
      </c>
      <c r="O12" s="29">
        <f t="shared" si="1"/>
        <v>1.4</v>
      </c>
      <c r="P12" s="29">
        <f t="shared" si="1"/>
        <v>1.4000000000000001</v>
      </c>
      <c r="Q12" s="29">
        <f t="shared" si="1"/>
        <v>1.4</v>
      </c>
      <c r="R12" s="29">
        <f t="shared" si="1"/>
        <v>1.4</v>
      </c>
      <c r="S12" s="29">
        <f t="shared" si="1"/>
        <v>1.4</v>
      </c>
      <c r="T12" s="29">
        <f t="shared" si="1"/>
        <v>1.4</v>
      </c>
      <c r="U12" s="29">
        <f t="shared" si="1"/>
        <v>1.3999999999999997</v>
      </c>
      <c r="V12" s="29">
        <f t="shared" si="1"/>
        <v>1.7814762585292059</v>
      </c>
      <c r="W12" s="29" t="str">
        <f t="shared" si="1"/>
        <v xml:space="preserve"> </v>
      </c>
      <c r="X12" s="29" t="str">
        <f t="shared" si="1"/>
        <v xml:space="preserve"> </v>
      </c>
      <c r="Y12" s="29" t="str">
        <f t="shared" si="1"/>
        <v xml:space="preserve"> </v>
      </c>
      <c r="Z12" s="29" t="str">
        <f t="shared" si="1"/>
        <v xml:space="preserve"> </v>
      </c>
      <c r="AA12" s="29" t="str">
        <f t="shared" si="1"/>
        <v xml:space="preserve"> </v>
      </c>
      <c r="AB12" s="29" t="str">
        <f t="shared" si="1"/>
        <v xml:space="preserve"> </v>
      </c>
      <c r="AC12" s="29" t="str">
        <f t="shared" si="1"/>
        <v xml:space="preserve"> </v>
      </c>
      <c r="AD12" s="29" t="str">
        <f t="shared" si="1"/>
        <v xml:space="preserve"> </v>
      </c>
      <c r="AE12" s="29" t="str">
        <f t="shared" si="1"/>
        <v xml:space="preserve"> </v>
      </c>
      <c r="AF12" s="29" t="str">
        <f t="shared" si="1"/>
        <v xml:space="preserve"> </v>
      </c>
      <c r="AG12" s="29" t="str">
        <f t="shared" si="1"/>
        <v xml:space="preserve"> </v>
      </c>
      <c r="AH12" s="29" t="str">
        <f t="shared" si="1"/>
        <v xml:space="preserve"> </v>
      </c>
      <c r="AI12" s="29" t="str">
        <f t="shared" si="1"/>
        <v xml:space="preserve"> </v>
      </c>
      <c r="AJ12" s="24"/>
      <c r="AK12" s="259"/>
      <c r="AL12" s="24"/>
      <c r="AM12" s="23"/>
      <c r="AN12" s="23"/>
      <c r="AO12" s="23"/>
      <c r="AP12" s="23"/>
    </row>
    <row r="13" spans="1:42">
      <c r="A13" s="26"/>
      <c r="F13" s="643"/>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63"/>
      <c r="AL13" s="27"/>
      <c r="AM13" s="27"/>
      <c r="AN13" s="27"/>
      <c r="AO13" s="27"/>
      <c r="AP13" s="27"/>
    </row>
    <row r="14" spans="1:42">
      <c r="A14" s="26"/>
      <c r="B14" s="27" t="s">
        <v>263</v>
      </c>
      <c r="C14" s="27"/>
      <c r="D14" s="27"/>
      <c r="E14" s="28">
        <f>Assum!E253</f>
        <v>9.0999999999999998E-2</v>
      </c>
      <c r="F14" s="28">
        <f>Assum!F253</f>
        <v>9.0999999999999998E-2</v>
      </c>
      <c r="G14" s="28">
        <f>Assum!G253</f>
        <v>9.0999999999999998E-2</v>
      </c>
      <c r="H14" s="28">
        <f>Assum!H253</f>
        <v>9.0999999999999998E-2</v>
      </c>
      <c r="I14" s="28">
        <f>Assum!I253</f>
        <v>9.0999999999999998E-2</v>
      </c>
      <c r="J14" s="28">
        <f>Assum!J253</f>
        <v>9.0999999999999998E-2</v>
      </c>
      <c r="K14" s="28">
        <f>Assum!K253</f>
        <v>9.0999999999999998E-2</v>
      </c>
      <c r="L14" s="28">
        <f>Assum!L253</f>
        <v>9.0999999999999998E-2</v>
      </c>
      <c r="M14" s="28">
        <f>Assum!M253</f>
        <v>9.0999999999999998E-2</v>
      </c>
      <c r="N14" s="28">
        <f>Assum!N253</f>
        <v>9.0999999999999998E-2</v>
      </c>
      <c r="O14" s="28">
        <f>Assum!O253</f>
        <v>9.0999999999999998E-2</v>
      </c>
      <c r="P14" s="28">
        <f>Assum!P253</f>
        <v>9.0999999999999998E-2</v>
      </c>
      <c r="Q14" s="28">
        <f>Assum!Q253</f>
        <v>9.1499999999999998E-2</v>
      </c>
      <c r="R14" s="28">
        <f>Assum!R253</f>
        <v>9.1999999999999998E-2</v>
      </c>
      <c r="S14" s="28">
        <f>Assum!S253</f>
        <v>9.2499999999999999E-2</v>
      </c>
      <c r="T14" s="28">
        <f>Assum!T253</f>
        <v>9.2999999999999999E-2</v>
      </c>
      <c r="U14" s="28">
        <f>Assum!U253</f>
        <v>9.35E-2</v>
      </c>
      <c r="V14" s="28">
        <f>Assum!V253</f>
        <v>9.4E-2</v>
      </c>
      <c r="W14" s="28">
        <f>Assum!W253</f>
        <v>9.4500000000000001E-2</v>
      </c>
      <c r="X14" s="28">
        <f>Assum!X253</f>
        <v>9.5000000000000001E-2</v>
      </c>
      <c r="Y14" s="28">
        <f>Assum!Y253</f>
        <v>9.5500000000000002E-2</v>
      </c>
      <c r="Z14" s="28">
        <f>Assum!Z253</f>
        <v>9.6000000000000002E-2</v>
      </c>
      <c r="AA14" s="28">
        <f>Assum!AA253</f>
        <v>9.6500000000000002E-2</v>
      </c>
      <c r="AB14" s="28">
        <f>Assum!AB253</f>
        <v>9.7000000000000003E-2</v>
      </c>
      <c r="AC14" s="28">
        <f>Assum!AC253</f>
        <v>9.7500000000000003E-2</v>
      </c>
      <c r="AD14" s="28">
        <f>Assum!AD253</f>
        <v>9.8000000000000004E-2</v>
      </c>
      <c r="AE14" s="28">
        <f>Assum!AE253</f>
        <v>9.8500000000000004E-2</v>
      </c>
      <c r="AF14" s="28">
        <f>Assum!AF253</f>
        <v>9.9000000000000005E-2</v>
      </c>
      <c r="AG14" s="28">
        <f>Assum!AG253</f>
        <v>9.9500000000000005E-2</v>
      </c>
      <c r="AH14" s="28">
        <f>Assum!AH253</f>
        <v>0.1</v>
      </c>
      <c r="AI14" s="28">
        <f>Assum!AI253</f>
        <v>0.10050000000000001</v>
      </c>
      <c r="AJ14" s="27"/>
      <c r="AK14" s="263"/>
      <c r="AL14" s="27"/>
      <c r="AM14" s="27"/>
      <c r="AN14" s="27"/>
      <c r="AO14" s="27"/>
      <c r="AP14" s="27"/>
    </row>
    <row r="15" spans="1:42" s="703" customFormat="1">
      <c r="A15" s="26"/>
      <c r="B15" s="700" t="s">
        <v>265</v>
      </c>
      <c r="C15" s="700"/>
      <c r="D15" s="700"/>
      <c r="E15" s="1291">
        <f>PV(E14,E$1,0,-1,0)</f>
        <v>0.91659028414298815</v>
      </c>
      <c r="F15" s="1291">
        <f t="shared" ref="F15:AI15" si="2">PV(F14,F$1,0,-1,0)</f>
        <v>0.84013774898532367</v>
      </c>
      <c r="G15" s="1291">
        <f t="shared" si="2"/>
        <v>0.77006209806170833</v>
      </c>
      <c r="H15" s="1291">
        <f t="shared" si="2"/>
        <v>0.70583143727012676</v>
      </c>
      <c r="I15" s="1291">
        <f t="shared" si="2"/>
        <v>0.64695823764447913</v>
      </c>
      <c r="J15" s="1291">
        <f t="shared" si="2"/>
        <v>0.59299563487119988</v>
      </c>
      <c r="K15" s="1291">
        <f t="shared" si="2"/>
        <v>0.54353403746214479</v>
      </c>
      <c r="L15" s="1291">
        <f t="shared" si="2"/>
        <v>0.49819801783881279</v>
      </c>
      <c r="M15" s="1291">
        <f t="shared" si="2"/>
        <v>0.45664346273035089</v>
      </c>
      <c r="N15" s="1291">
        <f t="shared" si="2"/>
        <v>0.4185549612560503</v>
      </c>
      <c r="O15" s="1291">
        <f t="shared" si="2"/>
        <v>0.38364341086714054</v>
      </c>
      <c r="P15" s="1291">
        <f t="shared" si="2"/>
        <v>0.35164382297629748</v>
      </c>
      <c r="Q15" s="1291">
        <f t="shared" si="2"/>
        <v>0.32039916782158978</v>
      </c>
      <c r="R15" s="1291">
        <f t="shared" si="2"/>
        <v>0.29166415798672701</v>
      </c>
      <c r="S15" s="1291">
        <f t="shared" si="2"/>
        <v>0.26526400070849487</v>
      </c>
      <c r="T15" s="1291">
        <f t="shared" si="2"/>
        <v>0.24103350093806933</v>
      </c>
      <c r="U15" s="1291">
        <f t="shared" si="2"/>
        <v>0.21881677585193821</v>
      </c>
      <c r="V15" s="1291">
        <f t="shared" si="2"/>
        <v>0.19846695386250202</v>
      </c>
      <c r="W15" s="1291">
        <f t="shared" si="2"/>
        <v>0.17984586119656323</v>
      </c>
      <c r="X15" s="1291">
        <f t="shared" si="2"/>
        <v>0.16282369889999526</v>
      </c>
      <c r="Y15" s="1291">
        <f t="shared" si="2"/>
        <v>0.14727871291631461</v>
      </c>
      <c r="Z15" s="1291">
        <f t="shared" si="2"/>
        <v>0.13309685967736951</v>
      </c>
      <c r="AA15" s="1291">
        <f t="shared" si="2"/>
        <v>0.12017146943757696</v>
      </c>
      <c r="AB15" s="1291">
        <f t="shared" si="2"/>
        <v>0.10840290938039351</v>
      </c>
      <c r="AC15" s="1291">
        <f t="shared" si="2"/>
        <v>9.7698248328336429E-2</v>
      </c>
      <c r="AD15" s="1291">
        <f t="shared" si="2"/>
        <v>8.7970924696829766E-2</v>
      </c>
      <c r="AE15" s="1291">
        <f t="shared" si="2"/>
        <v>7.9140419148440652E-2</v>
      </c>
      <c r="AF15" s="1291">
        <f t="shared" si="2"/>
        <v>7.1131933228363378E-2</v>
      </c>
      <c r="AG15" s="1291">
        <f t="shared" si="2"/>
        <v>6.3876075094958573E-2</v>
      </c>
      <c r="AH15" s="1291">
        <f t="shared" si="2"/>
        <v>5.7308553301167964E-2</v>
      </c>
      <c r="AI15" s="1291">
        <f t="shared" si="2"/>
        <v>5.1369879434094032E-2</v>
      </c>
      <c r="AJ15" s="700"/>
      <c r="AK15" s="714"/>
      <c r="AL15" s="700"/>
      <c r="AM15" s="702"/>
      <c r="AN15" s="702"/>
      <c r="AO15" s="702"/>
      <c r="AP15" s="702"/>
    </row>
    <row r="16" spans="1:42" s="703" customFormat="1">
      <c r="A16" s="26"/>
      <c r="D16" s="700"/>
      <c r="F16" s="704"/>
      <c r="G16" s="704"/>
      <c r="H16" s="704"/>
      <c r="I16" s="704"/>
      <c r="J16" s="704"/>
      <c r="K16" s="704"/>
      <c r="L16" s="704"/>
      <c r="M16" s="704"/>
      <c r="N16" s="704"/>
      <c r="O16" s="704"/>
      <c r="P16" s="704"/>
      <c r="Q16" s="704"/>
      <c r="R16" s="704"/>
      <c r="S16" s="704"/>
      <c r="T16" s="704"/>
      <c r="U16" s="704"/>
      <c r="V16" s="704"/>
      <c r="W16" s="704"/>
      <c r="X16" s="704"/>
      <c r="Y16" s="704"/>
      <c r="Z16" s="704"/>
      <c r="AA16" s="704"/>
      <c r="AB16" s="704"/>
      <c r="AC16" s="704"/>
      <c r="AD16" s="704"/>
      <c r="AE16" s="704"/>
      <c r="AF16" s="704"/>
      <c r="AG16" s="704"/>
      <c r="AH16" s="704"/>
      <c r="AI16" s="704"/>
      <c r="AJ16" s="700"/>
      <c r="AK16" s="714"/>
      <c r="AL16" s="700"/>
      <c r="AM16" s="702"/>
      <c r="AN16" s="702"/>
      <c r="AO16" s="702"/>
      <c r="AP16" s="702"/>
    </row>
    <row r="17" spans="1:42" s="241" customFormat="1">
      <c r="A17" s="26"/>
      <c r="B17" s="426" t="s">
        <v>405</v>
      </c>
      <c r="C17" s="426"/>
      <c r="D17" s="428" t="e">
        <f>D8/D11</f>
        <v>#DIV/0!</v>
      </c>
      <c r="E17" s="428">
        <f t="shared" ref="E17:AI17" si="3">E8/E11</f>
        <v>5731.0509932941468</v>
      </c>
      <c r="F17" s="428">
        <f t="shared" si="3"/>
        <v>4445.7516521460675</v>
      </c>
      <c r="G17" s="428">
        <f t="shared" si="3"/>
        <v>4490.5410355103768</v>
      </c>
      <c r="H17" s="428">
        <f t="shared" si="3"/>
        <v>4480.6252520977405</v>
      </c>
      <c r="I17" s="428">
        <f t="shared" si="3"/>
        <v>4476.8740859655936</v>
      </c>
      <c r="J17" s="428">
        <f t="shared" si="3"/>
        <v>4696.365104016556</v>
      </c>
      <c r="K17" s="428">
        <f t="shared" si="3"/>
        <v>4408.9287152324023</v>
      </c>
      <c r="L17" s="428">
        <f t="shared" si="3"/>
        <v>4423.6536660518468</v>
      </c>
      <c r="M17" s="428">
        <f t="shared" si="3"/>
        <v>4438.8444555578772</v>
      </c>
      <c r="N17" s="428">
        <f t="shared" si="3"/>
        <v>4508.5655788912363</v>
      </c>
      <c r="O17" s="428">
        <f t="shared" si="3"/>
        <v>4588.0677908821963</v>
      </c>
      <c r="P17" s="428">
        <f t="shared" si="3"/>
        <v>4675.7140160426543</v>
      </c>
      <c r="Q17" s="428">
        <f t="shared" si="3"/>
        <v>4771.403991780282</v>
      </c>
      <c r="R17" s="428">
        <f t="shared" si="3"/>
        <v>4711.7331447179959</v>
      </c>
      <c r="S17" s="428">
        <f t="shared" si="3"/>
        <v>4641.104130305921</v>
      </c>
      <c r="T17" s="428">
        <f t="shared" si="3"/>
        <v>4492.2988758455303</v>
      </c>
      <c r="U17" s="428">
        <f t="shared" si="3"/>
        <v>4445.9643795236661</v>
      </c>
      <c r="V17" s="428">
        <f t="shared" si="3"/>
        <v>4398.7609369959864</v>
      </c>
      <c r="W17" s="428">
        <f t="shared" si="3"/>
        <v>4433.6056719096223</v>
      </c>
      <c r="X17" s="428">
        <f t="shared" si="3"/>
        <v>4373.9660465671714</v>
      </c>
      <c r="Y17" s="428">
        <f t="shared" si="3"/>
        <v>12.80971788516174</v>
      </c>
      <c r="Z17" s="428">
        <f t="shared" si="3"/>
        <v>0</v>
      </c>
      <c r="AA17" s="428">
        <f t="shared" si="3"/>
        <v>0</v>
      </c>
      <c r="AB17" s="428">
        <f t="shared" si="3"/>
        <v>0</v>
      </c>
      <c r="AC17" s="428">
        <f t="shared" si="3"/>
        <v>0</v>
      </c>
      <c r="AD17" s="428">
        <f t="shared" si="3"/>
        <v>0</v>
      </c>
      <c r="AE17" s="428">
        <f t="shared" si="3"/>
        <v>0</v>
      </c>
      <c r="AF17" s="428">
        <f t="shared" si="3"/>
        <v>0</v>
      </c>
      <c r="AG17" s="428">
        <f t="shared" si="3"/>
        <v>0</v>
      </c>
      <c r="AH17" s="428">
        <f t="shared" si="3"/>
        <v>0</v>
      </c>
      <c r="AI17" s="428">
        <f t="shared" si="3"/>
        <v>0</v>
      </c>
      <c r="AJ17" s="426"/>
      <c r="AK17" s="542"/>
      <c r="AL17" s="426"/>
      <c r="AM17" s="427"/>
      <c r="AN17" s="427"/>
      <c r="AO17" s="427"/>
      <c r="AP17" s="427"/>
    </row>
    <row r="18" spans="1:42">
      <c r="A18" s="26"/>
      <c r="B18" s="27" t="s">
        <v>33</v>
      </c>
      <c r="C18" s="27"/>
      <c r="D18" s="27" t="e">
        <f>IF(D1&lt;=$E$21,D8/D11,0)+IF(AND(D1=$E$21+1,Assum!$H$23&lt;1),(1-Assum!$H$23)*SrDebt!D8/SrDebt!D11,0)</f>
        <v>#DIV/0!</v>
      </c>
      <c r="E18" s="1251">
        <f>IF(E$1&lt;=$E$21,E8/E11,0)</f>
        <v>5731.0509932941468</v>
      </c>
      <c r="F18" s="1251">
        <f t="shared" ref="F18:AI18" si="4">IF(F1&lt;=$E$21,F8/F11,0)</f>
        <v>4445.7516521460675</v>
      </c>
      <c r="G18" s="1251">
        <f t="shared" si="4"/>
        <v>4490.5410355103768</v>
      </c>
      <c r="H18" s="1251">
        <f t="shared" si="4"/>
        <v>4480.6252520977405</v>
      </c>
      <c r="I18" s="1251">
        <f t="shared" si="4"/>
        <v>4476.8740859655936</v>
      </c>
      <c r="J18" s="1251">
        <f t="shared" si="4"/>
        <v>4696.365104016556</v>
      </c>
      <c r="K18" s="1251">
        <f t="shared" si="4"/>
        <v>4408.9287152324023</v>
      </c>
      <c r="L18" s="1251">
        <f t="shared" si="4"/>
        <v>4423.6536660518468</v>
      </c>
      <c r="M18" s="1251">
        <f t="shared" si="4"/>
        <v>4438.8444555578772</v>
      </c>
      <c r="N18" s="1251">
        <f t="shared" si="4"/>
        <v>4508.5655788912363</v>
      </c>
      <c r="O18" s="1251">
        <f t="shared" si="4"/>
        <v>4588.0677908821963</v>
      </c>
      <c r="P18" s="1251">
        <f t="shared" si="4"/>
        <v>4675.7140160426543</v>
      </c>
      <c r="Q18" s="1251">
        <f t="shared" si="4"/>
        <v>4771.403991780282</v>
      </c>
      <c r="R18" s="1251">
        <f t="shared" si="4"/>
        <v>4711.7331447179959</v>
      </c>
      <c r="S18" s="1251">
        <f t="shared" si="4"/>
        <v>4641.104130305921</v>
      </c>
      <c r="T18" s="1251">
        <f t="shared" si="4"/>
        <v>4492.2988758455303</v>
      </c>
      <c r="U18" s="1251">
        <f t="shared" si="4"/>
        <v>4445.9643795236661</v>
      </c>
      <c r="V18" s="1251">
        <f t="shared" si="4"/>
        <v>4398.7609369959864</v>
      </c>
      <c r="W18" s="1251">
        <f t="shared" si="4"/>
        <v>0</v>
      </c>
      <c r="X18" s="1251">
        <f t="shared" si="4"/>
        <v>0</v>
      </c>
      <c r="Y18" s="1251">
        <f t="shared" si="4"/>
        <v>0</v>
      </c>
      <c r="Z18" s="1251">
        <f t="shared" si="4"/>
        <v>0</v>
      </c>
      <c r="AA18" s="1251">
        <f t="shared" si="4"/>
        <v>0</v>
      </c>
      <c r="AB18" s="1251">
        <f t="shared" si="4"/>
        <v>0</v>
      </c>
      <c r="AC18" s="1251">
        <f t="shared" si="4"/>
        <v>0</v>
      </c>
      <c r="AD18" s="1251">
        <f t="shared" si="4"/>
        <v>0</v>
      </c>
      <c r="AE18" s="1251">
        <f t="shared" si="4"/>
        <v>0</v>
      </c>
      <c r="AF18" s="1251">
        <f t="shared" si="4"/>
        <v>0</v>
      </c>
      <c r="AG18" s="1251">
        <f t="shared" si="4"/>
        <v>0</v>
      </c>
      <c r="AH18" s="1251">
        <f t="shared" si="4"/>
        <v>0</v>
      </c>
      <c r="AI18" s="1251">
        <f t="shared" si="4"/>
        <v>0</v>
      </c>
      <c r="AJ18" s="27"/>
      <c r="AK18" s="263"/>
      <c r="AL18" s="27"/>
      <c r="AM18" s="27"/>
      <c r="AN18" s="27"/>
      <c r="AO18" s="27"/>
      <c r="AP18" s="27"/>
    </row>
    <row r="19" spans="1:42" s="703" customFormat="1">
      <c r="A19" s="26"/>
      <c r="B19" s="700" t="s">
        <v>357</v>
      </c>
      <c r="C19" s="700"/>
      <c r="D19" s="700"/>
      <c r="E19" s="708">
        <f t="shared" ref="E19:AI19" si="5">E18*E15</f>
        <v>5253.0256583814362</v>
      </c>
      <c r="F19" s="708">
        <f>F18*F15</f>
        <v>3735.0437855817809</v>
      </c>
      <c r="G19" s="708">
        <f t="shared" si="5"/>
        <v>3457.995451237317</v>
      </c>
      <c r="H19" s="708">
        <f t="shared" si="5"/>
        <v>3162.566161556972</v>
      </c>
      <c r="I19" s="708">
        <f t="shared" si="5"/>
        <v>2896.3505688125388</v>
      </c>
      <c r="J19" s="708">
        <f t="shared" si="5"/>
        <v>2784.9240064432461</v>
      </c>
      <c r="K19" s="708">
        <f t="shared" si="5"/>
        <v>2396.4028254730542</v>
      </c>
      <c r="L19" s="708">
        <f t="shared" si="5"/>
        <v>2203.8554880324277</v>
      </c>
      <c r="M19" s="708">
        <f t="shared" si="5"/>
        <v>2026.9693027073681</v>
      </c>
      <c r="N19" s="708">
        <f t="shared" si="5"/>
        <v>1887.0824911931834</v>
      </c>
      <c r="O19" s="708">
        <f t="shared" si="5"/>
        <v>1760.1819765837122</v>
      </c>
      <c r="P19" s="708">
        <f t="shared" si="5"/>
        <v>1644.1859517450962</v>
      </c>
      <c r="Q19" s="708">
        <f t="shared" si="5"/>
        <v>1528.753868307014</v>
      </c>
      <c r="R19" s="708">
        <f t="shared" si="5"/>
        <v>1374.2436803123276</v>
      </c>
      <c r="S19" s="708">
        <f t="shared" si="5"/>
        <v>1231.1178493096684</v>
      </c>
      <c r="T19" s="708">
        <f t="shared" si="5"/>
        <v>1082.7945253052014</v>
      </c>
      <c r="U19" s="708">
        <f t="shared" si="5"/>
        <v>972.85159107993161</v>
      </c>
      <c r="V19" s="708">
        <f t="shared" si="5"/>
        <v>873.00868393495853</v>
      </c>
      <c r="W19" s="708">
        <f t="shared" si="5"/>
        <v>0</v>
      </c>
      <c r="X19" s="708">
        <f t="shared" si="5"/>
        <v>0</v>
      </c>
      <c r="Y19" s="708">
        <f t="shared" si="5"/>
        <v>0</v>
      </c>
      <c r="Z19" s="708">
        <f t="shared" si="5"/>
        <v>0</v>
      </c>
      <c r="AA19" s="708">
        <f t="shared" si="5"/>
        <v>0</v>
      </c>
      <c r="AB19" s="708">
        <f t="shared" si="5"/>
        <v>0</v>
      </c>
      <c r="AC19" s="708">
        <f t="shared" si="5"/>
        <v>0</v>
      </c>
      <c r="AD19" s="708">
        <f t="shared" si="5"/>
        <v>0</v>
      </c>
      <c r="AE19" s="708">
        <f t="shared" si="5"/>
        <v>0</v>
      </c>
      <c r="AF19" s="708">
        <f t="shared" si="5"/>
        <v>0</v>
      </c>
      <c r="AG19" s="708">
        <f t="shared" si="5"/>
        <v>0</v>
      </c>
      <c r="AH19" s="708">
        <f t="shared" si="5"/>
        <v>0</v>
      </c>
      <c r="AI19" s="708">
        <f t="shared" si="5"/>
        <v>0</v>
      </c>
      <c r="AJ19" s="700"/>
      <c r="AK19" s="714"/>
      <c r="AL19" s="700"/>
      <c r="AM19" s="702"/>
      <c r="AN19" s="702"/>
      <c r="AO19" s="702"/>
      <c r="AP19" s="702"/>
    </row>
    <row r="20" spans="1:42" s="703" customFormat="1">
      <c r="A20" s="26"/>
      <c r="B20" s="700" t="s">
        <v>68</v>
      </c>
      <c r="C20" s="700"/>
      <c r="D20" s="700"/>
      <c r="E20" s="708">
        <f>SUM(E19:AI19)+Assum!E243</f>
        <v>40271.353865997233</v>
      </c>
      <c r="F20" s="701"/>
      <c r="I20" s="701"/>
      <c r="J20" s="701"/>
      <c r="K20" s="701"/>
      <c r="L20" s="701"/>
      <c r="M20" s="701"/>
      <c r="N20" s="701"/>
      <c r="O20" s="701"/>
      <c r="P20" s="701"/>
      <c r="Q20" s="701"/>
      <c r="R20" s="701"/>
      <c r="S20" s="701"/>
      <c r="T20" s="701"/>
      <c r="U20" s="701"/>
      <c r="V20" s="701"/>
      <c r="W20" s="701"/>
      <c r="X20" s="701"/>
      <c r="Y20" s="701"/>
      <c r="Z20" s="701"/>
      <c r="AA20" s="701"/>
      <c r="AB20" s="701"/>
      <c r="AC20" s="701"/>
      <c r="AD20" s="701"/>
      <c r="AE20" s="701"/>
      <c r="AF20" s="701"/>
      <c r="AG20" s="701"/>
      <c r="AH20" s="701"/>
      <c r="AI20" s="701"/>
      <c r="AJ20" s="700"/>
      <c r="AK20" s="714"/>
      <c r="AL20" s="700"/>
      <c r="AM20" s="702"/>
      <c r="AN20" s="702"/>
      <c r="AO20" s="702"/>
      <c r="AP20" s="702"/>
    </row>
    <row r="21" spans="1:42">
      <c r="A21" s="26"/>
      <c r="B21" s="700" t="s">
        <v>266</v>
      </c>
      <c r="C21" s="700"/>
      <c r="D21" s="27"/>
      <c r="E21" s="701">
        <f>Assum!E242</f>
        <v>18</v>
      </c>
      <c r="F21" s="29"/>
      <c r="G21" s="33">
        <f>SUM(E40:AJ41)/2</f>
        <v>18</v>
      </c>
      <c r="H21" s="32" t="s">
        <v>429</v>
      </c>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4"/>
      <c r="AK21" s="259"/>
      <c r="AL21" s="24"/>
      <c r="AM21" s="23"/>
      <c r="AN21" s="23"/>
      <c r="AO21" s="23"/>
      <c r="AP21" s="23"/>
    </row>
    <row r="22" spans="1:42" s="285" customFormat="1">
      <c r="A22" s="1532"/>
      <c r="B22" s="1578" t="s">
        <v>405</v>
      </c>
      <c r="C22" s="1532" t="s">
        <v>752</v>
      </c>
      <c r="D22" s="426"/>
      <c r="E22" s="1534"/>
      <c r="F22" s="1535"/>
      <c r="G22" s="1536"/>
      <c r="H22" s="1533"/>
      <c r="I22" s="1535"/>
      <c r="J22" s="1535"/>
      <c r="K22" s="1535"/>
      <c r="L22" s="1535"/>
      <c r="M22" s="1535"/>
      <c r="N22" s="1535"/>
      <c r="O22" s="1535"/>
      <c r="P22" s="1535"/>
      <c r="Q22" s="1535"/>
      <c r="R22" s="1535"/>
      <c r="S22" s="1535"/>
      <c r="T22" s="1535"/>
      <c r="U22" s="1535"/>
      <c r="V22" s="1535"/>
      <c r="W22" s="1535"/>
      <c r="X22" s="1535"/>
      <c r="Y22" s="1535"/>
      <c r="Z22" s="1535"/>
      <c r="AA22" s="1535"/>
      <c r="AB22" s="1535"/>
      <c r="AC22" s="1535"/>
      <c r="AD22" s="1535"/>
      <c r="AE22" s="1535"/>
      <c r="AF22" s="1535"/>
      <c r="AG22" s="1535"/>
      <c r="AH22" s="1535"/>
      <c r="AI22" s="1535"/>
      <c r="AJ22" s="1533"/>
      <c r="AK22" s="1367"/>
      <c r="AL22" s="1533"/>
      <c r="AM22" s="1537"/>
      <c r="AN22" s="1537"/>
      <c r="AO22" s="1537"/>
      <c r="AP22" s="1537"/>
    </row>
    <row r="23" spans="1:42" s="285" customFormat="1">
      <c r="A23" s="1532"/>
      <c r="B23" s="1533" t="s">
        <v>805</v>
      </c>
      <c r="C23" s="1538">
        <f>Assum!$E$247</f>
        <v>0.5</v>
      </c>
      <c r="D23" s="426"/>
      <c r="E23" s="325">
        <f>E17*$C$23</f>
        <v>2865.5254966470734</v>
      </c>
      <c r="F23" s="325">
        <f t="shared" ref="F23:AI23" si="6">F17*$C$23</f>
        <v>2222.8758260730337</v>
      </c>
      <c r="G23" s="325">
        <f t="shared" si="6"/>
        <v>2245.2705177551884</v>
      </c>
      <c r="H23" s="325">
        <f t="shared" si="6"/>
        <v>2240.3126260488702</v>
      </c>
      <c r="I23" s="325">
        <f t="shared" si="6"/>
        <v>2238.4370429827968</v>
      </c>
      <c r="J23" s="325">
        <f t="shared" si="6"/>
        <v>2348.182552008278</v>
      </c>
      <c r="K23" s="325">
        <f t="shared" si="6"/>
        <v>2204.4643576162011</v>
      </c>
      <c r="L23" s="325">
        <f t="shared" si="6"/>
        <v>2211.8268330259234</v>
      </c>
      <c r="M23" s="325">
        <f t="shared" si="6"/>
        <v>2219.4222277789386</v>
      </c>
      <c r="N23" s="325">
        <f t="shared" si="6"/>
        <v>2254.2827894456182</v>
      </c>
      <c r="O23" s="325">
        <f t="shared" si="6"/>
        <v>2294.0338954410981</v>
      </c>
      <c r="P23" s="325">
        <f t="shared" si="6"/>
        <v>2337.8570080213271</v>
      </c>
      <c r="Q23" s="325">
        <f t="shared" si="6"/>
        <v>2385.701995890141</v>
      </c>
      <c r="R23" s="325">
        <f t="shared" si="6"/>
        <v>2355.8665723589979</v>
      </c>
      <c r="S23" s="325">
        <f t="shared" si="6"/>
        <v>2320.5520651529605</v>
      </c>
      <c r="T23" s="325">
        <f t="shared" si="6"/>
        <v>2246.1494379227652</v>
      </c>
      <c r="U23" s="325">
        <f t="shared" si="6"/>
        <v>2222.9821897618331</v>
      </c>
      <c r="V23" s="325">
        <f t="shared" si="6"/>
        <v>2199.3804684979932</v>
      </c>
      <c r="W23" s="325">
        <f t="shared" si="6"/>
        <v>2216.8028359548111</v>
      </c>
      <c r="X23" s="325">
        <f t="shared" si="6"/>
        <v>2186.9830232835857</v>
      </c>
      <c r="Y23" s="325">
        <f t="shared" si="6"/>
        <v>6.4048589425808702</v>
      </c>
      <c r="Z23" s="325">
        <f t="shared" si="6"/>
        <v>0</v>
      </c>
      <c r="AA23" s="325">
        <f t="shared" si="6"/>
        <v>0</v>
      </c>
      <c r="AB23" s="325">
        <f t="shared" si="6"/>
        <v>0</v>
      </c>
      <c r="AC23" s="325">
        <f t="shared" si="6"/>
        <v>0</v>
      </c>
      <c r="AD23" s="325">
        <f t="shared" si="6"/>
        <v>0</v>
      </c>
      <c r="AE23" s="325">
        <f t="shared" si="6"/>
        <v>0</v>
      </c>
      <c r="AF23" s="325">
        <f t="shared" si="6"/>
        <v>0</v>
      </c>
      <c r="AG23" s="325">
        <f t="shared" si="6"/>
        <v>0</v>
      </c>
      <c r="AH23" s="325">
        <f t="shared" si="6"/>
        <v>0</v>
      </c>
      <c r="AI23" s="325">
        <f t="shared" si="6"/>
        <v>0</v>
      </c>
      <c r="AJ23" s="1533"/>
      <c r="AK23" s="1367"/>
      <c r="AL23" s="1533"/>
      <c r="AM23" s="1537"/>
      <c r="AN23" s="1537"/>
      <c r="AO23" s="1537"/>
      <c r="AP23" s="1537"/>
    </row>
    <row r="24" spans="1:42" s="285" customFormat="1">
      <c r="A24" s="1532"/>
      <c r="B24" s="1533" t="s">
        <v>803</v>
      </c>
      <c r="C24" s="1538">
        <f>1-C23</f>
        <v>0.5</v>
      </c>
      <c r="D24" s="426"/>
      <c r="E24" s="325">
        <f>E17*$C$24</f>
        <v>2865.5254966470734</v>
      </c>
      <c r="F24" s="325">
        <f t="shared" ref="F24:AI24" si="7">F17*$C$24</f>
        <v>2222.8758260730337</v>
      </c>
      <c r="G24" s="325">
        <f t="shared" si="7"/>
        <v>2245.2705177551884</v>
      </c>
      <c r="H24" s="325">
        <f t="shared" si="7"/>
        <v>2240.3126260488702</v>
      </c>
      <c r="I24" s="325">
        <f t="shared" si="7"/>
        <v>2238.4370429827968</v>
      </c>
      <c r="J24" s="325">
        <f t="shared" si="7"/>
        <v>2348.182552008278</v>
      </c>
      <c r="K24" s="325">
        <f t="shared" si="7"/>
        <v>2204.4643576162011</v>
      </c>
      <c r="L24" s="325">
        <f t="shared" si="7"/>
        <v>2211.8268330259234</v>
      </c>
      <c r="M24" s="325">
        <f t="shared" si="7"/>
        <v>2219.4222277789386</v>
      </c>
      <c r="N24" s="325">
        <f t="shared" si="7"/>
        <v>2254.2827894456182</v>
      </c>
      <c r="O24" s="325">
        <f t="shared" si="7"/>
        <v>2294.0338954410981</v>
      </c>
      <c r="P24" s="325">
        <f t="shared" si="7"/>
        <v>2337.8570080213271</v>
      </c>
      <c r="Q24" s="325">
        <f t="shared" si="7"/>
        <v>2385.701995890141</v>
      </c>
      <c r="R24" s="325">
        <f t="shared" si="7"/>
        <v>2355.8665723589979</v>
      </c>
      <c r="S24" s="325">
        <f t="shared" si="7"/>
        <v>2320.5520651529605</v>
      </c>
      <c r="T24" s="325">
        <f t="shared" si="7"/>
        <v>2246.1494379227652</v>
      </c>
      <c r="U24" s="325">
        <f t="shared" si="7"/>
        <v>2222.9821897618331</v>
      </c>
      <c r="V24" s="325">
        <f t="shared" si="7"/>
        <v>2199.3804684979932</v>
      </c>
      <c r="W24" s="325">
        <f t="shared" si="7"/>
        <v>2216.8028359548111</v>
      </c>
      <c r="X24" s="325">
        <f t="shared" si="7"/>
        <v>2186.9830232835857</v>
      </c>
      <c r="Y24" s="325">
        <f t="shared" si="7"/>
        <v>6.4048589425808702</v>
      </c>
      <c r="Z24" s="325">
        <f t="shared" si="7"/>
        <v>0</v>
      </c>
      <c r="AA24" s="325">
        <f t="shared" si="7"/>
        <v>0</v>
      </c>
      <c r="AB24" s="325">
        <f t="shared" si="7"/>
        <v>0</v>
      </c>
      <c r="AC24" s="325">
        <f t="shared" si="7"/>
        <v>0</v>
      </c>
      <c r="AD24" s="325">
        <f t="shared" si="7"/>
        <v>0</v>
      </c>
      <c r="AE24" s="325">
        <f t="shared" si="7"/>
        <v>0</v>
      </c>
      <c r="AF24" s="325">
        <f t="shared" si="7"/>
        <v>0</v>
      </c>
      <c r="AG24" s="325">
        <f t="shared" si="7"/>
        <v>0</v>
      </c>
      <c r="AH24" s="325">
        <f t="shared" si="7"/>
        <v>0</v>
      </c>
      <c r="AI24" s="325">
        <f t="shared" si="7"/>
        <v>0</v>
      </c>
      <c r="AJ24" s="1533"/>
      <c r="AK24" s="1367"/>
      <c r="AL24" s="1533"/>
      <c r="AM24" s="1537"/>
      <c r="AN24" s="1537"/>
      <c r="AO24" s="1537"/>
      <c r="AP24" s="1537"/>
    </row>
    <row r="25" spans="1:42" ht="13.5" thickBot="1">
      <c r="A25" s="26"/>
      <c r="B25" s="700"/>
      <c r="C25" s="700"/>
      <c r="D25" s="27"/>
      <c r="E25" s="701"/>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4"/>
      <c r="AK25" s="259"/>
      <c r="AL25" s="24"/>
      <c r="AM25" s="23"/>
      <c r="AN25" s="23"/>
      <c r="AO25" s="23"/>
      <c r="AP25" s="23"/>
    </row>
    <row r="26" spans="1:42">
      <c r="A26" s="26"/>
      <c r="B26" s="1392"/>
      <c r="C26" s="1393"/>
      <c r="D26" s="1394" t="s">
        <v>432</v>
      </c>
      <c r="E26" s="1393">
        <v>1</v>
      </c>
      <c r="F26" s="1393">
        <v>2</v>
      </c>
      <c r="G26" s="1393">
        <v>3</v>
      </c>
      <c r="H26" s="1393">
        <v>4</v>
      </c>
      <c r="I26" s="1393">
        <v>5</v>
      </c>
      <c r="J26" s="1393">
        <v>6</v>
      </c>
      <c r="K26" s="1393">
        <v>7</v>
      </c>
      <c r="L26" s="1393">
        <v>8</v>
      </c>
      <c r="M26" s="1393">
        <v>9</v>
      </c>
      <c r="N26" s="1393">
        <v>10</v>
      </c>
      <c r="O26" s="1393">
        <v>11</v>
      </c>
      <c r="P26" s="1393">
        <v>12</v>
      </c>
      <c r="Q26" s="1393">
        <v>13</v>
      </c>
      <c r="R26" s="1393">
        <v>14</v>
      </c>
      <c r="S26" s="1393">
        <v>15</v>
      </c>
      <c r="T26" s="1393">
        <v>16</v>
      </c>
      <c r="U26" s="1393">
        <v>17</v>
      </c>
      <c r="V26" s="1393">
        <v>18</v>
      </c>
      <c r="W26" s="1393">
        <v>19</v>
      </c>
      <c r="X26" s="1393">
        <v>20</v>
      </c>
      <c r="Y26" s="1393">
        <v>21</v>
      </c>
      <c r="Z26" s="1393">
        <v>22</v>
      </c>
      <c r="AA26" s="1393">
        <v>23</v>
      </c>
      <c r="AB26" s="1393">
        <v>24</v>
      </c>
      <c r="AC26" s="1393">
        <v>25</v>
      </c>
      <c r="AD26" s="1393">
        <v>26</v>
      </c>
      <c r="AE26" s="1393">
        <v>27</v>
      </c>
      <c r="AF26" s="1393">
        <v>28</v>
      </c>
      <c r="AG26" s="1393">
        <v>29</v>
      </c>
      <c r="AH26" s="1393">
        <v>30</v>
      </c>
      <c r="AI26" s="1393">
        <v>31</v>
      </c>
      <c r="AJ26" s="1402"/>
      <c r="AK26" s="259"/>
      <c r="AL26" s="24"/>
      <c r="AM26" s="23"/>
      <c r="AN26" s="23"/>
      <c r="AO26" s="23"/>
      <c r="AP26" s="23"/>
    </row>
    <row r="27" spans="1:42">
      <c r="A27" s="26"/>
      <c r="B27" s="1395" t="s">
        <v>62</v>
      </c>
      <c r="C27" s="1396"/>
      <c r="D27" s="1396"/>
      <c r="E27" s="1397">
        <f>Assum!F24</f>
        <v>35795</v>
      </c>
      <c r="F27" s="1397">
        <f>E39</f>
        <v>36158</v>
      </c>
      <c r="G27" s="1397">
        <f>F39</f>
        <v>36523</v>
      </c>
      <c r="H27" s="1397">
        <f t="shared" ref="H27:AJ27" si="8">G39</f>
        <v>36889</v>
      </c>
      <c r="I27" s="1397">
        <f t="shared" si="8"/>
        <v>37254</v>
      </c>
      <c r="J27" s="1397">
        <f t="shared" si="8"/>
        <v>37619</v>
      </c>
      <c r="K27" s="1397">
        <f t="shared" si="8"/>
        <v>37984</v>
      </c>
      <c r="L27" s="1397">
        <f t="shared" si="8"/>
        <v>38350</v>
      </c>
      <c r="M27" s="1397">
        <f t="shared" si="8"/>
        <v>38715</v>
      </c>
      <c r="N27" s="1397">
        <f t="shared" si="8"/>
        <v>39080</v>
      </c>
      <c r="O27" s="1397">
        <f t="shared" si="8"/>
        <v>39445</v>
      </c>
      <c r="P27" s="1397">
        <f t="shared" si="8"/>
        <v>39811</v>
      </c>
      <c r="Q27" s="1397">
        <f t="shared" si="8"/>
        <v>40176</v>
      </c>
      <c r="R27" s="1397">
        <f t="shared" si="8"/>
        <v>40541</v>
      </c>
      <c r="S27" s="1397">
        <f t="shared" si="8"/>
        <v>40906</v>
      </c>
      <c r="T27" s="1397">
        <f t="shared" si="8"/>
        <v>41272</v>
      </c>
      <c r="U27" s="1397">
        <f t="shared" si="8"/>
        <v>41637</v>
      </c>
      <c r="V27" s="1397">
        <f t="shared" si="8"/>
        <v>42002</v>
      </c>
      <c r="W27" s="1397">
        <f t="shared" si="8"/>
        <v>42367</v>
      </c>
      <c r="X27" s="1397">
        <f t="shared" si="8"/>
        <v>42733</v>
      </c>
      <c r="Y27" s="1397">
        <f t="shared" si="8"/>
        <v>43098</v>
      </c>
      <c r="Z27" s="1397">
        <f t="shared" si="8"/>
        <v>43463</v>
      </c>
      <c r="AA27" s="1397">
        <f t="shared" si="8"/>
        <v>43828</v>
      </c>
      <c r="AB27" s="1397">
        <f t="shared" si="8"/>
        <v>44194</v>
      </c>
      <c r="AC27" s="1397">
        <f t="shared" si="8"/>
        <v>44559</v>
      </c>
      <c r="AD27" s="1397">
        <f t="shared" si="8"/>
        <v>44924</v>
      </c>
      <c r="AE27" s="1397">
        <f t="shared" si="8"/>
        <v>45289</v>
      </c>
      <c r="AF27" s="1397">
        <f t="shared" si="8"/>
        <v>45655</v>
      </c>
      <c r="AG27" s="1397">
        <f t="shared" si="8"/>
        <v>46020</v>
      </c>
      <c r="AH27" s="1397">
        <f t="shared" si="8"/>
        <v>46385</v>
      </c>
      <c r="AI27" s="1397">
        <f t="shared" si="8"/>
        <v>46750</v>
      </c>
      <c r="AJ27" s="1403">
        <f t="shared" si="8"/>
        <v>47116</v>
      </c>
    </row>
    <row r="28" spans="1:42">
      <c r="A28" s="26"/>
      <c r="B28" s="1398" t="s">
        <v>431</v>
      </c>
      <c r="C28" s="1399"/>
      <c r="D28" s="1399"/>
      <c r="E28" s="1400">
        <f>IF(Assum!$E$248=2,E33-E27,0)</f>
        <v>180</v>
      </c>
      <c r="F28" s="1400">
        <f>IF(Assum!$E$248=2,F33-F27,0)</f>
        <v>182</v>
      </c>
      <c r="G28" s="1400">
        <f>IF(Assum!$E$248=2,G33-G27,0)</f>
        <v>183</v>
      </c>
      <c r="H28" s="1400">
        <f>IF(Assum!$E$248=2,H33-H27,0)</f>
        <v>182</v>
      </c>
      <c r="I28" s="1400">
        <f>IF(Assum!$E$248=2,I33-I27,0)</f>
        <v>182</v>
      </c>
      <c r="J28" s="1400">
        <f>IF(Assum!$E$248=2,J33-J27,0)</f>
        <v>182</v>
      </c>
      <c r="K28" s="1400">
        <f>IF(Assum!$E$248=2,K33-K27,0)</f>
        <v>183</v>
      </c>
      <c r="L28" s="1400">
        <f>IF(Assum!$E$248=2,L33-L27,0)</f>
        <v>182</v>
      </c>
      <c r="M28" s="1400">
        <f>IF(Assum!$E$248=2,M33-M27,0)</f>
        <v>182</v>
      </c>
      <c r="N28" s="1400">
        <f>IF(Assum!$E$248=2,N33-N27,0)</f>
        <v>182</v>
      </c>
      <c r="O28" s="1400">
        <f>IF(Assum!$E$248=2,O33-O27,0)</f>
        <v>183</v>
      </c>
      <c r="P28" s="1400">
        <f>IF(Assum!$E$248=2,P33-P27,0)</f>
        <v>182</v>
      </c>
      <c r="Q28" s="1400">
        <f>IF(Assum!$E$248=2,Q33-Q27,0)</f>
        <v>182</v>
      </c>
      <c r="R28" s="1400">
        <f>IF(Assum!$E$248=2,R33-R27,0)</f>
        <v>182</v>
      </c>
      <c r="S28" s="1400">
        <f>IF(Assum!$E$248=2,S33-S27,0)</f>
        <v>183</v>
      </c>
      <c r="T28" s="1400">
        <f>IF(Assum!$E$248=2,T33-T27,0)</f>
        <v>182</v>
      </c>
      <c r="U28" s="1400">
        <f>IF(Assum!$E$248=2,U33-U27,0)</f>
        <v>182</v>
      </c>
      <c r="V28" s="1400">
        <f>IF(Assum!$E$248=2,V33-V27,0)</f>
        <v>182</v>
      </c>
      <c r="W28" s="1400">
        <f>IF(Assum!$E$248=2,W33-W27,0)</f>
        <v>183</v>
      </c>
      <c r="X28" s="1400">
        <f>IF(Assum!$E$248=2,X33-X27,0)</f>
        <v>182</v>
      </c>
      <c r="Y28" s="1400">
        <f>IF(Assum!$E$248=2,Y33-Y27,0)</f>
        <v>182</v>
      </c>
      <c r="Z28" s="1400">
        <f>IF(Assum!$E$248=2,Z33-Z27,0)</f>
        <v>182</v>
      </c>
      <c r="AA28" s="1400">
        <f>IF(Assum!$E$248=2,AA33-AA27,0)</f>
        <v>183</v>
      </c>
      <c r="AB28" s="1400">
        <f>IF(Assum!$E$248=2,AB33-AB27,0)</f>
        <v>182</v>
      </c>
      <c r="AC28" s="1400">
        <f>IF(Assum!$E$248=2,AC33-AC27,0)</f>
        <v>182</v>
      </c>
      <c r="AD28" s="1400">
        <f>IF(Assum!$E$248=2,AD33-AD27,0)</f>
        <v>182</v>
      </c>
      <c r="AE28" s="1400">
        <f>IF(Assum!$E$248=2,AE33-AE27,0)</f>
        <v>183</v>
      </c>
      <c r="AF28" s="1400">
        <f>IF(Assum!$E$248=2,AF33-AF27,0)</f>
        <v>182</v>
      </c>
      <c r="AG28" s="1400">
        <f>IF(Assum!$E$248=2,AG33-AG27,0)</f>
        <v>182</v>
      </c>
      <c r="AH28" s="1400">
        <f>IF(Assum!$E$248=2,AH33-AH27,0)</f>
        <v>182</v>
      </c>
      <c r="AI28" s="1400">
        <f>IF(Assum!$E$248=2,AI33-AI27,0)</f>
        <v>183</v>
      </c>
      <c r="AJ28" s="1401"/>
    </row>
    <row r="29" spans="1:42">
      <c r="A29" s="26"/>
      <c r="B29" s="262" t="s">
        <v>361</v>
      </c>
      <c r="C29" s="263"/>
      <c r="D29" s="263"/>
      <c r="E29" s="263">
        <f>E20</f>
        <v>40271.353865997233</v>
      </c>
      <c r="F29" s="263">
        <f>E38</f>
        <v>38187.742050771587</v>
      </c>
      <c r="G29" s="263">
        <f>F38</f>
        <v>37243.782330937946</v>
      </c>
      <c r="H29" s="263">
        <f t="shared" ref="H29:AI29" si="9">G38</f>
        <v>36174.744908188542</v>
      </c>
      <c r="I29" s="263">
        <f t="shared" si="9"/>
        <v>35005.094106009376</v>
      </c>
      <c r="J29" s="263">
        <f t="shared" si="9"/>
        <v>33728.875518620756</v>
      </c>
      <c r="K29" s="263">
        <f t="shared" si="9"/>
        <v>32107.624406659925</v>
      </c>
      <c r="L29" s="263">
        <f t="shared" si="9"/>
        <v>30635.916196230162</v>
      </c>
      <c r="M29" s="263">
        <f t="shared" si="9"/>
        <v>29001.733403821036</v>
      </c>
      <c r="N29" s="263">
        <f t="shared" si="9"/>
        <v>27197.75464172319</v>
      </c>
      <c r="O29" s="263">
        <f t="shared" si="9"/>
        <v>25152.160948798719</v>
      </c>
      <c r="P29" s="263">
        <f t="shared" si="9"/>
        <v>22838.790497899885</v>
      </c>
      <c r="Q29" s="263">
        <f t="shared" si="9"/>
        <v>20210.730892961015</v>
      </c>
      <c r="R29" s="263">
        <f t="shared" si="9"/>
        <v>17246.813505531605</v>
      </c>
      <c r="S29" s="263">
        <f t="shared" si="9"/>
        <v>14071.163516601826</v>
      </c>
      <c r="T29" s="263">
        <f t="shared" si="9"/>
        <v>10675.331525783458</v>
      </c>
      <c r="U29" s="263">
        <f t="shared" si="9"/>
        <v>7107.1689343175194</v>
      </c>
      <c r="V29" s="263">
        <f t="shared" si="9"/>
        <v>3245.2653228399968</v>
      </c>
      <c r="W29" s="263">
        <f t="shared" si="9"/>
        <v>0</v>
      </c>
      <c r="X29" s="263">
        <f t="shared" si="9"/>
        <v>0</v>
      </c>
      <c r="Y29" s="263">
        <f t="shared" si="9"/>
        <v>0</v>
      </c>
      <c r="Z29" s="263">
        <f t="shared" si="9"/>
        <v>0</v>
      </c>
      <c r="AA29" s="263">
        <f t="shared" si="9"/>
        <v>0</v>
      </c>
      <c r="AB29" s="263">
        <f t="shared" si="9"/>
        <v>0</v>
      </c>
      <c r="AC29" s="263">
        <f t="shared" si="9"/>
        <v>0</v>
      </c>
      <c r="AD29" s="263">
        <f t="shared" si="9"/>
        <v>0</v>
      </c>
      <c r="AE29" s="263">
        <f t="shared" si="9"/>
        <v>0</v>
      </c>
      <c r="AF29" s="263">
        <f t="shared" si="9"/>
        <v>0</v>
      </c>
      <c r="AG29" s="263">
        <f t="shared" si="9"/>
        <v>0</v>
      </c>
      <c r="AH29" s="263">
        <f t="shared" si="9"/>
        <v>0</v>
      </c>
      <c r="AI29" s="263">
        <f t="shared" si="9"/>
        <v>0</v>
      </c>
      <c r="AJ29" s="267"/>
      <c r="AK29" s="263"/>
      <c r="AL29" s="27"/>
      <c r="AM29" s="27"/>
      <c r="AN29" s="27"/>
      <c r="AO29" s="27"/>
      <c r="AP29" s="27"/>
    </row>
    <row r="30" spans="1:42">
      <c r="A30" s="26"/>
      <c r="B30" s="264" t="s">
        <v>263</v>
      </c>
      <c r="C30" s="260"/>
      <c r="D30" s="259"/>
      <c r="E30" s="259">
        <f>E29*E14*E28/Assum!$E$244</f>
        <v>1832.3466009028741</v>
      </c>
      <c r="F30" s="259">
        <f>F29*F14*F28/Assum!$E$244</f>
        <v>1756.8482884579971</v>
      </c>
      <c r="G30" s="259">
        <f>G29*G14*G28/Assum!$E$244</f>
        <v>1722.8352976586375</v>
      </c>
      <c r="H30" s="259">
        <f>H29*H14*H28/Assum!$E$244</f>
        <v>1664.2392365817184</v>
      </c>
      <c r="I30" s="259">
        <f>I29*I14*I28/Assum!$E$244</f>
        <v>1610.4288016214646</v>
      </c>
      <c r="J30" s="259">
        <f>J29*J14*J28/Assum!$E$244</f>
        <v>1551.7156564983247</v>
      </c>
      <c r="K30" s="259">
        <f>K29*K14*K28/Assum!$E$244</f>
        <v>1485.2451923447434</v>
      </c>
      <c r="L30" s="259">
        <f>L29*L14*L28/Assum!$E$244</f>
        <v>1409.422344561011</v>
      </c>
      <c r="M30" s="259">
        <f>M29*M14*M28/Assum!$E$244</f>
        <v>1334.2408573169</v>
      </c>
      <c r="N30" s="259">
        <f>N29*N14*N28/Assum!$E$244</f>
        <v>1251.2478121561651</v>
      </c>
      <c r="O30" s="259">
        <f>O29*O14*O28/Assum!$E$244</f>
        <v>1163.4970452231807</v>
      </c>
      <c r="P30" s="259">
        <f>P29*P14*P28/Assum!$E$244</f>
        <v>1050.7112450728275</v>
      </c>
      <c r="Q30" s="259">
        <f>Q29*Q14*Q28/Assum!$E$244</f>
        <v>934.91472655688835</v>
      </c>
      <c r="R30" s="259">
        <f>R29*R14*R28/Assum!$E$244</f>
        <v>802.16845926839221</v>
      </c>
      <c r="S30" s="259">
        <f>S29*S14*S28/Assum!$E$244</f>
        <v>661.63783452021505</v>
      </c>
      <c r="T30" s="259">
        <f>T29*T14*T28/Assum!$E$244</f>
        <v>501.91850390391897</v>
      </c>
      <c r="U30" s="259">
        <f>U29*U14*U28/Assum!$E$244</f>
        <v>335.95192709800335</v>
      </c>
      <c r="V30" s="259">
        <f>V29*V14*V28/Assum!$E$244</f>
        <v>154.22221984207408</v>
      </c>
      <c r="W30" s="259">
        <f>W29*W14*W28/Assum!$E$244</f>
        <v>0</v>
      </c>
      <c r="X30" s="259">
        <f>X29*X14*X28/Assum!$E$244</f>
        <v>0</v>
      </c>
      <c r="Y30" s="259">
        <f>Y29*Y14*Y28/Assum!$E$244</f>
        <v>0</v>
      </c>
      <c r="Z30" s="259">
        <f>Z29*Z14*Z28/Assum!$E$244</f>
        <v>0</v>
      </c>
      <c r="AA30" s="259">
        <f>AA29*AA14*AA28/Assum!$E$244</f>
        <v>0</v>
      </c>
      <c r="AB30" s="259">
        <f>AB29*AB14*AB28/Assum!$E$244</f>
        <v>0</v>
      </c>
      <c r="AC30" s="259">
        <f>AC29*AC14*AC28/Assum!$E$244</f>
        <v>0</v>
      </c>
      <c r="AD30" s="259">
        <f>AD29*AD14*AD28/Assum!$E$244</f>
        <v>0</v>
      </c>
      <c r="AE30" s="259">
        <f>AE29*AE14*AE28/Assum!$E$244</f>
        <v>0</v>
      </c>
      <c r="AF30" s="259">
        <f>AF29*AF14*AF28/Assum!$E$244</f>
        <v>0</v>
      </c>
      <c r="AG30" s="259">
        <f>AG29*AG14*AG28/Assum!$E$244</f>
        <v>0</v>
      </c>
      <c r="AH30" s="259">
        <f>AH29*AH14*AH28/Assum!$E$244</f>
        <v>0</v>
      </c>
      <c r="AI30" s="259">
        <f>AI29*AI14*AI28/Assum!$E$244</f>
        <v>0</v>
      </c>
      <c r="AJ30" s="709"/>
      <c r="AK30" s="259"/>
      <c r="AL30" s="24"/>
      <c r="AM30" s="23"/>
      <c r="AN30" s="23"/>
      <c r="AO30" s="23"/>
      <c r="AP30" s="23"/>
    </row>
    <row r="31" spans="1:42">
      <c r="A31" s="26"/>
      <c r="B31" s="264" t="s">
        <v>362</v>
      </c>
      <c r="C31" s="260"/>
      <c r="D31" s="259"/>
      <c r="E31" s="259">
        <f>IF(E23-E30&lt;E29,E23-E30,E29)*(Assum!$E$248-1)</f>
        <v>1033.1788957441993</v>
      </c>
      <c r="F31" s="259">
        <f>IF(F23-F30&lt;F29,F23-F30,F29)*(Assum!$E$248-1)</f>
        <v>466.02753761503664</v>
      </c>
      <c r="G31" s="259">
        <f>IF(G23-G30&lt;G29,G23-G30,G29)*(Assum!$E$248-1)</f>
        <v>522.43522009655089</v>
      </c>
      <c r="H31" s="259">
        <f>IF(H23-H30&lt;H29,H23-H30,H29)*(Assum!$E$248-1)</f>
        <v>576.07338946715186</v>
      </c>
      <c r="I31" s="259">
        <f>IF(I23-I30&lt;I29,I23-I30,I29)*(Assum!$E$248-1)</f>
        <v>628.00824136133224</v>
      </c>
      <c r="J31" s="259">
        <f>IF(J23-J30&lt;J29,J23-J30,J29)*(Assum!$E$248-1)</f>
        <v>796.46689550995325</v>
      </c>
      <c r="K31" s="259">
        <f>IF(K23-K30&lt;K29,K23-K30,K29)*(Assum!$E$248-1)</f>
        <v>719.21916527145777</v>
      </c>
      <c r="L31" s="259">
        <f>IF(L23-L30&lt;L29,L23-L30,L29)*(Assum!$E$248-1)</f>
        <v>802.40448846491245</v>
      </c>
      <c r="M31" s="259">
        <f>IF(M23-M30&lt;M29,M23-M30,M29)*(Assum!$E$248-1)</f>
        <v>885.18137046203856</v>
      </c>
      <c r="N31" s="259">
        <f>IF(N23-N30&lt;N29,N23-N30,N29)*(Assum!$E$248-1)</f>
        <v>1003.0349772894531</v>
      </c>
      <c r="O31" s="259">
        <f>IF(O23-O30&lt;O29,O23-O30,O29)*(Assum!$E$248-1)</f>
        <v>1130.5368502179174</v>
      </c>
      <c r="P31" s="259">
        <f>IF(P23-P30&lt;P29,P23-P30,P29)*(Assum!$E$248-1)</f>
        <v>1287.1457629484996</v>
      </c>
      <c r="Q31" s="259">
        <f>IF(Q23-Q30&lt;Q29,Q23-Q30,Q29)*(Assum!$E$248-1)</f>
        <v>1450.7872693332527</v>
      </c>
      <c r="R31" s="259">
        <f>IF(R23-R30&lt;R29,R23-R30,R29)*(Assum!$E$248-1)</f>
        <v>1553.6981130906056</v>
      </c>
      <c r="S31" s="259">
        <f>IF(S23-S30&lt;S29,S23-S30,S29)*(Assum!$E$248-1)</f>
        <v>1658.9142306327453</v>
      </c>
      <c r="T31" s="259">
        <f>IF(T23-T30&lt;T29,T23-T30,T29)*(Assum!$E$248-1)</f>
        <v>1744.2309340188463</v>
      </c>
      <c r="U31" s="259">
        <f>IF(U23-U30&lt;U29,U23-U30,U29)*(Assum!$E$248-1)</f>
        <v>1887.0302626638297</v>
      </c>
      <c r="V31" s="259">
        <f>IF(V23-V30&lt;V29,V23-V30,V29)*(Assum!$E$248-1)</f>
        <v>2045.1582486559191</v>
      </c>
      <c r="W31" s="259">
        <f>IF(W23-W30&lt;W29,W23-W30,W29)*(Assum!$E$248-1)</f>
        <v>0</v>
      </c>
      <c r="X31" s="259">
        <f>IF(X23-X30&lt;X29,X23-X30,X29)*(Assum!$E$248-1)</f>
        <v>0</v>
      </c>
      <c r="Y31" s="259">
        <f>IF(Y23-Y30&lt;Y29,Y23-Y30,Y29)*(Assum!$E$248-1)</f>
        <v>0</v>
      </c>
      <c r="Z31" s="259">
        <f>IF(Z23-Z30&lt;Z29,Z23-Z30,Z29)*(Assum!$E$248-1)</f>
        <v>0</v>
      </c>
      <c r="AA31" s="259">
        <f>IF(AA23-AA30&lt;AA29,AA23-AA30,AA29)*(Assum!$E$248-1)</f>
        <v>0</v>
      </c>
      <c r="AB31" s="259">
        <f>IF(AB23-AB30&lt;AB29,AB23-AB30,AB29)*(Assum!$E$248-1)</f>
        <v>0</v>
      </c>
      <c r="AC31" s="259">
        <f>IF(AC23-AC30&lt;AC29,AC23-AC30,AC29)*(Assum!$E$248-1)</f>
        <v>0</v>
      </c>
      <c r="AD31" s="259">
        <f>IF(AD23-AD30&lt;AD29,AD23-AD30,AD29)*(Assum!$E$248-1)</f>
        <v>0</v>
      </c>
      <c r="AE31" s="259">
        <f>IF(AE23-AE30&lt;AE29,AE23-AE30,AE29)*(Assum!$E$248-1)</f>
        <v>0</v>
      </c>
      <c r="AF31" s="259">
        <f>IF(AF23-AF30&lt;AF29,AF23-AF30,AF29)*(Assum!$E$248-1)</f>
        <v>0</v>
      </c>
      <c r="AG31" s="259">
        <f>IF(AG23-AG30&lt;AG29,AG23-AG30,AG29)*(Assum!$E$248-1)</f>
        <v>0</v>
      </c>
      <c r="AH31" s="259">
        <f>IF(AH23-AH30&lt;AH29,AH23-AH30,AH29)*(Assum!$E$248-1)</f>
        <v>0</v>
      </c>
      <c r="AI31" s="259">
        <f>IF(AI23-AI30&lt;AI29,AI23-AI30,AI29)*(Assum!$E$248-1)</f>
        <v>0</v>
      </c>
      <c r="AJ31" s="709"/>
      <c r="AK31" s="259"/>
      <c r="AL31" s="24"/>
      <c r="AM31" s="23"/>
      <c r="AN31" s="23"/>
      <c r="AO31" s="23"/>
      <c r="AP31" s="23"/>
    </row>
    <row r="32" spans="1:42">
      <c r="A32" s="26"/>
      <c r="B32" s="262" t="s">
        <v>588</v>
      </c>
      <c r="C32" s="263"/>
      <c r="D32" s="263"/>
      <c r="E32" s="263">
        <f t="shared" ref="E32:AI32" si="10">E29-E31</f>
        <v>39238.174970253036</v>
      </c>
      <c r="F32" s="263">
        <f t="shared" si="10"/>
        <v>37721.714513156548</v>
      </c>
      <c r="G32" s="263">
        <f t="shared" si="10"/>
        <v>36721.347110841394</v>
      </c>
      <c r="H32" s="263">
        <f t="shared" si="10"/>
        <v>35598.671518721392</v>
      </c>
      <c r="I32" s="263">
        <f t="shared" si="10"/>
        <v>34377.085864648041</v>
      </c>
      <c r="J32" s="263">
        <f t="shared" si="10"/>
        <v>32932.408623110801</v>
      </c>
      <c r="K32" s="263">
        <f t="shared" si="10"/>
        <v>31388.405241388467</v>
      </c>
      <c r="L32" s="263">
        <f t="shared" si="10"/>
        <v>29833.51170776525</v>
      </c>
      <c r="M32" s="263">
        <f t="shared" si="10"/>
        <v>28116.552033358996</v>
      </c>
      <c r="N32" s="263">
        <f t="shared" si="10"/>
        <v>26194.719664433738</v>
      </c>
      <c r="O32" s="263">
        <f t="shared" si="10"/>
        <v>24021.6240985808</v>
      </c>
      <c r="P32" s="263">
        <f t="shared" si="10"/>
        <v>21551.644734951384</v>
      </c>
      <c r="Q32" s="263">
        <f t="shared" si="10"/>
        <v>18759.943623627762</v>
      </c>
      <c r="R32" s="263">
        <f t="shared" si="10"/>
        <v>15693.115392440999</v>
      </c>
      <c r="S32" s="263">
        <f t="shared" si="10"/>
        <v>12412.249285969081</v>
      </c>
      <c r="T32" s="263">
        <f t="shared" si="10"/>
        <v>8931.1005917646125</v>
      </c>
      <c r="U32" s="263">
        <f t="shared" si="10"/>
        <v>5220.1386716536899</v>
      </c>
      <c r="V32" s="263">
        <f t="shared" si="10"/>
        <v>1200.1070741840776</v>
      </c>
      <c r="W32" s="263">
        <f t="shared" si="10"/>
        <v>0</v>
      </c>
      <c r="X32" s="263">
        <f t="shared" si="10"/>
        <v>0</v>
      </c>
      <c r="Y32" s="263">
        <f t="shared" si="10"/>
        <v>0</v>
      </c>
      <c r="Z32" s="263">
        <f t="shared" si="10"/>
        <v>0</v>
      </c>
      <c r="AA32" s="263">
        <f t="shared" si="10"/>
        <v>0</v>
      </c>
      <c r="AB32" s="263">
        <f t="shared" si="10"/>
        <v>0</v>
      </c>
      <c r="AC32" s="263">
        <f t="shared" si="10"/>
        <v>0</v>
      </c>
      <c r="AD32" s="263">
        <f t="shared" si="10"/>
        <v>0</v>
      </c>
      <c r="AE32" s="263">
        <f t="shared" si="10"/>
        <v>0</v>
      </c>
      <c r="AF32" s="263">
        <f t="shared" si="10"/>
        <v>0</v>
      </c>
      <c r="AG32" s="263">
        <f t="shared" si="10"/>
        <v>0</v>
      </c>
      <c r="AH32" s="263">
        <f t="shared" si="10"/>
        <v>0</v>
      </c>
      <c r="AI32" s="263">
        <f t="shared" si="10"/>
        <v>0</v>
      </c>
      <c r="AJ32" s="267"/>
      <c r="AK32" s="263"/>
      <c r="AL32" s="27"/>
      <c r="AM32" s="27"/>
      <c r="AN32" s="27"/>
      <c r="AO32" s="27"/>
      <c r="AP32" s="27"/>
    </row>
    <row r="33" spans="1:42">
      <c r="A33" s="26"/>
      <c r="B33" s="1395" t="s">
        <v>63</v>
      </c>
      <c r="C33" s="1396"/>
      <c r="D33" s="1396"/>
      <c r="E33" s="1397">
        <f>Assum!E245</f>
        <v>35975</v>
      </c>
      <c r="F33" s="1397">
        <f t="shared" ref="F33:AJ33" si="11">EDATE(E33,12)</f>
        <v>36340</v>
      </c>
      <c r="G33" s="1397">
        <f t="shared" si="11"/>
        <v>36706</v>
      </c>
      <c r="H33" s="1397">
        <f t="shared" si="11"/>
        <v>37071</v>
      </c>
      <c r="I33" s="1397">
        <f t="shared" si="11"/>
        <v>37436</v>
      </c>
      <c r="J33" s="1397">
        <f t="shared" si="11"/>
        <v>37801</v>
      </c>
      <c r="K33" s="1397">
        <f t="shared" si="11"/>
        <v>38167</v>
      </c>
      <c r="L33" s="1397">
        <f t="shared" si="11"/>
        <v>38532</v>
      </c>
      <c r="M33" s="1397">
        <f t="shared" si="11"/>
        <v>38897</v>
      </c>
      <c r="N33" s="1397">
        <f t="shared" si="11"/>
        <v>39262</v>
      </c>
      <c r="O33" s="1397">
        <f t="shared" si="11"/>
        <v>39628</v>
      </c>
      <c r="P33" s="1397">
        <f t="shared" si="11"/>
        <v>39993</v>
      </c>
      <c r="Q33" s="1397">
        <f t="shared" si="11"/>
        <v>40358</v>
      </c>
      <c r="R33" s="1397">
        <f t="shared" si="11"/>
        <v>40723</v>
      </c>
      <c r="S33" s="1397">
        <f t="shared" si="11"/>
        <v>41089</v>
      </c>
      <c r="T33" s="1397">
        <f t="shared" si="11"/>
        <v>41454</v>
      </c>
      <c r="U33" s="1397">
        <f t="shared" si="11"/>
        <v>41819</v>
      </c>
      <c r="V33" s="1397">
        <f t="shared" si="11"/>
        <v>42184</v>
      </c>
      <c r="W33" s="1397">
        <f t="shared" si="11"/>
        <v>42550</v>
      </c>
      <c r="X33" s="1397">
        <f t="shared" si="11"/>
        <v>42915</v>
      </c>
      <c r="Y33" s="1397">
        <f t="shared" si="11"/>
        <v>43280</v>
      </c>
      <c r="Z33" s="1397">
        <f t="shared" si="11"/>
        <v>43645</v>
      </c>
      <c r="AA33" s="1397">
        <f t="shared" si="11"/>
        <v>44011</v>
      </c>
      <c r="AB33" s="1397">
        <f t="shared" si="11"/>
        <v>44376</v>
      </c>
      <c r="AC33" s="1397">
        <f t="shared" si="11"/>
        <v>44741</v>
      </c>
      <c r="AD33" s="1397">
        <f t="shared" si="11"/>
        <v>45106</v>
      </c>
      <c r="AE33" s="1397">
        <f t="shared" si="11"/>
        <v>45472</v>
      </c>
      <c r="AF33" s="1397">
        <f t="shared" si="11"/>
        <v>45837</v>
      </c>
      <c r="AG33" s="1397">
        <f t="shared" si="11"/>
        <v>46202</v>
      </c>
      <c r="AH33" s="1397">
        <f t="shared" si="11"/>
        <v>46567</v>
      </c>
      <c r="AI33" s="1397">
        <f t="shared" si="11"/>
        <v>46933</v>
      </c>
      <c r="AJ33" s="1403">
        <f t="shared" si="11"/>
        <v>47298</v>
      </c>
      <c r="AK33" s="259"/>
      <c r="AL33" s="24"/>
      <c r="AM33" s="23"/>
      <c r="AN33" s="23"/>
      <c r="AO33" s="23"/>
      <c r="AP33" s="23"/>
    </row>
    <row r="34" spans="1:42">
      <c r="A34" s="26"/>
      <c r="B34" s="1398" t="s">
        <v>431</v>
      </c>
      <c r="C34" s="1399"/>
      <c r="D34" s="1400"/>
      <c r="E34" s="1400">
        <f>IF(Assum!$E$248=2,E39-E33,E39-E27)</f>
        <v>183</v>
      </c>
      <c r="F34" s="1400">
        <f>IF(Assum!$E$248=2,F39-F33,F39-F27)</f>
        <v>183</v>
      </c>
      <c r="G34" s="1400">
        <f>IF(Assum!$E$248=2,G39-G33,G39-G27)</f>
        <v>183</v>
      </c>
      <c r="H34" s="1400">
        <f>IF(Assum!$E$248=2,H39-H33,H39-H27)</f>
        <v>183</v>
      </c>
      <c r="I34" s="1400">
        <f>IF(Assum!$E$248=2,I39-I33,I39-I27)</f>
        <v>183</v>
      </c>
      <c r="J34" s="1400">
        <f>IF(Assum!$E$248=2,J39-J33,J39-J27)</f>
        <v>183</v>
      </c>
      <c r="K34" s="1400">
        <f>IF(Assum!$E$248=2,K39-K33,K39-K27)</f>
        <v>183</v>
      </c>
      <c r="L34" s="1400">
        <f>IF(Assum!$E$248=2,L39-L33,L39-L27)</f>
        <v>183</v>
      </c>
      <c r="M34" s="1400">
        <f>IF(Assum!$E$248=2,M39-M33,M39-M27)</f>
        <v>183</v>
      </c>
      <c r="N34" s="1400">
        <f>IF(Assum!$E$248=2,N39-N33,N39-N27)</f>
        <v>183</v>
      </c>
      <c r="O34" s="1400">
        <f>IF(Assum!$E$248=2,O39-O33,O39-O27)</f>
        <v>183</v>
      </c>
      <c r="P34" s="1400">
        <f>IF(Assum!$E$248=2,P39-P33,P39-P27)</f>
        <v>183</v>
      </c>
      <c r="Q34" s="1400">
        <f>IF(Assum!$E$248=2,Q39-Q33,Q39-Q27)</f>
        <v>183</v>
      </c>
      <c r="R34" s="1400">
        <f>IF(Assum!$E$248=2,R39-R33,R39-R27)</f>
        <v>183</v>
      </c>
      <c r="S34" s="1400">
        <f>IF(Assum!$E$248=2,S39-S33,S39-S27)</f>
        <v>183</v>
      </c>
      <c r="T34" s="1400">
        <f>IF(Assum!$E$248=2,T39-T33,T39-T27)</f>
        <v>183</v>
      </c>
      <c r="U34" s="1400">
        <f>IF(Assum!$E$248=2,U39-U33,U39-U27)</f>
        <v>183</v>
      </c>
      <c r="V34" s="1400">
        <f>IF(Assum!$E$248=2,V39-V33,V39-V27)</f>
        <v>183</v>
      </c>
      <c r="W34" s="1400">
        <f>IF(Assum!$E$248=2,W39-W33,W39-W27)</f>
        <v>183</v>
      </c>
      <c r="X34" s="1400">
        <f>IF(Assum!$E$248=2,X39-X33,X39-X27)</f>
        <v>183</v>
      </c>
      <c r="Y34" s="1400">
        <f>IF(Assum!$E$248=2,Y39-Y33,Y39-Y27)</f>
        <v>183</v>
      </c>
      <c r="Z34" s="1400">
        <f>IF(Assum!$E$248=2,Z39-Z33,Z39-Z27)</f>
        <v>183</v>
      </c>
      <c r="AA34" s="1400">
        <f>IF(Assum!$E$248=2,AA39-AA33,AA39-AA27)</f>
        <v>183</v>
      </c>
      <c r="AB34" s="1400">
        <f>IF(Assum!$E$248=2,AB39-AB33,AB39-AB27)</f>
        <v>183</v>
      </c>
      <c r="AC34" s="1400">
        <f>IF(Assum!$E$248=2,AC39-AC33,AC39-AC27)</f>
        <v>183</v>
      </c>
      <c r="AD34" s="1400">
        <f>IF(Assum!$E$248=2,AD39-AD33,AD39-AD27)</f>
        <v>183</v>
      </c>
      <c r="AE34" s="1400">
        <f>IF(Assum!$E$248=2,AE39-AE33,AE39-AE27)</f>
        <v>183</v>
      </c>
      <c r="AF34" s="1400">
        <f>IF(Assum!$E$248=2,AF39-AF33,AF39-AF27)</f>
        <v>183</v>
      </c>
      <c r="AG34" s="1400">
        <f>IF(Assum!$E$248=2,AG39-AG33,AG39-AG27)</f>
        <v>183</v>
      </c>
      <c r="AH34" s="1400">
        <f>IF(Assum!$E$248=2,AH39-AH33,AH39-AH27)</f>
        <v>183</v>
      </c>
      <c r="AI34" s="1400">
        <f>IF(Assum!$E$248=2,AI39-AI33,AI39-AI27)</f>
        <v>183</v>
      </c>
      <c r="AJ34" s="1401"/>
      <c r="AK34" s="259"/>
      <c r="AL34" s="24"/>
      <c r="AM34" s="23"/>
      <c r="AN34" s="23"/>
      <c r="AO34" s="23"/>
      <c r="AP34" s="23"/>
    </row>
    <row r="35" spans="1:42">
      <c r="A35" s="26"/>
      <c r="B35" s="262" t="s">
        <v>363</v>
      </c>
      <c r="C35" s="263"/>
      <c r="D35" s="263"/>
      <c r="E35" s="263">
        <f t="shared" ref="E35:AI35" si="12">E32</f>
        <v>39238.174970253036</v>
      </c>
      <c r="F35" s="263">
        <f t="shared" si="12"/>
        <v>37721.714513156548</v>
      </c>
      <c r="G35" s="263">
        <f t="shared" si="12"/>
        <v>36721.347110841394</v>
      </c>
      <c r="H35" s="263">
        <f t="shared" si="12"/>
        <v>35598.671518721392</v>
      </c>
      <c r="I35" s="263">
        <f t="shared" si="12"/>
        <v>34377.085864648041</v>
      </c>
      <c r="J35" s="263">
        <f t="shared" si="12"/>
        <v>32932.408623110801</v>
      </c>
      <c r="K35" s="263">
        <f t="shared" si="12"/>
        <v>31388.405241388467</v>
      </c>
      <c r="L35" s="263">
        <f t="shared" si="12"/>
        <v>29833.51170776525</v>
      </c>
      <c r="M35" s="263">
        <f t="shared" si="12"/>
        <v>28116.552033358996</v>
      </c>
      <c r="N35" s="263">
        <f t="shared" si="12"/>
        <v>26194.719664433738</v>
      </c>
      <c r="O35" s="263">
        <f t="shared" si="12"/>
        <v>24021.6240985808</v>
      </c>
      <c r="P35" s="263">
        <f t="shared" si="12"/>
        <v>21551.644734951384</v>
      </c>
      <c r="Q35" s="263">
        <f t="shared" si="12"/>
        <v>18759.943623627762</v>
      </c>
      <c r="R35" s="263">
        <f t="shared" si="12"/>
        <v>15693.115392440999</v>
      </c>
      <c r="S35" s="263">
        <f t="shared" si="12"/>
        <v>12412.249285969081</v>
      </c>
      <c r="T35" s="263">
        <f t="shared" si="12"/>
        <v>8931.1005917646125</v>
      </c>
      <c r="U35" s="263">
        <f t="shared" si="12"/>
        <v>5220.1386716536899</v>
      </c>
      <c r="V35" s="263">
        <f t="shared" si="12"/>
        <v>1200.1070741840776</v>
      </c>
      <c r="W35" s="263">
        <f t="shared" si="12"/>
        <v>0</v>
      </c>
      <c r="X35" s="263">
        <f t="shared" si="12"/>
        <v>0</v>
      </c>
      <c r="Y35" s="263">
        <f t="shared" si="12"/>
        <v>0</v>
      </c>
      <c r="Z35" s="263">
        <f t="shared" si="12"/>
        <v>0</v>
      </c>
      <c r="AA35" s="263">
        <f t="shared" si="12"/>
        <v>0</v>
      </c>
      <c r="AB35" s="263">
        <f t="shared" si="12"/>
        <v>0</v>
      </c>
      <c r="AC35" s="263">
        <f t="shared" si="12"/>
        <v>0</v>
      </c>
      <c r="AD35" s="263">
        <f t="shared" si="12"/>
        <v>0</v>
      </c>
      <c r="AE35" s="263">
        <f t="shared" si="12"/>
        <v>0</v>
      </c>
      <c r="AF35" s="263">
        <f t="shared" si="12"/>
        <v>0</v>
      </c>
      <c r="AG35" s="263">
        <f t="shared" si="12"/>
        <v>0</v>
      </c>
      <c r="AH35" s="263">
        <f t="shared" si="12"/>
        <v>0</v>
      </c>
      <c r="AI35" s="263">
        <f t="shared" si="12"/>
        <v>0</v>
      </c>
      <c r="AJ35" s="267"/>
      <c r="AK35" s="263"/>
      <c r="AL35" s="27"/>
      <c r="AM35" s="27"/>
      <c r="AN35" s="27"/>
      <c r="AO35" s="27"/>
      <c r="AP35" s="27"/>
    </row>
    <row r="36" spans="1:42">
      <c r="A36" s="26"/>
      <c r="B36" s="264" t="s">
        <v>263</v>
      </c>
      <c r="C36" s="260"/>
      <c r="D36" s="259"/>
      <c r="E36" s="259">
        <f>E35*E14*E34/Assum!$E$244</f>
        <v>1815.0925771656216</v>
      </c>
      <c r="F36" s="259">
        <f>F35*F14*F34/Assum!$E$244</f>
        <v>1744.9436438544333</v>
      </c>
      <c r="G36" s="259">
        <f>G35*G14*G34/Assum!$E$244</f>
        <v>1698.6683151023381</v>
      </c>
      <c r="H36" s="259">
        <f>H35*H14*H34/Assum!$E$244</f>
        <v>1646.7352133368536</v>
      </c>
      <c r="I36" s="259">
        <f>I35*I14*I34/Assum!$E$244</f>
        <v>1590.2266969555105</v>
      </c>
      <c r="J36" s="259">
        <f>J35*J14*J34/Assum!$E$244</f>
        <v>1523.3983355574003</v>
      </c>
      <c r="K36" s="259">
        <f>K35*K14*K34/Assum!$E$244</f>
        <v>1451.9753124578949</v>
      </c>
      <c r="L36" s="259">
        <f>L35*L14*L34/Assum!$E$244</f>
        <v>1380.0485290817076</v>
      </c>
      <c r="M36" s="259">
        <f>M35*M14*M34/Assum!$E$244</f>
        <v>1300.6248361431317</v>
      </c>
      <c r="N36" s="259">
        <f>N35*N14*N34/Assum!$E$244</f>
        <v>1211.7240738105972</v>
      </c>
      <c r="O36" s="259">
        <f>O35*O14*O34/Assum!$E$244</f>
        <v>1111.2002947601834</v>
      </c>
      <c r="P36" s="259">
        <f>P35*P14*P34/Assum!$E$244</f>
        <v>996.94316603095945</v>
      </c>
      <c r="Q36" s="259">
        <f>Q35*Q14*Q34/Assum!$E$244</f>
        <v>872.57187779398612</v>
      </c>
      <c r="R36" s="259">
        <f>R35*R14*R34/Assum!$E$244</f>
        <v>733.91469651982413</v>
      </c>
      <c r="S36" s="259">
        <f>S35*S14*S34/Assum!$E$244</f>
        <v>583.63430496733781</v>
      </c>
      <c r="T36" s="259">
        <f>T35*T14*T34/Assum!$E$244</f>
        <v>422.21778047567204</v>
      </c>
      <c r="U36" s="259">
        <f>U35*U14*U34/Assum!$E$244</f>
        <v>248.10884094814017</v>
      </c>
      <c r="V36" s="259">
        <f>V35*V14*V34/Assum!$E$244</f>
        <v>57.345116361429177</v>
      </c>
      <c r="W36" s="259">
        <f>W35*W14*W34/Assum!$E$244</f>
        <v>0</v>
      </c>
      <c r="X36" s="259">
        <f>X35*X14*X34/Assum!$E$244</f>
        <v>0</v>
      </c>
      <c r="Y36" s="259">
        <f>Y35*Y14*Y34/Assum!$E$244</f>
        <v>0</v>
      </c>
      <c r="Z36" s="259">
        <f>Z35*Z14*Z34/Assum!$E$244</f>
        <v>0</v>
      </c>
      <c r="AA36" s="259">
        <f>AA35*AA14*AA34/Assum!$E$244</f>
        <v>0</v>
      </c>
      <c r="AB36" s="259">
        <f>AB35*AB14*AB34/Assum!$E$244</f>
        <v>0</v>
      </c>
      <c r="AC36" s="259">
        <f>AC35*AC14*AC34/Assum!$E$244</f>
        <v>0</v>
      </c>
      <c r="AD36" s="259">
        <f>AD35*AD14*AD34/Assum!$E$244</f>
        <v>0</v>
      </c>
      <c r="AE36" s="259">
        <f>AE35*AE14*AE34/Assum!$E$244</f>
        <v>0</v>
      </c>
      <c r="AF36" s="259">
        <f>AF35*AF14*AF34/Assum!$E$244</f>
        <v>0</v>
      </c>
      <c r="AG36" s="259">
        <f>AG35*AG14*AG34/Assum!$E$244</f>
        <v>0</v>
      </c>
      <c r="AH36" s="259">
        <f>AH35*AH14*AH34/Assum!$E$244</f>
        <v>0</v>
      </c>
      <c r="AI36" s="259">
        <f>AI35*AI14*AI34/Assum!$E$244</f>
        <v>0</v>
      </c>
      <c r="AJ36" s="709"/>
      <c r="AK36" s="259"/>
      <c r="AL36" s="24"/>
      <c r="AM36" s="23"/>
      <c r="AN36" s="23"/>
      <c r="AO36" s="23"/>
      <c r="AP36" s="23"/>
    </row>
    <row r="37" spans="1:42">
      <c r="A37" s="26"/>
      <c r="B37" s="264" t="s">
        <v>362</v>
      </c>
      <c r="C37" s="260"/>
      <c r="D37" s="259"/>
      <c r="E37" s="259">
        <f t="shared" ref="E37:AJ37" si="13">IF(E24-E36&lt;E35,E24-E36,E35)</f>
        <v>1050.4329194814518</v>
      </c>
      <c r="F37" s="259">
        <f t="shared" si="13"/>
        <v>477.93218221860047</v>
      </c>
      <c r="G37" s="259">
        <f t="shared" si="13"/>
        <v>546.60220265285034</v>
      </c>
      <c r="H37" s="259">
        <f t="shared" si="13"/>
        <v>593.57741271201667</v>
      </c>
      <c r="I37" s="259">
        <f t="shared" si="13"/>
        <v>648.21034602728628</v>
      </c>
      <c r="J37" s="259">
        <f t="shared" si="13"/>
        <v>824.78421645087769</v>
      </c>
      <c r="K37" s="259">
        <f t="shared" si="13"/>
        <v>752.48904515830623</v>
      </c>
      <c r="L37" s="259">
        <f t="shared" si="13"/>
        <v>831.77830394421585</v>
      </c>
      <c r="M37" s="259">
        <f t="shared" si="13"/>
        <v>918.79739163580689</v>
      </c>
      <c r="N37" s="259">
        <f t="shared" si="13"/>
        <v>1042.5587156350209</v>
      </c>
      <c r="O37" s="259">
        <f t="shared" si="13"/>
        <v>1182.8336006809147</v>
      </c>
      <c r="P37" s="259">
        <f t="shared" si="13"/>
        <v>1340.9138419903677</v>
      </c>
      <c r="Q37" s="259">
        <f t="shared" si="13"/>
        <v>1513.130118096155</v>
      </c>
      <c r="R37" s="259">
        <f t="shared" si="13"/>
        <v>1621.9518758391737</v>
      </c>
      <c r="S37" s="259">
        <f t="shared" si="13"/>
        <v>1736.9177601856227</v>
      </c>
      <c r="T37" s="259">
        <f t="shared" si="13"/>
        <v>1823.9316574470931</v>
      </c>
      <c r="U37" s="259">
        <f t="shared" si="13"/>
        <v>1974.8733488136929</v>
      </c>
      <c r="V37" s="259">
        <f t="shared" si="13"/>
        <v>1200.1070741840776</v>
      </c>
      <c r="W37" s="259">
        <f t="shared" si="13"/>
        <v>0</v>
      </c>
      <c r="X37" s="259">
        <f t="shared" si="13"/>
        <v>0</v>
      </c>
      <c r="Y37" s="259">
        <f t="shared" si="13"/>
        <v>0</v>
      </c>
      <c r="Z37" s="259">
        <f t="shared" si="13"/>
        <v>0</v>
      </c>
      <c r="AA37" s="259">
        <f t="shared" si="13"/>
        <v>0</v>
      </c>
      <c r="AB37" s="259">
        <f t="shared" si="13"/>
        <v>0</v>
      </c>
      <c r="AC37" s="259">
        <f t="shared" si="13"/>
        <v>0</v>
      </c>
      <c r="AD37" s="259">
        <f t="shared" si="13"/>
        <v>0</v>
      </c>
      <c r="AE37" s="259">
        <f t="shared" si="13"/>
        <v>0</v>
      </c>
      <c r="AF37" s="259">
        <f t="shared" si="13"/>
        <v>0</v>
      </c>
      <c r="AG37" s="259">
        <f t="shared" si="13"/>
        <v>0</v>
      </c>
      <c r="AH37" s="259">
        <f t="shared" si="13"/>
        <v>0</v>
      </c>
      <c r="AI37" s="259">
        <f t="shared" si="13"/>
        <v>0</v>
      </c>
      <c r="AJ37" s="259">
        <f t="shared" si="13"/>
        <v>0</v>
      </c>
      <c r="AK37" s="259"/>
      <c r="AL37" s="24"/>
      <c r="AM37" s="23"/>
      <c r="AN37" s="23"/>
      <c r="AO37" s="23"/>
      <c r="AP37" s="23"/>
    </row>
    <row r="38" spans="1:42">
      <c r="A38" s="26"/>
      <c r="B38" s="262" t="s">
        <v>588</v>
      </c>
      <c r="C38" s="263"/>
      <c r="D38" s="263"/>
      <c r="E38" s="263">
        <f t="shared" ref="E38:AI38" si="14">E35-E37</f>
        <v>38187.742050771587</v>
      </c>
      <c r="F38" s="263">
        <f t="shared" si="14"/>
        <v>37243.782330937946</v>
      </c>
      <c r="G38" s="263">
        <f t="shared" si="14"/>
        <v>36174.744908188542</v>
      </c>
      <c r="H38" s="263">
        <f t="shared" si="14"/>
        <v>35005.094106009376</v>
      </c>
      <c r="I38" s="263">
        <f t="shared" si="14"/>
        <v>33728.875518620756</v>
      </c>
      <c r="J38" s="263">
        <f t="shared" si="14"/>
        <v>32107.624406659925</v>
      </c>
      <c r="K38" s="263">
        <f t="shared" si="14"/>
        <v>30635.916196230162</v>
      </c>
      <c r="L38" s="263">
        <f t="shared" si="14"/>
        <v>29001.733403821036</v>
      </c>
      <c r="M38" s="263">
        <f t="shared" si="14"/>
        <v>27197.75464172319</v>
      </c>
      <c r="N38" s="263">
        <f t="shared" si="14"/>
        <v>25152.160948798719</v>
      </c>
      <c r="O38" s="263">
        <f t="shared" si="14"/>
        <v>22838.790497899885</v>
      </c>
      <c r="P38" s="263">
        <f t="shared" si="14"/>
        <v>20210.730892961015</v>
      </c>
      <c r="Q38" s="263">
        <f t="shared" si="14"/>
        <v>17246.813505531605</v>
      </c>
      <c r="R38" s="263">
        <f t="shared" si="14"/>
        <v>14071.163516601826</v>
      </c>
      <c r="S38" s="263">
        <f t="shared" si="14"/>
        <v>10675.331525783458</v>
      </c>
      <c r="T38" s="263">
        <f t="shared" si="14"/>
        <v>7107.1689343175194</v>
      </c>
      <c r="U38" s="263">
        <f t="shared" si="14"/>
        <v>3245.2653228399968</v>
      </c>
      <c r="V38" s="263">
        <f t="shared" si="14"/>
        <v>0</v>
      </c>
      <c r="W38" s="263">
        <f t="shared" si="14"/>
        <v>0</v>
      </c>
      <c r="X38" s="263">
        <f t="shared" si="14"/>
        <v>0</v>
      </c>
      <c r="Y38" s="263">
        <f t="shared" si="14"/>
        <v>0</v>
      </c>
      <c r="Z38" s="263">
        <f t="shared" si="14"/>
        <v>0</v>
      </c>
      <c r="AA38" s="263">
        <f t="shared" si="14"/>
        <v>0</v>
      </c>
      <c r="AB38" s="263">
        <f t="shared" si="14"/>
        <v>0</v>
      </c>
      <c r="AC38" s="263">
        <f t="shared" si="14"/>
        <v>0</v>
      </c>
      <c r="AD38" s="263">
        <f t="shared" si="14"/>
        <v>0</v>
      </c>
      <c r="AE38" s="263">
        <f t="shared" si="14"/>
        <v>0</v>
      </c>
      <c r="AF38" s="263">
        <f t="shared" si="14"/>
        <v>0</v>
      </c>
      <c r="AG38" s="263">
        <f t="shared" si="14"/>
        <v>0</v>
      </c>
      <c r="AH38" s="263">
        <f t="shared" si="14"/>
        <v>0</v>
      </c>
      <c r="AI38" s="263">
        <f t="shared" si="14"/>
        <v>0</v>
      </c>
      <c r="AJ38" s="267"/>
      <c r="AK38" s="263"/>
      <c r="AL38" s="27"/>
      <c r="AM38" s="27"/>
      <c r="AN38" s="27"/>
      <c r="AO38" s="27"/>
      <c r="AP38" s="27"/>
    </row>
    <row r="39" spans="1:42" s="65" customFormat="1">
      <c r="A39" s="26"/>
      <c r="B39" s="1395" t="s">
        <v>64</v>
      </c>
      <c r="C39" s="1396"/>
      <c r="D39" s="1396"/>
      <c r="E39" s="1397">
        <f>Assum!E246</f>
        <v>36158</v>
      </c>
      <c r="F39" s="1397">
        <f t="shared" ref="F39:AJ39" si="15">EDATE(E39,12)</f>
        <v>36523</v>
      </c>
      <c r="G39" s="1397">
        <f t="shared" si="15"/>
        <v>36889</v>
      </c>
      <c r="H39" s="1397">
        <f t="shared" si="15"/>
        <v>37254</v>
      </c>
      <c r="I39" s="1397">
        <f t="shared" si="15"/>
        <v>37619</v>
      </c>
      <c r="J39" s="1397">
        <f t="shared" si="15"/>
        <v>37984</v>
      </c>
      <c r="K39" s="1397">
        <f t="shared" si="15"/>
        <v>38350</v>
      </c>
      <c r="L39" s="1397">
        <f t="shared" si="15"/>
        <v>38715</v>
      </c>
      <c r="M39" s="1397">
        <f t="shared" si="15"/>
        <v>39080</v>
      </c>
      <c r="N39" s="1397">
        <f t="shared" si="15"/>
        <v>39445</v>
      </c>
      <c r="O39" s="1397">
        <f t="shared" si="15"/>
        <v>39811</v>
      </c>
      <c r="P39" s="1397">
        <f t="shared" si="15"/>
        <v>40176</v>
      </c>
      <c r="Q39" s="1397">
        <f t="shared" si="15"/>
        <v>40541</v>
      </c>
      <c r="R39" s="1397">
        <f t="shared" si="15"/>
        <v>40906</v>
      </c>
      <c r="S39" s="1397">
        <f t="shared" si="15"/>
        <v>41272</v>
      </c>
      <c r="T39" s="1397">
        <f t="shared" si="15"/>
        <v>41637</v>
      </c>
      <c r="U39" s="1397">
        <f t="shared" si="15"/>
        <v>42002</v>
      </c>
      <c r="V39" s="1397">
        <f t="shared" si="15"/>
        <v>42367</v>
      </c>
      <c r="W39" s="1397">
        <f t="shared" si="15"/>
        <v>42733</v>
      </c>
      <c r="X39" s="1397">
        <f t="shared" si="15"/>
        <v>43098</v>
      </c>
      <c r="Y39" s="1397">
        <f t="shared" si="15"/>
        <v>43463</v>
      </c>
      <c r="Z39" s="1397">
        <f t="shared" si="15"/>
        <v>43828</v>
      </c>
      <c r="AA39" s="1397">
        <f t="shared" si="15"/>
        <v>44194</v>
      </c>
      <c r="AB39" s="1397">
        <f t="shared" si="15"/>
        <v>44559</v>
      </c>
      <c r="AC39" s="1397">
        <f t="shared" si="15"/>
        <v>44924</v>
      </c>
      <c r="AD39" s="1397">
        <f t="shared" si="15"/>
        <v>45289</v>
      </c>
      <c r="AE39" s="1397">
        <f t="shared" si="15"/>
        <v>45655</v>
      </c>
      <c r="AF39" s="1397">
        <f t="shared" si="15"/>
        <v>46020</v>
      </c>
      <c r="AG39" s="1397">
        <f t="shared" si="15"/>
        <v>46385</v>
      </c>
      <c r="AH39" s="1397">
        <f t="shared" si="15"/>
        <v>46750</v>
      </c>
      <c r="AI39" s="1397">
        <f t="shared" si="15"/>
        <v>47116</v>
      </c>
      <c r="AJ39" s="1403">
        <f t="shared" si="15"/>
        <v>47481</v>
      </c>
      <c r="AK39" s="268"/>
      <c r="AL39" s="166"/>
      <c r="AM39" s="167"/>
      <c r="AN39" s="167"/>
      <c r="AO39" s="167"/>
      <c r="AP39" s="167"/>
    </row>
    <row r="40" spans="1:42">
      <c r="A40" s="26"/>
      <c r="B40" s="1360" t="s">
        <v>367</v>
      </c>
      <c r="C40" s="1361"/>
      <c r="D40" s="1361"/>
      <c r="E40" s="1361">
        <f t="shared" ref="E40:AI40" si="16">IF(E29&gt;0.1,1,0)</f>
        <v>1</v>
      </c>
      <c r="F40" s="1361">
        <f t="shared" si="16"/>
        <v>1</v>
      </c>
      <c r="G40" s="1361">
        <f t="shared" si="16"/>
        <v>1</v>
      </c>
      <c r="H40" s="1361">
        <f t="shared" si="16"/>
        <v>1</v>
      </c>
      <c r="I40" s="1361">
        <f t="shared" si="16"/>
        <v>1</v>
      </c>
      <c r="J40" s="1361">
        <f t="shared" si="16"/>
        <v>1</v>
      </c>
      <c r="K40" s="1361">
        <f t="shared" si="16"/>
        <v>1</v>
      </c>
      <c r="L40" s="1361">
        <f t="shared" si="16"/>
        <v>1</v>
      </c>
      <c r="M40" s="1361">
        <f t="shared" si="16"/>
        <v>1</v>
      </c>
      <c r="N40" s="1361">
        <f t="shared" si="16"/>
        <v>1</v>
      </c>
      <c r="O40" s="1361">
        <f t="shared" si="16"/>
        <v>1</v>
      </c>
      <c r="P40" s="1361">
        <f t="shared" si="16"/>
        <v>1</v>
      </c>
      <c r="Q40" s="1361">
        <f t="shared" si="16"/>
        <v>1</v>
      </c>
      <c r="R40" s="1361">
        <f t="shared" si="16"/>
        <v>1</v>
      </c>
      <c r="S40" s="1361">
        <f t="shared" si="16"/>
        <v>1</v>
      </c>
      <c r="T40" s="1361">
        <f t="shared" si="16"/>
        <v>1</v>
      </c>
      <c r="U40" s="1361">
        <f t="shared" si="16"/>
        <v>1</v>
      </c>
      <c r="V40" s="1361">
        <f t="shared" si="16"/>
        <v>1</v>
      </c>
      <c r="W40" s="1361">
        <f t="shared" si="16"/>
        <v>0</v>
      </c>
      <c r="X40" s="1361">
        <f t="shared" si="16"/>
        <v>0</v>
      </c>
      <c r="Y40" s="1361">
        <f t="shared" si="16"/>
        <v>0</v>
      </c>
      <c r="Z40" s="1361">
        <f t="shared" si="16"/>
        <v>0</v>
      </c>
      <c r="AA40" s="1361">
        <f t="shared" si="16"/>
        <v>0</v>
      </c>
      <c r="AB40" s="1361">
        <f t="shared" si="16"/>
        <v>0</v>
      </c>
      <c r="AC40" s="1361">
        <f t="shared" si="16"/>
        <v>0</v>
      </c>
      <c r="AD40" s="1361">
        <f t="shared" si="16"/>
        <v>0</v>
      </c>
      <c r="AE40" s="1361">
        <f t="shared" si="16"/>
        <v>0</v>
      </c>
      <c r="AF40" s="1361">
        <f t="shared" si="16"/>
        <v>0</v>
      </c>
      <c r="AG40" s="1361">
        <f t="shared" si="16"/>
        <v>0</v>
      </c>
      <c r="AH40" s="1361">
        <f t="shared" si="16"/>
        <v>0</v>
      </c>
      <c r="AI40" s="1361">
        <f t="shared" si="16"/>
        <v>0</v>
      </c>
      <c r="AJ40" s="1362"/>
      <c r="AK40" s="1361"/>
      <c r="AL40" s="32"/>
      <c r="AM40" s="32"/>
      <c r="AN40" s="32"/>
      <c r="AO40" s="32"/>
      <c r="AP40" s="32"/>
    </row>
    <row r="41" spans="1:42">
      <c r="A41" s="26"/>
      <c r="B41" s="1360" t="s">
        <v>368</v>
      </c>
      <c r="C41" s="1361"/>
      <c r="D41" s="1361"/>
      <c r="E41" s="1361">
        <f t="shared" ref="E41:AI41" si="17">IF(E35&gt;0.1,1,0)</f>
        <v>1</v>
      </c>
      <c r="F41" s="1361">
        <f t="shared" si="17"/>
        <v>1</v>
      </c>
      <c r="G41" s="1361">
        <f t="shared" si="17"/>
        <v>1</v>
      </c>
      <c r="H41" s="1361">
        <f t="shared" si="17"/>
        <v>1</v>
      </c>
      <c r="I41" s="1361">
        <f t="shared" si="17"/>
        <v>1</v>
      </c>
      <c r="J41" s="1361">
        <f t="shared" si="17"/>
        <v>1</v>
      </c>
      <c r="K41" s="1361">
        <f t="shared" si="17"/>
        <v>1</v>
      </c>
      <c r="L41" s="1361">
        <f t="shared" si="17"/>
        <v>1</v>
      </c>
      <c r="M41" s="1361">
        <f t="shared" si="17"/>
        <v>1</v>
      </c>
      <c r="N41" s="1361">
        <f t="shared" si="17"/>
        <v>1</v>
      </c>
      <c r="O41" s="1361">
        <f t="shared" si="17"/>
        <v>1</v>
      </c>
      <c r="P41" s="1361">
        <f t="shared" si="17"/>
        <v>1</v>
      </c>
      <c r="Q41" s="1361">
        <f t="shared" si="17"/>
        <v>1</v>
      </c>
      <c r="R41" s="1361">
        <f t="shared" si="17"/>
        <v>1</v>
      </c>
      <c r="S41" s="1361">
        <f t="shared" si="17"/>
        <v>1</v>
      </c>
      <c r="T41" s="1361">
        <f t="shared" si="17"/>
        <v>1</v>
      </c>
      <c r="U41" s="1361">
        <f t="shared" si="17"/>
        <v>1</v>
      </c>
      <c r="V41" s="1361">
        <f t="shared" si="17"/>
        <v>1</v>
      </c>
      <c r="W41" s="1361">
        <f t="shared" si="17"/>
        <v>0</v>
      </c>
      <c r="X41" s="1361">
        <f t="shared" si="17"/>
        <v>0</v>
      </c>
      <c r="Y41" s="1361">
        <f t="shared" si="17"/>
        <v>0</v>
      </c>
      <c r="Z41" s="1361">
        <f t="shared" si="17"/>
        <v>0</v>
      </c>
      <c r="AA41" s="1361">
        <f t="shared" si="17"/>
        <v>0</v>
      </c>
      <c r="AB41" s="1361">
        <f t="shared" si="17"/>
        <v>0</v>
      </c>
      <c r="AC41" s="1361">
        <f t="shared" si="17"/>
        <v>0</v>
      </c>
      <c r="AD41" s="1361">
        <f t="shared" si="17"/>
        <v>0</v>
      </c>
      <c r="AE41" s="1361">
        <f t="shared" si="17"/>
        <v>0</v>
      </c>
      <c r="AF41" s="1361">
        <f t="shared" si="17"/>
        <v>0</v>
      </c>
      <c r="AG41" s="1361">
        <f t="shared" si="17"/>
        <v>0</v>
      </c>
      <c r="AH41" s="1361">
        <f t="shared" si="17"/>
        <v>0</v>
      </c>
      <c r="AI41" s="1361">
        <f t="shared" si="17"/>
        <v>0</v>
      </c>
      <c r="AJ41" s="1362"/>
      <c r="AK41" s="1361"/>
      <c r="AL41" s="32"/>
      <c r="AM41" s="32"/>
      <c r="AN41" s="32"/>
      <c r="AO41" s="32"/>
      <c r="AP41" s="32"/>
    </row>
    <row r="42" spans="1:42" ht="13.5" thickBot="1">
      <c r="A42" s="26"/>
      <c r="B42" s="1360" t="s">
        <v>369</v>
      </c>
      <c r="C42" s="1361"/>
      <c r="D42" s="1361"/>
      <c r="E42" s="1629">
        <f>SUM(E35:AI35)/E35</f>
        <v>11.211339850906761</v>
      </c>
      <c r="F42" s="1361"/>
      <c r="G42" s="1363"/>
      <c r="H42" s="1361"/>
      <c r="I42" s="1361"/>
      <c r="J42" s="1361"/>
      <c r="K42" s="1361"/>
      <c r="L42" s="1361"/>
      <c r="M42" s="1361"/>
      <c r="N42" s="1361"/>
      <c r="O42" s="1361"/>
      <c r="P42" s="1361"/>
      <c r="Q42" s="1361"/>
      <c r="R42" s="1361"/>
      <c r="S42" s="1361"/>
      <c r="T42" s="1361"/>
      <c r="U42" s="1361"/>
      <c r="V42" s="1361"/>
      <c r="W42" s="1361"/>
      <c r="X42" s="1361"/>
      <c r="Y42" s="1361"/>
      <c r="Z42" s="1361"/>
      <c r="AA42" s="1361"/>
      <c r="AB42" s="1361"/>
      <c r="AC42" s="1361"/>
      <c r="AD42" s="1361"/>
      <c r="AE42" s="1361"/>
      <c r="AF42" s="1361"/>
      <c r="AG42" s="1361"/>
      <c r="AH42" s="1361"/>
      <c r="AI42" s="1361"/>
      <c r="AJ42" s="1362"/>
      <c r="AK42" s="1361"/>
      <c r="AL42" s="32"/>
      <c r="AM42" s="32"/>
      <c r="AN42" s="32"/>
      <c r="AO42" s="32"/>
      <c r="AP42" s="32"/>
    </row>
    <row r="43" spans="1:42" s="65" customFormat="1" ht="13.5" thickBot="1">
      <c r="A43" s="26"/>
      <c r="B43" s="1404" t="s">
        <v>757</v>
      </c>
      <c r="C43" s="1405"/>
      <c r="D43" s="1405"/>
      <c r="E43" s="1406"/>
      <c r="F43" s="1406"/>
      <c r="G43" s="1406"/>
      <c r="H43" s="1406"/>
      <c r="I43" s="1406"/>
      <c r="J43" s="1406"/>
      <c r="K43" s="1406"/>
      <c r="L43" s="1406"/>
      <c r="M43" s="1406"/>
      <c r="N43" s="1406"/>
      <c r="O43" s="1406"/>
      <c r="P43" s="1406"/>
      <c r="Q43" s="1406"/>
      <c r="R43" s="1406"/>
      <c r="S43" s="1406"/>
      <c r="T43" s="1406"/>
      <c r="U43" s="1406"/>
      <c r="V43" s="1406"/>
      <c r="W43" s="1406"/>
      <c r="X43" s="1406"/>
      <c r="Y43" s="1406"/>
      <c r="Z43" s="1406"/>
      <c r="AA43" s="1406"/>
      <c r="AB43" s="1406"/>
      <c r="AC43" s="1406"/>
      <c r="AD43" s="1406"/>
      <c r="AE43" s="1406"/>
      <c r="AF43" s="1406"/>
      <c r="AG43" s="1406"/>
      <c r="AH43" s="1406"/>
      <c r="AI43" s="1406"/>
      <c r="AJ43" s="1407"/>
      <c r="AK43" s="268"/>
      <c r="AL43" s="166"/>
      <c r="AM43" s="167"/>
      <c r="AN43" s="167"/>
      <c r="AO43" s="167"/>
      <c r="AP43" s="167"/>
    </row>
    <row r="44" spans="1:42" s="65" customFormat="1">
      <c r="A44" s="26"/>
      <c r="B44" s="269" t="s">
        <v>364</v>
      </c>
      <c r="C44" s="259">
        <f>SUM(E44:AI44)</f>
        <v>41612.965660908361</v>
      </c>
      <c r="D44" s="268"/>
      <c r="E44" s="268">
        <f>E30+E36</f>
        <v>3647.4391780684955</v>
      </c>
      <c r="F44" s="268">
        <f t="shared" ref="F44:AI44" si="18">F30+F36</f>
        <v>3501.7919323124306</v>
      </c>
      <c r="G44" s="268">
        <f t="shared" si="18"/>
        <v>3421.5036127609756</v>
      </c>
      <c r="H44" s="268">
        <f t="shared" si="18"/>
        <v>3310.9744499185717</v>
      </c>
      <c r="I44" s="268">
        <f t="shared" si="18"/>
        <v>3200.6554985769753</v>
      </c>
      <c r="J44" s="268">
        <f t="shared" si="18"/>
        <v>3075.1139920557252</v>
      </c>
      <c r="K44" s="268">
        <f t="shared" si="18"/>
        <v>2937.2205048026381</v>
      </c>
      <c r="L44" s="268">
        <f t="shared" si="18"/>
        <v>2789.4708736427183</v>
      </c>
      <c r="M44" s="268">
        <f t="shared" si="18"/>
        <v>2634.8656934600317</v>
      </c>
      <c r="N44" s="268">
        <f t="shared" si="18"/>
        <v>2462.9718859667623</v>
      </c>
      <c r="O44" s="268">
        <f t="shared" si="18"/>
        <v>2274.6973399833641</v>
      </c>
      <c r="P44" s="268">
        <f t="shared" si="18"/>
        <v>2047.654411103787</v>
      </c>
      <c r="Q44" s="268">
        <f t="shared" si="18"/>
        <v>1807.4866043508746</v>
      </c>
      <c r="R44" s="268">
        <f t="shared" si="18"/>
        <v>1536.0831557882163</v>
      </c>
      <c r="S44" s="268">
        <f t="shared" si="18"/>
        <v>1245.272139487553</v>
      </c>
      <c r="T44" s="268">
        <f t="shared" si="18"/>
        <v>924.13628437959096</v>
      </c>
      <c r="U44" s="268">
        <f t="shared" si="18"/>
        <v>584.06076804614349</v>
      </c>
      <c r="V44" s="268">
        <f t="shared" si="18"/>
        <v>211.56733620350326</v>
      </c>
      <c r="W44" s="268">
        <f t="shared" si="18"/>
        <v>0</v>
      </c>
      <c r="X44" s="268">
        <f t="shared" si="18"/>
        <v>0</v>
      </c>
      <c r="Y44" s="268">
        <f t="shared" si="18"/>
        <v>0</v>
      </c>
      <c r="Z44" s="268">
        <f t="shared" si="18"/>
        <v>0</v>
      </c>
      <c r="AA44" s="268">
        <f t="shared" si="18"/>
        <v>0</v>
      </c>
      <c r="AB44" s="268">
        <f t="shared" si="18"/>
        <v>0</v>
      </c>
      <c r="AC44" s="268">
        <f t="shared" si="18"/>
        <v>0</v>
      </c>
      <c r="AD44" s="268">
        <f t="shared" si="18"/>
        <v>0</v>
      </c>
      <c r="AE44" s="268">
        <f t="shared" si="18"/>
        <v>0</v>
      </c>
      <c r="AF44" s="268">
        <f t="shared" si="18"/>
        <v>0</v>
      </c>
      <c r="AG44" s="268">
        <f t="shared" si="18"/>
        <v>0</v>
      </c>
      <c r="AH44" s="268">
        <f t="shared" si="18"/>
        <v>0</v>
      </c>
      <c r="AI44" s="268">
        <f t="shared" si="18"/>
        <v>0</v>
      </c>
      <c r="AJ44" s="710"/>
      <c r="AK44" s="268"/>
      <c r="AL44" s="166"/>
      <c r="AM44" s="167"/>
      <c r="AN44" s="167"/>
      <c r="AO44" s="167"/>
      <c r="AP44" s="167"/>
    </row>
    <row r="45" spans="1:42" ht="13.5" thickBot="1">
      <c r="A45" s="26"/>
      <c r="B45" s="1424" t="s">
        <v>365</v>
      </c>
      <c r="C45" s="1327">
        <f>SUM(E45:AI45)</f>
        <v>40271.353865997226</v>
      </c>
      <c r="D45" s="639"/>
      <c r="E45" s="1327">
        <f>E31+E37</f>
        <v>2083.6118152256513</v>
      </c>
      <c r="F45" s="1327">
        <f t="shared" ref="F45:AI45" si="19">F31+F37</f>
        <v>943.95971983363711</v>
      </c>
      <c r="G45" s="1327">
        <f t="shared" si="19"/>
        <v>1069.0374227494012</v>
      </c>
      <c r="H45" s="1327">
        <f t="shared" si="19"/>
        <v>1169.6508021791685</v>
      </c>
      <c r="I45" s="1327">
        <f t="shared" si="19"/>
        <v>1276.2185873886185</v>
      </c>
      <c r="J45" s="1327">
        <f t="shared" si="19"/>
        <v>1621.2511119608309</v>
      </c>
      <c r="K45" s="1327">
        <f t="shared" si="19"/>
        <v>1471.708210429764</v>
      </c>
      <c r="L45" s="1327">
        <f t="shared" si="19"/>
        <v>1634.1827924091283</v>
      </c>
      <c r="M45" s="1327">
        <f t="shared" si="19"/>
        <v>1803.9787620978454</v>
      </c>
      <c r="N45" s="1327">
        <f t="shared" si="19"/>
        <v>2045.593692924474</v>
      </c>
      <c r="O45" s="1327">
        <f t="shared" si="19"/>
        <v>2313.3704508988321</v>
      </c>
      <c r="P45" s="1327">
        <f t="shared" si="19"/>
        <v>2628.0596049388673</v>
      </c>
      <c r="Q45" s="1327">
        <f t="shared" si="19"/>
        <v>2963.9173874294074</v>
      </c>
      <c r="R45" s="1327">
        <f t="shared" si="19"/>
        <v>3175.6499889297793</v>
      </c>
      <c r="S45" s="1327">
        <f t="shared" si="19"/>
        <v>3395.831990818368</v>
      </c>
      <c r="T45" s="1327">
        <f t="shared" si="19"/>
        <v>3568.1625914659394</v>
      </c>
      <c r="U45" s="1327">
        <f t="shared" si="19"/>
        <v>3861.9036114775226</v>
      </c>
      <c r="V45" s="1327">
        <f t="shared" si="19"/>
        <v>3245.2653228399968</v>
      </c>
      <c r="W45" s="1327">
        <f t="shared" si="19"/>
        <v>0</v>
      </c>
      <c r="X45" s="1327">
        <f t="shared" si="19"/>
        <v>0</v>
      </c>
      <c r="Y45" s="1327">
        <f t="shared" si="19"/>
        <v>0</v>
      </c>
      <c r="Z45" s="1327">
        <f t="shared" si="19"/>
        <v>0</v>
      </c>
      <c r="AA45" s="1327">
        <f t="shared" si="19"/>
        <v>0</v>
      </c>
      <c r="AB45" s="1327">
        <f t="shared" si="19"/>
        <v>0</v>
      </c>
      <c r="AC45" s="1327">
        <f t="shared" si="19"/>
        <v>0</v>
      </c>
      <c r="AD45" s="1327">
        <f t="shared" si="19"/>
        <v>0</v>
      </c>
      <c r="AE45" s="1327">
        <f t="shared" si="19"/>
        <v>0</v>
      </c>
      <c r="AF45" s="1327">
        <f t="shared" si="19"/>
        <v>0</v>
      </c>
      <c r="AG45" s="1327">
        <f t="shared" si="19"/>
        <v>0</v>
      </c>
      <c r="AH45" s="1327">
        <f t="shared" si="19"/>
        <v>0</v>
      </c>
      <c r="AI45" s="1327">
        <f t="shared" si="19"/>
        <v>0</v>
      </c>
      <c r="AJ45" s="1425"/>
      <c r="AK45" s="259"/>
      <c r="AL45" s="24"/>
      <c r="AM45" s="23"/>
      <c r="AN45" s="23"/>
      <c r="AO45" s="23"/>
      <c r="AP45" s="23"/>
    </row>
    <row r="46" spans="1:42" ht="13.5" thickBot="1">
      <c r="A46" s="26"/>
      <c r="B46" s="265" t="s">
        <v>366</v>
      </c>
      <c r="C46" s="283"/>
      <c r="D46" s="266"/>
      <c r="E46" s="283">
        <f>SUM(E44:E45)</f>
        <v>5731.0509932941468</v>
      </c>
      <c r="F46" s="283">
        <f t="shared" ref="F46:AI46" si="20">SUM(F44:F45)</f>
        <v>4445.7516521460675</v>
      </c>
      <c r="G46" s="283">
        <f t="shared" si="20"/>
        <v>4490.5410355103768</v>
      </c>
      <c r="H46" s="283">
        <f t="shared" si="20"/>
        <v>4480.6252520977405</v>
      </c>
      <c r="I46" s="283">
        <f t="shared" si="20"/>
        <v>4476.8740859655936</v>
      </c>
      <c r="J46" s="283">
        <f t="shared" si="20"/>
        <v>4696.365104016556</v>
      </c>
      <c r="K46" s="283">
        <f t="shared" si="20"/>
        <v>4408.9287152324023</v>
      </c>
      <c r="L46" s="283">
        <f t="shared" si="20"/>
        <v>4423.6536660518468</v>
      </c>
      <c r="M46" s="283">
        <f t="shared" si="20"/>
        <v>4438.8444555578772</v>
      </c>
      <c r="N46" s="283">
        <f t="shared" si="20"/>
        <v>4508.5655788912363</v>
      </c>
      <c r="O46" s="283">
        <f t="shared" si="20"/>
        <v>4588.0677908821963</v>
      </c>
      <c r="P46" s="283">
        <f t="shared" si="20"/>
        <v>4675.7140160426543</v>
      </c>
      <c r="Q46" s="283">
        <f t="shared" si="20"/>
        <v>4771.403991780282</v>
      </c>
      <c r="R46" s="283">
        <f t="shared" si="20"/>
        <v>4711.7331447179959</v>
      </c>
      <c r="S46" s="283">
        <f t="shared" si="20"/>
        <v>4641.104130305921</v>
      </c>
      <c r="T46" s="283">
        <f t="shared" si="20"/>
        <v>4492.2988758455303</v>
      </c>
      <c r="U46" s="283">
        <f t="shared" si="20"/>
        <v>4445.9643795236661</v>
      </c>
      <c r="V46" s="283">
        <f t="shared" si="20"/>
        <v>3456.8326590434999</v>
      </c>
      <c r="W46" s="283">
        <f t="shared" si="20"/>
        <v>0</v>
      </c>
      <c r="X46" s="283">
        <f t="shared" si="20"/>
        <v>0</v>
      </c>
      <c r="Y46" s="283">
        <f t="shared" si="20"/>
        <v>0</v>
      </c>
      <c r="Z46" s="283">
        <f t="shared" si="20"/>
        <v>0</v>
      </c>
      <c r="AA46" s="283">
        <f t="shared" si="20"/>
        <v>0</v>
      </c>
      <c r="AB46" s="283">
        <f t="shared" si="20"/>
        <v>0</v>
      </c>
      <c r="AC46" s="283">
        <f t="shared" si="20"/>
        <v>0</v>
      </c>
      <c r="AD46" s="283">
        <f t="shared" si="20"/>
        <v>0</v>
      </c>
      <c r="AE46" s="283">
        <f t="shared" si="20"/>
        <v>0</v>
      </c>
      <c r="AF46" s="283">
        <f t="shared" si="20"/>
        <v>0</v>
      </c>
      <c r="AG46" s="283">
        <f t="shared" si="20"/>
        <v>0</v>
      </c>
      <c r="AH46" s="283">
        <f t="shared" si="20"/>
        <v>0</v>
      </c>
      <c r="AI46" s="283">
        <f t="shared" si="20"/>
        <v>0</v>
      </c>
      <c r="AJ46" s="284"/>
      <c r="AK46" s="263"/>
      <c r="AL46" s="27"/>
      <c r="AM46" s="27"/>
      <c r="AN46" s="27"/>
      <c r="AO46" s="27"/>
      <c r="AP46" s="27"/>
    </row>
    <row r="47" spans="1:42">
      <c r="A47" s="1254"/>
      <c r="B47" s="263"/>
      <c r="C47" s="263"/>
      <c r="D47" s="1359"/>
      <c r="E47" s="263"/>
      <c r="F47" s="263"/>
      <c r="G47" s="263"/>
      <c r="H47" s="263"/>
      <c r="I47" s="263"/>
      <c r="J47" s="263"/>
      <c r="K47" s="263"/>
      <c r="L47" s="263"/>
      <c r="M47" s="263"/>
      <c r="N47" s="263"/>
      <c r="O47" s="263"/>
      <c r="P47" s="263"/>
      <c r="Q47" s="263"/>
      <c r="R47" s="263"/>
      <c r="S47" s="263"/>
      <c r="T47" s="263"/>
      <c r="U47" s="263"/>
      <c r="V47" s="263"/>
      <c r="W47" s="263"/>
      <c r="X47" s="263"/>
      <c r="Y47" s="263"/>
      <c r="Z47" s="263"/>
      <c r="AA47" s="263"/>
      <c r="AB47" s="263"/>
      <c r="AC47" s="263"/>
      <c r="AD47" s="263"/>
      <c r="AE47" s="263"/>
      <c r="AF47" s="263"/>
      <c r="AG47" s="263"/>
      <c r="AH47" s="263"/>
      <c r="AI47" s="263"/>
      <c r="AJ47" s="263"/>
      <c r="AK47" s="263"/>
      <c r="AL47" s="27"/>
      <c r="AM47" s="27"/>
      <c r="AN47" s="27"/>
      <c r="AO47" s="27"/>
      <c r="AP47" s="27"/>
    </row>
    <row r="48" spans="1:42">
      <c r="A48" s="1254"/>
      <c r="B48" s="32" t="s">
        <v>775</v>
      </c>
      <c r="C48" s="32"/>
      <c r="D48" s="1232">
        <f>1-E48</f>
        <v>0</v>
      </c>
      <c r="E48" s="1232">
        <f>IF(E28=0,0,IF(YEAR(E33)=YEAR(E108),1,ROUND(((E108-E27)/E28),2)))</f>
        <v>1</v>
      </c>
      <c r="F48" s="263"/>
      <c r="G48" s="263"/>
      <c r="H48" s="263"/>
      <c r="I48" s="263"/>
      <c r="J48" s="263"/>
      <c r="K48" s="263"/>
      <c r="L48" s="263"/>
      <c r="M48" s="263"/>
      <c r="N48" s="263"/>
      <c r="O48" s="263"/>
      <c r="P48" s="263"/>
      <c r="Q48" s="263"/>
      <c r="R48" s="263"/>
      <c r="S48" s="263"/>
      <c r="T48" s="263"/>
      <c r="U48" s="263"/>
      <c r="V48" s="263"/>
      <c r="W48" s="263"/>
      <c r="X48" s="263"/>
      <c r="Y48" s="263"/>
      <c r="Z48" s="263"/>
      <c r="AA48" s="263"/>
      <c r="AB48" s="263"/>
      <c r="AC48" s="263"/>
      <c r="AD48" s="263"/>
      <c r="AE48" s="263"/>
      <c r="AF48" s="263"/>
      <c r="AG48" s="263"/>
      <c r="AH48" s="263"/>
      <c r="AI48" s="263"/>
      <c r="AJ48" s="263"/>
      <c r="AK48" s="263"/>
      <c r="AL48" s="27"/>
      <c r="AM48" s="27"/>
      <c r="AN48" s="27"/>
      <c r="AO48" s="27"/>
      <c r="AP48" s="27"/>
    </row>
    <row r="49" spans="1:42">
      <c r="A49" s="1254"/>
      <c r="B49" s="32"/>
      <c r="C49" s="32"/>
      <c r="D49" s="1232">
        <f>1-E49</f>
        <v>0</v>
      </c>
      <c r="E49" s="1232">
        <f>IF(Assum!$E$248=1,(1-(ABS(SrDebt!E108-SrDebt!E39)/SrDebt!E34)),IF(YEAR(E39)=YEAR(E108),1,IF(F108-F33&lt;0,0,ROUND(((E108-E33)/E34),2))))</f>
        <v>1</v>
      </c>
      <c r="F49" s="263"/>
      <c r="G49" s="263"/>
      <c r="H49" s="263"/>
      <c r="I49" s="263"/>
      <c r="J49" s="263"/>
      <c r="K49" s="263"/>
      <c r="L49" s="263"/>
      <c r="M49" s="263"/>
      <c r="N49" s="263"/>
      <c r="O49" s="263"/>
      <c r="P49" s="263"/>
      <c r="Q49" s="263"/>
      <c r="R49" s="263"/>
      <c r="S49" s="263"/>
      <c r="T49" s="263"/>
      <c r="U49" s="263"/>
      <c r="V49" s="263"/>
      <c r="W49" s="263"/>
      <c r="X49" s="263"/>
      <c r="Y49" s="263"/>
      <c r="Z49" s="263"/>
      <c r="AA49" s="263"/>
      <c r="AB49" s="263"/>
      <c r="AC49" s="263"/>
      <c r="AD49" s="263"/>
      <c r="AE49" s="263"/>
      <c r="AF49" s="263"/>
      <c r="AG49" s="263"/>
      <c r="AH49" s="263"/>
      <c r="AI49" s="263"/>
      <c r="AJ49" s="263"/>
      <c r="AK49" s="263"/>
      <c r="AL49" s="27"/>
      <c r="AM49" s="27"/>
      <c r="AN49" s="27"/>
      <c r="AO49" s="27"/>
      <c r="AP49" s="27"/>
    </row>
    <row r="50" spans="1:42">
      <c r="A50" s="1254"/>
      <c r="B50" s="263"/>
      <c r="C50" s="263"/>
      <c r="D50" s="1359"/>
      <c r="E50" s="263"/>
      <c r="F50" s="263"/>
      <c r="G50" s="263"/>
      <c r="H50" s="263"/>
      <c r="I50" s="263"/>
      <c r="J50" s="263"/>
      <c r="K50" s="263"/>
      <c r="L50" s="263"/>
      <c r="M50" s="263"/>
      <c r="N50" s="263"/>
      <c r="O50" s="263"/>
      <c r="P50" s="263"/>
      <c r="Q50" s="263"/>
      <c r="R50" s="263"/>
      <c r="S50" s="263"/>
      <c r="T50" s="263"/>
      <c r="U50" s="263"/>
      <c r="V50" s="263"/>
      <c r="W50" s="263"/>
      <c r="X50" s="263"/>
      <c r="Y50" s="263"/>
      <c r="Z50" s="263"/>
      <c r="AA50" s="263"/>
      <c r="AB50" s="263"/>
      <c r="AC50" s="263"/>
      <c r="AD50" s="263"/>
      <c r="AE50" s="263"/>
      <c r="AF50" s="263"/>
      <c r="AG50" s="263"/>
      <c r="AH50" s="263"/>
      <c r="AI50" s="263"/>
      <c r="AJ50" s="263"/>
      <c r="AK50" s="263"/>
      <c r="AL50" s="27"/>
      <c r="AM50" s="27"/>
      <c r="AN50" s="27"/>
      <c r="AO50" s="27"/>
      <c r="AP50" s="27"/>
    </row>
    <row r="51" spans="1:42" ht="13.5" thickBot="1">
      <c r="A51" s="1254"/>
      <c r="B51" s="263"/>
      <c r="C51" s="263"/>
      <c r="D51" s="1359"/>
      <c r="E51" s="263"/>
      <c r="F51" s="263"/>
      <c r="G51" s="263"/>
      <c r="H51" s="263"/>
      <c r="I51" s="263"/>
      <c r="J51" s="263"/>
      <c r="K51" s="263"/>
      <c r="L51" s="263"/>
      <c r="M51" s="263"/>
      <c r="N51" s="263"/>
      <c r="O51" s="263"/>
      <c r="P51" s="263"/>
      <c r="Q51" s="263"/>
      <c r="R51" s="263"/>
      <c r="S51" s="263"/>
      <c r="T51" s="263"/>
      <c r="U51" s="263"/>
      <c r="V51" s="263"/>
      <c r="W51" s="263"/>
      <c r="X51" s="263"/>
      <c r="Y51" s="263"/>
      <c r="Z51" s="263"/>
      <c r="AA51" s="263"/>
      <c r="AB51" s="263"/>
      <c r="AC51" s="263"/>
      <c r="AD51" s="263"/>
      <c r="AE51" s="263"/>
      <c r="AF51" s="263"/>
      <c r="AG51" s="263"/>
      <c r="AH51" s="263"/>
      <c r="AI51" s="263"/>
      <c r="AJ51" s="263"/>
      <c r="AK51" s="263"/>
      <c r="AL51" s="27"/>
      <c r="AM51" s="27"/>
      <c r="AN51" s="27"/>
      <c r="AO51" s="27"/>
      <c r="AP51" s="27"/>
    </row>
    <row r="52" spans="1:42" s="65" customFormat="1" ht="13.5" thickBot="1">
      <c r="A52" s="165"/>
      <c r="B52" s="1431" t="s">
        <v>748</v>
      </c>
      <c r="C52" s="1236"/>
      <c r="D52" s="415" t="s">
        <v>752</v>
      </c>
      <c r="E52" s="1235"/>
      <c r="F52" s="1235"/>
      <c r="G52" s="1235"/>
      <c r="H52" s="1235"/>
      <c r="I52" s="1235"/>
      <c r="J52" s="1235"/>
      <c r="K52" s="1235"/>
      <c r="L52" s="1235"/>
      <c r="M52" s="1235"/>
      <c r="N52" s="1235"/>
      <c r="O52" s="1235"/>
      <c r="P52" s="1235"/>
      <c r="Q52" s="1235"/>
      <c r="R52" s="1235"/>
      <c r="S52" s="1235"/>
      <c r="T52" s="1235"/>
      <c r="U52" s="1235"/>
      <c r="V52" s="1235"/>
      <c r="W52" s="1235"/>
      <c r="X52" s="1235"/>
      <c r="Y52" s="1235"/>
      <c r="Z52" s="1235"/>
      <c r="AA52" s="1235"/>
      <c r="AB52" s="1235"/>
      <c r="AC52" s="1235"/>
      <c r="AD52" s="1235"/>
      <c r="AE52" s="1235"/>
      <c r="AF52" s="1235"/>
      <c r="AG52" s="1235"/>
      <c r="AH52" s="1235"/>
      <c r="AI52" s="1235"/>
      <c r="AJ52" s="1235"/>
      <c r="AK52" s="268"/>
      <c r="AL52" s="166"/>
      <c r="AM52" s="167"/>
      <c r="AN52" s="167"/>
      <c r="AO52" s="167"/>
      <c r="AP52" s="167"/>
    </row>
    <row r="53" spans="1:42" s="65" customFormat="1">
      <c r="A53" s="165"/>
      <c r="B53" s="1345" t="s">
        <v>65</v>
      </c>
      <c r="C53" s="268"/>
      <c r="D53" s="1346">
        <f>Assum!F258</f>
        <v>0</v>
      </c>
      <c r="E53" s="1345">
        <f>IF($D$53=0,0,E5-E18*E11)</f>
        <v>0</v>
      </c>
      <c r="F53" s="1345">
        <f t="shared" ref="F53:AI53" si="21">IF($D$53=0,0,F5-F18*F11)</f>
        <v>0</v>
      </c>
      <c r="G53" s="1345">
        <f t="shared" si="21"/>
        <v>0</v>
      </c>
      <c r="H53" s="1345">
        <f t="shared" si="21"/>
        <v>0</v>
      </c>
      <c r="I53" s="1345">
        <f t="shared" si="21"/>
        <v>0</v>
      </c>
      <c r="J53" s="1345">
        <f t="shared" si="21"/>
        <v>0</v>
      </c>
      <c r="K53" s="1345">
        <f t="shared" si="21"/>
        <v>0</v>
      </c>
      <c r="L53" s="1345">
        <f t="shared" si="21"/>
        <v>0</v>
      </c>
      <c r="M53" s="1345">
        <f t="shared" si="21"/>
        <v>0</v>
      </c>
      <c r="N53" s="1345">
        <f t="shared" si="21"/>
        <v>0</v>
      </c>
      <c r="O53" s="1345">
        <f t="shared" si="21"/>
        <v>0</v>
      </c>
      <c r="P53" s="1345">
        <f t="shared" si="21"/>
        <v>0</v>
      </c>
      <c r="Q53" s="1345">
        <f t="shared" si="21"/>
        <v>0</v>
      </c>
      <c r="R53" s="1345">
        <f t="shared" si="21"/>
        <v>0</v>
      </c>
      <c r="S53" s="1345">
        <f t="shared" si="21"/>
        <v>0</v>
      </c>
      <c r="T53" s="1345">
        <f t="shared" si="21"/>
        <v>0</v>
      </c>
      <c r="U53" s="1345">
        <f t="shared" si="21"/>
        <v>0</v>
      </c>
      <c r="V53" s="1345">
        <f t="shared" si="21"/>
        <v>0</v>
      </c>
      <c r="W53" s="1345">
        <f t="shared" si="21"/>
        <v>0</v>
      </c>
      <c r="X53" s="1345">
        <f t="shared" si="21"/>
        <v>0</v>
      </c>
      <c r="Y53" s="1345">
        <f t="shared" si="21"/>
        <v>0</v>
      </c>
      <c r="Z53" s="1345">
        <f t="shared" si="21"/>
        <v>0</v>
      </c>
      <c r="AA53" s="1345">
        <f t="shared" si="21"/>
        <v>0</v>
      </c>
      <c r="AB53" s="1345">
        <f t="shared" si="21"/>
        <v>0</v>
      </c>
      <c r="AC53" s="1345">
        <f t="shared" si="21"/>
        <v>0</v>
      </c>
      <c r="AD53" s="1345">
        <f t="shared" si="21"/>
        <v>0</v>
      </c>
      <c r="AE53" s="1345">
        <f t="shared" si="21"/>
        <v>0</v>
      </c>
      <c r="AF53" s="1345">
        <f t="shared" si="21"/>
        <v>0</v>
      </c>
      <c r="AG53" s="1345">
        <f t="shared" si="21"/>
        <v>0</v>
      </c>
      <c r="AH53" s="1345">
        <f t="shared" si="21"/>
        <v>0</v>
      </c>
      <c r="AI53" s="1345">
        <f t="shared" si="21"/>
        <v>0</v>
      </c>
      <c r="AJ53" s="1345"/>
      <c r="AK53" s="1418"/>
      <c r="AL53" s="1345"/>
      <c r="AM53" s="1345"/>
      <c r="AN53" s="1345"/>
      <c r="AO53" s="1345"/>
      <c r="AP53" s="1345"/>
    </row>
    <row r="54" spans="1:42" s="65" customFormat="1">
      <c r="A54" s="165"/>
      <c r="B54" s="1345"/>
      <c r="C54" s="1345"/>
      <c r="D54" s="1345"/>
      <c r="E54" s="1345"/>
      <c r="F54" s="1345"/>
      <c r="G54" s="1345"/>
      <c r="H54" s="1345"/>
      <c r="I54" s="1345"/>
      <c r="J54" s="1345"/>
      <c r="K54" s="1345"/>
      <c r="L54" s="1345"/>
      <c r="M54" s="1345"/>
      <c r="N54" s="1345"/>
      <c r="O54" s="1345"/>
      <c r="P54" s="1345"/>
      <c r="Q54" s="1345"/>
      <c r="R54" s="1345"/>
      <c r="S54" s="1345"/>
      <c r="T54" s="1345"/>
      <c r="U54" s="1345"/>
      <c r="V54" s="1345"/>
      <c r="W54" s="1345"/>
      <c r="X54" s="1345"/>
      <c r="Y54" s="1345"/>
      <c r="Z54" s="1345"/>
      <c r="AA54" s="1345"/>
      <c r="AB54" s="1345"/>
      <c r="AC54" s="1345"/>
      <c r="AD54" s="1345"/>
      <c r="AE54" s="1345"/>
      <c r="AF54" s="1345"/>
      <c r="AG54" s="1345"/>
      <c r="AH54" s="1345"/>
      <c r="AI54" s="1345"/>
      <c r="AJ54" s="1345"/>
      <c r="AK54" s="1418"/>
      <c r="AL54" s="1345"/>
      <c r="AM54" s="1345"/>
      <c r="AN54" s="1345"/>
      <c r="AO54" s="1345"/>
      <c r="AP54" s="1345"/>
    </row>
    <row r="55" spans="1:42" s="707" customFormat="1">
      <c r="A55" s="165"/>
      <c r="B55" s="705"/>
      <c r="C55" s="705"/>
      <c r="D55" s="705"/>
      <c r="E55" s="921">
        <v>1</v>
      </c>
      <c r="F55" s="922">
        <v>2</v>
      </c>
      <c r="G55" s="922">
        <v>3</v>
      </c>
      <c r="H55" s="922">
        <v>4</v>
      </c>
      <c r="I55" s="922">
        <v>5</v>
      </c>
      <c r="J55" s="922">
        <v>6</v>
      </c>
      <c r="K55" s="922">
        <v>7</v>
      </c>
      <c r="L55" s="922">
        <v>8</v>
      </c>
      <c r="M55" s="922">
        <v>9</v>
      </c>
      <c r="N55" s="922">
        <v>10</v>
      </c>
      <c r="O55" s="922">
        <v>11</v>
      </c>
      <c r="P55" s="922">
        <v>12</v>
      </c>
      <c r="Q55" s="922">
        <v>13</v>
      </c>
      <c r="R55" s="922">
        <v>14</v>
      </c>
      <c r="S55" s="922">
        <v>15</v>
      </c>
      <c r="T55" s="922">
        <v>16</v>
      </c>
      <c r="U55" s="922">
        <v>17</v>
      </c>
      <c r="V55" s="922">
        <v>18</v>
      </c>
      <c r="W55" s="922">
        <v>19</v>
      </c>
      <c r="X55" s="922">
        <v>20</v>
      </c>
      <c r="Y55" s="922">
        <v>21</v>
      </c>
      <c r="Z55" s="922">
        <v>22</v>
      </c>
      <c r="AA55" s="922">
        <v>23</v>
      </c>
      <c r="AB55" s="922">
        <v>24</v>
      </c>
      <c r="AC55" s="922">
        <v>25</v>
      </c>
      <c r="AD55" s="922">
        <v>26</v>
      </c>
      <c r="AE55" s="922">
        <v>27</v>
      </c>
      <c r="AF55" s="922">
        <v>28</v>
      </c>
      <c r="AG55" s="922">
        <v>29</v>
      </c>
      <c r="AH55" s="922">
        <v>30</v>
      </c>
      <c r="AI55" s="923">
        <v>31</v>
      </c>
      <c r="AJ55" s="705"/>
      <c r="AK55" s="1417"/>
      <c r="AL55" s="705"/>
      <c r="AM55" s="706"/>
      <c r="AN55" s="706"/>
      <c r="AO55" s="706"/>
      <c r="AP55" s="706"/>
    </row>
    <row r="56" spans="1:42" s="65" customFormat="1">
      <c r="A56" s="165"/>
      <c r="B56" s="166" t="s">
        <v>359</v>
      </c>
      <c r="C56" s="166"/>
      <c r="D56" s="166"/>
      <c r="E56" s="1347">
        <f>Assum!E268</f>
        <v>1.4</v>
      </c>
      <c r="F56" s="1347">
        <f>Assum!F268</f>
        <v>1.4</v>
      </c>
      <c r="G56" s="1347">
        <f>Assum!G268</f>
        <v>1.4</v>
      </c>
      <c r="H56" s="1347">
        <f>Assum!H268</f>
        <v>1.4</v>
      </c>
      <c r="I56" s="1347">
        <f>Assum!I268</f>
        <v>1.4</v>
      </c>
      <c r="J56" s="1347">
        <f>Assum!J268</f>
        <v>1.4</v>
      </c>
      <c r="K56" s="1347">
        <f>Assum!K268</f>
        <v>1.4</v>
      </c>
      <c r="L56" s="1347">
        <f>Assum!L268</f>
        <v>1.4</v>
      </c>
      <c r="M56" s="1347">
        <f>Assum!M268</f>
        <v>1.4</v>
      </c>
      <c r="N56" s="1347">
        <f>Assum!N268</f>
        <v>1.4</v>
      </c>
      <c r="O56" s="1347">
        <f>Assum!O268</f>
        <v>1.4</v>
      </c>
      <c r="P56" s="1347">
        <f>Assum!P268</f>
        <v>1.4</v>
      </c>
      <c r="Q56" s="1347">
        <f>Assum!Q268</f>
        <v>1.4</v>
      </c>
      <c r="R56" s="1347">
        <f>Assum!R268</f>
        <v>1.4</v>
      </c>
      <c r="S56" s="1347">
        <f>Assum!S268</f>
        <v>1.4</v>
      </c>
      <c r="T56" s="1347">
        <f>Assum!T268</f>
        <v>1.4</v>
      </c>
      <c r="U56" s="1347">
        <f>Assum!U268</f>
        <v>1.4</v>
      </c>
      <c r="V56" s="1347">
        <f>Assum!V268</f>
        <v>1.4</v>
      </c>
      <c r="W56" s="1347">
        <f>Assum!W268</f>
        <v>1.4</v>
      </c>
      <c r="X56" s="1347">
        <f>Assum!X268</f>
        <v>1.4</v>
      </c>
      <c r="Y56" s="1347">
        <f>Assum!Y268</f>
        <v>1.4</v>
      </c>
      <c r="Z56" s="1347">
        <f>Assum!Z268</f>
        <v>1.4</v>
      </c>
      <c r="AA56" s="1347">
        <f>Assum!AA268</f>
        <v>1.4</v>
      </c>
      <c r="AB56" s="1347">
        <f>Assum!AB268</f>
        <v>1.4</v>
      </c>
      <c r="AC56" s="1347">
        <f>Assum!AC268</f>
        <v>1.4</v>
      </c>
      <c r="AD56" s="1347">
        <f>Assum!AD268</f>
        <v>1.4</v>
      </c>
      <c r="AE56" s="1347">
        <f>Assum!AE268</f>
        <v>1.4</v>
      </c>
      <c r="AF56" s="1347">
        <f>Assum!AF268</f>
        <v>1.4</v>
      </c>
      <c r="AG56" s="1347">
        <f>Assum!AG268</f>
        <v>1.4</v>
      </c>
      <c r="AH56" s="1347">
        <f>Assum!AH268</f>
        <v>1.4</v>
      </c>
      <c r="AI56" s="1347">
        <f>Assum!AI268</f>
        <v>1.4</v>
      </c>
      <c r="AJ56" s="166"/>
      <c r="AK56" s="268"/>
      <c r="AL56" s="166"/>
      <c r="AM56" s="167"/>
      <c r="AN56" s="167"/>
      <c r="AO56" s="167"/>
      <c r="AP56" s="167"/>
    </row>
    <row r="57" spans="1:42" s="65" customFormat="1">
      <c r="A57" s="165"/>
      <c r="B57" s="166" t="s">
        <v>360</v>
      </c>
      <c r="C57" s="166"/>
      <c r="D57" s="166"/>
      <c r="E57" s="1347" t="str">
        <f t="shared" ref="E57:AI57" si="22">IF(E91=0," ",E53/E91)</f>
        <v xml:space="preserve"> </v>
      </c>
      <c r="F57" s="1347" t="str">
        <f t="shared" si="22"/>
        <v xml:space="preserve"> </v>
      </c>
      <c r="G57" s="1347" t="str">
        <f t="shared" si="22"/>
        <v xml:space="preserve"> </v>
      </c>
      <c r="H57" s="1347" t="str">
        <f t="shared" si="22"/>
        <v xml:space="preserve"> </v>
      </c>
      <c r="I57" s="1347" t="str">
        <f t="shared" si="22"/>
        <v xml:space="preserve"> </v>
      </c>
      <c r="J57" s="1347" t="str">
        <f t="shared" si="22"/>
        <v xml:space="preserve"> </v>
      </c>
      <c r="K57" s="1347" t="str">
        <f t="shared" si="22"/>
        <v xml:space="preserve"> </v>
      </c>
      <c r="L57" s="1347" t="str">
        <f t="shared" si="22"/>
        <v xml:space="preserve"> </v>
      </c>
      <c r="M57" s="1347" t="str">
        <f t="shared" si="22"/>
        <v xml:space="preserve"> </v>
      </c>
      <c r="N57" s="1347" t="str">
        <f t="shared" si="22"/>
        <v xml:space="preserve"> </v>
      </c>
      <c r="O57" s="1347" t="str">
        <f t="shared" si="22"/>
        <v xml:space="preserve"> </v>
      </c>
      <c r="P57" s="1347" t="str">
        <f t="shared" si="22"/>
        <v xml:space="preserve"> </v>
      </c>
      <c r="Q57" s="1347" t="str">
        <f t="shared" si="22"/>
        <v xml:space="preserve"> </v>
      </c>
      <c r="R57" s="1347" t="str">
        <f t="shared" si="22"/>
        <v xml:space="preserve"> </v>
      </c>
      <c r="S57" s="1347" t="str">
        <f t="shared" si="22"/>
        <v xml:space="preserve"> </v>
      </c>
      <c r="T57" s="1347" t="str">
        <f t="shared" si="22"/>
        <v xml:space="preserve"> </v>
      </c>
      <c r="U57" s="1347" t="str">
        <f t="shared" si="22"/>
        <v xml:space="preserve"> </v>
      </c>
      <c r="V57" s="1347" t="str">
        <f t="shared" si="22"/>
        <v xml:space="preserve"> </v>
      </c>
      <c r="W57" s="1347" t="str">
        <f t="shared" si="22"/>
        <v xml:space="preserve"> </v>
      </c>
      <c r="X57" s="1347" t="str">
        <f t="shared" si="22"/>
        <v xml:space="preserve"> </v>
      </c>
      <c r="Y57" s="1347" t="str">
        <f t="shared" si="22"/>
        <v xml:space="preserve"> </v>
      </c>
      <c r="Z57" s="1347" t="str">
        <f t="shared" si="22"/>
        <v xml:space="preserve"> </v>
      </c>
      <c r="AA57" s="1347" t="str">
        <f t="shared" si="22"/>
        <v xml:space="preserve"> </v>
      </c>
      <c r="AB57" s="1347" t="str">
        <f t="shared" si="22"/>
        <v xml:space="preserve"> </v>
      </c>
      <c r="AC57" s="1347" t="str">
        <f t="shared" si="22"/>
        <v xml:space="preserve"> </v>
      </c>
      <c r="AD57" s="1347" t="str">
        <f t="shared" si="22"/>
        <v xml:space="preserve"> </v>
      </c>
      <c r="AE57" s="1347" t="str">
        <f t="shared" si="22"/>
        <v xml:space="preserve"> </v>
      </c>
      <c r="AF57" s="1347" t="str">
        <f t="shared" si="22"/>
        <v xml:space="preserve"> </v>
      </c>
      <c r="AG57" s="1347" t="str">
        <f t="shared" si="22"/>
        <v xml:space="preserve"> </v>
      </c>
      <c r="AH57" s="1347" t="str">
        <f t="shared" si="22"/>
        <v xml:space="preserve"> </v>
      </c>
      <c r="AI57" s="1347" t="str">
        <f t="shared" si="22"/>
        <v xml:space="preserve"> </v>
      </c>
      <c r="AJ57" s="166"/>
      <c r="AK57" s="268"/>
      <c r="AL57" s="166"/>
      <c r="AM57" s="167"/>
      <c r="AN57" s="167"/>
      <c r="AO57" s="167"/>
      <c r="AP57" s="167"/>
    </row>
    <row r="58" spans="1:42" s="65" customFormat="1">
      <c r="A58" s="165"/>
      <c r="F58" s="1358"/>
      <c r="G58" s="1345"/>
      <c r="H58" s="1345"/>
      <c r="I58" s="1345"/>
      <c r="J58" s="1345"/>
      <c r="K58" s="1345"/>
      <c r="L58" s="1345"/>
      <c r="M58" s="1345"/>
      <c r="N58" s="1345"/>
      <c r="O58" s="1345"/>
      <c r="P58" s="1345"/>
      <c r="Q58" s="1345"/>
      <c r="R58" s="1345"/>
      <c r="S58" s="1345"/>
      <c r="T58" s="1345"/>
      <c r="U58" s="1345"/>
      <c r="V58" s="1345"/>
      <c r="W58" s="1345"/>
      <c r="X58" s="1345"/>
      <c r="Y58" s="1345"/>
      <c r="Z58" s="1345"/>
      <c r="AA58" s="1345"/>
      <c r="AB58" s="1345"/>
      <c r="AC58" s="1345"/>
      <c r="AD58" s="1345"/>
      <c r="AE58" s="1345"/>
      <c r="AF58" s="1345"/>
      <c r="AG58" s="1345"/>
      <c r="AH58" s="1345"/>
      <c r="AI58" s="1345"/>
      <c r="AJ58" s="1345"/>
      <c r="AK58" s="1418"/>
      <c r="AL58" s="1345"/>
      <c r="AM58" s="1345"/>
      <c r="AN58" s="1345"/>
      <c r="AO58" s="1345"/>
      <c r="AP58" s="1345"/>
    </row>
    <row r="59" spans="1:42" s="65" customFormat="1">
      <c r="A59" s="165"/>
      <c r="B59" s="1345" t="s">
        <v>263</v>
      </c>
      <c r="C59" s="1345"/>
      <c r="D59" s="1345"/>
      <c r="E59" s="1348">
        <f>Assum!E272</f>
        <v>9.8100000000000007E-2</v>
      </c>
      <c r="F59" s="1348">
        <f>Assum!F272</f>
        <v>9.8100000000000007E-2</v>
      </c>
      <c r="G59" s="1348">
        <f>Assum!G272</f>
        <v>9.8100000000000007E-2</v>
      </c>
      <c r="H59" s="1348">
        <f>Assum!H272</f>
        <v>9.8100000000000007E-2</v>
      </c>
      <c r="I59" s="1348">
        <f>Assum!I272</f>
        <v>9.8100000000000007E-2</v>
      </c>
      <c r="J59" s="1348">
        <f>Assum!J272</f>
        <v>9.8100000000000007E-2</v>
      </c>
      <c r="K59" s="1348">
        <f>Assum!K272</f>
        <v>9.8100000000000007E-2</v>
      </c>
      <c r="L59" s="1348">
        <f>Assum!L272</f>
        <v>9.8100000000000007E-2</v>
      </c>
      <c r="M59" s="1348">
        <f>Assum!M272</f>
        <v>9.8100000000000007E-2</v>
      </c>
      <c r="N59" s="1348">
        <f>Assum!N272</f>
        <v>9.8100000000000007E-2</v>
      </c>
      <c r="O59" s="1348">
        <f>Assum!O272</f>
        <v>9.8100000000000007E-2</v>
      </c>
      <c r="P59" s="1348">
        <f>Assum!P272</f>
        <v>9.8100000000000007E-2</v>
      </c>
      <c r="Q59" s="1348">
        <f>Assum!Q272</f>
        <v>9.8100000000000007E-2</v>
      </c>
      <c r="R59" s="1348">
        <f>Assum!R272</f>
        <v>9.8100000000000007E-2</v>
      </c>
      <c r="S59" s="1348">
        <f>Assum!S272</f>
        <v>9.8100000000000007E-2</v>
      </c>
      <c r="T59" s="1348">
        <f>Assum!T272</f>
        <v>9.8100000000000007E-2</v>
      </c>
      <c r="U59" s="1348">
        <f>Assum!U272</f>
        <v>9.8100000000000007E-2</v>
      </c>
      <c r="V59" s="1348">
        <f>Assum!V272</f>
        <v>9.8100000000000007E-2</v>
      </c>
      <c r="W59" s="1348">
        <f>Assum!W272</f>
        <v>9.8100000000000007E-2</v>
      </c>
      <c r="X59" s="1348">
        <f>Assum!X272</f>
        <v>9.8100000000000007E-2</v>
      </c>
      <c r="Y59" s="1348">
        <f>Assum!Y272</f>
        <v>9.8100000000000007E-2</v>
      </c>
      <c r="Z59" s="1348">
        <f>Assum!Z272</f>
        <v>9.8100000000000007E-2</v>
      </c>
      <c r="AA59" s="1348">
        <f>Assum!AA272</f>
        <v>9.8100000000000007E-2</v>
      </c>
      <c r="AB59" s="1348">
        <f>Assum!AB272</f>
        <v>9.8100000000000007E-2</v>
      </c>
      <c r="AC59" s="1348">
        <f>Assum!AC272</f>
        <v>9.8100000000000007E-2</v>
      </c>
      <c r="AD59" s="1348">
        <f>Assum!AD272</f>
        <v>9.8100000000000007E-2</v>
      </c>
      <c r="AE59" s="1348">
        <f>Assum!AE272</f>
        <v>9.8100000000000007E-2</v>
      </c>
      <c r="AF59" s="1348">
        <f>Assum!AF272</f>
        <v>9.8100000000000007E-2</v>
      </c>
      <c r="AG59" s="1348">
        <f>Assum!AG272</f>
        <v>9.8100000000000007E-2</v>
      </c>
      <c r="AH59" s="1348">
        <f>Assum!AH272</f>
        <v>9.8100000000000007E-2</v>
      </c>
      <c r="AI59" s="1348">
        <f>Assum!AI272</f>
        <v>9.8100000000000007E-2</v>
      </c>
      <c r="AJ59" s="1345"/>
      <c r="AK59" s="1418"/>
      <c r="AL59" s="1345"/>
      <c r="AM59" s="1345"/>
      <c r="AN59" s="1345"/>
      <c r="AO59" s="1345"/>
      <c r="AP59" s="1345"/>
    </row>
    <row r="60" spans="1:42" s="707" customFormat="1">
      <c r="A60" s="165"/>
      <c r="B60" s="705" t="s">
        <v>265</v>
      </c>
      <c r="C60" s="705"/>
      <c r="D60" s="705"/>
      <c r="E60" s="1349">
        <f>PV(E59,E$1,0,-1,0)</f>
        <v>0.91066387396411974</v>
      </c>
      <c r="F60" s="1349">
        <f t="shared" ref="F60:AI60" si="23">PV(F59,F$1,0,-1,0)</f>
        <v>0.82930869134333829</v>
      </c>
      <c r="G60" s="1349">
        <f t="shared" si="23"/>
        <v>0.75522146557083891</v>
      </c>
      <c r="H60" s="1349">
        <f t="shared" si="23"/>
        <v>0.68775290553760027</v>
      </c>
      <c r="I60" s="1349">
        <f t="shared" si="23"/>
        <v>0.62631172528695034</v>
      </c>
      <c r="J60" s="1349">
        <f t="shared" si="23"/>
        <v>0.57035946205896582</v>
      </c>
      <c r="K60" s="1349">
        <f t="shared" si="23"/>
        <v>0.51940575727070915</v>
      </c>
      <c r="L60" s="1349">
        <f t="shared" si="23"/>
        <v>0.47300405907541127</v>
      </c>
      <c r="M60" s="1349">
        <f t="shared" si="23"/>
        <v>0.43074770883836738</v>
      </c>
      <c r="N60" s="1349">
        <f t="shared" si="23"/>
        <v>0.39226637723191637</v>
      </c>
      <c r="O60" s="1349">
        <f t="shared" si="23"/>
        <v>0.35722281871588779</v>
      </c>
      <c r="P60" s="1349">
        <f t="shared" si="23"/>
        <v>0.32530991596019282</v>
      </c>
      <c r="Q60" s="1349">
        <f t="shared" si="23"/>
        <v>0.29624798830725141</v>
      </c>
      <c r="R60" s="1349">
        <f t="shared" si="23"/>
        <v>0.26978234068595885</v>
      </c>
      <c r="S60" s="1349">
        <f t="shared" si="23"/>
        <v>0.24568103149618326</v>
      </c>
      <c r="T60" s="1349">
        <f t="shared" si="23"/>
        <v>0.22373283990181517</v>
      </c>
      <c r="U60" s="1349">
        <f t="shared" si="23"/>
        <v>0.20374541471798116</v>
      </c>
      <c r="V60" s="1349">
        <f t="shared" si="23"/>
        <v>0.18554358866950293</v>
      </c>
      <c r="W60" s="1349">
        <f t="shared" si="23"/>
        <v>0.1689678432469747</v>
      </c>
      <c r="X60" s="1349">
        <f t="shared" si="23"/>
        <v>0.15387291070665213</v>
      </c>
      <c r="Y60" s="1349">
        <f t="shared" si="23"/>
        <v>0.1401265009622549</v>
      </c>
      <c r="Z60" s="1349">
        <f t="shared" si="23"/>
        <v>0.12760814221132399</v>
      </c>
      <c r="AA60" s="1349">
        <f t="shared" si="23"/>
        <v>0.11620812513552864</v>
      </c>
      <c r="AB60" s="1349">
        <f t="shared" si="23"/>
        <v>0.10582654142202771</v>
      </c>
      <c r="AC60" s="1349">
        <f t="shared" si="23"/>
        <v>9.6372408179608141E-2</v>
      </c>
      <c r="AD60" s="1349">
        <f t="shared" si="23"/>
        <v>8.7762870576093374E-2</v>
      </c>
      <c r="AE60" s="1349">
        <f t="shared" si="23"/>
        <v>7.9922475709036864E-2</v>
      </c>
      <c r="AF60" s="1349">
        <f t="shared" si="23"/>
        <v>7.2782511345994755E-2</v>
      </c>
      <c r="AG60" s="1349">
        <f t="shared" si="23"/>
        <v>6.6280403739181093E-2</v>
      </c>
      <c r="AH60" s="1349">
        <f t="shared" si="23"/>
        <v>6.0359169237028582E-2</v>
      </c>
      <c r="AI60" s="1349">
        <f t="shared" si="23"/>
        <v>5.4966914886648371E-2</v>
      </c>
      <c r="AJ60" s="705"/>
      <c r="AK60" s="1417"/>
      <c r="AL60" s="705"/>
      <c r="AM60" s="706"/>
      <c r="AN60" s="706"/>
      <c r="AO60" s="706"/>
      <c r="AP60" s="706"/>
    </row>
    <row r="61" spans="1:42" s="707" customFormat="1">
      <c r="A61" s="165"/>
      <c r="D61" s="705"/>
      <c r="F61" s="1350"/>
      <c r="G61" s="1350"/>
      <c r="H61" s="1350"/>
      <c r="I61" s="1350"/>
      <c r="J61" s="1350"/>
      <c r="K61" s="1350"/>
      <c r="L61" s="1350"/>
      <c r="M61" s="1350"/>
      <c r="N61" s="1350"/>
      <c r="O61" s="1350"/>
      <c r="P61" s="1350"/>
      <c r="Q61" s="1350"/>
      <c r="R61" s="1350"/>
      <c r="S61" s="1350"/>
      <c r="T61" s="1350"/>
      <c r="U61" s="1350"/>
      <c r="V61" s="1350"/>
      <c r="W61" s="1350"/>
      <c r="X61" s="1350"/>
      <c r="Y61" s="1350"/>
      <c r="Z61" s="1350"/>
      <c r="AA61" s="1350"/>
      <c r="AB61" s="1350"/>
      <c r="AC61" s="1350"/>
      <c r="AD61" s="1350"/>
      <c r="AE61" s="1350"/>
      <c r="AF61" s="1350"/>
      <c r="AG61" s="1350"/>
      <c r="AH61" s="1350"/>
      <c r="AI61" s="1350"/>
      <c r="AJ61" s="705"/>
      <c r="AK61" s="1417"/>
      <c r="AL61" s="705"/>
      <c r="AM61" s="706"/>
      <c r="AN61" s="706"/>
      <c r="AO61" s="706"/>
      <c r="AP61" s="706"/>
    </row>
    <row r="62" spans="1:42" s="524" customFormat="1">
      <c r="A62" s="165"/>
      <c r="B62" s="1352" t="s">
        <v>405</v>
      </c>
      <c r="C62" s="1352"/>
      <c r="D62" s="442" t="e">
        <f>D53/D56</f>
        <v>#DIV/0!</v>
      </c>
      <c r="E62" s="442">
        <f>E53/E56</f>
        <v>0</v>
      </c>
      <c r="F62" s="442">
        <f t="shared" ref="F62:AI62" si="24">F53/F56</f>
        <v>0</v>
      </c>
      <c r="G62" s="442">
        <f t="shared" si="24"/>
        <v>0</v>
      </c>
      <c r="H62" s="442">
        <f t="shared" si="24"/>
        <v>0</v>
      </c>
      <c r="I62" s="442">
        <f t="shared" si="24"/>
        <v>0</v>
      </c>
      <c r="J62" s="442">
        <f t="shared" si="24"/>
        <v>0</v>
      </c>
      <c r="K62" s="442">
        <f t="shared" si="24"/>
        <v>0</v>
      </c>
      <c r="L62" s="442">
        <f t="shared" si="24"/>
        <v>0</v>
      </c>
      <c r="M62" s="442">
        <f t="shared" si="24"/>
        <v>0</v>
      </c>
      <c r="N62" s="442">
        <f t="shared" si="24"/>
        <v>0</v>
      </c>
      <c r="O62" s="442">
        <f t="shared" si="24"/>
        <v>0</v>
      </c>
      <c r="P62" s="442">
        <f t="shared" si="24"/>
        <v>0</v>
      </c>
      <c r="Q62" s="442">
        <f t="shared" si="24"/>
        <v>0</v>
      </c>
      <c r="R62" s="442">
        <f t="shared" si="24"/>
        <v>0</v>
      </c>
      <c r="S62" s="442">
        <f t="shared" si="24"/>
        <v>0</v>
      </c>
      <c r="T62" s="442">
        <f t="shared" si="24"/>
        <v>0</v>
      </c>
      <c r="U62" s="442">
        <f t="shared" si="24"/>
        <v>0</v>
      </c>
      <c r="V62" s="442">
        <f t="shared" si="24"/>
        <v>0</v>
      </c>
      <c r="W62" s="442">
        <f t="shared" si="24"/>
        <v>0</v>
      </c>
      <c r="X62" s="442">
        <f t="shared" si="24"/>
        <v>0</v>
      </c>
      <c r="Y62" s="442">
        <f t="shared" si="24"/>
        <v>0</v>
      </c>
      <c r="Z62" s="442">
        <f t="shared" si="24"/>
        <v>0</v>
      </c>
      <c r="AA62" s="442">
        <f t="shared" si="24"/>
        <v>0</v>
      </c>
      <c r="AB62" s="442">
        <f t="shared" si="24"/>
        <v>0</v>
      </c>
      <c r="AC62" s="442">
        <f t="shared" si="24"/>
        <v>0</v>
      </c>
      <c r="AD62" s="442">
        <f t="shared" si="24"/>
        <v>0</v>
      </c>
      <c r="AE62" s="442">
        <f t="shared" si="24"/>
        <v>0</v>
      </c>
      <c r="AF62" s="442">
        <f t="shared" si="24"/>
        <v>0</v>
      </c>
      <c r="AG62" s="442">
        <f t="shared" si="24"/>
        <v>0</v>
      </c>
      <c r="AH62" s="442">
        <f t="shared" si="24"/>
        <v>0</v>
      </c>
      <c r="AI62" s="442">
        <f t="shared" si="24"/>
        <v>0</v>
      </c>
      <c r="AJ62" s="1352"/>
      <c r="AK62" s="1275"/>
      <c r="AL62" s="1352"/>
      <c r="AM62" s="1354"/>
      <c r="AN62" s="1354"/>
      <c r="AO62" s="1354"/>
      <c r="AP62" s="1354"/>
    </row>
    <row r="63" spans="1:42" s="65" customFormat="1">
      <c r="A63" s="165"/>
      <c r="B63" s="1345" t="s">
        <v>33</v>
      </c>
      <c r="C63" s="1345"/>
      <c r="D63" s="1351" t="e">
        <f t="shared" ref="D63:AI63" si="25">IF(D$1&lt;=$E$66,D53/D56,0)</f>
        <v>#DIV/0!</v>
      </c>
      <c r="E63" s="1351">
        <f t="shared" si="25"/>
        <v>0</v>
      </c>
      <c r="F63" s="1351">
        <f t="shared" si="25"/>
        <v>0</v>
      </c>
      <c r="G63" s="1351">
        <f t="shared" si="25"/>
        <v>0</v>
      </c>
      <c r="H63" s="1351">
        <f t="shared" si="25"/>
        <v>0</v>
      </c>
      <c r="I63" s="1351">
        <f t="shared" si="25"/>
        <v>0</v>
      </c>
      <c r="J63" s="1351">
        <f t="shared" si="25"/>
        <v>0</v>
      </c>
      <c r="K63" s="1351">
        <f t="shared" si="25"/>
        <v>0</v>
      </c>
      <c r="L63" s="1351">
        <f t="shared" si="25"/>
        <v>0</v>
      </c>
      <c r="M63" s="1351">
        <f t="shared" si="25"/>
        <v>0</v>
      </c>
      <c r="N63" s="1351">
        <f t="shared" si="25"/>
        <v>0</v>
      </c>
      <c r="O63" s="1351">
        <f t="shared" si="25"/>
        <v>0</v>
      </c>
      <c r="P63" s="1351">
        <f t="shared" si="25"/>
        <v>0</v>
      </c>
      <c r="Q63" s="1351">
        <f t="shared" si="25"/>
        <v>0</v>
      </c>
      <c r="R63" s="1351">
        <f t="shared" si="25"/>
        <v>0</v>
      </c>
      <c r="S63" s="1351">
        <f t="shared" si="25"/>
        <v>0</v>
      </c>
      <c r="T63" s="1351">
        <f t="shared" si="25"/>
        <v>0</v>
      </c>
      <c r="U63" s="1351">
        <f t="shared" si="25"/>
        <v>0</v>
      </c>
      <c r="V63" s="1351">
        <f t="shared" si="25"/>
        <v>0</v>
      </c>
      <c r="W63" s="1351">
        <f t="shared" si="25"/>
        <v>0</v>
      </c>
      <c r="X63" s="1351">
        <f t="shared" si="25"/>
        <v>0</v>
      </c>
      <c r="Y63" s="1351">
        <f t="shared" si="25"/>
        <v>0</v>
      </c>
      <c r="Z63" s="1351">
        <f t="shared" si="25"/>
        <v>0</v>
      </c>
      <c r="AA63" s="1351">
        <f t="shared" si="25"/>
        <v>0</v>
      </c>
      <c r="AB63" s="1351">
        <f t="shared" si="25"/>
        <v>0</v>
      </c>
      <c r="AC63" s="1351">
        <f t="shared" si="25"/>
        <v>0</v>
      </c>
      <c r="AD63" s="1351">
        <f t="shared" si="25"/>
        <v>0</v>
      </c>
      <c r="AE63" s="1351">
        <f t="shared" si="25"/>
        <v>0</v>
      </c>
      <c r="AF63" s="1351">
        <f t="shared" si="25"/>
        <v>0</v>
      </c>
      <c r="AG63" s="1351">
        <f t="shared" si="25"/>
        <v>0</v>
      </c>
      <c r="AH63" s="1351">
        <f t="shared" si="25"/>
        <v>0</v>
      </c>
      <c r="AI63" s="1351">
        <f t="shared" si="25"/>
        <v>0</v>
      </c>
      <c r="AJ63" s="1345"/>
      <c r="AK63" s="1418"/>
      <c r="AL63" s="1345"/>
      <c r="AM63" s="1345"/>
      <c r="AN63" s="1345"/>
      <c r="AO63" s="1345"/>
      <c r="AP63" s="1345"/>
    </row>
    <row r="64" spans="1:42" s="707" customFormat="1">
      <c r="A64" s="165"/>
      <c r="B64" s="705" t="s">
        <v>357</v>
      </c>
      <c r="C64" s="705"/>
      <c r="D64" s="705"/>
      <c r="E64" s="1353">
        <f>E60*E63</f>
        <v>0</v>
      </c>
      <c r="F64" s="1353">
        <f t="shared" ref="F64:AI64" si="26">F60*F63</f>
        <v>0</v>
      </c>
      <c r="G64" s="1353">
        <f t="shared" si="26"/>
        <v>0</v>
      </c>
      <c r="H64" s="1353">
        <f t="shared" si="26"/>
        <v>0</v>
      </c>
      <c r="I64" s="1353">
        <f t="shared" si="26"/>
        <v>0</v>
      </c>
      <c r="J64" s="1353">
        <f t="shared" si="26"/>
        <v>0</v>
      </c>
      <c r="K64" s="1353">
        <f t="shared" si="26"/>
        <v>0</v>
      </c>
      <c r="L64" s="1353">
        <f t="shared" si="26"/>
        <v>0</v>
      </c>
      <c r="M64" s="1353">
        <f t="shared" si="26"/>
        <v>0</v>
      </c>
      <c r="N64" s="1353">
        <f t="shared" si="26"/>
        <v>0</v>
      </c>
      <c r="O64" s="1353">
        <f t="shared" si="26"/>
        <v>0</v>
      </c>
      <c r="P64" s="1353">
        <f t="shared" si="26"/>
        <v>0</v>
      </c>
      <c r="Q64" s="1353">
        <f t="shared" si="26"/>
        <v>0</v>
      </c>
      <c r="R64" s="1353">
        <f t="shared" si="26"/>
        <v>0</v>
      </c>
      <c r="S64" s="1353">
        <f t="shared" si="26"/>
        <v>0</v>
      </c>
      <c r="T64" s="1353">
        <f t="shared" si="26"/>
        <v>0</v>
      </c>
      <c r="U64" s="1353">
        <f t="shared" si="26"/>
        <v>0</v>
      </c>
      <c r="V64" s="1353">
        <f t="shared" si="26"/>
        <v>0</v>
      </c>
      <c r="W64" s="1353">
        <f t="shared" si="26"/>
        <v>0</v>
      </c>
      <c r="X64" s="1353">
        <f t="shared" si="26"/>
        <v>0</v>
      </c>
      <c r="Y64" s="1353">
        <f t="shared" si="26"/>
        <v>0</v>
      </c>
      <c r="Z64" s="1353">
        <f t="shared" si="26"/>
        <v>0</v>
      </c>
      <c r="AA64" s="1353">
        <f t="shared" si="26"/>
        <v>0</v>
      </c>
      <c r="AB64" s="1353">
        <f t="shared" si="26"/>
        <v>0</v>
      </c>
      <c r="AC64" s="1353">
        <f t="shared" si="26"/>
        <v>0</v>
      </c>
      <c r="AD64" s="1353">
        <f t="shared" si="26"/>
        <v>0</v>
      </c>
      <c r="AE64" s="1353">
        <f t="shared" si="26"/>
        <v>0</v>
      </c>
      <c r="AF64" s="1353">
        <f t="shared" si="26"/>
        <v>0</v>
      </c>
      <c r="AG64" s="1353">
        <f t="shared" si="26"/>
        <v>0</v>
      </c>
      <c r="AH64" s="1353">
        <f t="shared" si="26"/>
        <v>0</v>
      </c>
      <c r="AI64" s="1353">
        <f t="shared" si="26"/>
        <v>0</v>
      </c>
      <c r="AJ64" s="705"/>
      <c r="AK64" s="1417"/>
      <c r="AL64" s="705"/>
      <c r="AM64" s="706"/>
      <c r="AN64" s="706"/>
      <c r="AO64" s="706"/>
      <c r="AP64" s="706"/>
    </row>
    <row r="65" spans="1:42" s="707" customFormat="1">
      <c r="A65" s="165"/>
      <c r="B65" s="705" t="s">
        <v>68</v>
      </c>
      <c r="C65" s="705"/>
      <c r="D65" s="705"/>
      <c r="E65" s="1353">
        <f>SUM(E64:AI64)+Assum!E262</f>
        <v>0</v>
      </c>
      <c r="F65" s="1355"/>
      <c r="I65" s="1355"/>
      <c r="J65" s="1355"/>
      <c r="K65" s="1355"/>
      <c r="L65" s="1355"/>
      <c r="M65" s="1355"/>
      <c r="N65" s="1355"/>
      <c r="O65" s="1355"/>
      <c r="P65" s="1355"/>
      <c r="Q65" s="1355"/>
      <c r="R65" s="1355"/>
      <c r="S65" s="1355"/>
      <c r="T65" s="1355"/>
      <c r="U65" s="1355"/>
      <c r="V65" s="1355"/>
      <c r="W65" s="1355"/>
      <c r="X65" s="1355"/>
      <c r="Y65" s="1355"/>
      <c r="Z65" s="1355"/>
      <c r="AA65" s="1355"/>
      <c r="AB65" s="1355"/>
      <c r="AC65" s="1355"/>
      <c r="AD65" s="1355"/>
      <c r="AE65" s="1355"/>
      <c r="AF65" s="1355"/>
      <c r="AG65" s="1355"/>
      <c r="AH65" s="1355"/>
      <c r="AI65" s="1355"/>
      <c r="AJ65" s="705"/>
      <c r="AK65" s="1417"/>
      <c r="AL65" s="705"/>
      <c r="AM65" s="706"/>
      <c r="AN65" s="706"/>
      <c r="AO65" s="706"/>
      <c r="AP65" s="706"/>
    </row>
    <row r="66" spans="1:42" s="65" customFormat="1">
      <c r="A66" s="165"/>
      <c r="B66" s="705" t="s">
        <v>266</v>
      </c>
      <c r="C66" s="705"/>
      <c r="D66" s="1345"/>
      <c r="E66" s="1355">
        <f>Assum!E261</f>
        <v>20</v>
      </c>
      <c r="F66" s="1347"/>
      <c r="G66" s="1356">
        <f>SUM(E85:AI86)/2</f>
        <v>0</v>
      </c>
      <c r="H66" s="1357" t="s">
        <v>429</v>
      </c>
      <c r="I66" s="1347"/>
      <c r="J66" s="1347"/>
      <c r="K66" s="1347"/>
      <c r="L66" s="1347"/>
      <c r="M66" s="1347"/>
      <c r="N66" s="1347"/>
      <c r="O66" s="1347"/>
      <c r="P66" s="1347"/>
      <c r="Q66" s="1347"/>
      <c r="R66" s="1347"/>
      <c r="S66" s="1347"/>
      <c r="T66" s="1347"/>
      <c r="U66" s="1347"/>
      <c r="V66" s="1347"/>
      <c r="W66" s="1347"/>
      <c r="X66" s="1347"/>
      <c r="Y66" s="1347"/>
      <c r="Z66" s="1347"/>
      <c r="AA66" s="1347"/>
      <c r="AB66" s="1347"/>
      <c r="AC66" s="1347"/>
      <c r="AD66" s="1347"/>
      <c r="AE66" s="1347"/>
      <c r="AF66" s="1347"/>
      <c r="AG66" s="1347"/>
      <c r="AH66" s="1347"/>
      <c r="AI66" s="1347"/>
      <c r="AJ66" s="166"/>
      <c r="AK66" s="268"/>
      <c r="AL66" s="166"/>
      <c r="AM66" s="167"/>
      <c r="AN66" s="167"/>
      <c r="AO66" s="167"/>
      <c r="AP66" s="167"/>
    </row>
    <row r="67" spans="1:42" s="285" customFormat="1">
      <c r="A67" s="1532"/>
      <c r="B67" s="1578" t="s">
        <v>405</v>
      </c>
      <c r="C67" s="1532" t="s">
        <v>752</v>
      </c>
      <c r="D67" s="426"/>
      <c r="E67" s="1534"/>
      <c r="F67" s="1535"/>
      <c r="G67" s="1536"/>
      <c r="H67" s="1533"/>
      <c r="I67" s="1535"/>
      <c r="J67" s="1535"/>
      <c r="K67" s="1535"/>
      <c r="L67" s="1535"/>
      <c r="M67" s="1535"/>
      <c r="N67" s="1535"/>
      <c r="O67" s="1535"/>
      <c r="P67" s="1535"/>
      <c r="Q67" s="1535"/>
      <c r="R67" s="1535"/>
      <c r="S67" s="1535"/>
      <c r="T67" s="1535"/>
      <c r="U67" s="1535"/>
      <c r="V67" s="1535"/>
      <c r="W67" s="1535"/>
      <c r="X67" s="1535"/>
      <c r="Y67" s="1535"/>
      <c r="Z67" s="1535"/>
      <c r="AA67" s="1535"/>
      <c r="AB67" s="1535"/>
      <c r="AC67" s="1535"/>
      <c r="AD67" s="1535"/>
      <c r="AE67" s="1535"/>
      <c r="AF67" s="1535"/>
      <c r="AG67" s="1535"/>
      <c r="AH67" s="1535"/>
      <c r="AI67" s="1535"/>
      <c r="AJ67" s="1533"/>
      <c r="AK67" s="1367"/>
      <c r="AL67" s="1533"/>
      <c r="AM67" s="1537"/>
      <c r="AN67" s="1537"/>
      <c r="AO67" s="1537"/>
      <c r="AP67" s="1537"/>
    </row>
    <row r="68" spans="1:42" s="285" customFormat="1">
      <c r="A68" s="1532"/>
      <c r="B68" s="1533" t="s">
        <v>805</v>
      </c>
      <c r="C68" s="1538">
        <f>Assum!$E$266</f>
        <v>0.5</v>
      </c>
      <c r="D68" s="426"/>
      <c r="E68" s="325">
        <f>E62*$C$23</f>
        <v>0</v>
      </c>
      <c r="F68" s="325">
        <f t="shared" ref="F68:AI68" si="27">F62*$C$23</f>
        <v>0</v>
      </c>
      <c r="G68" s="325">
        <f t="shared" si="27"/>
        <v>0</v>
      </c>
      <c r="H68" s="325">
        <f t="shared" si="27"/>
        <v>0</v>
      </c>
      <c r="I68" s="325">
        <f t="shared" si="27"/>
        <v>0</v>
      </c>
      <c r="J68" s="325">
        <f t="shared" si="27"/>
        <v>0</v>
      </c>
      <c r="K68" s="325">
        <f t="shared" si="27"/>
        <v>0</v>
      </c>
      <c r="L68" s="325">
        <f t="shared" si="27"/>
        <v>0</v>
      </c>
      <c r="M68" s="325">
        <f t="shared" si="27"/>
        <v>0</v>
      </c>
      <c r="N68" s="325">
        <f t="shared" si="27"/>
        <v>0</v>
      </c>
      <c r="O68" s="325">
        <f t="shared" si="27"/>
        <v>0</v>
      </c>
      <c r="P68" s="325">
        <f t="shared" si="27"/>
        <v>0</v>
      </c>
      <c r="Q68" s="325">
        <f t="shared" si="27"/>
        <v>0</v>
      </c>
      <c r="R68" s="325">
        <f t="shared" si="27"/>
        <v>0</v>
      </c>
      <c r="S68" s="325">
        <f t="shared" si="27"/>
        <v>0</v>
      </c>
      <c r="T68" s="325">
        <f t="shared" si="27"/>
        <v>0</v>
      </c>
      <c r="U68" s="325">
        <f t="shared" si="27"/>
        <v>0</v>
      </c>
      <c r="V68" s="325">
        <f t="shared" si="27"/>
        <v>0</v>
      </c>
      <c r="W68" s="325">
        <f t="shared" si="27"/>
        <v>0</v>
      </c>
      <c r="X68" s="325">
        <f t="shared" si="27"/>
        <v>0</v>
      </c>
      <c r="Y68" s="325">
        <f t="shared" si="27"/>
        <v>0</v>
      </c>
      <c r="Z68" s="325">
        <f t="shared" si="27"/>
        <v>0</v>
      </c>
      <c r="AA68" s="325">
        <f t="shared" si="27"/>
        <v>0</v>
      </c>
      <c r="AB68" s="325">
        <f t="shared" si="27"/>
        <v>0</v>
      </c>
      <c r="AC68" s="325">
        <f t="shared" si="27"/>
        <v>0</v>
      </c>
      <c r="AD68" s="325">
        <f t="shared" si="27"/>
        <v>0</v>
      </c>
      <c r="AE68" s="325">
        <f t="shared" si="27"/>
        <v>0</v>
      </c>
      <c r="AF68" s="325">
        <f t="shared" si="27"/>
        <v>0</v>
      </c>
      <c r="AG68" s="325">
        <f t="shared" si="27"/>
        <v>0</v>
      </c>
      <c r="AH68" s="325">
        <f t="shared" si="27"/>
        <v>0</v>
      </c>
      <c r="AI68" s="325">
        <f t="shared" si="27"/>
        <v>0</v>
      </c>
      <c r="AJ68" s="1533"/>
      <c r="AK68" s="1367"/>
      <c r="AL68" s="1533"/>
      <c r="AM68" s="1537"/>
      <c r="AN68" s="1537"/>
      <c r="AO68" s="1537"/>
      <c r="AP68" s="1537"/>
    </row>
    <row r="69" spans="1:42" s="285" customFormat="1">
      <c r="A69" s="1532"/>
      <c r="B69" s="1533" t="s">
        <v>803</v>
      </c>
      <c r="C69" s="1538">
        <f>1-C68</f>
        <v>0.5</v>
      </c>
      <c r="D69" s="426"/>
      <c r="E69" s="325">
        <f>E62*$C$24</f>
        <v>0</v>
      </c>
      <c r="F69" s="325">
        <f t="shared" ref="F69:AI69" si="28">F62*$C$24</f>
        <v>0</v>
      </c>
      <c r="G69" s="325">
        <f t="shared" si="28"/>
        <v>0</v>
      </c>
      <c r="H69" s="325">
        <f t="shared" si="28"/>
        <v>0</v>
      </c>
      <c r="I69" s="325">
        <f t="shared" si="28"/>
        <v>0</v>
      </c>
      <c r="J69" s="325">
        <f t="shared" si="28"/>
        <v>0</v>
      </c>
      <c r="K69" s="325">
        <f t="shared" si="28"/>
        <v>0</v>
      </c>
      <c r="L69" s="325">
        <f t="shared" si="28"/>
        <v>0</v>
      </c>
      <c r="M69" s="325">
        <f t="shared" si="28"/>
        <v>0</v>
      </c>
      <c r="N69" s="325">
        <f t="shared" si="28"/>
        <v>0</v>
      </c>
      <c r="O69" s="325">
        <f t="shared" si="28"/>
        <v>0</v>
      </c>
      <c r="P69" s="325">
        <f t="shared" si="28"/>
        <v>0</v>
      </c>
      <c r="Q69" s="325">
        <f t="shared" si="28"/>
        <v>0</v>
      </c>
      <c r="R69" s="325">
        <f t="shared" si="28"/>
        <v>0</v>
      </c>
      <c r="S69" s="325">
        <f t="shared" si="28"/>
        <v>0</v>
      </c>
      <c r="T69" s="325">
        <f t="shared" si="28"/>
        <v>0</v>
      </c>
      <c r="U69" s="325">
        <f t="shared" si="28"/>
        <v>0</v>
      </c>
      <c r="V69" s="325">
        <f t="shared" si="28"/>
        <v>0</v>
      </c>
      <c r="W69" s="325">
        <f t="shared" si="28"/>
        <v>0</v>
      </c>
      <c r="X69" s="325">
        <f t="shared" si="28"/>
        <v>0</v>
      </c>
      <c r="Y69" s="325">
        <f t="shared" si="28"/>
        <v>0</v>
      </c>
      <c r="Z69" s="325">
        <f t="shared" si="28"/>
        <v>0</v>
      </c>
      <c r="AA69" s="325">
        <f t="shared" si="28"/>
        <v>0</v>
      </c>
      <c r="AB69" s="325">
        <f t="shared" si="28"/>
        <v>0</v>
      </c>
      <c r="AC69" s="325">
        <f t="shared" si="28"/>
        <v>0</v>
      </c>
      <c r="AD69" s="325">
        <f t="shared" si="28"/>
        <v>0</v>
      </c>
      <c r="AE69" s="325">
        <f t="shared" si="28"/>
        <v>0</v>
      </c>
      <c r="AF69" s="325">
        <f t="shared" si="28"/>
        <v>0</v>
      </c>
      <c r="AG69" s="325">
        <f t="shared" si="28"/>
        <v>0</v>
      </c>
      <c r="AH69" s="325">
        <f t="shared" si="28"/>
        <v>0</v>
      </c>
      <c r="AI69" s="325">
        <f t="shared" si="28"/>
        <v>0</v>
      </c>
      <c r="AJ69" s="1533"/>
      <c r="AK69" s="1367"/>
      <c r="AL69" s="1533"/>
      <c r="AM69" s="1537"/>
      <c r="AN69" s="1537"/>
      <c r="AO69" s="1537"/>
      <c r="AP69" s="1537"/>
    </row>
    <row r="70" spans="1:42" s="65" customFormat="1" ht="13.5" thickBot="1">
      <c r="A70" s="1426"/>
      <c r="B70" s="1236"/>
      <c r="C70" s="1236"/>
      <c r="D70" s="1236"/>
      <c r="E70" s="1235"/>
      <c r="F70" s="1235"/>
      <c r="G70" s="1235"/>
      <c r="H70" s="1235"/>
      <c r="I70" s="1235"/>
      <c r="J70" s="1235"/>
      <c r="K70" s="1235"/>
      <c r="L70" s="1235"/>
      <c r="M70" s="1235"/>
      <c r="N70" s="1235"/>
      <c r="O70" s="1235"/>
      <c r="P70" s="1235"/>
      <c r="Q70" s="1235"/>
      <c r="R70" s="1235"/>
      <c r="S70" s="1235"/>
      <c r="T70" s="1235"/>
      <c r="U70" s="1235"/>
      <c r="V70" s="1235"/>
      <c r="W70" s="1235"/>
      <c r="X70" s="1235"/>
      <c r="Y70" s="1235"/>
      <c r="Z70" s="1235"/>
      <c r="AA70" s="1235"/>
      <c r="AB70" s="1235"/>
      <c r="AC70" s="1235"/>
      <c r="AD70" s="1235"/>
      <c r="AE70" s="1235"/>
      <c r="AF70" s="1235"/>
      <c r="AG70" s="1235"/>
      <c r="AH70" s="1235"/>
      <c r="AI70" s="1235"/>
      <c r="AJ70" s="1235"/>
      <c r="AK70" s="268"/>
      <c r="AL70" s="166"/>
      <c r="AM70" s="167"/>
      <c r="AN70" s="167"/>
      <c r="AO70" s="167"/>
      <c r="AP70" s="167"/>
    </row>
    <row r="71" spans="1:42">
      <c r="A71" s="26"/>
      <c r="B71" s="1385"/>
      <c r="C71" s="1386"/>
      <c r="D71" s="1387" t="s">
        <v>432</v>
      </c>
      <c r="E71" s="1386">
        <v>1</v>
      </c>
      <c r="F71" s="1386">
        <v>2</v>
      </c>
      <c r="G71" s="1386">
        <v>3</v>
      </c>
      <c r="H71" s="1386">
        <v>4</v>
      </c>
      <c r="I71" s="1386">
        <v>5</v>
      </c>
      <c r="J71" s="1386">
        <v>6</v>
      </c>
      <c r="K71" s="1386">
        <v>7</v>
      </c>
      <c r="L71" s="1386">
        <v>8</v>
      </c>
      <c r="M71" s="1386">
        <v>9</v>
      </c>
      <c r="N71" s="1386">
        <v>10</v>
      </c>
      <c r="O71" s="1386">
        <v>11</v>
      </c>
      <c r="P71" s="1386">
        <v>12</v>
      </c>
      <c r="Q71" s="1386">
        <v>13</v>
      </c>
      <c r="R71" s="1386">
        <v>14</v>
      </c>
      <c r="S71" s="1386">
        <v>15</v>
      </c>
      <c r="T71" s="1386">
        <v>16</v>
      </c>
      <c r="U71" s="1386">
        <v>17</v>
      </c>
      <c r="V71" s="1386">
        <v>18</v>
      </c>
      <c r="W71" s="1386">
        <v>19</v>
      </c>
      <c r="X71" s="1386">
        <v>20</v>
      </c>
      <c r="Y71" s="1386">
        <v>21</v>
      </c>
      <c r="Z71" s="1386">
        <v>22</v>
      </c>
      <c r="AA71" s="1386">
        <v>23</v>
      </c>
      <c r="AB71" s="1386">
        <v>24</v>
      </c>
      <c r="AC71" s="1386">
        <v>25</v>
      </c>
      <c r="AD71" s="1386">
        <v>26</v>
      </c>
      <c r="AE71" s="1386">
        <v>27</v>
      </c>
      <c r="AF71" s="1386">
        <v>28</v>
      </c>
      <c r="AG71" s="1386">
        <v>29</v>
      </c>
      <c r="AH71" s="1386">
        <v>30</v>
      </c>
      <c r="AI71" s="1386">
        <v>31</v>
      </c>
      <c r="AJ71" s="1388"/>
      <c r="AK71" s="259"/>
      <c r="AL71" s="24"/>
      <c r="AM71" s="23"/>
      <c r="AN71" s="23"/>
      <c r="AO71" s="23"/>
      <c r="AP71" s="23"/>
    </row>
    <row r="72" spans="1:42">
      <c r="A72" s="26"/>
      <c r="B72" s="1377" t="s">
        <v>62</v>
      </c>
      <c r="C72" s="1378"/>
      <c r="D72" s="1378"/>
      <c r="E72" s="1379">
        <f>Assum!F24</f>
        <v>35795</v>
      </c>
      <c r="F72" s="1379">
        <f t="shared" ref="F72:AJ72" si="29">E84</f>
        <v>36158</v>
      </c>
      <c r="G72" s="1379">
        <f t="shared" si="29"/>
        <v>36523</v>
      </c>
      <c r="H72" s="1379">
        <f t="shared" si="29"/>
        <v>36889</v>
      </c>
      <c r="I72" s="1379">
        <f t="shared" si="29"/>
        <v>37254</v>
      </c>
      <c r="J72" s="1379">
        <f t="shared" si="29"/>
        <v>37619</v>
      </c>
      <c r="K72" s="1379">
        <f t="shared" si="29"/>
        <v>37984</v>
      </c>
      <c r="L72" s="1379">
        <f t="shared" si="29"/>
        <v>38350</v>
      </c>
      <c r="M72" s="1379">
        <f t="shared" si="29"/>
        <v>38715</v>
      </c>
      <c r="N72" s="1379">
        <f t="shared" si="29"/>
        <v>39080</v>
      </c>
      <c r="O72" s="1379">
        <f t="shared" si="29"/>
        <v>39445</v>
      </c>
      <c r="P72" s="1379">
        <f t="shared" si="29"/>
        <v>39811</v>
      </c>
      <c r="Q72" s="1379">
        <f t="shared" si="29"/>
        <v>40176</v>
      </c>
      <c r="R72" s="1379">
        <f t="shared" si="29"/>
        <v>40541</v>
      </c>
      <c r="S72" s="1379">
        <f t="shared" si="29"/>
        <v>40906</v>
      </c>
      <c r="T72" s="1379">
        <f t="shared" si="29"/>
        <v>41272</v>
      </c>
      <c r="U72" s="1379">
        <f t="shared" si="29"/>
        <v>41637</v>
      </c>
      <c r="V72" s="1379">
        <f t="shared" si="29"/>
        <v>42002</v>
      </c>
      <c r="W72" s="1379">
        <f t="shared" si="29"/>
        <v>42367</v>
      </c>
      <c r="X72" s="1379">
        <f t="shared" si="29"/>
        <v>42733</v>
      </c>
      <c r="Y72" s="1379">
        <f t="shared" si="29"/>
        <v>43098</v>
      </c>
      <c r="Z72" s="1379">
        <f t="shared" si="29"/>
        <v>43463</v>
      </c>
      <c r="AA72" s="1379">
        <f t="shared" si="29"/>
        <v>43828</v>
      </c>
      <c r="AB72" s="1379">
        <f t="shared" si="29"/>
        <v>44194</v>
      </c>
      <c r="AC72" s="1379">
        <f t="shared" si="29"/>
        <v>44559</v>
      </c>
      <c r="AD72" s="1379">
        <f t="shared" si="29"/>
        <v>44924</v>
      </c>
      <c r="AE72" s="1379">
        <f t="shared" si="29"/>
        <v>45289</v>
      </c>
      <c r="AF72" s="1379">
        <f t="shared" si="29"/>
        <v>45655</v>
      </c>
      <c r="AG72" s="1379">
        <f t="shared" si="29"/>
        <v>46020</v>
      </c>
      <c r="AH72" s="1379">
        <f t="shared" si="29"/>
        <v>46385</v>
      </c>
      <c r="AI72" s="1379">
        <f t="shared" si="29"/>
        <v>46750</v>
      </c>
      <c r="AJ72" s="1380">
        <f t="shared" si="29"/>
        <v>47116</v>
      </c>
    </row>
    <row r="73" spans="1:42">
      <c r="A73" s="26"/>
      <c r="B73" s="1381" t="s">
        <v>431</v>
      </c>
      <c r="C73" s="1382"/>
      <c r="D73" s="1382"/>
      <c r="E73" s="1383">
        <f>IF(Assum!$E$248=2,E78-E72,0)</f>
        <v>180</v>
      </c>
      <c r="F73" s="1383">
        <f>IF(Assum!$E$248=2,F78-F72,0)</f>
        <v>182</v>
      </c>
      <c r="G73" s="1383">
        <f>IF(Assum!$E$248=2,G78-G72,0)</f>
        <v>183</v>
      </c>
      <c r="H73" s="1383">
        <f>IF(Assum!$E$248=2,H78-H72,0)</f>
        <v>182</v>
      </c>
      <c r="I73" s="1383">
        <f>IF(Assum!$E$248=2,I78-I72,0)</f>
        <v>182</v>
      </c>
      <c r="J73" s="1383">
        <f>IF(Assum!$E$248=2,J78-J72,0)</f>
        <v>182</v>
      </c>
      <c r="K73" s="1383">
        <f>IF(Assum!$E$248=2,K78-K72,0)</f>
        <v>183</v>
      </c>
      <c r="L73" s="1383">
        <f>IF(Assum!$E$248=2,L78-L72,0)</f>
        <v>182</v>
      </c>
      <c r="M73" s="1383">
        <f>IF(Assum!$E$248=2,M78-M72,0)</f>
        <v>182</v>
      </c>
      <c r="N73" s="1383">
        <f>IF(Assum!$E$248=2,N78-N72,0)</f>
        <v>182</v>
      </c>
      <c r="O73" s="1383">
        <f>IF(Assum!$E$248=2,O78-O72,0)</f>
        <v>183</v>
      </c>
      <c r="P73" s="1383">
        <f>IF(Assum!$E$248=2,P78-P72,0)</f>
        <v>182</v>
      </c>
      <c r="Q73" s="1383">
        <f>IF(Assum!$E$248=2,Q78-Q72,0)</f>
        <v>182</v>
      </c>
      <c r="R73" s="1383">
        <f>IF(Assum!$E$248=2,R78-R72,0)</f>
        <v>182</v>
      </c>
      <c r="S73" s="1383">
        <f>IF(Assum!$E$248=2,S78-S72,0)</f>
        <v>183</v>
      </c>
      <c r="T73" s="1383">
        <f>IF(Assum!$E$248=2,T78-T72,0)</f>
        <v>182</v>
      </c>
      <c r="U73" s="1383">
        <f>IF(Assum!$E$248=2,U78-U72,0)</f>
        <v>182</v>
      </c>
      <c r="V73" s="1383">
        <f>IF(Assum!$E$248=2,V78-V72,0)</f>
        <v>182</v>
      </c>
      <c r="W73" s="1383">
        <f>IF(Assum!$E$248=2,W78-W72,0)</f>
        <v>183</v>
      </c>
      <c r="X73" s="1383">
        <f>IF(Assum!$E$248=2,X78-X72,0)</f>
        <v>182</v>
      </c>
      <c r="Y73" s="1383">
        <f>IF(Assum!$E$248=2,Y78-Y72,0)</f>
        <v>182</v>
      </c>
      <c r="Z73" s="1383">
        <f>IF(Assum!$E$248=2,Z78-Z72,0)</f>
        <v>182</v>
      </c>
      <c r="AA73" s="1383">
        <f>IF(Assum!$E$248=2,AA78-AA72,0)</f>
        <v>183</v>
      </c>
      <c r="AB73" s="1383">
        <f>IF(Assum!$E$248=2,AB78-AB72,0)</f>
        <v>182</v>
      </c>
      <c r="AC73" s="1383">
        <f>IF(Assum!$E$248=2,AC78-AC72,0)</f>
        <v>182</v>
      </c>
      <c r="AD73" s="1383">
        <f>IF(Assum!$E$248=2,AD78-AD72,0)</f>
        <v>182</v>
      </c>
      <c r="AE73" s="1383">
        <f>IF(Assum!$E$248=2,AE78-AE72,0)</f>
        <v>183</v>
      </c>
      <c r="AF73" s="1383">
        <f>IF(Assum!$E$248=2,AF78-AF72,0)</f>
        <v>182</v>
      </c>
      <c r="AG73" s="1383">
        <f>IF(Assum!$E$248=2,AG78-AG72,0)</f>
        <v>182</v>
      </c>
      <c r="AH73" s="1383">
        <f>IF(Assum!$E$248=2,AH78-AH72,0)</f>
        <v>182</v>
      </c>
      <c r="AI73" s="1383">
        <f>IF(Assum!$E$248=2,AI78-AI72,0)</f>
        <v>183</v>
      </c>
      <c r="AJ73" s="1384"/>
    </row>
    <row r="74" spans="1:42">
      <c r="A74" s="26"/>
      <c r="B74" s="1434" t="s">
        <v>361</v>
      </c>
      <c r="C74" s="1275"/>
      <c r="D74" s="1275"/>
      <c r="E74" s="1275">
        <f>E65</f>
        <v>0</v>
      </c>
      <c r="F74" s="1275">
        <f t="shared" ref="F74:AI74" si="30">E83</f>
        <v>0</v>
      </c>
      <c r="G74" s="1275">
        <f t="shared" si="30"/>
        <v>0</v>
      </c>
      <c r="H74" s="1275">
        <f t="shared" si="30"/>
        <v>0</v>
      </c>
      <c r="I74" s="1275">
        <f t="shared" si="30"/>
        <v>0</v>
      </c>
      <c r="J74" s="1275">
        <f t="shared" si="30"/>
        <v>0</v>
      </c>
      <c r="K74" s="1275">
        <f t="shared" si="30"/>
        <v>0</v>
      </c>
      <c r="L74" s="1275">
        <f t="shared" si="30"/>
        <v>0</v>
      </c>
      <c r="M74" s="1275">
        <f t="shared" si="30"/>
        <v>0</v>
      </c>
      <c r="N74" s="1275">
        <f t="shared" si="30"/>
        <v>0</v>
      </c>
      <c r="O74" s="1275">
        <f t="shared" si="30"/>
        <v>0</v>
      </c>
      <c r="P74" s="1275">
        <f t="shared" si="30"/>
        <v>0</v>
      </c>
      <c r="Q74" s="1275">
        <f t="shared" si="30"/>
        <v>0</v>
      </c>
      <c r="R74" s="1275">
        <f t="shared" si="30"/>
        <v>0</v>
      </c>
      <c r="S74" s="1275">
        <f t="shared" si="30"/>
        <v>0</v>
      </c>
      <c r="T74" s="1275">
        <f t="shared" si="30"/>
        <v>0</v>
      </c>
      <c r="U74" s="1275">
        <f t="shared" si="30"/>
        <v>0</v>
      </c>
      <c r="V74" s="1275">
        <f t="shared" si="30"/>
        <v>0</v>
      </c>
      <c r="W74" s="1275">
        <f t="shared" si="30"/>
        <v>0</v>
      </c>
      <c r="X74" s="1275">
        <f t="shared" si="30"/>
        <v>0</v>
      </c>
      <c r="Y74" s="1275">
        <f t="shared" si="30"/>
        <v>0</v>
      </c>
      <c r="Z74" s="1275">
        <f t="shared" si="30"/>
        <v>0</v>
      </c>
      <c r="AA74" s="1275">
        <f t="shared" si="30"/>
        <v>0</v>
      </c>
      <c r="AB74" s="1275">
        <f t="shared" si="30"/>
        <v>0</v>
      </c>
      <c r="AC74" s="1275">
        <f t="shared" si="30"/>
        <v>0</v>
      </c>
      <c r="AD74" s="1275">
        <f t="shared" si="30"/>
        <v>0</v>
      </c>
      <c r="AE74" s="1275">
        <f t="shared" si="30"/>
        <v>0</v>
      </c>
      <c r="AF74" s="1275">
        <f t="shared" si="30"/>
        <v>0</v>
      </c>
      <c r="AG74" s="1275">
        <f t="shared" si="30"/>
        <v>0</v>
      </c>
      <c r="AH74" s="1275">
        <f t="shared" si="30"/>
        <v>0</v>
      </c>
      <c r="AI74" s="1275">
        <f t="shared" si="30"/>
        <v>0</v>
      </c>
      <c r="AJ74" s="1435"/>
      <c r="AK74" s="263"/>
      <c r="AL74" s="27"/>
      <c r="AM74" s="27"/>
      <c r="AN74" s="27"/>
      <c r="AO74" s="27"/>
      <c r="AP74" s="27"/>
    </row>
    <row r="75" spans="1:42">
      <c r="A75" s="26"/>
      <c r="B75" s="1365" t="s">
        <v>263</v>
      </c>
      <c r="C75" s="1366"/>
      <c r="D75" s="1367"/>
      <c r="E75" s="1367">
        <f>E74*E59*E73/Assum!$E$263</f>
        <v>0</v>
      </c>
      <c r="F75" s="1367">
        <f>F74*F59*F73/Assum!$E$263</f>
        <v>0</v>
      </c>
      <c r="G75" s="1367">
        <f>G74*G59*G73/Assum!$E$263</f>
        <v>0</v>
      </c>
      <c r="H75" s="1367">
        <f>H74*H59*H73/Assum!$E$263</f>
        <v>0</v>
      </c>
      <c r="I75" s="1367">
        <f>I74*I59*I73/Assum!$E$263</f>
        <v>0</v>
      </c>
      <c r="J75" s="1367">
        <f>J74*J59*J73/Assum!$E$263</f>
        <v>0</v>
      </c>
      <c r="K75" s="1367">
        <f>K74*K59*K73/Assum!$E$263</f>
        <v>0</v>
      </c>
      <c r="L75" s="1367">
        <f>L74*L59*L73/Assum!$E$263</f>
        <v>0</v>
      </c>
      <c r="M75" s="1367">
        <f>M74*M59*M73/Assum!$E$263</f>
        <v>0</v>
      </c>
      <c r="N75" s="1367">
        <f>N74*N59*N73/Assum!$E$263</f>
        <v>0</v>
      </c>
      <c r="O75" s="1367">
        <f>O74*O59*O73/Assum!$E$263</f>
        <v>0</v>
      </c>
      <c r="P75" s="1367">
        <f>P74*P59*P73/Assum!$E$263</f>
        <v>0</v>
      </c>
      <c r="Q75" s="1367">
        <f>Q74*Q59*Q73/Assum!$E$263</f>
        <v>0</v>
      </c>
      <c r="R75" s="1367">
        <f>R74*R59*R73/Assum!$E$263</f>
        <v>0</v>
      </c>
      <c r="S75" s="1367">
        <f>S74*S59*S73/Assum!$E$263</f>
        <v>0</v>
      </c>
      <c r="T75" s="1367">
        <f>T74*T59*T73/Assum!$E$263</f>
        <v>0</v>
      </c>
      <c r="U75" s="1367">
        <f>U74*U59*U73/Assum!$E$263</f>
        <v>0</v>
      </c>
      <c r="V75" s="1367">
        <f>V74*V59*V73/Assum!$E$263</f>
        <v>0</v>
      </c>
      <c r="W75" s="1367">
        <f>W74*W59*W73/Assum!$E$263</f>
        <v>0</v>
      </c>
      <c r="X75" s="1367">
        <f>X74*X59*X73/Assum!$E$263</f>
        <v>0</v>
      </c>
      <c r="Y75" s="1367">
        <f>Y74*Y59*Y73/Assum!$E$263</f>
        <v>0</v>
      </c>
      <c r="Z75" s="1367">
        <f>Z74*Z59*Z73/Assum!$E$263</f>
        <v>0</v>
      </c>
      <c r="AA75" s="1367">
        <f>AA74*AA59*AA73/Assum!$E$263</f>
        <v>0</v>
      </c>
      <c r="AB75" s="1367">
        <f>AB74*AB59*AB73/Assum!$E$263</f>
        <v>0</v>
      </c>
      <c r="AC75" s="1367">
        <f>AC74*AC59*AC73/Assum!$E$263</f>
        <v>0</v>
      </c>
      <c r="AD75" s="1367">
        <f>AD74*AD59*AD73/Assum!$E$263</f>
        <v>0</v>
      </c>
      <c r="AE75" s="1367">
        <f>AE74*AE59*AE73/Assum!$E$263</f>
        <v>0</v>
      </c>
      <c r="AF75" s="1367">
        <f>AF74*AF59*AF73/Assum!$E$263</f>
        <v>0</v>
      </c>
      <c r="AG75" s="1367">
        <f>AG74*AG59*AG73/Assum!$E$263</f>
        <v>0</v>
      </c>
      <c r="AH75" s="1367">
        <f>AH74*AH59*AH73/Assum!$E$263</f>
        <v>0</v>
      </c>
      <c r="AI75" s="1367">
        <f>AI74*AI59*AI73/Assum!$E$263</f>
        <v>0</v>
      </c>
      <c r="AJ75" s="1368"/>
      <c r="AK75" s="259"/>
      <c r="AL75" s="24"/>
      <c r="AM75" s="23"/>
      <c r="AN75" s="23"/>
      <c r="AO75" s="23"/>
      <c r="AP75" s="23"/>
    </row>
    <row r="76" spans="1:42">
      <c r="A76" s="26"/>
      <c r="B76" s="1365" t="s">
        <v>362</v>
      </c>
      <c r="C76" s="1366"/>
      <c r="D76" s="1367"/>
      <c r="E76" s="259">
        <f>IF(E68-E75&lt;E74,E68-E75,E74)*(Assum!$E$248-1)</f>
        <v>0</v>
      </c>
      <c r="F76" s="259">
        <f>IF(F68-F75&lt;F74,F68-F75,F74)*(Assum!$E$248-1)</f>
        <v>0</v>
      </c>
      <c r="G76" s="259">
        <f>IF(G68-G75&lt;G74,G68-G75,G74)*(Assum!$E$248-1)</f>
        <v>0</v>
      </c>
      <c r="H76" s="259">
        <f>IF(H68-H75&lt;H74,H68-H75,H74)*(Assum!$E$248-1)</f>
        <v>0</v>
      </c>
      <c r="I76" s="259">
        <f>IF(I68-I75&lt;I74,I68-I75,I74)*(Assum!$E$248-1)</f>
        <v>0</v>
      </c>
      <c r="J76" s="259">
        <f>IF(J68-J75&lt;J74,J68-J75,J74)*(Assum!$E$248-1)</f>
        <v>0</v>
      </c>
      <c r="K76" s="259">
        <f>IF(K68-K75&lt;K74,K68-K75,K74)*(Assum!$E$248-1)</f>
        <v>0</v>
      </c>
      <c r="L76" s="259">
        <f>IF(L68-L75&lt;L74,L68-L75,L74)*(Assum!$E$248-1)</f>
        <v>0</v>
      </c>
      <c r="M76" s="259">
        <f>IF(M68-M75&lt;M74,M68-M75,M74)*(Assum!$E$248-1)</f>
        <v>0</v>
      </c>
      <c r="N76" s="259">
        <f>IF(N68-N75&lt;N74,N68-N75,N74)*(Assum!$E$248-1)</f>
        <v>0</v>
      </c>
      <c r="O76" s="259">
        <f>IF(O68-O75&lt;O74,O68-O75,O74)*(Assum!$E$248-1)</f>
        <v>0</v>
      </c>
      <c r="P76" s="259">
        <f>IF(P68-P75&lt;P74,P68-P75,P74)*(Assum!$E$248-1)</f>
        <v>0</v>
      </c>
      <c r="Q76" s="259">
        <f>IF(Q68-Q75&lt;Q74,Q68-Q75,Q74)*(Assum!$E$248-1)</f>
        <v>0</v>
      </c>
      <c r="R76" s="259">
        <f>IF(R68-R75&lt;R74,R68-R75,R74)*(Assum!$E$248-1)</f>
        <v>0</v>
      </c>
      <c r="S76" s="259">
        <f>IF(S68-S75&lt;S74,S68-S75,S74)*(Assum!$E$248-1)</f>
        <v>0</v>
      </c>
      <c r="T76" s="259">
        <f>IF(T68-T75&lt;T74,T68-T75,T74)*(Assum!$E$248-1)</f>
        <v>0</v>
      </c>
      <c r="U76" s="259">
        <f>IF(U68-U75&lt;U74,U68-U75,U74)*(Assum!$E$248-1)</f>
        <v>0</v>
      </c>
      <c r="V76" s="259">
        <f>IF(V68-V75&lt;V74,V68-V75,V74)*(Assum!$E$248-1)</f>
        <v>0</v>
      </c>
      <c r="W76" s="259">
        <f>IF(W68-W75&lt;W74,W68-W75,W74)*(Assum!$E$248-1)</f>
        <v>0</v>
      </c>
      <c r="X76" s="259">
        <f>IF(X68-X75&lt;X74,X68-X75,X74)*(Assum!$E$248-1)</f>
        <v>0</v>
      </c>
      <c r="Y76" s="259">
        <f>IF(Y68-Y75&lt;Y74,Y68-Y75,Y74)*(Assum!$E$248-1)</f>
        <v>0</v>
      </c>
      <c r="Z76" s="259">
        <f>IF(Z68-Z75&lt;Z74,Z68-Z75,Z74)*(Assum!$E$248-1)</f>
        <v>0</v>
      </c>
      <c r="AA76" s="259">
        <f>IF(AA68-AA75&lt;AA74,AA68-AA75,AA74)*(Assum!$E$248-1)</f>
        <v>0</v>
      </c>
      <c r="AB76" s="259">
        <f>IF(AB68-AB75&lt;AB74,AB68-AB75,AB74)*(Assum!$E$248-1)</f>
        <v>0</v>
      </c>
      <c r="AC76" s="259">
        <f>IF(AC68-AC75&lt;AC74,AC68-AC75,AC74)*(Assum!$E$248-1)</f>
        <v>0</v>
      </c>
      <c r="AD76" s="259">
        <f>IF(AD68-AD75&lt;AD74,AD68-AD75,AD74)*(Assum!$E$248-1)</f>
        <v>0</v>
      </c>
      <c r="AE76" s="259">
        <f>IF(AE68-AE75&lt;AE74,AE68-AE75,AE74)*(Assum!$E$248-1)</f>
        <v>0</v>
      </c>
      <c r="AF76" s="259">
        <f>IF(AF68-AF75&lt;AF74,AF68-AF75,AF74)*(Assum!$E$248-1)</f>
        <v>0</v>
      </c>
      <c r="AG76" s="259">
        <f>IF(AG68-AG75&lt;AG74,AG68-AG75,AG74)*(Assum!$E$248-1)</f>
        <v>0</v>
      </c>
      <c r="AH76" s="259">
        <f>IF(AH68-AH75&lt;AH74,AH68-AH75,AH74)*(Assum!$E$248-1)</f>
        <v>0</v>
      </c>
      <c r="AI76" s="259">
        <f>IF(AI68-AI75&lt;AI74,AI68-AI75,AI74)*(Assum!$E$248-1)</f>
        <v>0</v>
      </c>
      <c r="AJ76" s="1368"/>
      <c r="AK76" s="259"/>
      <c r="AL76" s="24"/>
      <c r="AM76" s="23"/>
      <c r="AN76" s="23"/>
      <c r="AO76" s="23"/>
      <c r="AP76" s="23"/>
    </row>
    <row r="77" spans="1:42">
      <c r="A77" s="26"/>
      <c r="B77" s="638" t="s">
        <v>588</v>
      </c>
      <c r="C77" s="542"/>
      <c r="D77" s="542"/>
      <c r="E77" s="542">
        <f t="shared" ref="E77:AI77" si="31">E74-E76</f>
        <v>0</v>
      </c>
      <c r="F77" s="542">
        <f t="shared" si="31"/>
        <v>0</v>
      </c>
      <c r="G77" s="542">
        <f t="shared" si="31"/>
        <v>0</v>
      </c>
      <c r="H77" s="542">
        <f t="shared" si="31"/>
        <v>0</v>
      </c>
      <c r="I77" s="542">
        <f t="shared" si="31"/>
        <v>0</v>
      </c>
      <c r="J77" s="542">
        <f t="shared" si="31"/>
        <v>0</v>
      </c>
      <c r="K77" s="542">
        <f t="shared" si="31"/>
        <v>0</v>
      </c>
      <c r="L77" s="542">
        <f t="shared" si="31"/>
        <v>0</v>
      </c>
      <c r="M77" s="542">
        <f t="shared" si="31"/>
        <v>0</v>
      </c>
      <c r="N77" s="542">
        <f t="shared" si="31"/>
        <v>0</v>
      </c>
      <c r="O77" s="542">
        <f t="shared" si="31"/>
        <v>0</v>
      </c>
      <c r="P77" s="542">
        <f t="shared" si="31"/>
        <v>0</v>
      </c>
      <c r="Q77" s="542">
        <f t="shared" si="31"/>
        <v>0</v>
      </c>
      <c r="R77" s="542">
        <f t="shared" si="31"/>
        <v>0</v>
      </c>
      <c r="S77" s="542">
        <f t="shared" si="31"/>
        <v>0</v>
      </c>
      <c r="T77" s="542">
        <f t="shared" si="31"/>
        <v>0</v>
      </c>
      <c r="U77" s="542">
        <f t="shared" si="31"/>
        <v>0</v>
      </c>
      <c r="V77" s="542">
        <f t="shared" si="31"/>
        <v>0</v>
      </c>
      <c r="W77" s="542">
        <f t="shared" si="31"/>
        <v>0</v>
      </c>
      <c r="X77" s="542">
        <f t="shared" si="31"/>
        <v>0</v>
      </c>
      <c r="Y77" s="542">
        <f t="shared" si="31"/>
        <v>0</v>
      </c>
      <c r="Z77" s="542">
        <f t="shared" si="31"/>
        <v>0</v>
      </c>
      <c r="AA77" s="542">
        <f t="shared" si="31"/>
        <v>0</v>
      </c>
      <c r="AB77" s="542">
        <f t="shared" si="31"/>
        <v>0</v>
      </c>
      <c r="AC77" s="542">
        <f t="shared" si="31"/>
        <v>0</v>
      </c>
      <c r="AD77" s="542">
        <f t="shared" si="31"/>
        <v>0</v>
      </c>
      <c r="AE77" s="542">
        <f t="shared" si="31"/>
        <v>0</v>
      </c>
      <c r="AF77" s="542">
        <f t="shared" si="31"/>
        <v>0</v>
      </c>
      <c r="AG77" s="542">
        <f t="shared" si="31"/>
        <v>0</v>
      </c>
      <c r="AH77" s="542">
        <f t="shared" si="31"/>
        <v>0</v>
      </c>
      <c r="AI77" s="542">
        <f t="shared" si="31"/>
        <v>0</v>
      </c>
      <c r="AJ77" s="1364"/>
      <c r="AK77" s="263"/>
      <c r="AL77" s="27"/>
      <c r="AM77" s="27"/>
      <c r="AN77" s="27"/>
      <c r="AO77" s="27"/>
      <c r="AP77" s="27"/>
    </row>
    <row r="78" spans="1:42">
      <c r="A78" s="26"/>
      <c r="B78" s="1377" t="s">
        <v>63</v>
      </c>
      <c r="C78" s="1378"/>
      <c r="D78" s="1378"/>
      <c r="E78" s="1379">
        <f>Assum!E264</f>
        <v>35975</v>
      </c>
      <c r="F78" s="1379">
        <f t="shared" ref="F78:AJ78" si="32">EDATE(E78,12)</f>
        <v>36340</v>
      </c>
      <c r="G78" s="1379">
        <f t="shared" si="32"/>
        <v>36706</v>
      </c>
      <c r="H78" s="1379">
        <f t="shared" si="32"/>
        <v>37071</v>
      </c>
      <c r="I78" s="1379">
        <f t="shared" si="32"/>
        <v>37436</v>
      </c>
      <c r="J78" s="1379">
        <f t="shared" si="32"/>
        <v>37801</v>
      </c>
      <c r="K78" s="1379">
        <f t="shared" si="32"/>
        <v>38167</v>
      </c>
      <c r="L78" s="1379">
        <f t="shared" si="32"/>
        <v>38532</v>
      </c>
      <c r="M78" s="1379">
        <f t="shared" si="32"/>
        <v>38897</v>
      </c>
      <c r="N78" s="1379">
        <f t="shared" si="32"/>
        <v>39262</v>
      </c>
      <c r="O78" s="1379">
        <f t="shared" si="32"/>
        <v>39628</v>
      </c>
      <c r="P78" s="1379">
        <f t="shared" si="32"/>
        <v>39993</v>
      </c>
      <c r="Q78" s="1379">
        <f t="shared" si="32"/>
        <v>40358</v>
      </c>
      <c r="R78" s="1379">
        <f t="shared" si="32"/>
        <v>40723</v>
      </c>
      <c r="S78" s="1379">
        <f t="shared" si="32"/>
        <v>41089</v>
      </c>
      <c r="T78" s="1379">
        <f t="shared" si="32"/>
        <v>41454</v>
      </c>
      <c r="U78" s="1379">
        <f t="shared" si="32"/>
        <v>41819</v>
      </c>
      <c r="V78" s="1379">
        <f t="shared" si="32"/>
        <v>42184</v>
      </c>
      <c r="W78" s="1379">
        <f t="shared" si="32"/>
        <v>42550</v>
      </c>
      <c r="X78" s="1379">
        <f t="shared" si="32"/>
        <v>42915</v>
      </c>
      <c r="Y78" s="1379">
        <f t="shared" si="32"/>
        <v>43280</v>
      </c>
      <c r="Z78" s="1379">
        <f t="shared" si="32"/>
        <v>43645</v>
      </c>
      <c r="AA78" s="1379">
        <f t="shared" si="32"/>
        <v>44011</v>
      </c>
      <c r="AB78" s="1379">
        <f t="shared" si="32"/>
        <v>44376</v>
      </c>
      <c r="AC78" s="1379">
        <f t="shared" si="32"/>
        <v>44741</v>
      </c>
      <c r="AD78" s="1379">
        <f t="shared" si="32"/>
        <v>45106</v>
      </c>
      <c r="AE78" s="1379">
        <f t="shared" si="32"/>
        <v>45472</v>
      </c>
      <c r="AF78" s="1379">
        <f t="shared" si="32"/>
        <v>45837</v>
      </c>
      <c r="AG78" s="1379">
        <f t="shared" si="32"/>
        <v>46202</v>
      </c>
      <c r="AH78" s="1379">
        <f t="shared" si="32"/>
        <v>46567</v>
      </c>
      <c r="AI78" s="1379">
        <f t="shared" si="32"/>
        <v>46933</v>
      </c>
      <c r="AJ78" s="1380">
        <f t="shared" si="32"/>
        <v>47298</v>
      </c>
      <c r="AK78" s="259"/>
      <c r="AL78" s="24"/>
      <c r="AM78" s="23"/>
      <c r="AN78" s="23"/>
      <c r="AO78" s="23"/>
      <c r="AP78" s="23"/>
    </row>
    <row r="79" spans="1:42">
      <c r="A79" s="26"/>
      <c r="B79" s="1381" t="s">
        <v>431</v>
      </c>
      <c r="C79" s="1382"/>
      <c r="D79" s="1383"/>
      <c r="E79" s="1383">
        <f>IF(Assum!$E$248=2,E84-E78,E84-E72)</f>
        <v>183</v>
      </c>
      <c r="F79" s="1383">
        <f>IF(Assum!$E$248=2,F84-F78,F84-F72)</f>
        <v>183</v>
      </c>
      <c r="G79" s="1383">
        <f>IF(Assum!$E$248=2,G84-G78,G84-G72)</f>
        <v>183</v>
      </c>
      <c r="H79" s="1383">
        <f>IF(Assum!$E$248=2,H84-H78,H84-H72)</f>
        <v>183</v>
      </c>
      <c r="I79" s="1383">
        <f>IF(Assum!$E$248=2,I84-I78,I84-I72)</f>
        <v>183</v>
      </c>
      <c r="J79" s="1383">
        <f>IF(Assum!$E$248=2,J84-J78,J84-J72)</f>
        <v>183</v>
      </c>
      <c r="K79" s="1383">
        <f>IF(Assum!$E$248=2,K84-K78,K84-K72)</f>
        <v>183</v>
      </c>
      <c r="L79" s="1383">
        <f>IF(Assum!$E$248=2,L84-L78,L84-L72)</f>
        <v>183</v>
      </c>
      <c r="M79" s="1383">
        <f>IF(Assum!$E$248=2,M84-M78,M84-M72)</f>
        <v>183</v>
      </c>
      <c r="N79" s="1383">
        <f>IF(Assum!$E$248=2,N84-N78,N84-N72)</f>
        <v>183</v>
      </c>
      <c r="O79" s="1383">
        <f>IF(Assum!$E$248=2,O84-O78,O84-O72)</f>
        <v>183</v>
      </c>
      <c r="P79" s="1383">
        <f>IF(Assum!$E$248=2,P84-P78,P84-P72)</f>
        <v>183</v>
      </c>
      <c r="Q79" s="1383">
        <f>IF(Assum!$E$248=2,Q84-Q78,Q84-Q72)</f>
        <v>183</v>
      </c>
      <c r="R79" s="1383">
        <f>IF(Assum!$E$248=2,R84-R78,R84-R72)</f>
        <v>183</v>
      </c>
      <c r="S79" s="1383">
        <f>IF(Assum!$E$248=2,S84-S78,S84-S72)</f>
        <v>183</v>
      </c>
      <c r="T79" s="1383">
        <f>IF(Assum!$E$248=2,T84-T78,T84-T72)</f>
        <v>183</v>
      </c>
      <c r="U79" s="1383">
        <f>IF(Assum!$E$248=2,U84-U78,U84-U72)</f>
        <v>183</v>
      </c>
      <c r="V79" s="1383">
        <f>IF(Assum!$E$248=2,V84-V78,V84-V72)</f>
        <v>183</v>
      </c>
      <c r="W79" s="1383">
        <f>IF(Assum!$E$248=2,W84-W78,W84-W72)</f>
        <v>183</v>
      </c>
      <c r="X79" s="1383">
        <f>IF(Assum!$E$248=2,X84-X78,X84-X72)</f>
        <v>183</v>
      </c>
      <c r="Y79" s="1383">
        <f>IF(Assum!$E$248=2,Y84-Y78,Y84-Y72)</f>
        <v>183</v>
      </c>
      <c r="Z79" s="1383">
        <f>IF(Assum!$E$248=2,Z84-Z78,Z84-Z72)</f>
        <v>183</v>
      </c>
      <c r="AA79" s="1383">
        <f>IF(Assum!$E$248=2,AA84-AA78,AA84-AA72)</f>
        <v>183</v>
      </c>
      <c r="AB79" s="1383">
        <f>IF(Assum!$E$248=2,AB84-AB78,AB84-AB72)</f>
        <v>183</v>
      </c>
      <c r="AC79" s="1383">
        <f>IF(Assum!$E$248=2,AC84-AC78,AC84-AC72)</f>
        <v>183</v>
      </c>
      <c r="AD79" s="1383">
        <f>IF(Assum!$E$248=2,AD84-AD78,AD84-AD72)</f>
        <v>183</v>
      </c>
      <c r="AE79" s="1383">
        <f>IF(Assum!$E$248=2,AE84-AE78,AE84-AE72)</f>
        <v>183</v>
      </c>
      <c r="AF79" s="1383">
        <f>IF(Assum!$E$248=2,AF84-AF78,AF84-AF72)</f>
        <v>183</v>
      </c>
      <c r="AG79" s="1383">
        <f>IF(Assum!$E$248=2,AG84-AG78,AG84-AG72)</f>
        <v>183</v>
      </c>
      <c r="AH79" s="1383">
        <f>IF(Assum!$E$248=2,AH84-AH78,AH84-AH72)</f>
        <v>183</v>
      </c>
      <c r="AI79" s="1383">
        <f>IF(Assum!$E$248=2,AI84-AI78,AI84-AI72)</f>
        <v>183</v>
      </c>
      <c r="AJ79" s="1384"/>
      <c r="AK79" s="259"/>
      <c r="AL79" s="24"/>
      <c r="AM79" s="23"/>
      <c r="AN79" s="23"/>
      <c r="AO79" s="23"/>
      <c r="AP79" s="23"/>
    </row>
    <row r="80" spans="1:42">
      <c r="A80" s="26"/>
      <c r="B80" s="638" t="s">
        <v>363</v>
      </c>
      <c r="C80" s="542"/>
      <c r="D80" s="542"/>
      <c r="E80" s="542">
        <f t="shared" ref="E80:AI80" si="33">E77</f>
        <v>0</v>
      </c>
      <c r="F80" s="542">
        <f t="shared" si="33"/>
        <v>0</v>
      </c>
      <c r="G80" s="542">
        <f t="shared" si="33"/>
        <v>0</v>
      </c>
      <c r="H80" s="542">
        <f t="shared" si="33"/>
        <v>0</v>
      </c>
      <c r="I80" s="542">
        <f t="shared" si="33"/>
        <v>0</v>
      </c>
      <c r="J80" s="542">
        <f t="shared" si="33"/>
        <v>0</v>
      </c>
      <c r="K80" s="542">
        <f t="shared" si="33"/>
        <v>0</v>
      </c>
      <c r="L80" s="542">
        <f t="shared" si="33"/>
        <v>0</v>
      </c>
      <c r="M80" s="542">
        <f t="shared" si="33"/>
        <v>0</v>
      </c>
      <c r="N80" s="542">
        <f t="shared" si="33"/>
        <v>0</v>
      </c>
      <c r="O80" s="542">
        <f t="shared" si="33"/>
        <v>0</v>
      </c>
      <c r="P80" s="542">
        <f t="shared" si="33"/>
        <v>0</v>
      </c>
      <c r="Q80" s="542">
        <f t="shared" si="33"/>
        <v>0</v>
      </c>
      <c r="R80" s="542">
        <f t="shared" si="33"/>
        <v>0</v>
      </c>
      <c r="S80" s="542">
        <f t="shared" si="33"/>
        <v>0</v>
      </c>
      <c r="T80" s="542">
        <f t="shared" si="33"/>
        <v>0</v>
      </c>
      <c r="U80" s="542">
        <f t="shared" si="33"/>
        <v>0</v>
      </c>
      <c r="V80" s="542">
        <f t="shared" si="33"/>
        <v>0</v>
      </c>
      <c r="W80" s="542">
        <f t="shared" si="33"/>
        <v>0</v>
      </c>
      <c r="X80" s="542">
        <f t="shared" si="33"/>
        <v>0</v>
      </c>
      <c r="Y80" s="542">
        <f t="shared" si="33"/>
        <v>0</v>
      </c>
      <c r="Z80" s="542">
        <f t="shared" si="33"/>
        <v>0</v>
      </c>
      <c r="AA80" s="542">
        <f t="shared" si="33"/>
        <v>0</v>
      </c>
      <c r="AB80" s="542">
        <f t="shared" si="33"/>
        <v>0</v>
      </c>
      <c r="AC80" s="542">
        <f t="shared" si="33"/>
        <v>0</v>
      </c>
      <c r="AD80" s="542">
        <f t="shared" si="33"/>
        <v>0</v>
      </c>
      <c r="AE80" s="542">
        <f t="shared" si="33"/>
        <v>0</v>
      </c>
      <c r="AF80" s="542">
        <f t="shared" si="33"/>
        <v>0</v>
      </c>
      <c r="AG80" s="542">
        <f t="shared" si="33"/>
        <v>0</v>
      </c>
      <c r="AH80" s="542">
        <f t="shared" si="33"/>
        <v>0</v>
      </c>
      <c r="AI80" s="542">
        <f t="shared" si="33"/>
        <v>0</v>
      </c>
      <c r="AJ80" s="1364"/>
      <c r="AK80" s="263"/>
      <c r="AL80" s="27"/>
      <c r="AM80" s="27"/>
      <c r="AN80" s="27"/>
      <c r="AO80" s="27"/>
      <c r="AP80" s="27"/>
    </row>
    <row r="81" spans="1:42">
      <c r="A81" s="26"/>
      <c r="B81" s="1365" t="s">
        <v>263</v>
      </c>
      <c r="C81" s="1366"/>
      <c r="D81" s="1367"/>
      <c r="E81" s="1367">
        <f>E80*E59*E79/Assum!$E$263</f>
        <v>0</v>
      </c>
      <c r="F81" s="1367">
        <f>F80*F59*F79/Assum!$E$263</f>
        <v>0</v>
      </c>
      <c r="G81" s="1367">
        <f>G80*G59*G79/Assum!$E$263</f>
        <v>0</v>
      </c>
      <c r="H81" s="1367">
        <f>H80*H59*H79/Assum!$E$263</f>
        <v>0</v>
      </c>
      <c r="I81" s="1367">
        <f>I80*I59*I79/Assum!$E$263</f>
        <v>0</v>
      </c>
      <c r="J81" s="1367">
        <f>J80*J59*J79/Assum!$E$263</f>
        <v>0</v>
      </c>
      <c r="K81" s="1367">
        <f>K80*K59*K79/Assum!$E$263</f>
        <v>0</v>
      </c>
      <c r="L81" s="1367">
        <f>L80*L59*L79/Assum!$E$263</f>
        <v>0</v>
      </c>
      <c r="M81" s="1367">
        <f>M80*M59*M79/Assum!$E$263</f>
        <v>0</v>
      </c>
      <c r="N81" s="1367">
        <f>N80*N59*N79/Assum!$E$263</f>
        <v>0</v>
      </c>
      <c r="O81" s="1367">
        <f>O80*O59*O79/Assum!$E$263</f>
        <v>0</v>
      </c>
      <c r="P81" s="1367">
        <f>P80*P59*P79/Assum!$E$263</f>
        <v>0</v>
      </c>
      <c r="Q81" s="1367">
        <f>Q80*Q59*Q79/Assum!$E$263</f>
        <v>0</v>
      </c>
      <c r="R81" s="1367">
        <f>R80*R59*R79/Assum!$E$263</f>
        <v>0</v>
      </c>
      <c r="S81" s="1367">
        <f>S80*S59*S79/Assum!$E$263</f>
        <v>0</v>
      </c>
      <c r="T81" s="1367">
        <f>T80*T59*T79/Assum!$E$263</f>
        <v>0</v>
      </c>
      <c r="U81" s="1367">
        <f>U80*U59*U79/Assum!$E$263</f>
        <v>0</v>
      </c>
      <c r="V81" s="1367">
        <f>V80*V59*V79/Assum!$E$263</f>
        <v>0</v>
      </c>
      <c r="W81" s="1367">
        <f>W80*W59*W79/Assum!$E$263</f>
        <v>0</v>
      </c>
      <c r="X81" s="1367">
        <f>X80*X59*X79/Assum!$E$263</f>
        <v>0</v>
      </c>
      <c r="Y81" s="1367">
        <f>Y80*Y59*Y79/Assum!$E$263</f>
        <v>0</v>
      </c>
      <c r="Z81" s="1367">
        <f>Z80*Z59*Z79/Assum!$E$263</f>
        <v>0</v>
      </c>
      <c r="AA81" s="1367">
        <f>AA80*AA59*AA79/Assum!$E$263</f>
        <v>0</v>
      </c>
      <c r="AB81" s="1367">
        <f>AB80*AB59*AB79/Assum!$E$263</f>
        <v>0</v>
      </c>
      <c r="AC81" s="1367">
        <f>AC80*AC59*AC79/Assum!$E$263</f>
        <v>0</v>
      </c>
      <c r="AD81" s="1367">
        <f>AD80*AD59*AD79/Assum!$E$263</f>
        <v>0</v>
      </c>
      <c r="AE81" s="1367">
        <f>AE80*AE59*AE79/Assum!$E$263</f>
        <v>0</v>
      </c>
      <c r="AF81" s="1367">
        <f>AF80*AF59*AF79/Assum!$E$263</f>
        <v>0</v>
      </c>
      <c r="AG81" s="1367">
        <f>AG80*AG59*AG79/Assum!$E$263</f>
        <v>0</v>
      </c>
      <c r="AH81" s="1367">
        <f>AH80*AH59*AH79/Assum!$E$263</f>
        <v>0</v>
      </c>
      <c r="AI81" s="1367">
        <f>AI80*AI59*AI79/Assum!$E$263</f>
        <v>0</v>
      </c>
      <c r="AJ81" s="1368"/>
      <c r="AK81" s="259"/>
      <c r="AL81" s="24"/>
      <c r="AM81" s="23"/>
      <c r="AN81" s="23"/>
      <c r="AO81" s="23"/>
      <c r="AP81" s="23"/>
    </row>
    <row r="82" spans="1:42">
      <c r="A82" s="26"/>
      <c r="B82" s="1365" t="s">
        <v>362</v>
      </c>
      <c r="C82" s="1366"/>
      <c r="D82" s="1367"/>
      <c r="E82" s="259">
        <f>IF(E69-E81&lt;E80,E69-E81,E80)</f>
        <v>0</v>
      </c>
      <c r="F82" s="259">
        <f t="shared" ref="F82:AI82" si="34">IF(F69-F81&lt;F80,F69-F81,F80)</f>
        <v>0</v>
      </c>
      <c r="G82" s="259">
        <f t="shared" si="34"/>
        <v>0</v>
      </c>
      <c r="H82" s="259">
        <f t="shared" si="34"/>
        <v>0</v>
      </c>
      <c r="I82" s="259">
        <f t="shared" si="34"/>
        <v>0</v>
      </c>
      <c r="J82" s="259">
        <f t="shared" si="34"/>
        <v>0</v>
      </c>
      <c r="K82" s="259">
        <f t="shared" si="34"/>
        <v>0</v>
      </c>
      <c r="L82" s="259">
        <f t="shared" si="34"/>
        <v>0</v>
      </c>
      <c r="M82" s="259">
        <f t="shared" si="34"/>
        <v>0</v>
      </c>
      <c r="N82" s="259">
        <f t="shared" si="34"/>
        <v>0</v>
      </c>
      <c r="O82" s="259">
        <f t="shared" si="34"/>
        <v>0</v>
      </c>
      <c r="P82" s="259">
        <f t="shared" si="34"/>
        <v>0</v>
      </c>
      <c r="Q82" s="259">
        <f t="shared" si="34"/>
        <v>0</v>
      </c>
      <c r="R82" s="259">
        <f t="shared" si="34"/>
        <v>0</v>
      </c>
      <c r="S82" s="259">
        <f t="shared" si="34"/>
        <v>0</v>
      </c>
      <c r="T82" s="259">
        <f t="shared" si="34"/>
        <v>0</v>
      </c>
      <c r="U82" s="259">
        <f t="shared" si="34"/>
        <v>0</v>
      </c>
      <c r="V82" s="259">
        <f t="shared" si="34"/>
        <v>0</v>
      </c>
      <c r="W82" s="259">
        <f t="shared" si="34"/>
        <v>0</v>
      </c>
      <c r="X82" s="259">
        <f t="shared" si="34"/>
        <v>0</v>
      </c>
      <c r="Y82" s="259">
        <f t="shared" si="34"/>
        <v>0</v>
      </c>
      <c r="Z82" s="259">
        <f t="shared" si="34"/>
        <v>0</v>
      </c>
      <c r="AA82" s="259">
        <f t="shared" si="34"/>
        <v>0</v>
      </c>
      <c r="AB82" s="259">
        <f t="shared" si="34"/>
        <v>0</v>
      </c>
      <c r="AC82" s="259">
        <f t="shared" si="34"/>
        <v>0</v>
      </c>
      <c r="AD82" s="259">
        <f t="shared" si="34"/>
        <v>0</v>
      </c>
      <c r="AE82" s="259">
        <f t="shared" si="34"/>
        <v>0</v>
      </c>
      <c r="AF82" s="259">
        <f t="shared" si="34"/>
        <v>0</v>
      </c>
      <c r="AG82" s="259">
        <f t="shared" si="34"/>
        <v>0</v>
      </c>
      <c r="AH82" s="259">
        <f t="shared" si="34"/>
        <v>0</v>
      </c>
      <c r="AI82" s="259">
        <f t="shared" si="34"/>
        <v>0</v>
      </c>
      <c r="AJ82" s="1368"/>
      <c r="AK82" s="259"/>
      <c r="AL82" s="24"/>
      <c r="AM82" s="23"/>
      <c r="AN82" s="23"/>
      <c r="AO82" s="23"/>
      <c r="AP82" s="23"/>
    </row>
    <row r="83" spans="1:42">
      <c r="A83" s="26"/>
      <c r="B83" s="638" t="s">
        <v>588</v>
      </c>
      <c r="C83" s="542"/>
      <c r="D83" s="542"/>
      <c r="E83" s="542">
        <f t="shared" ref="E83:AI83" si="35">E80-E82</f>
        <v>0</v>
      </c>
      <c r="F83" s="542">
        <f t="shared" si="35"/>
        <v>0</v>
      </c>
      <c r="G83" s="542">
        <f t="shared" si="35"/>
        <v>0</v>
      </c>
      <c r="H83" s="542">
        <f t="shared" si="35"/>
        <v>0</v>
      </c>
      <c r="I83" s="542">
        <f t="shared" si="35"/>
        <v>0</v>
      </c>
      <c r="J83" s="542">
        <f t="shared" si="35"/>
        <v>0</v>
      </c>
      <c r="K83" s="542">
        <f t="shared" si="35"/>
        <v>0</v>
      </c>
      <c r="L83" s="542">
        <f t="shared" si="35"/>
        <v>0</v>
      </c>
      <c r="M83" s="542">
        <f t="shared" si="35"/>
        <v>0</v>
      </c>
      <c r="N83" s="542">
        <f t="shared" si="35"/>
        <v>0</v>
      </c>
      <c r="O83" s="542">
        <f t="shared" si="35"/>
        <v>0</v>
      </c>
      <c r="P83" s="542">
        <f t="shared" si="35"/>
        <v>0</v>
      </c>
      <c r="Q83" s="542">
        <f t="shared" si="35"/>
        <v>0</v>
      </c>
      <c r="R83" s="542">
        <f t="shared" si="35"/>
        <v>0</v>
      </c>
      <c r="S83" s="542">
        <f t="shared" si="35"/>
        <v>0</v>
      </c>
      <c r="T83" s="542">
        <f t="shared" si="35"/>
        <v>0</v>
      </c>
      <c r="U83" s="542">
        <f t="shared" si="35"/>
        <v>0</v>
      </c>
      <c r="V83" s="542">
        <f t="shared" si="35"/>
        <v>0</v>
      </c>
      <c r="W83" s="542">
        <f t="shared" si="35"/>
        <v>0</v>
      </c>
      <c r="X83" s="542">
        <f t="shared" si="35"/>
        <v>0</v>
      </c>
      <c r="Y83" s="542">
        <f t="shared" si="35"/>
        <v>0</v>
      </c>
      <c r="Z83" s="542">
        <f t="shared" si="35"/>
        <v>0</v>
      </c>
      <c r="AA83" s="542">
        <f t="shared" si="35"/>
        <v>0</v>
      </c>
      <c r="AB83" s="542">
        <f t="shared" si="35"/>
        <v>0</v>
      </c>
      <c r="AC83" s="542">
        <f t="shared" si="35"/>
        <v>0</v>
      </c>
      <c r="AD83" s="542">
        <f t="shared" si="35"/>
        <v>0</v>
      </c>
      <c r="AE83" s="542">
        <f t="shared" si="35"/>
        <v>0</v>
      </c>
      <c r="AF83" s="542">
        <f t="shared" si="35"/>
        <v>0</v>
      </c>
      <c r="AG83" s="542">
        <f t="shared" si="35"/>
        <v>0</v>
      </c>
      <c r="AH83" s="542">
        <f t="shared" si="35"/>
        <v>0</v>
      </c>
      <c r="AI83" s="542">
        <f t="shared" si="35"/>
        <v>0</v>
      </c>
      <c r="AJ83" s="1364"/>
      <c r="AK83" s="263"/>
      <c r="AL83" s="27"/>
      <c r="AM83" s="27"/>
      <c r="AN83" s="27"/>
      <c r="AO83" s="27"/>
      <c r="AP83" s="27"/>
    </row>
    <row r="84" spans="1:42" s="65" customFormat="1">
      <c r="A84" s="26"/>
      <c r="B84" s="1377" t="s">
        <v>64</v>
      </c>
      <c r="C84" s="1378"/>
      <c r="D84" s="1378"/>
      <c r="E84" s="1379">
        <f>Assum!E265</f>
        <v>36158</v>
      </c>
      <c r="F84" s="1379">
        <f t="shared" ref="F84:AJ84" si="36">EDATE(E84,12)</f>
        <v>36523</v>
      </c>
      <c r="G84" s="1379">
        <f t="shared" si="36"/>
        <v>36889</v>
      </c>
      <c r="H84" s="1379">
        <f t="shared" si="36"/>
        <v>37254</v>
      </c>
      <c r="I84" s="1379">
        <f t="shared" si="36"/>
        <v>37619</v>
      </c>
      <c r="J84" s="1379">
        <f t="shared" si="36"/>
        <v>37984</v>
      </c>
      <c r="K84" s="1379">
        <f t="shared" si="36"/>
        <v>38350</v>
      </c>
      <c r="L84" s="1379">
        <f t="shared" si="36"/>
        <v>38715</v>
      </c>
      <c r="M84" s="1379">
        <f t="shared" si="36"/>
        <v>39080</v>
      </c>
      <c r="N84" s="1379">
        <f t="shared" si="36"/>
        <v>39445</v>
      </c>
      <c r="O84" s="1379">
        <f t="shared" si="36"/>
        <v>39811</v>
      </c>
      <c r="P84" s="1379">
        <f t="shared" si="36"/>
        <v>40176</v>
      </c>
      <c r="Q84" s="1379">
        <f t="shared" si="36"/>
        <v>40541</v>
      </c>
      <c r="R84" s="1379">
        <f t="shared" si="36"/>
        <v>40906</v>
      </c>
      <c r="S84" s="1379">
        <f t="shared" si="36"/>
        <v>41272</v>
      </c>
      <c r="T84" s="1379">
        <f t="shared" si="36"/>
        <v>41637</v>
      </c>
      <c r="U84" s="1379">
        <f t="shared" si="36"/>
        <v>42002</v>
      </c>
      <c r="V84" s="1379">
        <f t="shared" si="36"/>
        <v>42367</v>
      </c>
      <c r="W84" s="1379">
        <f t="shared" si="36"/>
        <v>42733</v>
      </c>
      <c r="X84" s="1379">
        <f t="shared" si="36"/>
        <v>43098</v>
      </c>
      <c r="Y84" s="1379">
        <f t="shared" si="36"/>
        <v>43463</v>
      </c>
      <c r="Z84" s="1379">
        <f t="shared" si="36"/>
        <v>43828</v>
      </c>
      <c r="AA84" s="1379">
        <f t="shared" si="36"/>
        <v>44194</v>
      </c>
      <c r="AB84" s="1379">
        <f t="shared" si="36"/>
        <v>44559</v>
      </c>
      <c r="AC84" s="1379">
        <f t="shared" si="36"/>
        <v>44924</v>
      </c>
      <c r="AD84" s="1379">
        <f t="shared" si="36"/>
        <v>45289</v>
      </c>
      <c r="AE84" s="1379">
        <f t="shared" si="36"/>
        <v>45655</v>
      </c>
      <c r="AF84" s="1379">
        <f t="shared" si="36"/>
        <v>46020</v>
      </c>
      <c r="AG84" s="1379">
        <f t="shared" si="36"/>
        <v>46385</v>
      </c>
      <c r="AH84" s="1379">
        <f t="shared" si="36"/>
        <v>46750</v>
      </c>
      <c r="AI84" s="1379">
        <f t="shared" si="36"/>
        <v>47116</v>
      </c>
      <c r="AJ84" s="1380">
        <f t="shared" si="36"/>
        <v>47481</v>
      </c>
      <c r="AK84" s="268"/>
      <c r="AL84" s="166"/>
      <c r="AM84" s="167"/>
      <c r="AN84" s="167"/>
      <c r="AO84" s="167"/>
      <c r="AP84" s="167"/>
    </row>
    <row r="85" spans="1:42">
      <c r="A85" s="26"/>
      <c r="B85" s="1369" t="s">
        <v>367</v>
      </c>
      <c r="C85" s="1367"/>
      <c r="D85" s="1367"/>
      <c r="E85" s="1367">
        <f t="shared" ref="E85:AI85" si="37">IF(E74&gt;0.1,1,0)</f>
        <v>0</v>
      </c>
      <c r="F85" s="1367">
        <f t="shared" si="37"/>
        <v>0</v>
      </c>
      <c r="G85" s="1367">
        <f t="shared" si="37"/>
        <v>0</v>
      </c>
      <c r="H85" s="1367">
        <f t="shared" si="37"/>
        <v>0</v>
      </c>
      <c r="I85" s="1367">
        <f t="shared" si="37"/>
        <v>0</v>
      </c>
      <c r="J85" s="1367">
        <f t="shared" si="37"/>
        <v>0</v>
      </c>
      <c r="K85" s="1367">
        <f t="shared" si="37"/>
        <v>0</v>
      </c>
      <c r="L85" s="1367">
        <f t="shared" si="37"/>
        <v>0</v>
      </c>
      <c r="M85" s="1367">
        <f t="shared" si="37"/>
        <v>0</v>
      </c>
      <c r="N85" s="1367">
        <f t="shared" si="37"/>
        <v>0</v>
      </c>
      <c r="O85" s="1367">
        <f t="shared" si="37"/>
        <v>0</v>
      </c>
      <c r="P85" s="1367">
        <f t="shared" si="37"/>
        <v>0</v>
      </c>
      <c r="Q85" s="1367">
        <f t="shared" si="37"/>
        <v>0</v>
      </c>
      <c r="R85" s="1367">
        <f t="shared" si="37"/>
        <v>0</v>
      </c>
      <c r="S85" s="1367">
        <f t="shared" si="37"/>
        <v>0</v>
      </c>
      <c r="T85" s="1367">
        <f t="shared" si="37"/>
        <v>0</v>
      </c>
      <c r="U85" s="1367">
        <f t="shared" si="37"/>
        <v>0</v>
      </c>
      <c r="V85" s="1367">
        <f t="shared" si="37"/>
        <v>0</v>
      </c>
      <c r="W85" s="1367">
        <f t="shared" si="37"/>
        <v>0</v>
      </c>
      <c r="X85" s="1367">
        <f t="shared" si="37"/>
        <v>0</v>
      </c>
      <c r="Y85" s="1367">
        <f t="shared" si="37"/>
        <v>0</v>
      </c>
      <c r="Z85" s="1367">
        <f t="shared" si="37"/>
        <v>0</v>
      </c>
      <c r="AA85" s="1367">
        <f t="shared" si="37"/>
        <v>0</v>
      </c>
      <c r="AB85" s="1367">
        <f t="shared" si="37"/>
        <v>0</v>
      </c>
      <c r="AC85" s="1367">
        <f t="shared" si="37"/>
        <v>0</v>
      </c>
      <c r="AD85" s="1367">
        <f t="shared" si="37"/>
        <v>0</v>
      </c>
      <c r="AE85" s="1367">
        <f t="shared" si="37"/>
        <v>0</v>
      </c>
      <c r="AF85" s="1367">
        <f t="shared" si="37"/>
        <v>0</v>
      </c>
      <c r="AG85" s="1367">
        <f t="shared" si="37"/>
        <v>0</v>
      </c>
      <c r="AH85" s="1367">
        <f t="shared" si="37"/>
        <v>0</v>
      </c>
      <c r="AI85" s="1367">
        <f t="shared" si="37"/>
        <v>0</v>
      </c>
      <c r="AJ85" s="1370"/>
      <c r="AK85" s="1361"/>
      <c r="AL85" s="32"/>
      <c r="AM85" s="32"/>
      <c r="AN85" s="32"/>
      <c r="AO85" s="32"/>
      <c r="AP85" s="32"/>
    </row>
    <row r="86" spans="1:42">
      <c r="A86" s="26"/>
      <c r="B86" s="1369" t="s">
        <v>368</v>
      </c>
      <c r="C86" s="1367"/>
      <c r="D86" s="1367"/>
      <c r="E86" s="1367">
        <f t="shared" ref="E86:AI86" si="38">IF(E80&gt;0.1,1,0)</f>
        <v>0</v>
      </c>
      <c r="F86" s="1367">
        <f t="shared" si="38"/>
        <v>0</v>
      </c>
      <c r="G86" s="1367">
        <f t="shared" si="38"/>
        <v>0</v>
      </c>
      <c r="H86" s="1367">
        <f t="shared" si="38"/>
        <v>0</v>
      </c>
      <c r="I86" s="1367">
        <f t="shared" si="38"/>
        <v>0</v>
      </c>
      <c r="J86" s="1367">
        <f t="shared" si="38"/>
        <v>0</v>
      </c>
      <c r="K86" s="1367">
        <f t="shared" si="38"/>
        <v>0</v>
      </c>
      <c r="L86" s="1367">
        <f t="shared" si="38"/>
        <v>0</v>
      </c>
      <c r="M86" s="1367">
        <f t="shared" si="38"/>
        <v>0</v>
      </c>
      <c r="N86" s="1367">
        <f t="shared" si="38"/>
        <v>0</v>
      </c>
      <c r="O86" s="1367">
        <f t="shared" si="38"/>
        <v>0</v>
      </c>
      <c r="P86" s="1367">
        <f t="shared" si="38"/>
        <v>0</v>
      </c>
      <c r="Q86" s="1367">
        <f t="shared" si="38"/>
        <v>0</v>
      </c>
      <c r="R86" s="1367">
        <f t="shared" si="38"/>
        <v>0</v>
      </c>
      <c r="S86" s="1367">
        <f t="shared" si="38"/>
        <v>0</v>
      </c>
      <c r="T86" s="1367">
        <f t="shared" si="38"/>
        <v>0</v>
      </c>
      <c r="U86" s="1367">
        <f t="shared" si="38"/>
        <v>0</v>
      </c>
      <c r="V86" s="1367">
        <f t="shared" si="38"/>
        <v>0</v>
      </c>
      <c r="W86" s="1367">
        <f t="shared" si="38"/>
        <v>0</v>
      </c>
      <c r="X86" s="1367">
        <f t="shared" si="38"/>
        <v>0</v>
      </c>
      <c r="Y86" s="1367">
        <f t="shared" si="38"/>
        <v>0</v>
      </c>
      <c r="Z86" s="1367">
        <f t="shared" si="38"/>
        <v>0</v>
      </c>
      <c r="AA86" s="1367">
        <f t="shared" si="38"/>
        <v>0</v>
      </c>
      <c r="AB86" s="1367">
        <f t="shared" si="38"/>
        <v>0</v>
      </c>
      <c r="AC86" s="1367">
        <f t="shared" si="38"/>
        <v>0</v>
      </c>
      <c r="AD86" s="1367">
        <f t="shared" si="38"/>
        <v>0</v>
      </c>
      <c r="AE86" s="1367">
        <f t="shared" si="38"/>
        <v>0</v>
      </c>
      <c r="AF86" s="1367">
        <f t="shared" si="38"/>
        <v>0</v>
      </c>
      <c r="AG86" s="1367">
        <f t="shared" si="38"/>
        <v>0</v>
      </c>
      <c r="AH86" s="1367">
        <f t="shared" si="38"/>
        <v>0</v>
      </c>
      <c r="AI86" s="1367">
        <f t="shared" si="38"/>
        <v>0</v>
      </c>
      <c r="AJ86" s="1370"/>
      <c r="AK86" s="1361"/>
      <c r="AL86" s="32"/>
      <c r="AM86" s="32"/>
      <c r="AN86" s="32"/>
      <c r="AO86" s="32"/>
      <c r="AP86" s="32"/>
    </row>
    <row r="87" spans="1:42" ht="13.5" thickBot="1">
      <c r="A87" s="26"/>
      <c r="B87" s="1369" t="s">
        <v>369</v>
      </c>
      <c r="C87" s="1367"/>
      <c r="D87" s="1367"/>
      <c r="E87" s="1629" t="e">
        <f>SUM(E80:AI80)/E80</f>
        <v>#DIV/0!</v>
      </c>
      <c r="F87" s="1367"/>
      <c r="G87" s="1371"/>
      <c r="H87" s="1367"/>
      <c r="I87" s="1367"/>
      <c r="J87" s="1367"/>
      <c r="K87" s="1367"/>
      <c r="L87" s="1367"/>
      <c r="M87" s="1367"/>
      <c r="N87" s="1367"/>
      <c r="O87" s="1367"/>
      <c r="P87" s="1367"/>
      <c r="Q87" s="1367"/>
      <c r="R87" s="1367"/>
      <c r="S87" s="1367"/>
      <c r="T87" s="1367"/>
      <c r="U87" s="1367"/>
      <c r="V87" s="1367"/>
      <c r="W87" s="1367"/>
      <c r="X87" s="1367"/>
      <c r="Y87" s="1367"/>
      <c r="Z87" s="1367"/>
      <c r="AA87" s="1367"/>
      <c r="AB87" s="1367"/>
      <c r="AC87" s="1367"/>
      <c r="AD87" s="1367"/>
      <c r="AE87" s="1367"/>
      <c r="AF87" s="1367"/>
      <c r="AG87" s="1367"/>
      <c r="AH87" s="1367"/>
      <c r="AI87" s="1367"/>
      <c r="AJ87" s="1370"/>
      <c r="AK87" s="1361"/>
      <c r="AL87" s="32"/>
      <c r="AM87" s="32"/>
      <c r="AN87" s="32"/>
      <c r="AO87" s="32"/>
      <c r="AP87" s="32"/>
    </row>
    <row r="88" spans="1:42" s="65" customFormat="1" ht="13.5" thickBot="1">
      <c r="A88" s="26"/>
      <c r="B88" s="1432" t="s">
        <v>754</v>
      </c>
      <c r="C88" s="1389"/>
      <c r="D88" s="1389"/>
      <c r="E88" s="1390"/>
      <c r="F88" s="1390"/>
      <c r="G88" s="1390"/>
      <c r="H88" s="1390"/>
      <c r="I88" s="1390"/>
      <c r="J88" s="1390"/>
      <c r="K88" s="1390"/>
      <c r="L88" s="1390"/>
      <c r="M88" s="1390"/>
      <c r="N88" s="1390"/>
      <c r="O88" s="1390"/>
      <c r="P88" s="1390"/>
      <c r="Q88" s="1390"/>
      <c r="R88" s="1390"/>
      <c r="S88" s="1390"/>
      <c r="T88" s="1390"/>
      <c r="U88" s="1390"/>
      <c r="V88" s="1390"/>
      <c r="W88" s="1390"/>
      <c r="X88" s="1390"/>
      <c r="Y88" s="1390"/>
      <c r="Z88" s="1390"/>
      <c r="AA88" s="1390"/>
      <c r="AB88" s="1390"/>
      <c r="AC88" s="1390"/>
      <c r="AD88" s="1390"/>
      <c r="AE88" s="1390"/>
      <c r="AF88" s="1390"/>
      <c r="AG88" s="1390"/>
      <c r="AH88" s="1390"/>
      <c r="AI88" s="1390"/>
      <c r="AJ88" s="1391"/>
      <c r="AK88" s="268"/>
      <c r="AL88" s="166"/>
      <c r="AM88" s="167"/>
      <c r="AN88" s="167"/>
      <c r="AO88" s="167"/>
      <c r="AP88" s="167"/>
    </row>
    <row r="89" spans="1:42" s="65" customFormat="1">
      <c r="A89" s="26"/>
      <c r="B89" s="1372" t="s">
        <v>364</v>
      </c>
      <c r="C89" s="1367">
        <f>SUM(E89:AI89)</f>
        <v>0</v>
      </c>
      <c r="D89" s="1373"/>
      <c r="E89" s="1373">
        <f>E75+E81</f>
        <v>0</v>
      </c>
      <c r="F89" s="1373">
        <f t="shared" ref="F89:AI89" si="39">F75+F81</f>
        <v>0</v>
      </c>
      <c r="G89" s="1373">
        <f t="shared" si="39"/>
        <v>0</v>
      </c>
      <c r="H89" s="1373">
        <f t="shared" si="39"/>
        <v>0</v>
      </c>
      <c r="I89" s="1373">
        <f t="shared" si="39"/>
        <v>0</v>
      </c>
      <c r="J89" s="1373">
        <f t="shared" si="39"/>
        <v>0</v>
      </c>
      <c r="K89" s="1373">
        <f t="shared" si="39"/>
        <v>0</v>
      </c>
      <c r="L89" s="1373">
        <f t="shared" si="39"/>
        <v>0</v>
      </c>
      <c r="M89" s="1373">
        <f t="shared" si="39"/>
        <v>0</v>
      </c>
      <c r="N89" s="1373">
        <f t="shared" si="39"/>
        <v>0</v>
      </c>
      <c r="O89" s="1373">
        <f t="shared" si="39"/>
        <v>0</v>
      </c>
      <c r="P89" s="1373">
        <f t="shared" si="39"/>
        <v>0</v>
      </c>
      <c r="Q89" s="1373">
        <f t="shared" si="39"/>
        <v>0</v>
      </c>
      <c r="R89" s="1373">
        <f t="shared" si="39"/>
        <v>0</v>
      </c>
      <c r="S89" s="1373">
        <f t="shared" si="39"/>
        <v>0</v>
      </c>
      <c r="T89" s="1373">
        <f t="shared" si="39"/>
        <v>0</v>
      </c>
      <c r="U89" s="1373">
        <f t="shared" si="39"/>
        <v>0</v>
      </c>
      <c r="V89" s="1373">
        <f t="shared" si="39"/>
        <v>0</v>
      </c>
      <c r="W89" s="1373">
        <f t="shared" si="39"/>
        <v>0</v>
      </c>
      <c r="X89" s="1373">
        <f t="shared" si="39"/>
        <v>0</v>
      </c>
      <c r="Y89" s="1373">
        <f t="shared" si="39"/>
        <v>0</v>
      </c>
      <c r="Z89" s="1373">
        <f t="shared" si="39"/>
        <v>0</v>
      </c>
      <c r="AA89" s="1373">
        <f t="shared" si="39"/>
        <v>0</v>
      </c>
      <c r="AB89" s="1373">
        <f t="shared" si="39"/>
        <v>0</v>
      </c>
      <c r="AC89" s="1373">
        <f t="shared" si="39"/>
        <v>0</v>
      </c>
      <c r="AD89" s="1373">
        <f t="shared" si="39"/>
        <v>0</v>
      </c>
      <c r="AE89" s="1373">
        <f t="shared" si="39"/>
        <v>0</v>
      </c>
      <c r="AF89" s="1373">
        <f t="shared" si="39"/>
        <v>0</v>
      </c>
      <c r="AG89" s="1373">
        <f t="shared" si="39"/>
        <v>0</v>
      </c>
      <c r="AH89" s="1373">
        <f t="shared" si="39"/>
        <v>0</v>
      </c>
      <c r="AI89" s="1373">
        <f t="shared" si="39"/>
        <v>0</v>
      </c>
      <c r="AJ89" s="1374"/>
      <c r="AK89" s="268"/>
      <c r="AL89" s="166"/>
      <c r="AM89" s="167"/>
      <c r="AN89" s="167"/>
      <c r="AO89" s="167"/>
      <c r="AP89" s="167"/>
    </row>
    <row r="90" spans="1:42" ht="13.5" thickBot="1">
      <c r="A90" s="26"/>
      <c r="B90" s="1427" t="s">
        <v>365</v>
      </c>
      <c r="C90" s="1428">
        <f>SUM(E90:AI90)</f>
        <v>0</v>
      </c>
      <c r="D90" s="939"/>
      <c r="E90" s="1428">
        <f>E76+E82</f>
        <v>0</v>
      </c>
      <c r="F90" s="1428">
        <f t="shared" ref="F90:AI90" si="40">F76+F82</f>
        <v>0</v>
      </c>
      <c r="G90" s="1428">
        <f t="shared" si="40"/>
        <v>0</v>
      </c>
      <c r="H90" s="1428">
        <f t="shared" si="40"/>
        <v>0</v>
      </c>
      <c r="I90" s="1428">
        <f t="shared" si="40"/>
        <v>0</v>
      </c>
      <c r="J90" s="1428">
        <f t="shared" si="40"/>
        <v>0</v>
      </c>
      <c r="K90" s="1428">
        <f t="shared" si="40"/>
        <v>0</v>
      </c>
      <c r="L90" s="1428">
        <f t="shared" si="40"/>
        <v>0</v>
      </c>
      <c r="M90" s="1428">
        <f t="shared" si="40"/>
        <v>0</v>
      </c>
      <c r="N90" s="1428">
        <f t="shared" si="40"/>
        <v>0</v>
      </c>
      <c r="O90" s="1428">
        <f t="shared" si="40"/>
        <v>0</v>
      </c>
      <c r="P90" s="1428">
        <f t="shared" si="40"/>
        <v>0</v>
      </c>
      <c r="Q90" s="1428">
        <f t="shared" si="40"/>
        <v>0</v>
      </c>
      <c r="R90" s="1428">
        <f t="shared" si="40"/>
        <v>0</v>
      </c>
      <c r="S90" s="1428">
        <f t="shared" si="40"/>
        <v>0</v>
      </c>
      <c r="T90" s="1428">
        <f t="shared" si="40"/>
        <v>0</v>
      </c>
      <c r="U90" s="1428">
        <f t="shared" si="40"/>
        <v>0</v>
      </c>
      <c r="V90" s="1428">
        <f t="shared" si="40"/>
        <v>0</v>
      </c>
      <c r="W90" s="1428">
        <f t="shared" si="40"/>
        <v>0</v>
      </c>
      <c r="X90" s="1428">
        <f t="shared" si="40"/>
        <v>0</v>
      </c>
      <c r="Y90" s="1428">
        <f t="shared" si="40"/>
        <v>0</v>
      </c>
      <c r="Z90" s="1428">
        <f t="shared" si="40"/>
        <v>0</v>
      </c>
      <c r="AA90" s="1428">
        <f t="shared" si="40"/>
        <v>0</v>
      </c>
      <c r="AB90" s="1428">
        <f t="shared" si="40"/>
        <v>0</v>
      </c>
      <c r="AC90" s="1428">
        <f t="shared" si="40"/>
        <v>0</v>
      </c>
      <c r="AD90" s="1428">
        <f t="shared" si="40"/>
        <v>0</v>
      </c>
      <c r="AE90" s="1428">
        <f t="shared" si="40"/>
        <v>0</v>
      </c>
      <c r="AF90" s="1428">
        <f t="shared" si="40"/>
        <v>0</v>
      </c>
      <c r="AG90" s="1428">
        <f t="shared" si="40"/>
        <v>0</v>
      </c>
      <c r="AH90" s="1428">
        <f t="shared" si="40"/>
        <v>0</v>
      </c>
      <c r="AI90" s="1428">
        <f t="shared" si="40"/>
        <v>0</v>
      </c>
      <c r="AJ90" s="1429"/>
      <c r="AK90" s="259"/>
      <c r="AL90" s="24"/>
      <c r="AM90" s="23"/>
      <c r="AN90" s="23"/>
      <c r="AO90" s="23"/>
      <c r="AP90" s="23"/>
    </row>
    <row r="91" spans="1:42" ht="13.5" thickBot="1">
      <c r="A91" s="26"/>
      <c r="B91" s="1375" t="s">
        <v>366</v>
      </c>
      <c r="C91" s="1052"/>
      <c r="D91" s="1051"/>
      <c r="E91" s="1052">
        <f t="shared" ref="E91:AI91" si="41">SUM(E89:E90)</f>
        <v>0</v>
      </c>
      <c r="F91" s="1052">
        <f t="shared" si="41"/>
        <v>0</v>
      </c>
      <c r="G91" s="1052">
        <f t="shared" si="41"/>
        <v>0</v>
      </c>
      <c r="H91" s="1052">
        <f t="shared" si="41"/>
        <v>0</v>
      </c>
      <c r="I91" s="1052">
        <f t="shared" si="41"/>
        <v>0</v>
      </c>
      <c r="J91" s="1052">
        <f t="shared" si="41"/>
        <v>0</v>
      </c>
      <c r="K91" s="1052">
        <f t="shared" si="41"/>
        <v>0</v>
      </c>
      <c r="L91" s="1052">
        <f t="shared" si="41"/>
        <v>0</v>
      </c>
      <c r="M91" s="1052">
        <f t="shared" si="41"/>
        <v>0</v>
      </c>
      <c r="N91" s="1052">
        <f t="shared" si="41"/>
        <v>0</v>
      </c>
      <c r="O91" s="1052">
        <f t="shared" si="41"/>
        <v>0</v>
      </c>
      <c r="P91" s="1052">
        <f t="shared" si="41"/>
        <v>0</v>
      </c>
      <c r="Q91" s="1052">
        <f t="shared" si="41"/>
        <v>0</v>
      </c>
      <c r="R91" s="1052">
        <f t="shared" si="41"/>
        <v>0</v>
      </c>
      <c r="S91" s="1052">
        <f t="shared" si="41"/>
        <v>0</v>
      </c>
      <c r="T91" s="1052">
        <f t="shared" si="41"/>
        <v>0</v>
      </c>
      <c r="U91" s="1052">
        <f t="shared" si="41"/>
        <v>0</v>
      </c>
      <c r="V91" s="1052">
        <f t="shared" si="41"/>
        <v>0</v>
      </c>
      <c r="W91" s="1052">
        <f t="shared" si="41"/>
        <v>0</v>
      </c>
      <c r="X91" s="1052">
        <f t="shared" si="41"/>
        <v>0</v>
      </c>
      <c r="Y91" s="1052">
        <f t="shared" si="41"/>
        <v>0</v>
      </c>
      <c r="Z91" s="1052">
        <f t="shared" si="41"/>
        <v>0</v>
      </c>
      <c r="AA91" s="1052">
        <f t="shared" si="41"/>
        <v>0</v>
      </c>
      <c r="AB91" s="1052">
        <f t="shared" si="41"/>
        <v>0</v>
      </c>
      <c r="AC91" s="1052">
        <f t="shared" si="41"/>
        <v>0</v>
      </c>
      <c r="AD91" s="1052">
        <f t="shared" si="41"/>
        <v>0</v>
      </c>
      <c r="AE91" s="1052">
        <f t="shared" si="41"/>
        <v>0</v>
      </c>
      <c r="AF91" s="1052">
        <f t="shared" si="41"/>
        <v>0</v>
      </c>
      <c r="AG91" s="1052">
        <f t="shared" si="41"/>
        <v>0</v>
      </c>
      <c r="AH91" s="1052">
        <f t="shared" si="41"/>
        <v>0</v>
      </c>
      <c r="AI91" s="1052">
        <f t="shared" si="41"/>
        <v>0</v>
      </c>
      <c r="AJ91" s="1376"/>
      <c r="AK91" s="263"/>
      <c r="AL91" s="27"/>
      <c r="AM91" s="27"/>
      <c r="AN91" s="27"/>
      <c r="AO91" s="27"/>
      <c r="AP91" s="27"/>
    </row>
    <row r="92" spans="1:42" s="65" customFormat="1">
      <c r="A92" s="1426"/>
      <c r="B92" s="1236"/>
      <c r="C92" s="1236"/>
      <c r="D92" s="1236"/>
      <c r="E92" s="1235"/>
      <c r="F92" s="1235"/>
      <c r="G92" s="1235"/>
      <c r="H92" s="1235"/>
      <c r="I92" s="1235"/>
      <c r="J92" s="1235"/>
      <c r="K92" s="1235"/>
      <c r="L92" s="1235"/>
      <c r="M92" s="1235"/>
      <c r="N92" s="1235"/>
      <c r="O92" s="1235"/>
      <c r="P92" s="1235"/>
      <c r="Q92" s="1235"/>
      <c r="R92" s="1235"/>
      <c r="S92" s="1235"/>
      <c r="T92" s="1235"/>
      <c r="U92" s="1235"/>
      <c r="V92" s="1235"/>
      <c r="W92" s="1235"/>
      <c r="X92" s="1235"/>
      <c r="Y92" s="1235"/>
      <c r="Z92" s="1235"/>
      <c r="AA92" s="1235"/>
      <c r="AB92" s="1235"/>
      <c r="AC92" s="1235"/>
      <c r="AD92" s="1235"/>
      <c r="AE92" s="1235"/>
      <c r="AF92" s="1235"/>
      <c r="AG92" s="1235"/>
      <c r="AH92" s="1235"/>
      <c r="AI92" s="1235"/>
      <c r="AJ92" s="1235"/>
      <c r="AK92" s="268"/>
      <c r="AL92" s="166"/>
      <c r="AM92" s="167"/>
      <c r="AN92" s="167"/>
      <c r="AO92" s="167"/>
      <c r="AP92" s="167"/>
    </row>
    <row r="93" spans="1:42" s="65" customFormat="1">
      <c r="A93" s="1426"/>
      <c r="B93" s="32" t="s">
        <v>774</v>
      </c>
      <c r="C93" s="1236"/>
      <c r="D93" s="1232">
        <f>1-E93</f>
        <v>0</v>
      </c>
      <c r="E93" s="1232">
        <f>IF(E73=0,0,IF(YEAR(E78)=YEAR(E114),1,ROUND(((E114-E72)/E73),2)))</f>
        <v>1</v>
      </c>
      <c r="F93" s="1235"/>
      <c r="G93" s="1235"/>
      <c r="H93" s="1235"/>
      <c r="I93" s="1235"/>
      <c r="J93" s="1235"/>
      <c r="K93" s="1235"/>
      <c r="L93" s="1235"/>
      <c r="M93" s="1235"/>
      <c r="N93" s="1235"/>
      <c r="O93" s="1235"/>
      <c r="P93" s="1235"/>
      <c r="Q93" s="1235"/>
      <c r="R93" s="1235"/>
      <c r="S93" s="1235"/>
      <c r="T93" s="1235"/>
      <c r="U93" s="1235"/>
      <c r="V93" s="1235"/>
      <c r="W93" s="1235"/>
      <c r="X93" s="1235"/>
      <c r="Y93" s="1235"/>
      <c r="Z93" s="1235"/>
      <c r="AA93" s="1235"/>
      <c r="AB93" s="1235"/>
      <c r="AC93" s="1235"/>
      <c r="AD93" s="1235"/>
      <c r="AE93" s="1235"/>
      <c r="AF93" s="1235"/>
      <c r="AG93" s="1235"/>
      <c r="AH93" s="1235"/>
      <c r="AI93" s="1235"/>
      <c r="AJ93" s="1235"/>
      <c r="AK93" s="268"/>
      <c r="AL93" s="166"/>
      <c r="AM93" s="167"/>
      <c r="AN93" s="167"/>
      <c r="AO93" s="167"/>
      <c r="AP93" s="167"/>
    </row>
    <row r="94" spans="1:42" s="65" customFormat="1">
      <c r="A94" s="1426"/>
      <c r="B94" s="1236"/>
      <c r="C94" s="1236"/>
      <c r="D94" s="1232">
        <f>1-E94</f>
        <v>0</v>
      </c>
      <c r="E94" s="1232">
        <f>IF(Assum!$E$248=1,(1-(ABS(SrDebt!E114-SrDebt!E84)/SrDebt!E79)),IF(YEAR(E84)=YEAR(E114),1,IF(F114-F78&lt;0,0,ROUND(((E114-E78)/E79),2))))</f>
        <v>1</v>
      </c>
      <c r="F94" s="1235"/>
      <c r="G94" s="1235"/>
      <c r="H94" s="1235"/>
      <c r="I94" s="1235"/>
      <c r="J94" s="1235"/>
      <c r="K94" s="1235"/>
      <c r="L94" s="1235"/>
      <c r="M94" s="1235"/>
      <c r="N94" s="1235"/>
      <c r="O94" s="1235"/>
      <c r="P94" s="1235"/>
      <c r="Q94" s="1235"/>
      <c r="R94" s="1235"/>
      <c r="S94" s="1235"/>
      <c r="T94" s="1235"/>
      <c r="U94" s="1235"/>
      <c r="V94" s="1235"/>
      <c r="W94" s="1235"/>
      <c r="X94" s="1235"/>
      <c r="Y94" s="1235"/>
      <c r="Z94" s="1235"/>
      <c r="AA94" s="1235"/>
      <c r="AB94" s="1235"/>
      <c r="AC94" s="1235"/>
      <c r="AD94" s="1235"/>
      <c r="AE94" s="1235"/>
      <c r="AF94" s="1235"/>
      <c r="AG94" s="1235"/>
      <c r="AH94" s="1235"/>
      <c r="AI94" s="1235"/>
      <c r="AJ94" s="1235"/>
      <c r="AK94" s="268"/>
      <c r="AL94" s="166"/>
      <c r="AM94" s="167"/>
      <c r="AN94" s="167"/>
      <c r="AO94" s="167"/>
      <c r="AP94" s="167"/>
    </row>
    <row r="95" spans="1:42" s="65" customFormat="1" ht="13.5" thickBot="1">
      <c r="A95" s="1426"/>
      <c r="B95" s="1236"/>
      <c r="C95" s="1236"/>
      <c r="D95" s="1236"/>
      <c r="E95" s="1235"/>
      <c r="F95" s="1235"/>
      <c r="G95" s="1235"/>
      <c r="H95" s="1235"/>
      <c r="I95" s="1235"/>
      <c r="J95" s="1235"/>
      <c r="K95" s="1235"/>
      <c r="L95" s="1235"/>
      <c r="M95" s="1235"/>
      <c r="N95" s="1235"/>
      <c r="O95" s="1235"/>
      <c r="P95" s="1235"/>
      <c r="Q95" s="1235"/>
      <c r="R95" s="1235"/>
      <c r="S95" s="1235"/>
      <c r="T95" s="1235"/>
      <c r="U95" s="1235"/>
      <c r="V95" s="1235"/>
      <c r="W95" s="1235"/>
      <c r="X95" s="1235"/>
      <c r="Y95" s="1235"/>
      <c r="Z95" s="1235"/>
      <c r="AA95" s="1235"/>
      <c r="AB95" s="1235"/>
      <c r="AC95" s="1235"/>
      <c r="AD95" s="1235"/>
      <c r="AE95" s="1235"/>
      <c r="AF95" s="1235"/>
      <c r="AG95" s="1235"/>
      <c r="AH95" s="1235"/>
      <c r="AI95" s="1235"/>
      <c r="AJ95" s="1235"/>
      <c r="AK95" s="268"/>
      <c r="AL95" s="166"/>
      <c r="AM95" s="167"/>
      <c r="AN95" s="167"/>
      <c r="AO95" s="167"/>
      <c r="AP95" s="167"/>
    </row>
    <row r="96" spans="1:42" s="65" customFormat="1" ht="13.5" thickBot="1">
      <c r="A96" s="26"/>
      <c r="B96" s="1237" t="s">
        <v>753</v>
      </c>
      <c r="C96" s="449"/>
      <c r="D96" s="449"/>
      <c r="E96" s="1238"/>
      <c r="F96" s="1238"/>
      <c r="G96" s="1238"/>
      <c r="H96" s="1238"/>
      <c r="I96" s="1238"/>
      <c r="J96" s="1238"/>
      <c r="K96" s="1238"/>
      <c r="L96" s="1238"/>
      <c r="M96" s="1238"/>
      <c r="N96" s="1238"/>
      <c r="O96" s="1238"/>
      <c r="P96" s="1238"/>
      <c r="Q96" s="1238"/>
      <c r="R96" s="1238"/>
      <c r="S96" s="1238"/>
      <c r="T96" s="1238"/>
      <c r="U96" s="1238"/>
      <c r="V96" s="1238"/>
      <c r="W96" s="1238"/>
      <c r="X96" s="1238"/>
      <c r="Y96" s="1238"/>
      <c r="Z96" s="1238"/>
      <c r="AA96" s="1238"/>
      <c r="AB96" s="1238"/>
      <c r="AC96" s="1238"/>
      <c r="AD96" s="1238"/>
      <c r="AE96" s="1238"/>
      <c r="AF96" s="1238"/>
      <c r="AG96" s="1238"/>
      <c r="AH96" s="1238"/>
      <c r="AI96" s="1238"/>
      <c r="AJ96" s="1239"/>
      <c r="AK96" s="268"/>
      <c r="AL96" s="166"/>
      <c r="AM96" s="167"/>
      <c r="AN96" s="167"/>
      <c r="AO96" s="167"/>
      <c r="AP96" s="167"/>
    </row>
    <row r="97" spans="1:42" s="65" customFormat="1">
      <c r="A97" s="165"/>
      <c r="B97" s="971" t="s">
        <v>361</v>
      </c>
      <c r="C97" s="1236"/>
      <c r="D97" s="1236"/>
      <c r="E97" s="627">
        <f t="shared" ref="E97:AJ97" si="42">E29+E74</f>
        <v>40271.353865997233</v>
      </c>
      <c r="F97" s="627">
        <f t="shared" si="42"/>
        <v>38187.742050771587</v>
      </c>
      <c r="G97" s="627">
        <f t="shared" si="42"/>
        <v>37243.782330937946</v>
      </c>
      <c r="H97" s="627">
        <f t="shared" si="42"/>
        <v>36174.744908188542</v>
      </c>
      <c r="I97" s="627">
        <f t="shared" si="42"/>
        <v>35005.094106009376</v>
      </c>
      <c r="J97" s="627">
        <f t="shared" si="42"/>
        <v>33728.875518620756</v>
      </c>
      <c r="K97" s="627">
        <f t="shared" si="42"/>
        <v>32107.624406659925</v>
      </c>
      <c r="L97" s="627">
        <f t="shared" si="42"/>
        <v>30635.916196230162</v>
      </c>
      <c r="M97" s="627">
        <f t="shared" si="42"/>
        <v>29001.733403821036</v>
      </c>
      <c r="N97" s="627">
        <f t="shared" si="42"/>
        <v>27197.75464172319</v>
      </c>
      <c r="O97" s="627">
        <f t="shared" si="42"/>
        <v>25152.160948798719</v>
      </c>
      <c r="P97" s="627">
        <f t="shared" si="42"/>
        <v>22838.790497899885</v>
      </c>
      <c r="Q97" s="627">
        <f t="shared" si="42"/>
        <v>20210.730892961015</v>
      </c>
      <c r="R97" s="627">
        <f t="shared" si="42"/>
        <v>17246.813505531605</v>
      </c>
      <c r="S97" s="627">
        <f t="shared" si="42"/>
        <v>14071.163516601826</v>
      </c>
      <c r="T97" s="627">
        <f t="shared" si="42"/>
        <v>10675.331525783458</v>
      </c>
      <c r="U97" s="627">
        <f t="shared" si="42"/>
        <v>7107.1689343175194</v>
      </c>
      <c r="V97" s="627">
        <f t="shared" si="42"/>
        <v>3245.2653228399968</v>
      </c>
      <c r="W97" s="627">
        <f t="shared" si="42"/>
        <v>0</v>
      </c>
      <c r="X97" s="627">
        <f t="shared" si="42"/>
        <v>0</v>
      </c>
      <c r="Y97" s="627">
        <f t="shared" si="42"/>
        <v>0</v>
      </c>
      <c r="Z97" s="627">
        <f t="shared" si="42"/>
        <v>0</v>
      </c>
      <c r="AA97" s="627">
        <f t="shared" si="42"/>
        <v>0</v>
      </c>
      <c r="AB97" s="627">
        <f t="shared" si="42"/>
        <v>0</v>
      </c>
      <c r="AC97" s="627">
        <f t="shared" si="42"/>
        <v>0</v>
      </c>
      <c r="AD97" s="627">
        <f t="shared" si="42"/>
        <v>0</v>
      </c>
      <c r="AE97" s="627">
        <f t="shared" si="42"/>
        <v>0</v>
      </c>
      <c r="AF97" s="627">
        <f t="shared" si="42"/>
        <v>0</v>
      </c>
      <c r="AG97" s="627">
        <f t="shared" si="42"/>
        <v>0</v>
      </c>
      <c r="AH97" s="627">
        <f t="shared" si="42"/>
        <v>0</v>
      </c>
      <c r="AI97" s="627">
        <f t="shared" si="42"/>
        <v>0</v>
      </c>
      <c r="AJ97" s="1437">
        <f t="shared" si="42"/>
        <v>0</v>
      </c>
      <c r="AK97" s="268"/>
      <c r="AL97" s="166"/>
      <c r="AM97" s="167"/>
      <c r="AN97" s="167"/>
      <c r="AO97" s="167"/>
      <c r="AP97" s="167"/>
    </row>
    <row r="98" spans="1:42" s="65" customFormat="1">
      <c r="A98" s="26"/>
      <c r="B98" s="269" t="s">
        <v>364</v>
      </c>
      <c r="C98" s="259">
        <f>SUM(E98:AI98)</f>
        <v>41612.965660908361</v>
      </c>
      <c r="D98" s="268"/>
      <c r="E98" s="268">
        <f t="shared" ref="E98:AI98" si="43">E44+E89</f>
        <v>3647.4391780684955</v>
      </c>
      <c r="F98" s="268">
        <f t="shared" si="43"/>
        <v>3501.7919323124306</v>
      </c>
      <c r="G98" s="268">
        <f t="shared" si="43"/>
        <v>3421.5036127609756</v>
      </c>
      <c r="H98" s="268">
        <f t="shared" si="43"/>
        <v>3310.9744499185717</v>
      </c>
      <c r="I98" s="268">
        <f t="shared" si="43"/>
        <v>3200.6554985769753</v>
      </c>
      <c r="J98" s="268">
        <f t="shared" si="43"/>
        <v>3075.1139920557252</v>
      </c>
      <c r="K98" s="268">
        <f t="shared" si="43"/>
        <v>2937.2205048026381</v>
      </c>
      <c r="L98" s="268">
        <f t="shared" si="43"/>
        <v>2789.4708736427183</v>
      </c>
      <c r="M98" s="268">
        <f t="shared" si="43"/>
        <v>2634.8656934600317</v>
      </c>
      <c r="N98" s="268">
        <f t="shared" si="43"/>
        <v>2462.9718859667623</v>
      </c>
      <c r="O98" s="268">
        <f t="shared" si="43"/>
        <v>2274.6973399833641</v>
      </c>
      <c r="P98" s="268">
        <f t="shared" si="43"/>
        <v>2047.654411103787</v>
      </c>
      <c r="Q98" s="268">
        <f t="shared" si="43"/>
        <v>1807.4866043508746</v>
      </c>
      <c r="R98" s="268">
        <f t="shared" si="43"/>
        <v>1536.0831557882163</v>
      </c>
      <c r="S98" s="268">
        <f t="shared" si="43"/>
        <v>1245.272139487553</v>
      </c>
      <c r="T98" s="268">
        <f t="shared" si="43"/>
        <v>924.13628437959096</v>
      </c>
      <c r="U98" s="268">
        <f t="shared" si="43"/>
        <v>584.06076804614349</v>
      </c>
      <c r="V98" s="268">
        <f t="shared" si="43"/>
        <v>211.56733620350326</v>
      </c>
      <c r="W98" s="268">
        <f t="shared" si="43"/>
        <v>0</v>
      </c>
      <c r="X98" s="268">
        <f t="shared" si="43"/>
        <v>0</v>
      </c>
      <c r="Y98" s="268">
        <f t="shared" si="43"/>
        <v>0</v>
      </c>
      <c r="Z98" s="268">
        <f t="shared" si="43"/>
        <v>0</v>
      </c>
      <c r="AA98" s="268">
        <f t="shared" si="43"/>
        <v>0</v>
      </c>
      <c r="AB98" s="268">
        <f t="shared" si="43"/>
        <v>0</v>
      </c>
      <c r="AC98" s="268">
        <f t="shared" si="43"/>
        <v>0</v>
      </c>
      <c r="AD98" s="268">
        <f t="shared" si="43"/>
        <v>0</v>
      </c>
      <c r="AE98" s="268">
        <f t="shared" si="43"/>
        <v>0</v>
      </c>
      <c r="AF98" s="268">
        <f t="shared" si="43"/>
        <v>0</v>
      </c>
      <c r="AG98" s="268">
        <f t="shared" si="43"/>
        <v>0</v>
      </c>
      <c r="AH98" s="268">
        <f t="shared" si="43"/>
        <v>0</v>
      </c>
      <c r="AI98" s="268">
        <f t="shared" si="43"/>
        <v>0</v>
      </c>
      <c r="AJ98" s="710"/>
      <c r="AK98" s="268"/>
      <c r="AL98" s="166"/>
      <c r="AM98" s="167"/>
      <c r="AN98" s="167"/>
      <c r="AO98" s="167"/>
      <c r="AP98" s="167"/>
    </row>
    <row r="99" spans="1:42">
      <c r="A99" s="26"/>
      <c r="B99" s="238" t="s">
        <v>365</v>
      </c>
      <c r="C99" s="259">
        <f>SUM(E99:AI99)</f>
        <v>40271.353865997226</v>
      </c>
      <c r="D99" s="316"/>
      <c r="E99" s="268">
        <f t="shared" ref="E99:AI99" si="44">E45+E90</f>
        <v>2083.6118152256513</v>
      </c>
      <c r="F99" s="268">
        <f t="shared" si="44"/>
        <v>943.95971983363711</v>
      </c>
      <c r="G99" s="268">
        <f t="shared" si="44"/>
        <v>1069.0374227494012</v>
      </c>
      <c r="H99" s="268">
        <f t="shared" si="44"/>
        <v>1169.6508021791685</v>
      </c>
      <c r="I99" s="268">
        <f t="shared" si="44"/>
        <v>1276.2185873886185</v>
      </c>
      <c r="J99" s="268">
        <f t="shared" si="44"/>
        <v>1621.2511119608309</v>
      </c>
      <c r="K99" s="268">
        <f t="shared" si="44"/>
        <v>1471.708210429764</v>
      </c>
      <c r="L99" s="268">
        <f t="shared" si="44"/>
        <v>1634.1827924091283</v>
      </c>
      <c r="M99" s="268">
        <f t="shared" si="44"/>
        <v>1803.9787620978454</v>
      </c>
      <c r="N99" s="268">
        <f t="shared" si="44"/>
        <v>2045.593692924474</v>
      </c>
      <c r="O99" s="268">
        <f t="shared" si="44"/>
        <v>2313.3704508988321</v>
      </c>
      <c r="P99" s="268">
        <f t="shared" si="44"/>
        <v>2628.0596049388673</v>
      </c>
      <c r="Q99" s="268">
        <f t="shared" si="44"/>
        <v>2963.9173874294074</v>
      </c>
      <c r="R99" s="268">
        <f t="shared" si="44"/>
        <v>3175.6499889297793</v>
      </c>
      <c r="S99" s="268">
        <f t="shared" si="44"/>
        <v>3395.831990818368</v>
      </c>
      <c r="T99" s="268">
        <f t="shared" si="44"/>
        <v>3568.1625914659394</v>
      </c>
      <c r="U99" s="268">
        <f t="shared" si="44"/>
        <v>3861.9036114775226</v>
      </c>
      <c r="V99" s="268">
        <f t="shared" si="44"/>
        <v>3245.2653228399968</v>
      </c>
      <c r="W99" s="268">
        <f t="shared" si="44"/>
        <v>0</v>
      </c>
      <c r="X99" s="268">
        <f t="shared" si="44"/>
        <v>0</v>
      </c>
      <c r="Y99" s="268">
        <f t="shared" si="44"/>
        <v>0</v>
      </c>
      <c r="Z99" s="268">
        <f t="shared" si="44"/>
        <v>0</v>
      </c>
      <c r="AA99" s="268">
        <f t="shared" si="44"/>
        <v>0</v>
      </c>
      <c r="AB99" s="268">
        <f t="shared" si="44"/>
        <v>0</v>
      </c>
      <c r="AC99" s="268">
        <f t="shared" si="44"/>
        <v>0</v>
      </c>
      <c r="AD99" s="268">
        <f t="shared" si="44"/>
        <v>0</v>
      </c>
      <c r="AE99" s="268">
        <f t="shared" si="44"/>
        <v>0</v>
      </c>
      <c r="AF99" s="268">
        <f t="shared" si="44"/>
        <v>0</v>
      </c>
      <c r="AG99" s="268">
        <f t="shared" si="44"/>
        <v>0</v>
      </c>
      <c r="AH99" s="268">
        <f t="shared" si="44"/>
        <v>0</v>
      </c>
      <c r="AI99" s="268">
        <f t="shared" si="44"/>
        <v>0</v>
      </c>
      <c r="AJ99" s="709"/>
      <c r="AK99" s="259"/>
      <c r="AL99" s="24"/>
      <c r="AM99" s="23"/>
      <c r="AN99" s="23"/>
      <c r="AO99" s="23"/>
      <c r="AP99" s="23"/>
    </row>
    <row r="100" spans="1:42" ht="13.5" thickBot="1">
      <c r="A100" s="26"/>
      <c r="B100" s="638" t="s">
        <v>760</v>
      </c>
      <c r="C100" s="259"/>
      <c r="D100" s="1436"/>
      <c r="E100" s="1275">
        <f>E97-E99</f>
        <v>38187.74205077158</v>
      </c>
      <c r="F100" s="1275">
        <f t="shared" ref="F100:AJ100" si="45">F97-F99</f>
        <v>37243.782330937953</v>
      </c>
      <c r="G100" s="1275">
        <f t="shared" si="45"/>
        <v>36174.744908188542</v>
      </c>
      <c r="H100" s="1275">
        <f t="shared" si="45"/>
        <v>35005.094106009376</v>
      </c>
      <c r="I100" s="1275">
        <f t="shared" si="45"/>
        <v>33728.875518620756</v>
      </c>
      <c r="J100" s="1275">
        <f t="shared" si="45"/>
        <v>32107.624406659925</v>
      </c>
      <c r="K100" s="1275">
        <f t="shared" si="45"/>
        <v>30635.916196230162</v>
      </c>
      <c r="L100" s="1275">
        <f t="shared" si="45"/>
        <v>29001.733403821036</v>
      </c>
      <c r="M100" s="1275">
        <f t="shared" si="45"/>
        <v>27197.75464172319</v>
      </c>
      <c r="N100" s="1275">
        <f t="shared" si="45"/>
        <v>25152.160948798715</v>
      </c>
      <c r="O100" s="1275">
        <f t="shared" si="45"/>
        <v>22838.790497899885</v>
      </c>
      <c r="P100" s="1275">
        <f t="shared" si="45"/>
        <v>20210.730892961019</v>
      </c>
      <c r="Q100" s="1275">
        <f t="shared" si="45"/>
        <v>17246.813505531609</v>
      </c>
      <c r="R100" s="1275">
        <f t="shared" si="45"/>
        <v>14071.163516601826</v>
      </c>
      <c r="S100" s="1275">
        <f t="shared" si="45"/>
        <v>10675.331525783458</v>
      </c>
      <c r="T100" s="1275">
        <f t="shared" si="45"/>
        <v>7107.1689343175185</v>
      </c>
      <c r="U100" s="1275">
        <f t="shared" si="45"/>
        <v>3245.2653228399968</v>
      </c>
      <c r="V100" s="1275">
        <f t="shared" si="45"/>
        <v>0</v>
      </c>
      <c r="W100" s="1275">
        <f t="shared" si="45"/>
        <v>0</v>
      </c>
      <c r="X100" s="1275">
        <f t="shared" si="45"/>
        <v>0</v>
      </c>
      <c r="Y100" s="1275">
        <f t="shared" si="45"/>
        <v>0</v>
      </c>
      <c r="Z100" s="1275">
        <f t="shared" si="45"/>
        <v>0</v>
      </c>
      <c r="AA100" s="1275">
        <f t="shared" si="45"/>
        <v>0</v>
      </c>
      <c r="AB100" s="1275">
        <f t="shared" si="45"/>
        <v>0</v>
      </c>
      <c r="AC100" s="1275">
        <f t="shared" si="45"/>
        <v>0</v>
      </c>
      <c r="AD100" s="1275">
        <f t="shared" si="45"/>
        <v>0</v>
      </c>
      <c r="AE100" s="1275">
        <f t="shared" si="45"/>
        <v>0</v>
      </c>
      <c r="AF100" s="1275">
        <f t="shared" si="45"/>
        <v>0</v>
      </c>
      <c r="AG100" s="1275">
        <f t="shared" si="45"/>
        <v>0</v>
      </c>
      <c r="AH100" s="1275">
        <f t="shared" si="45"/>
        <v>0</v>
      </c>
      <c r="AI100" s="1275">
        <f t="shared" si="45"/>
        <v>0</v>
      </c>
      <c r="AJ100" s="1435">
        <f t="shared" si="45"/>
        <v>0</v>
      </c>
      <c r="AK100" s="259"/>
      <c r="AL100" s="24"/>
      <c r="AM100" s="23"/>
      <c r="AN100" s="23"/>
      <c r="AO100" s="23"/>
      <c r="AP100" s="23"/>
    </row>
    <row r="101" spans="1:42" ht="13.5" thickBot="1">
      <c r="A101" s="26"/>
      <c r="B101" s="1438" t="s">
        <v>366</v>
      </c>
      <c r="C101" s="1439"/>
      <c r="D101" s="1440"/>
      <c r="E101" s="1439">
        <f>SUM(E98:E99)</f>
        <v>5731.0509932941468</v>
      </c>
      <c r="F101" s="1439">
        <f t="shared" ref="F101:AI101" si="46">SUM(F98:F99)</f>
        <v>4445.7516521460675</v>
      </c>
      <c r="G101" s="1439">
        <f t="shared" si="46"/>
        <v>4490.5410355103768</v>
      </c>
      <c r="H101" s="1439">
        <f t="shared" si="46"/>
        <v>4480.6252520977405</v>
      </c>
      <c r="I101" s="1439">
        <f t="shared" si="46"/>
        <v>4476.8740859655936</v>
      </c>
      <c r="J101" s="1439">
        <f t="shared" si="46"/>
        <v>4696.365104016556</v>
      </c>
      <c r="K101" s="1439">
        <f t="shared" si="46"/>
        <v>4408.9287152324023</v>
      </c>
      <c r="L101" s="1439">
        <f t="shared" si="46"/>
        <v>4423.6536660518468</v>
      </c>
      <c r="M101" s="1439">
        <f t="shared" si="46"/>
        <v>4438.8444555578772</v>
      </c>
      <c r="N101" s="1439">
        <f t="shared" si="46"/>
        <v>4508.5655788912363</v>
      </c>
      <c r="O101" s="1439">
        <f t="shared" si="46"/>
        <v>4588.0677908821963</v>
      </c>
      <c r="P101" s="1439">
        <f t="shared" si="46"/>
        <v>4675.7140160426543</v>
      </c>
      <c r="Q101" s="1439">
        <f t="shared" si="46"/>
        <v>4771.403991780282</v>
      </c>
      <c r="R101" s="1439">
        <f t="shared" si="46"/>
        <v>4711.7331447179959</v>
      </c>
      <c r="S101" s="1439">
        <f t="shared" si="46"/>
        <v>4641.104130305921</v>
      </c>
      <c r="T101" s="1439">
        <f t="shared" si="46"/>
        <v>4492.2988758455303</v>
      </c>
      <c r="U101" s="1439">
        <f t="shared" si="46"/>
        <v>4445.9643795236661</v>
      </c>
      <c r="V101" s="1439">
        <f t="shared" si="46"/>
        <v>3456.8326590434999</v>
      </c>
      <c r="W101" s="1439">
        <f t="shared" si="46"/>
        <v>0</v>
      </c>
      <c r="X101" s="1439">
        <f t="shared" si="46"/>
        <v>0</v>
      </c>
      <c r="Y101" s="1439">
        <f t="shared" si="46"/>
        <v>0</v>
      </c>
      <c r="Z101" s="1439">
        <f t="shared" si="46"/>
        <v>0</v>
      </c>
      <c r="AA101" s="1439">
        <f t="shared" si="46"/>
        <v>0</v>
      </c>
      <c r="AB101" s="1439">
        <f t="shared" si="46"/>
        <v>0</v>
      </c>
      <c r="AC101" s="1439">
        <f t="shared" si="46"/>
        <v>0</v>
      </c>
      <c r="AD101" s="1439">
        <f t="shared" si="46"/>
        <v>0</v>
      </c>
      <c r="AE101" s="1439">
        <f t="shared" si="46"/>
        <v>0</v>
      </c>
      <c r="AF101" s="1439">
        <f t="shared" si="46"/>
        <v>0</v>
      </c>
      <c r="AG101" s="1439">
        <f t="shared" si="46"/>
        <v>0</v>
      </c>
      <c r="AH101" s="1439">
        <f t="shared" si="46"/>
        <v>0</v>
      </c>
      <c r="AI101" s="1439">
        <f t="shared" si="46"/>
        <v>0</v>
      </c>
      <c r="AJ101" s="1441"/>
      <c r="AK101" s="263"/>
      <c r="AL101" s="27"/>
      <c r="AM101" s="27"/>
      <c r="AN101" s="27"/>
      <c r="AO101" s="27"/>
      <c r="AP101" s="27"/>
    </row>
    <row r="102" spans="1:42">
      <c r="A102" s="26"/>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259"/>
      <c r="AL102" s="24"/>
      <c r="AM102" s="23"/>
      <c r="AN102" s="23"/>
      <c r="AO102" s="23"/>
      <c r="AP102" s="23"/>
    </row>
    <row r="103" spans="1:42">
      <c r="A103" s="26"/>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c r="AJ103" s="24"/>
      <c r="AK103" s="259"/>
      <c r="AL103" s="24"/>
      <c r="AM103" s="23"/>
      <c r="AN103" s="23"/>
      <c r="AO103" s="23"/>
      <c r="AP103" s="23"/>
    </row>
    <row r="104" spans="1:42">
      <c r="A104" s="26"/>
      <c r="F104" s="1232"/>
      <c r="G104" s="1232"/>
      <c r="H104" s="1232"/>
      <c r="I104" s="1232"/>
      <c r="J104" s="1232"/>
      <c r="K104" s="1232"/>
      <c r="L104" s="1232"/>
      <c r="M104" s="1232"/>
      <c r="N104" s="1232"/>
      <c r="O104" s="1232"/>
      <c r="P104" s="1232"/>
      <c r="Q104" s="1232"/>
      <c r="R104" s="1232"/>
      <c r="S104" s="1232"/>
      <c r="T104" s="1232"/>
      <c r="U104" s="1232"/>
      <c r="V104" s="1232"/>
      <c r="W104" s="1232"/>
      <c r="X104" s="1232"/>
      <c r="Y104" s="1232"/>
      <c r="Z104" s="1232"/>
      <c r="AA104" s="1232"/>
      <c r="AB104" s="1232"/>
      <c r="AC104" s="1232"/>
      <c r="AD104" s="1232"/>
      <c r="AE104" s="1232"/>
      <c r="AF104" s="1232"/>
      <c r="AG104" s="1232"/>
      <c r="AH104" s="1232"/>
      <c r="AI104" s="1232"/>
      <c r="AJ104" s="32"/>
      <c r="AK104" s="1361"/>
      <c r="AL104" s="32"/>
      <c r="AM104" s="32"/>
      <c r="AN104" s="32"/>
      <c r="AO104" s="32"/>
      <c r="AP104" s="32"/>
    </row>
    <row r="105" spans="1:42">
      <c r="A105" s="26"/>
      <c r="F105" s="1232"/>
      <c r="G105" s="1232"/>
      <c r="H105" s="1232"/>
      <c r="I105" s="1232"/>
      <c r="J105" s="1232"/>
      <c r="K105" s="1232"/>
      <c r="L105" s="1232"/>
      <c r="M105" s="1232"/>
      <c r="N105" s="1232"/>
      <c r="O105" s="1232"/>
      <c r="P105" s="1232"/>
      <c r="Q105" s="1232"/>
      <c r="R105" s="1232"/>
      <c r="S105" s="1232"/>
      <c r="T105" s="1232"/>
      <c r="U105" s="1232"/>
      <c r="V105" s="1232"/>
      <c r="W105" s="1232"/>
      <c r="X105" s="1232"/>
      <c r="Y105" s="1232"/>
      <c r="Z105" s="1232"/>
      <c r="AA105" s="1232"/>
      <c r="AB105" s="1232"/>
      <c r="AC105" s="1232"/>
      <c r="AD105" s="1232"/>
      <c r="AE105" s="1232"/>
      <c r="AF105" s="1232"/>
      <c r="AG105" s="1232"/>
      <c r="AH105" s="1232"/>
      <c r="AI105" s="1232"/>
      <c r="AJ105" s="32"/>
      <c r="AK105" s="1361"/>
      <c r="AL105" s="32"/>
      <c r="AM105" s="32"/>
      <c r="AN105" s="32"/>
      <c r="AO105" s="32"/>
      <c r="AP105" s="32"/>
    </row>
    <row r="106" spans="1:42" s="65" customFormat="1" ht="12" customHeight="1">
      <c r="A106" s="165"/>
      <c r="B106" s="1352" t="s">
        <v>758</v>
      </c>
      <c r="C106" s="166"/>
      <c r="D106" s="166"/>
      <c r="E106" s="166"/>
      <c r="F106" s="166"/>
      <c r="G106" s="166"/>
      <c r="H106" s="166"/>
      <c r="I106" s="166"/>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268"/>
      <c r="AL106" s="166"/>
      <c r="AM106" s="167"/>
      <c r="AN106" s="167"/>
      <c r="AO106" s="167"/>
      <c r="AP106" s="167"/>
    </row>
    <row r="107" spans="1:42" s="65" customFormat="1" ht="12" customHeight="1" thickBot="1">
      <c r="A107" s="165"/>
      <c r="C107" s="166"/>
      <c r="D107" s="166"/>
      <c r="E107" s="166"/>
      <c r="F107" s="166"/>
      <c r="G107" s="166"/>
      <c r="H107" s="166"/>
      <c r="I107" s="166"/>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268"/>
      <c r="AL107" s="166"/>
      <c r="AM107" s="167"/>
      <c r="AN107" s="167"/>
      <c r="AO107" s="167"/>
      <c r="AP107" s="167"/>
    </row>
    <row r="108" spans="1:42" ht="13.5" thickBot="1">
      <c r="A108" s="165"/>
      <c r="B108" s="1409" t="s">
        <v>755</v>
      </c>
      <c r="C108" s="1410"/>
      <c r="D108" s="1411"/>
      <c r="E108" s="1412">
        <f>Assum!$F$25</f>
        <v>36159</v>
      </c>
      <c r="F108" s="1412">
        <f t="shared" ref="F108:AJ108" si="47">EDATE(E108,12)</f>
        <v>36524</v>
      </c>
      <c r="G108" s="1412">
        <f t="shared" si="47"/>
        <v>36890</v>
      </c>
      <c r="H108" s="1412">
        <f t="shared" si="47"/>
        <v>37255</v>
      </c>
      <c r="I108" s="1412">
        <f t="shared" si="47"/>
        <v>37620</v>
      </c>
      <c r="J108" s="1412">
        <f t="shared" si="47"/>
        <v>37985</v>
      </c>
      <c r="K108" s="1412">
        <f t="shared" si="47"/>
        <v>38351</v>
      </c>
      <c r="L108" s="1412">
        <f t="shared" si="47"/>
        <v>38716</v>
      </c>
      <c r="M108" s="1412">
        <f t="shared" si="47"/>
        <v>39081</v>
      </c>
      <c r="N108" s="1412">
        <f t="shared" si="47"/>
        <v>39446</v>
      </c>
      <c r="O108" s="1412">
        <f t="shared" si="47"/>
        <v>39812</v>
      </c>
      <c r="P108" s="1412">
        <f t="shared" si="47"/>
        <v>40177</v>
      </c>
      <c r="Q108" s="1412">
        <f t="shared" si="47"/>
        <v>40542</v>
      </c>
      <c r="R108" s="1412">
        <f t="shared" si="47"/>
        <v>40907</v>
      </c>
      <c r="S108" s="1412">
        <f t="shared" si="47"/>
        <v>41273</v>
      </c>
      <c r="T108" s="1412">
        <f t="shared" si="47"/>
        <v>41638</v>
      </c>
      <c r="U108" s="1412">
        <f t="shared" si="47"/>
        <v>42003</v>
      </c>
      <c r="V108" s="1412">
        <f t="shared" si="47"/>
        <v>42368</v>
      </c>
      <c r="W108" s="1412">
        <f t="shared" si="47"/>
        <v>42734</v>
      </c>
      <c r="X108" s="1412">
        <f t="shared" si="47"/>
        <v>43099</v>
      </c>
      <c r="Y108" s="1412">
        <f t="shared" si="47"/>
        <v>43464</v>
      </c>
      <c r="Z108" s="1412">
        <f t="shared" si="47"/>
        <v>43829</v>
      </c>
      <c r="AA108" s="1412">
        <f t="shared" si="47"/>
        <v>44195</v>
      </c>
      <c r="AB108" s="1412">
        <f t="shared" si="47"/>
        <v>44560</v>
      </c>
      <c r="AC108" s="1412">
        <f t="shared" si="47"/>
        <v>44925</v>
      </c>
      <c r="AD108" s="1412">
        <f t="shared" si="47"/>
        <v>45290</v>
      </c>
      <c r="AE108" s="1412">
        <f t="shared" si="47"/>
        <v>45656</v>
      </c>
      <c r="AF108" s="1412">
        <f t="shared" si="47"/>
        <v>46021</v>
      </c>
      <c r="AG108" s="1412">
        <f t="shared" si="47"/>
        <v>46386</v>
      </c>
      <c r="AH108" s="1412">
        <f t="shared" si="47"/>
        <v>46751</v>
      </c>
      <c r="AI108" s="1412">
        <f t="shared" si="47"/>
        <v>47117</v>
      </c>
      <c r="AJ108" s="1430">
        <f t="shared" si="47"/>
        <v>47482</v>
      </c>
      <c r="AK108" s="259"/>
      <c r="AL108" s="24"/>
      <c r="AM108" s="23"/>
      <c r="AN108" s="23"/>
      <c r="AO108" s="23"/>
      <c r="AP108" s="23"/>
    </row>
    <row r="109" spans="1:42">
      <c r="A109" s="165"/>
      <c r="B109" s="638" t="s">
        <v>7</v>
      </c>
      <c r="C109" s="542"/>
      <c r="D109" s="542">
        <f>D29</f>
        <v>0</v>
      </c>
      <c r="E109" s="542">
        <f>$E$29</f>
        <v>40271.353865997233</v>
      </c>
      <c r="F109" s="542">
        <f>E112</f>
        <v>38187.74205077158</v>
      </c>
      <c r="G109" s="542">
        <f t="shared" ref="G109:AJ109" si="48">F112</f>
        <v>37243.782330937946</v>
      </c>
      <c r="H109" s="542">
        <f t="shared" si="48"/>
        <v>36174.744908188542</v>
      </c>
      <c r="I109" s="542">
        <f t="shared" si="48"/>
        <v>35005.094106009376</v>
      </c>
      <c r="J109" s="542">
        <f t="shared" si="48"/>
        <v>33728.875518620756</v>
      </c>
      <c r="K109" s="542">
        <f t="shared" si="48"/>
        <v>32107.624406659925</v>
      </c>
      <c r="L109" s="542">
        <f t="shared" si="48"/>
        <v>30635.916196230162</v>
      </c>
      <c r="M109" s="542">
        <f t="shared" si="48"/>
        <v>29001.733403821036</v>
      </c>
      <c r="N109" s="542">
        <f t="shared" si="48"/>
        <v>27197.75464172319</v>
      </c>
      <c r="O109" s="542">
        <f t="shared" si="48"/>
        <v>25152.160948798715</v>
      </c>
      <c r="P109" s="542">
        <f t="shared" si="48"/>
        <v>22838.790497899885</v>
      </c>
      <c r="Q109" s="542">
        <f t="shared" si="48"/>
        <v>20210.730892961019</v>
      </c>
      <c r="R109" s="542">
        <f t="shared" si="48"/>
        <v>17246.813505531612</v>
      </c>
      <c r="S109" s="542">
        <f t="shared" si="48"/>
        <v>14071.163516601833</v>
      </c>
      <c r="T109" s="542">
        <f t="shared" si="48"/>
        <v>10675.331525783466</v>
      </c>
      <c r="U109" s="542">
        <f t="shared" si="48"/>
        <v>7107.1689343175258</v>
      </c>
      <c r="V109" s="542">
        <f t="shared" si="48"/>
        <v>3245.2653228400031</v>
      </c>
      <c r="W109" s="542">
        <f t="shared" si="48"/>
        <v>6.3664629124104977E-12</v>
      </c>
      <c r="X109" s="542">
        <f t="shared" si="48"/>
        <v>6.3664629124104977E-12</v>
      </c>
      <c r="Y109" s="542">
        <f t="shared" si="48"/>
        <v>6.3664629124104977E-12</v>
      </c>
      <c r="Z109" s="542">
        <f t="shared" si="48"/>
        <v>6.3664629124104977E-12</v>
      </c>
      <c r="AA109" s="542">
        <f t="shared" si="48"/>
        <v>6.3664629124104977E-12</v>
      </c>
      <c r="AB109" s="542">
        <f t="shared" si="48"/>
        <v>6.3664629124104977E-12</v>
      </c>
      <c r="AC109" s="542">
        <f t="shared" si="48"/>
        <v>6.3664629124104977E-12</v>
      </c>
      <c r="AD109" s="542">
        <f t="shared" si="48"/>
        <v>6.3664629124104977E-12</v>
      </c>
      <c r="AE109" s="542">
        <f t="shared" si="48"/>
        <v>6.3664629124104977E-12</v>
      </c>
      <c r="AF109" s="542">
        <f t="shared" si="48"/>
        <v>6.3664629124104977E-12</v>
      </c>
      <c r="AG109" s="542">
        <f t="shared" si="48"/>
        <v>6.3664629124104977E-12</v>
      </c>
      <c r="AH109" s="542">
        <f t="shared" si="48"/>
        <v>6.3664629124104977E-12</v>
      </c>
      <c r="AI109" s="542">
        <f t="shared" si="48"/>
        <v>6.3664629124104977E-12</v>
      </c>
      <c r="AJ109" s="1364">
        <f t="shared" si="48"/>
        <v>6.3664629124104977E-12</v>
      </c>
      <c r="AK109" s="259"/>
      <c r="AL109" s="24"/>
      <c r="AM109" s="23"/>
      <c r="AN109" s="23"/>
      <c r="AO109" s="23"/>
      <c r="AP109" s="23"/>
    </row>
    <row r="110" spans="1:42">
      <c r="A110" s="165"/>
      <c r="B110" s="238" t="s">
        <v>158</v>
      </c>
      <c r="C110" s="259">
        <f>SUM(E110:AI110)</f>
        <v>41612.965660908361</v>
      </c>
      <c r="D110" s="259">
        <f>$D$48*C30+$D$49*C36+$E$48*D30+$E$49*D36</f>
        <v>0</v>
      </c>
      <c r="E110" s="259">
        <f>$D$48*D$30+$D$49*D$36+$E$48*E$30+$E$49*E$36</f>
        <v>3647.4391780684955</v>
      </c>
      <c r="F110" s="259">
        <f t="shared" ref="F110:AJ110" si="49">$D$48*E30+$D$49*E36+$E$48*F30+$E$49*F36</f>
        <v>3501.7919323124306</v>
      </c>
      <c r="G110" s="259">
        <f t="shared" si="49"/>
        <v>3421.5036127609756</v>
      </c>
      <c r="H110" s="259">
        <f t="shared" si="49"/>
        <v>3310.9744499185717</v>
      </c>
      <c r="I110" s="259">
        <f t="shared" si="49"/>
        <v>3200.6554985769753</v>
      </c>
      <c r="J110" s="259">
        <f t="shared" si="49"/>
        <v>3075.1139920557252</v>
      </c>
      <c r="K110" s="259">
        <f t="shared" si="49"/>
        <v>2937.2205048026381</v>
      </c>
      <c r="L110" s="259">
        <f t="shared" si="49"/>
        <v>2789.4708736427183</v>
      </c>
      <c r="M110" s="259">
        <f t="shared" si="49"/>
        <v>2634.8656934600317</v>
      </c>
      <c r="N110" s="259">
        <f t="shared" si="49"/>
        <v>2462.9718859667623</v>
      </c>
      <c r="O110" s="259">
        <f t="shared" si="49"/>
        <v>2274.6973399833641</v>
      </c>
      <c r="P110" s="259">
        <f t="shared" si="49"/>
        <v>2047.654411103787</v>
      </c>
      <c r="Q110" s="259">
        <f t="shared" si="49"/>
        <v>1807.4866043508746</v>
      </c>
      <c r="R110" s="259">
        <f t="shared" si="49"/>
        <v>1536.0831557882163</v>
      </c>
      <c r="S110" s="259">
        <f t="shared" si="49"/>
        <v>1245.272139487553</v>
      </c>
      <c r="T110" s="259">
        <f t="shared" si="49"/>
        <v>924.13628437959096</v>
      </c>
      <c r="U110" s="259">
        <f t="shared" si="49"/>
        <v>584.06076804614349</v>
      </c>
      <c r="V110" s="259">
        <f t="shared" si="49"/>
        <v>211.56733620350326</v>
      </c>
      <c r="W110" s="259">
        <f t="shared" si="49"/>
        <v>0</v>
      </c>
      <c r="X110" s="259">
        <f t="shared" si="49"/>
        <v>0</v>
      </c>
      <c r="Y110" s="259">
        <f t="shared" si="49"/>
        <v>0</v>
      </c>
      <c r="Z110" s="259">
        <f t="shared" si="49"/>
        <v>0</v>
      </c>
      <c r="AA110" s="259">
        <f t="shared" si="49"/>
        <v>0</v>
      </c>
      <c r="AB110" s="259">
        <f t="shared" si="49"/>
        <v>0</v>
      </c>
      <c r="AC110" s="259">
        <f t="shared" si="49"/>
        <v>0</v>
      </c>
      <c r="AD110" s="259">
        <f t="shared" si="49"/>
        <v>0</v>
      </c>
      <c r="AE110" s="259">
        <f t="shared" si="49"/>
        <v>0</v>
      </c>
      <c r="AF110" s="259">
        <f t="shared" si="49"/>
        <v>0</v>
      </c>
      <c r="AG110" s="259">
        <f t="shared" si="49"/>
        <v>0</v>
      </c>
      <c r="AH110" s="259">
        <f t="shared" si="49"/>
        <v>0</v>
      </c>
      <c r="AI110" s="259">
        <f t="shared" si="49"/>
        <v>0</v>
      </c>
      <c r="AJ110" s="1280">
        <f t="shared" si="49"/>
        <v>0</v>
      </c>
      <c r="AK110" s="259"/>
      <c r="AL110" s="24"/>
      <c r="AM110" s="23"/>
      <c r="AN110" s="23"/>
      <c r="AO110" s="23"/>
      <c r="AP110" s="23"/>
    </row>
    <row r="111" spans="1:42">
      <c r="A111" s="165"/>
      <c r="B111" s="264" t="s">
        <v>159</v>
      </c>
      <c r="C111" s="259">
        <f>SUM(E111:AI111)</f>
        <v>40271.353865997226</v>
      </c>
      <c r="D111" s="259">
        <f>$D$48*C31+$D$49*C37+$E$48*D31+$E$49*D37</f>
        <v>0</v>
      </c>
      <c r="E111" s="259">
        <f>$D$48*D$31+$D$49*D$37+$E$48*E$31+$E$49*E$37</f>
        <v>2083.6118152256513</v>
      </c>
      <c r="F111" s="259">
        <f t="shared" ref="F111:AJ111" si="50">$D$48*E31+$D$49*E37+$E$48*F31+$E$49*F37</f>
        <v>943.95971983363711</v>
      </c>
      <c r="G111" s="259">
        <f t="shared" si="50"/>
        <v>1069.0374227494012</v>
      </c>
      <c r="H111" s="259">
        <f t="shared" si="50"/>
        <v>1169.6508021791685</v>
      </c>
      <c r="I111" s="259">
        <f t="shared" si="50"/>
        <v>1276.2185873886185</v>
      </c>
      <c r="J111" s="259">
        <f t="shared" si="50"/>
        <v>1621.2511119608309</v>
      </c>
      <c r="K111" s="259">
        <f t="shared" si="50"/>
        <v>1471.708210429764</v>
      </c>
      <c r="L111" s="259">
        <f t="shared" si="50"/>
        <v>1634.1827924091283</v>
      </c>
      <c r="M111" s="259">
        <f t="shared" si="50"/>
        <v>1803.9787620978454</v>
      </c>
      <c r="N111" s="259">
        <f t="shared" si="50"/>
        <v>2045.593692924474</v>
      </c>
      <c r="O111" s="259">
        <f t="shared" si="50"/>
        <v>2313.3704508988321</v>
      </c>
      <c r="P111" s="259">
        <f t="shared" si="50"/>
        <v>2628.0596049388673</v>
      </c>
      <c r="Q111" s="259">
        <f t="shared" si="50"/>
        <v>2963.9173874294074</v>
      </c>
      <c r="R111" s="259">
        <f t="shared" si="50"/>
        <v>3175.6499889297793</v>
      </c>
      <c r="S111" s="259">
        <f t="shared" si="50"/>
        <v>3395.831990818368</v>
      </c>
      <c r="T111" s="259">
        <f t="shared" si="50"/>
        <v>3568.1625914659394</v>
      </c>
      <c r="U111" s="259">
        <f t="shared" si="50"/>
        <v>3861.9036114775226</v>
      </c>
      <c r="V111" s="259">
        <f t="shared" si="50"/>
        <v>3245.2653228399968</v>
      </c>
      <c r="W111" s="259">
        <f t="shared" si="50"/>
        <v>0</v>
      </c>
      <c r="X111" s="259">
        <f t="shared" si="50"/>
        <v>0</v>
      </c>
      <c r="Y111" s="259">
        <f t="shared" si="50"/>
        <v>0</v>
      </c>
      <c r="Z111" s="259">
        <f t="shared" si="50"/>
        <v>0</v>
      </c>
      <c r="AA111" s="259">
        <f t="shared" si="50"/>
        <v>0</v>
      </c>
      <c r="AB111" s="259">
        <f t="shared" si="50"/>
        <v>0</v>
      </c>
      <c r="AC111" s="259">
        <f t="shared" si="50"/>
        <v>0</v>
      </c>
      <c r="AD111" s="259">
        <f t="shared" si="50"/>
        <v>0</v>
      </c>
      <c r="AE111" s="259">
        <f t="shared" si="50"/>
        <v>0</v>
      </c>
      <c r="AF111" s="259">
        <f t="shared" si="50"/>
        <v>0</v>
      </c>
      <c r="AG111" s="259">
        <f t="shared" si="50"/>
        <v>0</v>
      </c>
      <c r="AH111" s="259">
        <f t="shared" si="50"/>
        <v>0</v>
      </c>
      <c r="AI111" s="259">
        <f t="shared" si="50"/>
        <v>0</v>
      </c>
      <c r="AJ111" s="1280">
        <f t="shared" si="50"/>
        <v>0</v>
      </c>
      <c r="AK111" s="259"/>
      <c r="AL111" s="24"/>
      <c r="AM111" s="23"/>
      <c r="AN111" s="23"/>
      <c r="AO111" s="23"/>
      <c r="AP111" s="23"/>
    </row>
    <row r="112" spans="1:42" ht="13.5" thickBot="1">
      <c r="A112" s="165"/>
      <c r="B112" s="815" t="s">
        <v>588</v>
      </c>
      <c r="C112" s="1234"/>
      <c r="D112" s="283">
        <f>D38</f>
        <v>0</v>
      </c>
      <c r="E112" s="283">
        <f>E109-E111</f>
        <v>38187.74205077158</v>
      </c>
      <c r="F112" s="283">
        <f>F109-F111</f>
        <v>37243.782330937946</v>
      </c>
      <c r="G112" s="283">
        <f t="shared" ref="G112:AJ112" si="51">G109-G111</f>
        <v>36174.744908188542</v>
      </c>
      <c r="H112" s="283">
        <f t="shared" si="51"/>
        <v>35005.094106009376</v>
      </c>
      <c r="I112" s="283">
        <f t="shared" si="51"/>
        <v>33728.875518620756</v>
      </c>
      <c r="J112" s="283">
        <f t="shared" si="51"/>
        <v>32107.624406659925</v>
      </c>
      <c r="K112" s="283">
        <f t="shared" si="51"/>
        <v>30635.916196230162</v>
      </c>
      <c r="L112" s="283">
        <f t="shared" si="51"/>
        <v>29001.733403821036</v>
      </c>
      <c r="M112" s="283">
        <f t="shared" si="51"/>
        <v>27197.75464172319</v>
      </c>
      <c r="N112" s="283">
        <f t="shared" si="51"/>
        <v>25152.160948798715</v>
      </c>
      <c r="O112" s="283">
        <f t="shared" si="51"/>
        <v>22838.790497899885</v>
      </c>
      <c r="P112" s="283">
        <f t="shared" si="51"/>
        <v>20210.730892961019</v>
      </c>
      <c r="Q112" s="283">
        <f t="shared" si="51"/>
        <v>17246.813505531612</v>
      </c>
      <c r="R112" s="283">
        <f t="shared" si="51"/>
        <v>14071.163516601833</v>
      </c>
      <c r="S112" s="283">
        <f t="shared" si="51"/>
        <v>10675.331525783466</v>
      </c>
      <c r="T112" s="283">
        <f t="shared" si="51"/>
        <v>7107.1689343175258</v>
      </c>
      <c r="U112" s="283">
        <f t="shared" si="51"/>
        <v>3245.2653228400031</v>
      </c>
      <c r="V112" s="283">
        <f t="shared" si="51"/>
        <v>6.3664629124104977E-12</v>
      </c>
      <c r="W112" s="283">
        <f t="shared" si="51"/>
        <v>6.3664629124104977E-12</v>
      </c>
      <c r="X112" s="283">
        <f t="shared" si="51"/>
        <v>6.3664629124104977E-12</v>
      </c>
      <c r="Y112" s="283">
        <f t="shared" si="51"/>
        <v>6.3664629124104977E-12</v>
      </c>
      <c r="Z112" s="283">
        <f t="shared" si="51"/>
        <v>6.3664629124104977E-12</v>
      </c>
      <c r="AA112" s="283">
        <f t="shared" si="51"/>
        <v>6.3664629124104977E-12</v>
      </c>
      <c r="AB112" s="283">
        <f t="shared" si="51"/>
        <v>6.3664629124104977E-12</v>
      </c>
      <c r="AC112" s="283">
        <f t="shared" si="51"/>
        <v>6.3664629124104977E-12</v>
      </c>
      <c r="AD112" s="283">
        <f t="shared" si="51"/>
        <v>6.3664629124104977E-12</v>
      </c>
      <c r="AE112" s="283">
        <f t="shared" si="51"/>
        <v>6.3664629124104977E-12</v>
      </c>
      <c r="AF112" s="283">
        <f t="shared" si="51"/>
        <v>6.3664629124104977E-12</v>
      </c>
      <c r="AG112" s="283">
        <f t="shared" si="51"/>
        <v>6.3664629124104977E-12</v>
      </c>
      <c r="AH112" s="283">
        <f t="shared" si="51"/>
        <v>6.3664629124104977E-12</v>
      </c>
      <c r="AI112" s="283">
        <f t="shared" si="51"/>
        <v>6.3664629124104977E-12</v>
      </c>
      <c r="AJ112" s="284">
        <f t="shared" si="51"/>
        <v>6.3664629124104977E-12</v>
      </c>
      <c r="AK112" s="259"/>
      <c r="AL112" s="24"/>
      <c r="AM112" s="23"/>
      <c r="AN112" s="23"/>
      <c r="AO112" s="23"/>
      <c r="AP112" s="23"/>
    </row>
    <row r="113" spans="1:42" ht="13.5" thickBot="1">
      <c r="A113" s="165"/>
      <c r="B113" s="270"/>
      <c r="C113" s="270"/>
      <c r="D113" s="263"/>
      <c r="E113" s="263"/>
      <c r="F113" s="263"/>
      <c r="G113" s="263"/>
      <c r="H113" s="263"/>
      <c r="I113" s="263"/>
      <c r="J113" s="263"/>
      <c r="K113" s="263"/>
      <c r="L113" s="263"/>
      <c r="M113" s="263"/>
      <c r="N113" s="263"/>
      <c r="O113" s="263"/>
      <c r="P113" s="263"/>
      <c r="Q113" s="263"/>
      <c r="R113" s="263"/>
      <c r="S113" s="263"/>
      <c r="T113" s="263"/>
      <c r="U113" s="263"/>
      <c r="V113" s="263"/>
      <c r="W113" s="263"/>
      <c r="X113" s="263"/>
      <c r="Y113" s="263"/>
      <c r="Z113" s="263"/>
      <c r="AA113" s="263"/>
      <c r="AB113" s="263"/>
      <c r="AC113" s="263"/>
      <c r="AD113" s="263"/>
      <c r="AE113" s="263"/>
      <c r="AF113" s="263"/>
      <c r="AG113" s="263"/>
      <c r="AH113" s="263"/>
      <c r="AI113" s="263"/>
      <c r="AJ113" s="30"/>
      <c r="AK113" s="259"/>
      <c r="AL113" s="24"/>
      <c r="AM113" s="23"/>
      <c r="AN113" s="23"/>
      <c r="AO113" s="23"/>
      <c r="AP113" s="23"/>
    </row>
    <row r="114" spans="1:42" ht="13.5" thickBot="1">
      <c r="A114" s="165"/>
      <c r="B114" s="1433" t="s">
        <v>756</v>
      </c>
      <c r="C114" s="1413"/>
      <c r="D114" s="1414"/>
      <c r="E114" s="1415">
        <f>Assum!$F$25</f>
        <v>36159</v>
      </c>
      <c r="F114" s="1415">
        <f t="shared" ref="F114:AJ114" si="52">EDATE(E114,12)</f>
        <v>36524</v>
      </c>
      <c r="G114" s="1415">
        <f t="shared" si="52"/>
        <v>36890</v>
      </c>
      <c r="H114" s="1415">
        <f t="shared" si="52"/>
        <v>37255</v>
      </c>
      <c r="I114" s="1415">
        <f t="shared" si="52"/>
        <v>37620</v>
      </c>
      <c r="J114" s="1415">
        <f t="shared" si="52"/>
        <v>37985</v>
      </c>
      <c r="K114" s="1415">
        <f t="shared" si="52"/>
        <v>38351</v>
      </c>
      <c r="L114" s="1415">
        <f t="shared" si="52"/>
        <v>38716</v>
      </c>
      <c r="M114" s="1415">
        <f t="shared" si="52"/>
        <v>39081</v>
      </c>
      <c r="N114" s="1415">
        <f t="shared" si="52"/>
        <v>39446</v>
      </c>
      <c r="O114" s="1415">
        <f t="shared" si="52"/>
        <v>39812</v>
      </c>
      <c r="P114" s="1415">
        <f t="shared" si="52"/>
        <v>40177</v>
      </c>
      <c r="Q114" s="1415">
        <f t="shared" si="52"/>
        <v>40542</v>
      </c>
      <c r="R114" s="1415">
        <f t="shared" si="52"/>
        <v>40907</v>
      </c>
      <c r="S114" s="1415">
        <f t="shared" si="52"/>
        <v>41273</v>
      </c>
      <c r="T114" s="1415">
        <f t="shared" si="52"/>
        <v>41638</v>
      </c>
      <c r="U114" s="1415">
        <f t="shared" si="52"/>
        <v>42003</v>
      </c>
      <c r="V114" s="1415">
        <f t="shared" si="52"/>
        <v>42368</v>
      </c>
      <c r="W114" s="1415">
        <f t="shared" si="52"/>
        <v>42734</v>
      </c>
      <c r="X114" s="1415">
        <f t="shared" si="52"/>
        <v>43099</v>
      </c>
      <c r="Y114" s="1415">
        <f t="shared" si="52"/>
        <v>43464</v>
      </c>
      <c r="Z114" s="1415">
        <f t="shared" si="52"/>
        <v>43829</v>
      </c>
      <c r="AA114" s="1415">
        <f t="shared" si="52"/>
        <v>44195</v>
      </c>
      <c r="AB114" s="1415">
        <f t="shared" si="52"/>
        <v>44560</v>
      </c>
      <c r="AC114" s="1415">
        <f t="shared" si="52"/>
        <v>44925</v>
      </c>
      <c r="AD114" s="1415">
        <f t="shared" si="52"/>
        <v>45290</v>
      </c>
      <c r="AE114" s="1415">
        <f t="shared" si="52"/>
        <v>45656</v>
      </c>
      <c r="AF114" s="1415">
        <f t="shared" si="52"/>
        <v>46021</v>
      </c>
      <c r="AG114" s="1415">
        <f t="shared" si="52"/>
        <v>46386</v>
      </c>
      <c r="AH114" s="1415">
        <f t="shared" si="52"/>
        <v>46751</v>
      </c>
      <c r="AI114" s="1415">
        <f t="shared" si="52"/>
        <v>47117</v>
      </c>
      <c r="AJ114" s="1416">
        <f t="shared" si="52"/>
        <v>47482</v>
      </c>
      <c r="AK114" s="259"/>
      <c r="AL114" s="24"/>
      <c r="AM114" s="23"/>
      <c r="AN114" s="23"/>
      <c r="AO114" s="23"/>
      <c r="AP114" s="23"/>
    </row>
    <row r="115" spans="1:42">
      <c r="A115" s="165"/>
      <c r="B115" s="638" t="s">
        <v>7</v>
      </c>
      <c r="C115" s="542"/>
      <c r="D115" s="542">
        <f>D35</f>
        <v>0</v>
      </c>
      <c r="E115" s="542">
        <f>E74</f>
        <v>0</v>
      </c>
      <c r="F115" s="263">
        <f>E118</f>
        <v>0</v>
      </c>
      <c r="G115" s="263">
        <f t="shared" ref="G115:AJ115" si="53">F118</f>
        <v>0</v>
      </c>
      <c r="H115" s="263">
        <f t="shared" si="53"/>
        <v>0</v>
      </c>
      <c r="I115" s="263">
        <f t="shared" si="53"/>
        <v>0</v>
      </c>
      <c r="J115" s="263">
        <f t="shared" si="53"/>
        <v>0</v>
      </c>
      <c r="K115" s="263">
        <f t="shared" si="53"/>
        <v>0</v>
      </c>
      <c r="L115" s="263">
        <f t="shared" si="53"/>
        <v>0</v>
      </c>
      <c r="M115" s="263">
        <f t="shared" si="53"/>
        <v>0</v>
      </c>
      <c r="N115" s="263">
        <f t="shared" si="53"/>
        <v>0</v>
      </c>
      <c r="O115" s="263">
        <f t="shared" si="53"/>
        <v>0</v>
      </c>
      <c r="P115" s="263">
        <f t="shared" si="53"/>
        <v>0</v>
      </c>
      <c r="Q115" s="263">
        <f t="shared" si="53"/>
        <v>0</v>
      </c>
      <c r="R115" s="263">
        <f t="shared" si="53"/>
        <v>0</v>
      </c>
      <c r="S115" s="263">
        <f t="shared" si="53"/>
        <v>0</v>
      </c>
      <c r="T115" s="263">
        <f t="shared" si="53"/>
        <v>0</v>
      </c>
      <c r="U115" s="263">
        <f t="shared" si="53"/>
        <v>0</v>
      </c>
      <c r="V115" s="263">
        <f t="shared" si="53"/>
        <v>0</v>
      </c>
      <c r="W115" s="263">
        <f t="shared" si="53"/>
        <v>0</v>
      </c>
      <c r="X115" s="263">
        <f t="shared" si="53"/>
        <v>0</v>
      </c>
      <c r="Y115" s="263">
        <f t="shared" si="53"/>
        <v>0</v>
      </c>
      <c r="Z115" s="263">
        <f t="shared" si="53"/>
        <v>0</v>
      </c>
      <c r="AA115" s="263">
        <f t="shared" si="53"/>
        <v>0</v>
      </c>
      <c r="AB115" s="263">
        <f t="shared" si="53"/>
        <v>0</v>
      </c>
      <c r="AC115" s="263">
        <f t="shared" si="53"/>
        <v>0</v>
      </c>
      <c r="AD115" s="263">
        <f t="shared" si="53"/>
        <v>0</v>
      </c>
      <c r="AE115" s="263">
        <f t="shared" si="53"/>
        <v>0</v>
      </c>
      <c r="AF115" s="263">
        <f t="shared" si="53"/>
        <v>0</v>
      </c>
      <c r="AG115" s="263">
        <f t="shared" si="53"/>
        <v>0</v>
      </c>
      <c r="AH115" s="263">
        <f t="shared" si="53"/>
        <v>0</v>
      </c>
      <c r="AI115" s="263">
        <f t="shared" si="53"/>
        <v>0</v>
      </c>
      <c r="AJ115" s="267">
        <f t="shared" si="53"/>
        <v>0</v>
      </c>
      <c r="AK115" s="259"/>
      <c r="AL115" s="24"/>
      <c r="AM115" s="23"/>
      <c r="AN115" s="23"/>
      <c r="AO115" s="23"/>
      <c r="AP115" s="23"/>
    </row>
    <row r="116" spans="1:42">
      <c r="A116" s="165"/>
      <c r="B116" s="238" t="s">
        <v>158</v>
      </c>
      <c r="C116" s="259">
        <f>SUM(E116:AI116)</f>
        <v>0</v>
      </c>
      <c r="D116" s="259">
        <f>$D$48*C36+$D$49*C42+$E$48*D36+$E$49*D42</f>
        <v>0</v>
      </c>
      <c r="E116" s="259">
        <f>$D$93*D$75+$D$94*D$81+$E$93*E$75+$E$94*E$81</f>
        <v>0</v>
      </c>
      <c r="F116" s="259">
        <f t="shared" ref="F116:AJ116" si="54">$D$93*E$75+$D$94*E$81+$E$93*F$75+$E$94*F$81</f>
        <v>0</v>
      </c>
      <c r="G116" s="259">
        <f t="shared" si="54"/>
        <v>0</v>
      </c>
      <c r="H116" s="259">
        <f t="shared" si="54"/>
        <v>0</v>
      </c>
      <c r="I116" s="259">
        <f t="shared" si="54"/>
        <v>0</v>
      </c>
      <c r="J116" s="259">
        <f t="shared" si="54"/>
        <v>0</v>
      </c>
      <c r="K116" s="259">
        <f t="shared" si="54"/>
        <v>0</v>
      </c>
      <c r="L116" s="259">
        <f t="shared" si="54"/>
        <v>0</v>
      </c>
      <c r="M116" s="259">
        <f t="shared" si="54"/>
        <v>0</v>
      </c>
      <c r="N116" s="259">
        <f t="shared" si="54"/>
        <v>0</v>
      </c>
      <c r="O116" s="259">
        <f t="shared" si="54"/>
        <v>0</v>
      </c>
      <c r="P116" s="259">
        <f t="shared" si="54"/>
        <v>0</v>
      </c>
      <c r="Q116" s="259">
        <f t="shared" si="54"/>
        <v>0</v>
      </c>
      <c r="R116" s="259">
        <f t="shared" si="54"/>
        <v>0</v>
      </c>
      <c r="S116" s="259">
        <f t="shared" si="54"/>
        <v>0</v>
      </c>
      <c r="T116" s="259">
        <f t="shared" si="54"/>
        <v>0</v>
      </c>
      <c r="U116" s="259">
        <f t="shared" si="54"/>
        <v>0</v>
      </c>
      <c r="V116" s="259">
        <f t="shared" si="54"/>
        <v>0</v>
      </c>
      <c r="W116" s="259">
        <f t="shared" si="54"/>
        <v>0</v>
      </c>
      <c r="X116" s="259">
        <f t="shared" si="54"/>
        <v>0</v>
      </c>
      <c r="Y116" s="259">
        <f t="shared" si="54"/>
        <v>0</v>
      </c>
      <c r="Z116" s="259">
        <f t="shared" si="54"/>
        <v>0</v>
      </c>
      <c r="AA116" s="259">
        <f t="shared" si="54"/>
        <v>0</v>
      </c>
      <c r="AB116" s="259">
        <f t="shared" si="54"/>
        <v>0</v>
      </c>
      <c r="AC116" s="259">
        <f t="shared" si="54"/>
        <v>0</v>
      </c>
      <c r="AD116" s="259">
        <f t="shared" si="54"/>
        <v>0</v>
      </c>
      <c r="AE116" s="259">
        <f t="shared" si="54"/>
        <v>0</v>
      </c>
      <c r="AF116" s="259">
        <f t="shared" si="54"/>
        <v>0</v>
      </c>
      <c r="AG116" s="259">
        <f t="shared" si="54"/>
        <v>0</v>
      </c>
      <c r="AH116" s="259">
        <f t="shared" si="54"/>
        <v>0</v>
      </c>
      <c r="AI116" s="259">
        <f t="shared" si="54"/>
        <v>0</v>
      </c>
      <c r="AJ116" s="259">
        <f t="shared" si="54"/>
        <v>0</v>
      </c>
      <c r="AK116" s="259"/>
      <c r="AL116" s="24"/>
      <c r="AM116" s="23"/>
      <c r="AN116" s="23"/>
      <c r="AO116" s="23"/>
      <c r="AP116" s="23"/>
    </row>
    <row r="117" spans="1:42">
      <c r="A117" s="165"/>
      <c r="B117" s="264" t="s">
        <v>159</v>
      </c>
      <c r="C117" s="259">
        <f>SUM(E117:AI117)</f>
        <v>0</v>
      </c>
      <c r="D117" s="259">
        <f>$D$48*C37+$D$49*C43+$E$48*D37+$E$49*D43</f>
        <v>0</v>
      </c>
      <c r="E117" s="259">
        <f>$D$93*D$76+$D$94*D$82+$E$93*E$76+$E$94*E$82</f>
        <v>0</v>
      </c>
      <c r="F117" s="259">
        <f t="shared" ref="F117:AJ117" si="55">$D$93*E$76+$D$94*E$82+$E$93*F$76+$E$94*F$82</f>
        <v>0</v>
      </c>
      <c r="G117" s="259">
        <f t="shared" si="55"/>
        <v>0</v>
      </c>
      <c r="H117" s="259">
        <f t="shared" si="55"/>
        <v>0</v>
      </c>
      <c r="I117" s="259">
        <f t="shared" si="55"/>
        <v>0</v>
      </c>
      <c r="J117" s="259">
        <f t="shared" si="55"/>
        <v>0</v>
      </c>
      <c r="K117" s="259">
        <f t="shared" si="55"/>
        <v>0</v>
      </c>
      <c r="L117" s="259">
        <f t="shared" si="55"/>
        <v>0</v>
      </c>
      <c r="M117" s="259">
        <f t="shared" si="55"/>
        <v>0</v>
      </c>
      <c r="N117" s="259">
        <f t="shared" si="55"/>
        <v>0</v>
      </c>
      <c r="O117" s="259">
        <f t="shared" si="55"/>
        <v>0</v>
      </c>
      <c r="P117" s="259">
        <f t="shared" si="55"/>
        <v>0</v>
      </c>
      <c r="Q117" s="259">
        <f t="shared" si="55"/>
        <v>0</v>
      </c>
      <c r="R117" s="259">
        <f t="shared" si="55"/>
        <v>0</v>
      </c>
      <c r="S117" s="259">
        <f t="shared" si="55"/>
        <v>0</v>
      </c>
      <c r="T117" s="259">
        <f t="shared" si="55"/>
        <v>0</v>
      </c>
      <c r="U117" s="259">
        <f t="shared" si="55"/>
        <v>0</v>
      </c>
      <c r="V117" s="259">
        <f t="shared" si="55"/>
        <v>0</v>
      </c>
      <c r="W117" s="259">
        <f t="shared" si="55"/>
        <v>0</v>
      </c>
      <c r="X117" s="259">
        <f t="shared" si="55"/>
        <v>0</v>
      </c>
      <c r="Y117" s="259">
        <f t="shared" si="55"/>
        <v>0</v>
      </c>
      <c r="Z117" s="259">
        <f t="shared" si="55"/>
        <v>0</v>
      </c>
      <c r="AA117" s="259">
        <f t="shared" si="55"/>
        <v>0</v>
      </c>
      <c r="AB117" s="259">
        <f t="shared" si="55"/>
        <v>0</v>
      </c>
      <c r="AC117" s="259">
        <f t="shared" si="55"/>
        <v>0</v>
      </c>
      <c r="AD117" s="259">
        <f t="shared" si="55"/>
        <v>0</v>
      </c>
      <c r="AE117" s="259">
        <f t="shared" si="55"/>
        <v>0</v>
      </c>
      <c r="AF117" s="259">
        <f t="shared" si="55"/>
        <v>0</v>
      </c>
      <c r="AG117" s="259">
        <f t="shared" si="55"/>
        <v>0</v>
      </c>
      <c r="AH117" s="259">
        <f t="shared" si="55"/>
        <v>0</v>
      </c>
      <c r="AI117" s="259">
        <f t="shared" si="55"/>
        <v>0</v>
      </c>
      <c r="AJ117" s="259">
        <f t="shared" si="55"/>
        <v>0</v>
      </c>
      <c r="AK117" s="259"/>
      <c r="AL117" s="24"/>
      <c r="AM117" s="23"/>
      <c r="AN117" s="23"/>
      <c r="AO117" s="23"/>
      <c r="AP117" s="23"/>
    </row>
    <row r="118" spans="1:42" ht="13.5" thickBot="1">
      <c r="A118" s="165"/>
      <c r="B118" s="815" t="s">
        <v>588</v>
      </c>
      <c r="C118" s="1234"/>
      <c r="D118" s="283">
        <f>D44</f>
        <v>0</v>
      </c>
      <c r="E118" s="283">
        <f>E115-E117</f>
        <v>0</v>
      </c>
      <c r="F118" s="283">
        <f>F115-F117</f>
        <v>0</v>
      </c>
      <c r="G118" s="283">
        <f t="shared" ref="G118:AJ118" si="56">G115-G117</f>
        <v>0</v>
      </c>
      <c r="H118" s="283">
        <f t="shared" si="56"/>
        <v>0</v>
      </c>
      <c r="I118" s="283">
        <f t="shared" si="56"/>
        <v>0</v>
      </c>
      <c r="J118" s="283">
        <f t="shared" si="56"/>
        <v>0</v>
      </c>
      <c r="K118" s="283">
        <f t="shared" si="56"/>
        <v>0</v>
      </c>
      <c r="L118" s="283">
        <f t="shared" si="56"/>
        <v>0</v>
      </c>
      <c r="M118" s="283">
        <f t="shared" si="56"/>
        <v>0</v>
      </c>
      <c r="N118" s="283">
        <f t="shared" si="56"/>
        <v>0</v>
      </c>
      <c r="O118" s="283">
        <f t="shared" si="56"/>
        <v>0</v>
      </c>
      <c r="P118" s="283">
        <f t="shared" si="56"/>
        <v>0</v>
      </c>
      <c r="Q118" s="283">
        <f t="shared" si="56"/>
        <v>0</v>
      </c>
      <c r="R118" s="283">
        <f t="shared" si="56"/>
        <v>0</v>
      </c>
      <c r="S118" s="283">
        <f t="shared" si="56"/>
        <v>0</v>
      </c>
      <c r="T118" s="283">
        <f t="shared" si="56"/>
        <v>0</v>
      </c>
      <c r="U118" s="283">
        <f t="shared" si="56"/>
        <v>0</v>
      </c>
      <c r="V118" s="283">
        <f t="shared" si="56"/>
        <v>0</v>
      </c>
      <c r="W118" s="283">
        <f t="shared" si="56"/>
        <v>0</v>
      </c>
      <c r="X118" s="283">
        <f t="shared" si="56"/>
        <v>0</v>
      </c>
      <c r="Y118" s="283">
        <f t="shared" si="56"/>
        <v>0</v>
      </c>
      <c r="Z118" s="283">
        <f t="shared" si="56"/>
        <v>0</v>
      </c>
      <c r="AA118" s="283">
        <f t="shared" si="56"/>
        <v>0</v>
      </c>
      <c r="AB118" s="283">
        <f t="shared" si="56"/>
        <v>0</v>
      </c>
      <c r="AC118" s="283">
        <f t="shared" si="56"/>
        <v>0</v>
      </c>
      <c r="AD118" s="283">
        <f t="shared" si="56"/>
        <v>0</v>
      </c>
      <c r="AE118" s="283">
        <f t="shared" si="56"/>
        <v>0</v>
      </c>
      <c r="AF118" s="283">
        <f t="shared" si="56"/>
        <v>0</v>
      </c>
      <c r="AG118" s="283">
        <f t="shared" si="56"/>
        <v>0</v>
      </c>
      <c r="AH118" s="283">
        <f t="shared" si="56"/>
        <v>0</v>
      </c>
      <c r="AI118" s="283">
        <f t="shared" si="56"/>
        <v>0</v>
      </c>
      <c r="AJ118" s="284">
        <f t="shared" si="56"/>
        <v>0</v>
      </c>
      <c r="AK118" s="259"/>
      <c r="AL118" s="24"/>
      <c r="AM118" s="23"/>
      <c r="AN118" s="23"/>
      <c r="AO118" s="23"/>
      <c r="AP118" s="23"/>
    </row>
    <row r="119" spans="1:42" ht="13.5" thickBot="1">
      <c r="A119" s="36"/>
      <c r="B119" s="62"/>
      <c r="C119" s="62"/>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7"/>
      <c r="AI119" s="37"/>
      <c r="AJ119" s="37"/>
      <c r="AK119" s="1419"/>
      <c r="AL119" s="37"/>
      <c r="AM119" s="37"/>
      <c r="AN119" s="37"/>
      <c r="AO119" s="37"/>
      <c r="AP119" s="37"/>
    </row>
    <row r="120" spans="1:42" ht="13.5" thickBot="1">
      <c r="B120" s="447" t="s">
        <v>759</v>
      </c>
      <c r="C120" s="1233"/>
      <c r="D120" s="448"/>
      <c r="E120" s="1240">
        <f>Assum!$F$25</f>
        <v>36159</v>
      </c>
      <c r="F120" s="1240">
        <f t="shared" ref="F120:AJ120" si="57">F114</f>
        <v>36524</v>
      </c>
      <c r="G120" s="1240">
        <f t="shared" si="57"/>
        <v>36890</v>
      </c>
      <c r="H120" s="1240">
        <f t="shared" si="57"/>
        <v>37255</v>
      </c>
      <c r="I120" s="1240">
        <f t="shared" si="57"/>
        <v>37620</v>
      </c>
      <c r="J120" s="1240">
        <f t="shared" si="57"/>
        <v>37985</v>
      </c>
      <c r="K120" s="1240">
        <f t="shared" si="57"/>
        <v>38351</v>
      </c>
      <c r="L120" s="1240">
        <f t="shared" si="57"/>
        <v>38716</v>
      </c>
      <c r="M120" s="1240">
        <f t="shared" si="57"/>
        <v>39081</v>
      </c>
      <c r="N120" s="1240">
        <f t="shared" si="57"/>
        <v>39446</v>
      </c>
      <c r="O120" s="1240">
        <f t="shared" si="57"/>
        <v>39812</v>
      </c>
      <c r="P120" s="1240">
        <f t="shared" si="57"/>
        <v>40177</v>
      </c>
      <c r="Q120" s="1240">
        <f t="shared" si="57"/>
        <v>40542</v>
      </c>
      <c r="R120" s="1240">
        <f t="shared" si="57"/>
        <v>40907</v>
      </c>
      <c r="S120" s="1240">
        <f t="shared" si="57"/>
        <v>41273</v>
      </c>
      <c r="T120" s="1240">
        <f t="shared" si="57"/>
        <v>41638</v>
      </c>
      <c r="U120" s="1240">
        <f t="shared" si="57"/>
        <v>42003</v>
      </c>
      <c r="V120" s="1240">
        <f t="shared" si="57"/>
        <v>42368</v>
      </c>
      <c r="W120" s="1240">
        <f t="shared" si="57"/>
        <v>42734</v>
      </c>
      <c r="X120" s="1240">
        <f t="shared" si="57"/>
        <v>43099</v>
      </c>
      <c r="Y120" s="1240">
        <f t="shared" si="57"/>
        <v>43464</v>
      </c>
      <c r="Z120" s="1240">
        <f t="shared" si="57"/>
        <v>43829</v>
      </c>
      <c r="AA120" s="1240">
        <f t="shared" si="57"/>
        <v>44195</v>
      </c>
      <c r="AB120" s="1240">
        <f t="shared" si="57"/>
        <v>44560</v>
      </c>
      <c r="AC120" s="1240">
        <f t="shared" si="57"/>
        <v>44925</v>
      </c>
      <c r="AD120" s="1240">
        <f t="shared" si="57"/>
        <v>45290</v>
      </c>
      <c r="AE120" s="1240">
        <f t="shared" si="57"/>
        <v>45656</v>
      </c>
      <c r="AF120" s="1240">
        <f t="shared" si="57"/>
        <v>46021</v>
      </c>
      <c r="AG120" s="1240">
        <f t="shared" si="57"/>
        <v>46386</v>
      </c>
      <c r="AH120" s="1240">
        <f t="shared" si="57"/>
        <v>46751</v>
      </c>
      <c r="AI120" s="1240">
        <f t="shared" si="57"/>
        <v>47117</v>
      </c>
      <c r="AJ120" s="1240">
        <f t="shared" si="57"/>
        <v>47482</v>
      </c>
      <c r="AK120"/>
    </row>
    <row r="121" spans="1:42">
      <c r="B121" s="638" t="s">
        <v>7</v>
      </c>
      <c r="C121" s="542"/>
      <c r="D121" s="542"/>
      <c r="E121" s="542">
        <f>E109+E115</f>
        <v>40271.353865997233</v>
      </c>
      <c r="F121" s="263">
        <f t="shared" ref="F121:AJ124" si="58">F109+F115</f>
        <v>38187.74205077158</v>
      </c>
      <c r="G121" s="263">
        <f t="shared" si="58"/>
        <v>37243.782330937946</v>
      </c>
      <c r="H121" s="263">
        <f t="shared" si="58"/>
        <v>36174.744908188542</v>
      </c>
      <c r="I121" s="263">
        <f t="shared" si="58"/>
        <v>35005.094106009376</v>
      </c>
      <c r="J121" s="263">
        <f t="shared" si="58"/>
        <v>33728.875518620756</v>
      </c>
      <c r="K121" s="263">
        <f t="shared" si="58"/>
        <v>32107.624406659925</v>
      </c>
      <c r="L121" s="263">
        <f t="shared" si="58"/>
        <v>30635.916196230162</v>
      </c>
      <c r="M121" s="263">
        <f t="shared" si="58"/>
        <v>29001.733403821036</v>
      </c>
      <c r="N121" s="263">
        <f t="shared" si="58"/>
        <v>27197.75464172319</v>
      </c>
      <c r="O121" s="263">
        <f t="shared" si="58"/>
        <v>25152.160948798715</v>
      </c>
      <c r="P121" s="263">
        <f t="shared" si="58"/>
        <v>22838.790497899885</v>
      </c>
      <c r="Q121" s="263">
        <f t="shared" si="58"/>
        <v>20210.730892961019</v>
      </c>
      <c r="R121" s="263">
        <f t="shared" si="58"/>
        <v>17246.813505531612</v>
      </c>
      <c r="S121" s="263">
        <f t="shared" si="58"/>
        <v>14071.163516601833</v>
      </c>
      <c r="T121" s="263">
        <f t="shared" si="58"/>
        <v>10675.331525783466</v>
      </c>
      <c r="U121" s="263">
        <f t="shared" si="58"/>
        <v>7107.1689343175258</v>
      </c>
      <c r="V121" s="263">
        <f t="shared" si="58"/>
        <v>3245.2653228400031</v>
      </c>
      <c r="W121" s="263">
        <f t="shared" si="58"/>
        <v>6.3664629124104977E-12</v>
      </c>
      <c r="X121" s="263">
        <f t="shared" si="58"/>
        <v>6.3664629124104977E-12</v>
      </c>
      <c r="Y121" s="263">
        <f t="shared" si="58"/>
        <v>6.3664629124104977E-12</v>
      </c>
      <c r="Z121" s="263">
        <f t="shared" si="58"/>
        <v>6.3664629124104977E-12</v>
      </c>
      <c r="AA121" s="263">
        <f t="shared" si="58"/>
        <v>6.3664629124104977E-12</v>
      </c>
      <c r="AB121" s="263">
        <f t="shared" si="58"/>
        <v>6.3664629124104977E-12</v>
      </c>
      <c r="AC121" s="263">
        <f t="shared" si="58"/>
        <v>6.3664629124104977E-12</v>
      </c>
      <c r="AD121" s="263">
        <f t="shared" si="58"/>
        <v>6.3664629124104977E-12</v>
      </c>
      <c r="AE121" s="263">
        <f t="shared" si="58"/>
        <v>6.3664629124104977E-12</v>
      </c>
      <c r="AF121" s="263">
        <f t="shared" si="58"/>
        <v>6.3664629124104977E-12</v>
      </c>
      <c r="AG121" s="263">
        <f t="shared" si="58"/>
        <v>6.3664629124104977E-12</v>
      </c>
      <c r="AH121" s="263">
        <f t="shared" si="58"/>
        <v>6.3664629124104977E-12</v>
      </c>
      <c r="AI121" s="263">
        <f t="shared" si="58"/>
        <v>6.3664629124104977E-12</v>
      </c>
      <c r="AJ121" s="267">
        <f t="shared" si="58"/>
        <v>6.3664629124104977E-12</v>
      </c>
      <c r="AK121"/>
    </row>
    <row r="122" spans="1:42">
      <c r="B122" s="238" t="s">
        <v>158</v>
      </c>
      <c r="C122" s="259">
        <f>SUM(E122:AI122)</f>
        <v>41612.965660908361</v>
      </c>
      <c r="D122" s="259"/>
      <c r="E122" s="259">
        <f>E110+E116</f>
        <v>3647.4391780684955</v>
      </c>
      <c r="F122" s="259">
        <f t="shared" ref="F122:T122" si="59">F110+F116</f>
        <v>3501.7919323124306</v>
      </c>
      <c r="G122" s="259">
        <f t="shared" si="59"/>
        <v>3421.5036127609756</v>
      </c>
      <c r="H122" s="259">
        <f t="shared" si="59"/>
        <v>3310.9744499185717</v>
      </c>
      <c r="I122" s="259">
        <f t="shared" si="59"/>
        <v>3200.6554985769753</v>
      </c>
      <c r="J122" s="259">
        <f t="shared" si="59"/>
        <v>3075.1139920557252</v>
      </c>
      <c r="K122" s="259">
        <f t="shared" si="59"/>
        <v>2937.2205048026381</v>
      </c>
      <c r="L122" s="259">
        <f t="shared" si="59"/>
        <v>2789.4708736427183</v>
      </c>
      <c r="M122" s="259">
        <f t="shared" si="59"/>
        <v>2634.8656934600317</v>
      </c>
      <c r="N122" s="259">
        <f t="shared" si="59"/>
        <v>2462.9718859667623</v>
      </c>
      <c r="O122" s="259">
        <f t="shared" si="59"/>
        <v>2274.6973399833641</v>
      </c>
      <c r="P122" s="259">
        <f t="shared" si="59"/>
        <v>2047.654411103787</v>
      </c>
      <c r="Q122" s="259">
        <f t="shared" si="59"/>
        <v>1807.4866043508746</v>
      </c>
      <c r="R122" s="259">
        <f t="shared" si="59"/>
        <v>1536.0831557882163</v>
      </c>
      <c r="S122" s="259">
        <f t="shared" si="59"/>
        <v>1245.272139487553</v>
      </c>
      <c r="T122" s="259">
        <f t="shared" si="59"/>
        <v>924.13628437959096</v>
      </c>
      <c r="U122" s="259">
        <f t="shared" si="58"/>
        <v>584.06076804614349</v>
      </c>
      <c r="V122" s="259">
        <f t="shared" si="58"/>
        <v>211.56733620350326</v>
      </c>
      <c r="W122" s="259">
        <f t="shared" si="58"/>
        <v>0</v>
      </c>
      <c r="X122" s="259">
        <f t="shared" si="58"/>
        <v>0</v>
      </c>
      <c r="Y122" s="259">
        <f t="shared" si="58"/>
        <v>0</v>
      </c>
      <c r="Z122" s="259">
        <f t="shared" si="58"/>
        <v>0</v>
      </c>
      <c r="AA122" s="259">
        <f t="shared" si="58"/>
        <v>0</v>
      </c>
      <c r="AB122" s="259">
        <f t="shared" si="58"/>
        <v>0</v>
      </c>
      <c r="AC122" s="259">
        <f t="shared" si="58"/>
        <v>0</v>
      </c>
      <c r="AD122" s="259">
        <f t="shared" si="58"/>
        <v>0</v>
      </c>
      <c r="AE122" s="259">
        <f t="shared" si="58"/>
        <v>0</v>
      </c>
      <c r="AF122" s="259">
        <f t="shared" si="58"/>
        <v>0</v>
      </c>
      <c r="AG122" s="259">
        <f t="shared" si="58"/>
        <v>0</v>
      </c>
      <c r="AH122" s="259">
        <f t="shared" si="58"/>
        <v>0</v>
      </c>
      <c r="AI122" s="259">
        <f t="shared" si="58"/>
        <v>0</v>
      </c>
      <c r="AJ122" s="1280">
        <f t="shared" si="58"/>
        <v>0</v>
      </c>
      <c r="AK122"/>
    </row>
    <row r="123" spans="1:42">
      <c r="B123" s="264" t="s">
        <v>159</v>
      </c>
      <c r="C123" s="259">
        <f>SUM(E123:AI123)</f>
        <v>40271.353865997226</v>
      </c>
      <c r="D123" s="259"/>
      <c r="E123" s="259">
        <f>E111+E117</f>
        <v>2083.6118152256513</v>
      </c>
      <c r="F123" s="259">
        <f t="shared" si="58"/>
        <v>943.95971983363711</v>
      </c>
      <c r="G123" s="259">
        <f t="shared" si="58"/>
        <v>1069.0374227494012</v>
      </c>
      <c r="H123" s="259">
        <f t="shared" si="58"/>
        <v>1169.6508021791685</v>
      </c>
      <c r="I123" s="259">
        <f t="shared" si="58"/>
        <v>1276.2185873886185</v>
      </c>
      <c r="J123" s="259">
        <f t="shared" si="58"/>
        <v>1621.2511119608309</v>
      </c>
      <c r="K123" s="259">
        <f t="shared" si="58"/>
        <v>1471.708210429764</v>
      </c>
      <c r="L123" s="259">
        <f t="shared" si="58"/>
        <v>1634.1827924091283</v>
      </c>
      <c r="M123" s="259">
        <f t="shared" si="58"/>
        <v>1803.9787620978454</v>
      </c>
      <c r="N123" s="259">
        <f t="shared" si="58"/>
        <v>2045.593692924474</v>
      </c>
      <c r="O123" s="259">
        <f t="shared" si="58"/>
        <v>2313.3704508988321</v>
      </c>
      <c r="P123" s="259">
        <f t="shared" si="58"/>
        <v>2628.0596049388673</v>
      </c>
      <c r="Q123" s="259">
        <f t="shared" si="58"/>
        <v>2963.9173874294074</v>
      </c>
      <c r="R123" s="259">
        <f t="shared" si="58"/>
        <v>3175.6499889297793</v>
      </c>
      <c r="S123" s="259">
        <f t="shared" si="58"/>
        <v>3395.831990818368</v>
      </c>
      <c r="T123" s="259">
        <f t="shared" si="58"/>
        <v>3568.1625914659394</v>
      </c>
      <c r="U123" s="259">
        <f t="shared" si="58"/>
        <v>3861.9036114775226</v>
      </c>
      <c r="V123" s="259">
        <f t="shared" si="58"/>
        <v>3245.2653228399968</v>
      </c>
      <c r="W123" s="259">
        <f t="shared" si="58"/>
        <v>0</v>
      </c>
      <c r="X123" s="259">
        <f t="shared" si="58"/>
        <v>0</v>
      </c>
      <c r="Y123" s="259">
        <f t="shared" si="58"/>
        <v>0</v>
      </c>
      <c r="Z123" s="259">
        <f t="shared" si="58"/>
        <v>0</v>
      </c>
      <c r="AA123" s="259">
        <f t="shared" si="58"/>
        <v>0</v>
      </c>
      <c r="AB123" s="259">
        <f t="shared" si="58"/>
        <v>0</v>
      </c>
      <c r="AC123" s="259">
        <f t="shared" si="58"/>
        <v>0</v>
      </c>
      <c r="AD123" s="259">
        <f t="shared" si="58"/>
        <v>0</v>
      </c>
      <c r="AE123" s="259">
        <f t="shared" si="58"/>
        <v>0</v>
      </c>
      <c r="AF123" s="259">
        <f t="shared" si="58"/>
        <v>0</v>
      </c>
      <c r="AG123" s="259">
        <f t="shared" si="58"/>
        <v>0</v>
      </c>
      <c r="AH123" s="259">
        <f t="shared" si="58"/>
        <v>0</v>
      </c>
      <c r="AI123" s="259">
        <f t="shared" si="58"/>
        <v>0</v>
      </c>
      <c r="AJ123" s="1280">
        <f t="shared" si="58"/>
        <v>0</v>
      </c>
      <c r="AK123"/>
    </row>
    <row r="124" spans="1:42" ht="13.5" thickBot="1">
      <c r="B124" s="815" t="s">
        <v>588</v>
      </c>
      <c r="C124" s="1234"/>
      <c r="D124" s="283"/>
      <c r="E124" s="283">
        <f>E112+E118</f>
        <v>38187.74205077158</v>
      </c>
      <c r="F124" s="283">
        <f t="shared" si="58"/>
        <v>37243.782330937946</v>
      </c>
      <c r="G124" s="283">
        <f t="shared" si="58"/>
        <v>36174.744908188542</v>
      </c>
      <c r="H124" s="283">
        <f t="shared" si="58"/>
        <v>35005.094106009376</v>
      </c>
      <c r="I124" s="283">
        <f t="shared" si="58"/>
        <v>33728.875518620756</v>
      </c>
      <c r="J124" s="283">
        <f t="shared" si="58"/>
        <v>32107.624406659925</v>
      </c>
      <c r="K124" s="283">
        <f t="shared" si="58"/>
        <v>30635.916196230162</v>
      </c>
      <c r="L124" s="283">
        <f t="shared" si="58"/>
        <v>29001.733403821036</v>
      </c>
      <c r="M124" s="283">
        <f t="shared" si="58"/>
        <v>27197.75464172319</v>
      </c>
      <c r="N124" s="283">
        <f t="shared" si="58"/>
        <v>25152.160948798715</v>
      </c>
      <c r="O124" s="283">
        <f t="shared" si="58"/>
        <v>22838.790497899885</v>
      </c>
      <c r="P124" s="283">
        <f t="shared" si="58"/>
        <v>20210.730892961019</v>
      </c>
      <c r="Q124" s="283">
        <f t="shared" si="58"/>
        <v>17246.813505531612</v>
      </c>
      <c r="R124" s="283">
        <f t="shared" si="58"/>
        <v>14071.163516601833</v>
      </c>
      <c r="S124" s="283">
        <f t="shared" si="58"/>
        <v>10675.331525783466</v>
      </c>
      <c r="T124" s="283">
        <f t="shared" si="58"/>
        <v>7107.1689343175258</v>
      </c>
      <c r="U124" s="283">
        <f t="shared" si="58"/>
        <v>3245.2653228400031</v>
      </c>
      <c r="V124" s="283">
        <f t="shared" si="58"/>
        <v>6.3664629124104977E-12</v>
      </c>
      <c r="W124" s="283">
        <f t="shared" si="58"/>
        <v>6.3664629124104977E-12</v>
      </c>
      <c r="X124" s="283">
        <f t="shared" si="58"/>
        <v>6.3664629124104977E-12</v>
      </c>
      <c r="Y124" s="283">
        <f t="shared" si="58"/>
        <v>6.3664629124104977E-12</v>
      </c>
      <c r="Z124" s="283">
        <f t="shared" si="58"/>
        <v>6.3664629124104977E-12</v>
      </c>
      <c r="AA124" s="283">
        <f t="shared" si="58"/>
        <v>6.3664629124104977E-12</v>
      </c>
      <c r="AB124" s="283">
        <f t="shared" si="58"/>
        <v>6.3664629124104977E-12</v>
      </c>
      <c r="AC124" s="283">
        <f t="shared" si="58"/>
        <v>6.3664629124104977E-12</v>
      </c>
      <c r="AD124" s="283">
        <f t="shared" si="58"/>
        <v>6.3664629124104977E-12</v>
      </c>
      <c r="AE124" s="283">
        <f t="shared" si="58"/>
        <v>6.3664629124104977E-12</v>
      </c>
      <c r="AF124" s="283">
        <f t="shared" si="58"/>
        <v>6.3664629124104977E-12</v>
      </c>
      <c r="AG124" s="283">
        <f t="shared" si="58"/>
        <v>6.3664629124104977E-12</v>
      </c>
      <c r="AH124" s="283">
        <f t="shared" si="58"/>
        <v>6.3664629124104977E-12</v>
      </c>
      <c r="AI124" s="283">
        <f t="shared" si="58"/>
        <v>6.3664629124104977E-12</v>
      </c>
      <c r="AJ124" s="284">
        <f t="shared" si="58"/>
        <v>6.3664629124104977E-12</v>
      </c>
      <c r="AK124"/>
    </row>
    <row r="125" spans="1:42">
      <c r="AK125"/>
    </row>
    <row r="126" spans="1:42">
      <c r="A126" s="36"/>
      <c r="B126" s="1539" t="s">
        <v>807</v>
      </c>
      <c r="C126" s="62"/>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c r="AE126" s="37"/>
      <c r="AF126" s="37"/>
      <c r="AG126" s="37"/>
      <c r="AH126" s="37"/>
      <c r="AI126" s="37"/>
      <c r="AJ126" s="37"/>
      <c r="AK126" s="1419"/>
      <c r="AL126" s="37"/>
      <c r="AM126" s="37"/>
      <c r="AN126" s="37"/>
      <c r="AO126" s="37"/>
      <c r="AP126" s="37"/>
    </row>
    <row r="127" spans="1:42">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1420"/>
      <c r="AL127" s="25"/>
      <c r="AM127" s="25"/>
      <c r="AN127" s="25"/>
      <c r="AO127" s="25"/>
      <c r="AP127" s="25"/>
    </row>
    <row r="128" spans="1:42">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K128" s="259"/>
      <c r="AL128" s="24"/>
      <c r="AM128" s="23"/>
      <c r="AN128" s="23"/>
      <c r="AO128" s="23"/>
      <c r="AP128" s="23"/>
    </row>
    <row r="129" spans="1:42">
      <c r="A129" s="23"/>
      <c r="B129" s="23"/>
      <c r="C129" s="1244"/>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1421"/>
      <c r="AL129" s="23"/>
      <c r="AM129" s="23"/>
      <c r="AN129" s="23"/>
      <c r="AO129" s="23"/>
      <c r="AP129" s="23"/>
    </row>
    <row r="130" spans="1:42">
      <c r="A130" s="23"/>
      <c r="B130" s="23"/>
      <c r="C130" s="259"/>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1421"/>
      <c r="AL130" s="23"/>
      <c r="AM130" s="23"/>
      <c r="AN130" s="23"/>
      <c r="AO130" s="23"/>
      <c r="AP130" s="23"/>
    </row>
    <row r="131" spans="1:42">
      <c r="C131" s="259"/>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row>
    <row r="268" spans="4:4"/>
    <row r="378" spans="1:41">
      <c r="A378" s="4"/>
      <c r="B378" s="4"/>
      <c r="C378" s="4"/>
      <c r="D378" s="10"/>
      <c r="E378" s="4"/>
      <c r="F378" s="4"/>
      <c r="G378" s="4"/>
      <c r="H378" s="4"/>
      <c r="I378" s="4"/>
      <c r="J378" s="4"/>
      <c r="K378" s="4"/>
      <c r="L378" s="4"/>
      <c r="M378" s="4"/>
      <c r="N378" s="4"/>
      <c r="O378" s="4"/>
      <c r="P378" s="4"/>
      <c r="Q378" s="4"/>
      <c r="R378" s="4"/>
      <c r="S378" s="4"/>
      <c r="T378" s="4"/>
      <c r="U378" s="4"/>
      <c r="V378" s="4"/>
      <c r="W378" s="4"/>
      <c r="X378" s="4"/>
      <c r="Y378" s="4"/>
      <c r="Z378" s="4"/>
      <c r="AA378" s="4"/>
      <c r="AB378" s="3"/>
      <c r="AC378" s="3"/>
      <c r="AD378" s="3"/>
      <c r="AE378" s="3"/>
      <c r="AF378" s="3"/>
      <c r="AG378" s="3"/>
      <c r="AH378" s="3"/>
      <c r="AI378" s="3"/>
      <c r="AJ378" s="3"/>
      <c r="AK378" s="1422"/>
      <c r="AL378" s="3"/>
      <c r="AM378" s="3"/>
      <c r="AN378" s="3"/>
      <c r="AO378" s="3"/>
    </row>
    <row r="379" spans="1:4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3"/>
      <c r="AC379" s="3"/>
      <c r="AD379" s="3"/>
      <c r="AE379" s="3"/>
      <c r="AF379" s="3"/>
      <c r="AG379" s="3"/>
      <c r="AH379" s="3"/>
      <c r="AI379" s="3"/>
      <c r="AJ379" s="3"/>
      <c r="AK379" s="1422"/>
      <c r="AL379" s="3"/>
      <c r="AM379" s="3"/>
      <c r="AN379" s="3"/>
      <c r="AO379" s="3"/>
    </row>
    <row r="380" spans="1:41">
      <c r="A380" s="4"/>
      <c r="B380" s="4"/>
      <c r="C380" s="4"/>
      <c r="D380" s="4"/>
      <c r="E380" s="4"/>
      <c r="F380" s="4"/>
      <c r="G380" s="4"/>
      <c r="H380" s="4"/>
      <c r="I380" s="10"/>
      <c r="J380" s="4"/>
      <c r="K380" s="4"/>
      <c r="L380" s="4"/>
      <c r="M380" s="4"/>
      <c r="N380" s="4"/>
      <c r="O380" s="4"/>
      <c r="P380" s="4"/>
      <c r="Q380" s="4"/>
      <c r="R380" s="4"/>
      <c r="S380" s="4"/>
      <c r="T380" s="4"/>
      <c r="U380" s="4"/>
      <c r="V380" s="4"/>
      <c r="W380" s="4"/>
      <c r="X380" s="4"/>
      <c r="Y380" s="4"/>
      <c r="Z380" s="4"/>
      <c r="AA380" s="4"/>
      <c r="AB380" s="11"/>
      <c r="AC380" s="11"/>
      <c r="AD380" s="11"/>
      <c r="AE380" s="11"/>
      <c r="AF380" s="11"/>
      <c r="AG380" s="11"/>
      <c r="AH380" s="11"/>
      <c r="AI380" s="11"/>
      <c r="AJ380" s="11"/>
      <c r="AK380" s="1423"/>
      <c r="AL380" s="11"/>
      <c r="AM380" s="11"/>
      <c r="AN380" s="11"/>
      <c r="AO380" s="11"/>
    </row>
    <row r="381" spans="1:41">
      <c r="A381" s="4"/>
      <c r="B381" s="4"/>
      <c r="C381" s="4"/>
      <c r="D381" s="12"/>
      <c r="E381" s="4"/>
      <c r="F381" s="4"/>
      <c r="G381" s="4"/>
      <c r="H381" s="4"/>
      <c r="I381" s="4"/>
      <c r="J381" s="4"/>
      <c r="K381" s="4"/>
      <c r="L381" s="4"/>
      <c r="M381" s="4"/>
      <c r="N381" s="4"/>
      <c r="O381" s="4"/>
      <c r="P381" s="4"/>
      <c r="Q381" s="4"/>
      <c r="R381" s="4"/>
      <c r="S381" s="4"/>
      <c r="T381" s="4"/>
      <c r="U381" s="4"/>
      <c r="V381" s="4"/>
      <c r="W381" s="4"/>
      <c r="X381" s="4"/>
      <c r="Y381" s="4"/>
      <c r="Z381" s="4"/>
      <c r="AA381" s="4"/>
      <c r="AB381" s="11"/>
      <c r="AC381" s="11"/>
      <c r="AD381" s="11"/>
      <c r="AE381" s="11"/>
      <c r="AF381" s="11"/>
      <c r="AG381" s="11"/>
      <c r="AH381" s="11"/>
      <c r="AI381" s="11"/>
      <c r="AJ381" s="11"/>
      <c r="AK381" s="1423"/>
      <c r="AL381" s="11"/>
      <c r="AM381" s="11"/>
      <c r="AN381" s="11"/>
      <c r="AO381" s="11"/>
    </row>
    <row r="382" spans="1:41">
      <c r="A382" s="4"/>
      <c r="B382" s="4"/>
      <c r="C382" s="4"/>
      <c r="D382" s="12"/>
      <c r="E382" s="4"/>
      <c r="F382" s="4"/>
      <c r="G382" s="4"/>
      <c r="H382" s="4"/>
      <c r="I382" s="10"/>
      <c r="J382" s="4"/>
      <c r="K382" s="4"/>
      <c r="L382" s="4"/>
      <c r="M382" s="4"/>
      <c r="N382" s="4"/>
      <c r="O382" s="4"/>
      <c r="P382" s="4"/>
      <c r="Q382" s="4"/>
      <c r="R382" s="4"/>
      <c r="S382" s="4"/>
      <c r="T382" s="4"/>
      <c r="U382" s="4"/>
      <c r="V382" s="4"/>
      <c r="W382" s="4"/>
      <c r="X382" s="4"/>
      <c r="Y382" s="4"/>
      <c r="Z382" s="4"/>
      <c r="AA382" s="4"/>
      <c r="AB382" s="11"/>
      <c r="AC382" s="11"/>
      <c r="AD382" s="11"/>
      <c r="AE382" s="11"/>
      <c r="AF382" s="11"/>
      <c r="AG382" s="11"/>
      <c r="AH382" s="11"/>
      <c r="AI382" s="11"/>
      <c r="AJ382" s="11"/>
      <c r="AK382" s="1423"/>
      <c r="AL382" s="11"/>
      <c r="AM382" s="11"/>
      <c r="AN382" s="11"/>
      <c r="AO382" s="11"/>
    </row>
    <row r="383" spans="1:41">
      <c r="A383" s="4"/>
      <c r="B383" s="4"/>
      <c r="C383" s="4"/>
      <c r="D383" s="12"/>
      <c r="E383" s="4"/>
      <c r="F383" s="4"/>
      <c r="G383" s="4"/>
      <c r="H383" s="4"/>
      <c r="I383" s="10"/>
      <c r="J383" s="4"/>
      <c r="K383" s="4"/>
      <c r="L383" s="4"/>
      <c r="M383" s="4"/>
      <c r="N383" s="4"/>
      <c r="O383" s="4"/>
      <c r="P383" s="4"/>
      <c r="Q383" s="4"/>
      <c r="R383" s="4"/>
      <c r="S383" s="4"/>
      <c r="T383" s="4"/>
      <c r="U383" s="4"/>
      <c r="V383" s="4"/>
      <c r="W383" s="4"/>
      <c r="X383" s="4"/>
      <c r="Y383" s="4"/>
      <c r="Z383" s="4"/>
      <c r="AA383" s="4"/>
      <c r="AB383" s="11"/>
      <c r="AC383" s="11"/>
      <c r="AD383" s="11"/>
      <c r="AE383" s="11"/>
      <c r="AF383" s="11"/>
      <c r="AG383" s="11"/>
      <c r="AH383" s="11"/>
      <c r="AI383" s="11"/>
      <c r="AJ383" s="11"/>
      <c r="AK383" s="1423"/>
      <c r="AL383" s="11"/>
      <c r="AM383" s="11"/>
      <c r="AN383" s="11"/>
      <c r="AO383" s="11"/>
    </row>
    <row r="384" spans="1:41">
      <c r="A384" s="4"/>
      <c r="B384" s="4"/>
      <c r="C384" s="4"/>
      <c r="D384" s="12"/>
      <c r="E384" s="4"/>
      <c r="F384" s="4"/>
      <c r="G384" s="4"/>
      <c r="H384" s="4"/>
      <c r="I384" s="10"/>
      <c r="J384" s="4"/>
      <c r="K384" s="4"/>
      <c r="L384" s="4"/>
      <c r="M384" s="4"/>
      <c r="N384" s="4"/>
      <c r="O384" s="4"/>
      <c r="P384" s="4"/>
      <c r="Q384" s="4"/>
      <c r="R384" s="4"/>
      <c r="S384" s="4"/>
      <c r="T384" s="4"/>
      <c r="U384" s="4"/>
      <c r="V384" s="4"/>
      <c r="W384" s="4"/>
      <c r="X384" s="4"/>
      <c r="Y384" s="4"/>
      <c r="Z384" s="4"/>
      <c r="AA384" s="4"/>
      <c r="AB384" s="11"/>
      <c r="AC384" s="11"/>
      <c r="AD384" s="11"/>
      <c r="AE384" s="11"/>
      <c r="AF384" s="11"/>
      <c r="AG384" s="11"/>
      <c r="AH384" s="11"/>
      <c r="AI384" s="11"/>
      <c r="AJ384" s="11"/>
      <c r="AK384" s="1423"/>
      <c r="AL384" s="11"/>
      <c r="AM384" s="11"/>
      <c r="AN384" s="11"/>
      <c r="AO384" s="11"/>
    </row>
    <row r="385" spans="1:41">
      <c r="A385" s="4"/>
      <c r="B385" s="4"/>
      <c r="C385" s="4"/>
      <c r="D385" s="12"/>
      <c r="E385" s="4"/>
      <c r="F385" s="4"/>
      <c r="G385" s="4"/>
      <c r="H385" s="4"/>
      <c r="I385" s="10"/>
      <c r="J385" s="4"/>
      <c r="K385" s="4"/>
      <c r="L385" s="4"/>
      <c r="M385" s="4"/>
      <c r="N385" s="4"/>
      <c r="O385" s="4"/>
      <c r="P385" s="4"/>
      <c r="Q385" s="4"/>
      <c r="R385" s="4"/>
      <c r="S385" s="4"/>
      <c r="T385" s="4"/>
      <c r="U385" s="4"/>
      <c r="V385" s="4"/>
      <c r="W385" s="4"/>
      <c r="X385" s="4"/>
      <c r="Y385" s="4"/>
      <c r="Z385" s="4"/>
      <c r="AA385" s="4"/>
      <c r="AB385" s="11"/>
      <c r="AC385" s="11"/>
      <c r="AD385" s="11"/>
      <c r="AE385" s="11"/>
      <c r="AF385" s="11"/>
      <c r="AG385" s="11"/>
      <c r="AH385" s="11"/>
      <c r="AI385" s="11"/>
      <c r="AJ385" s="11"/>
      <c r="AK385" s="1423"/>
      <c r="AL385" s="11"/>
      <c r="AM385" s="11"/>
      <c r="AN385" s="11"/>
      <c r="AO385" s="11"/>
    </row>
    <row r="386" spans="1:41">
      <c r="A386" s="4"/>
      <c r="B386" s="4"/>
      <c r="C386" s="4"/>
      <c r="D386" s="12"/>
      <c r="E386" s="4"/>
      <c r="F386" s="4"/>
      <c r="G386" s="4"/>
      <c r="H386" s="4"/>
      <c r="I386" s="10"/>
      <c r="J386" s="4"/>
      <c r="K386" s="4"/>
      <c r="L386" s="10"/>
      <c r="M386" s="10"/>
      <c r="N386" s="10"/>
      <c r="O386" s="10"/>
      <c r="P386" s="4"/>
      <c r="Q386" s="4"/>
      <c r="R386" s="4"/>
      <c r="S386" s="4"/>
      <c r="T386" s="4"/>
      <c r="U386" s="4"/>
      <c r="V386" s="4"/>
      <c r="W386" s="4"/>
      <c r="X386" s="4"/>
      <c r="Y386" s="4"/>
      <c r="Z386" s="4"/>
      <c r="AA386" s="4"/>
      <c r="AB386" s="11"/>
      <c r="AC386" s="11"/>
      <c r="AD386" s="11"/>
      <c r="AE386" s="11"/>
      <c r="AF386" s="11"/>
      <c r="AG386" s="11"/>
      <c r="AH386" s="11"/>
      <c r="AI386" s="11"/>
      <c r="AJ386" s="11"/>
      <c r="AK386" s="1423"/>
      <c r="AL386" s="11"/>
      <c r="AM386" s="11"/>
      <c r="AN386" s="11"/>
      <c r="AO386" s="11"/>
    </row>
    <row r="387" spans="1:41">
      <c r="A387" s="4"/>
      <c r="B387" s="4"/>
      <c r="C387" s="4"/>
      <c r="D387" s="12"/>
      <c r="E387" s="4"/>
      <c r="F387" s="4"/>
      <c r="G387" s="4"/>
      <c r="H387" s="4"/>
      <c r="I387" s="10"/>
      <c r="J387" s="4"/>
      <c r="K387" s="4"/>
      <c r="L387" s="13"/>
      <c r="M387" s="13"/>
      <c r="N387" s="14"/>
      <c r="O387" s="15"/>
      <c r="P387" s="4"/>
      <c r="Q387" s="4"/>
      <c r="R387" s="4"/>
      <c r="S387" s="4"/>
      <c r="T387" s="4"/>
      <c r="U387" s="4"/>
      <c r="V387" s="4"/>
      <c r="W387" s="4"/>
      <c r="X387" s="4"/>
      <c r="Y387" s="4"/>
      <c r="Z387" s="4"/>
      <c r="AA387" s="4"/>
      <c r="AB387" s="11"/>
      <c r="AC387" s="11"/>
      <c r="AD387" s="11"/>
      <c r="AE387" s="11"/>
      <c r="AF387" s="11"/>
      <c r="AG387" s="11"/>
      <c r="AH387" s="11"/>
      <c r="AI387" s="11"/>
      <c r="AJ387" s="11"/>
      <c r="AK387" s="1423"/>
      <c r="AL387" s="11"/>
      <c r="AM387" s="11"/>
      <c r="AN387" s="11"/>
      <c r="AO387" s="11"/>
    </row>
    <row r="388" spans="1:41">
      <c r="A388" s="4"/>
      <c r="B388" s="4"/>
      <c r="C388" s="4"/>
      <c r="D388" s="12"/>
      <c r="E388" s="4"/>
      <c r="G388" s="4"/>
      <c r="H388" s="4"/>
      <c r="I388" s="12"/>
      <c r="J388" s="4"/>
      <c r="K388" s="16"/>
      <c r="L388" s="12"/>
      <c r="M388" s="12"/>
      <c r="N388" s="14"/>
      <c r="O388" s="10"/>
      <c r="P388" s="4"/>
      <c r="Q388" s="4"/>
      <c r="R388" s="4"/>
      <c r="S388" s="4"/>
      <c r="T388" s="4"/>
      <c r="U388" s="4"/>
      <c r="V388" s="4"/>
      <c r="W388" s="4"/>
      <c r="X388" s="4"/>
      <c r="Y388" s="4"/>
      <c r="Z388" s="4"/>
      <c r="AA388" s="4"/>
      <c r="AB388" s="11"/>
      <c r="AC388" s="11"/>
      <c r="AD388" s="11"/>
      <c r="AE388" s="11"/>
      <c r="AF388" s="11"/>
      <c r="AG388" s="11"/>
      <c r="AH388" s="11"/>
      <c r="AI388" s="11"/>
      <c r="AJ388" s="11"/>
      <c r="AK388" s="1423"/>
      <c r="AL388" s="11"/>
      <c r="AM388" s="11"/>
      <c r="AN388" s="11"/>
      <c r="AO388" s="11"/>
    </row>
    <row r="389" spans="1:41">
      <c r="A389" s="4"/>
      <c r="B389" s="4"/>
      <c r="C389" s="4"/>
      <c r="D389" s="12"/>
      <c r="E389" s="4"/>
      <c r="F389" s="4"/>
      <c r="G389" s="4"/>
      <c r="H389" s="4"/>
      <c r="I389" s="12"/>
      <c r="J389" s="4"/>
      <c r="K389" s="17"/>
      <c r="L389" s="18"/>
      <c r="M389" s="19"/>
      <c r="N389" s="9"/>
      <c r="O389" s="10"/>
      <c r="P389" s="4"/>
      <c r="Q389" s="4"/>
      <c r="R389" s="4"/>
      <c r="S389" s="4"/>
      <c r="T389" s="4"/>
      <c r="U389" s="4"/>
      <c r="V389" s="4"/>
      <c r="W389" s="4"/>
      <c r="X389" s="4"/>
      <c r="Y389" s="4"/>
      <c r="Z389" s="4"/>
      <c r="AA389" s="4"/>
      <c r="AB389" s="11"/>
      <c r="AC389" s="11"/>
      <c r="AD389" s="11"/>
      <c r="AE389" s="11"/>
      <c r="AF389" s="11"/>
      <c r="AG389" s="11"/>
      <c r="AH389" s="11"/>
      <c r="AI389" s="11"/>
      <c r="AJ389" s="11"/>
      <c r="AK389" s="1423"/>
      <c r="AL389" s="11"/>
      <c r="AM389" s="11"/>
      <c r="AN389" s="11"/>
      <c r="AO389" s="11"/>
    </row>
    <row r="390" spans="1:41">
      <c r="A390" s="4"/>
      <c r="B390" s="4"/>
      <c r="C390" s="4"/>
      <c r="D390" s="12"/>
      <c r="E390" s="4"/>
      <c r="F390" s="4"/>
      <c r="G390" s="4"/>
      <c r="H390" s="4"/>
      <c r="I390" s="12"/>
      <c r="J390" s="4"/>
      <c r="K390" s="17"/>
      <c r="L390" s="12"/>
      <c r="M390" s="19"/>
      <c r="N390" s="9"/>
      <c r="O390" s="10"/>
      <c r="P390" s="4"/>
      <c r="Q390" s="4"/>
      <c r="R390" s="4"/>
      <c r="S390" s="4"/>
      <c r="T390" s="4"/>
      <c r="U390" s="4"/>
      <c r="V390" s="4"/>
      <c r="W390" s="4"/>
      <c r="X390" s="4"/>
      <c r="Y390" s="4"/>
      <c r="Z390" s="4"/>
      <c r="AA390" s="4"/>
      <c r="AB390" s="11"/>
      <c r="AC390" s="11"/>
      <c r="AD390" s="11"/>
      <c r="AE390" s="11"/>
      <c r="AF390" s="11"/>
      <c r="AG390" s="11"/>
      <c r="AH390" s="11"/>
      <c r="AI390" s="11"/>
      <c r="AJ390" s="11"/>
      <c r="AK390" s="1423"/>
      <c r="AL390" s="11"/>
      <c r="AM390" s="11"/>
      <c r="AN390" s="11"/>
      <c r="AO390" s="11"/>
    </row>
    <row r="391" spans="1:41">
      <c r="A391" s="4"/>
      <c r="B391" s="4"/>
      <c r="C391" s="4"/>
      <c r="D391" s="12"/>
      <c r="E391" s="4"/>
      <c r="F391" s="4"/>
      <c r="G391" s="4"/>
      <c r="H391" s="4"/>
      <c r="I391" s="12"/>
      <c r="J391" s="4"/>
      <c r="K391" s="17"/>
      <c r="L391" s="4"/>
      <c r="M391" s="18"/>
      <c r="N391" s="4"/>
      <c r="O391" s="4"/>
      <c r="P391" s="4"/>
      <c r="Q391" s="4"/>
      <c r="R391" s="4"/>
      <c r="S391" s="4"/>
      <c r="T391" s="4"/>
      <c r="U391" s="4"/>
      <c r="V391" s="4"/>
      <c r="W391" s="4"/>
      <c r="X391" s="4"/>
      <c r="Y391" s="4"/>
      <c r="Z391" s="4"/>
      <c r="AA391" s="4"/>
      <c r="AB391" s="11"/>
      <c r="AC391" s="11"/>
      <c r="AD391" s="11"/>
      <c r="AE391" s="11"/>
      <c r="AF391" s="11"/>
      <c r="AG391" s="11"/>
      <c r="AH391" s="11"/>
      <c r="AI391" s="11"/>
      <c r="AJ391" s="11"/>
      <c r="AK391" s="1423"/>
      <c r="AL391" s="11"/>
      <c r="AM391" s="11"/>
      <c r="AN391" s="11"/>
      <c r="AO391" s="11"/>
    </row>
    <row r="392" spans="1:41">
      <c r="A392" s="4"/>
      <c r="B392" s="4"/>
      <c r="C392" s="4"/>
      <c r="D392" s="12"/>
      <c r="E392" s="4"/>
      <c r="F392" s="4"/>
      <c r="G392" s="4"/>
      <c r="H392" s="4"/>
      <c r="I392" s="4"/>
      <c r="J392" s="4"/>
      <c r="K392" s="4"/>
      <c r="L392" s="4"/>
      <c r="M392" s="4"/>
      <c r="N392" s="4"/>
      <c r="O392" s="4"/>
      <c r="P392" s="4"/>
      <c r="Q392" s="4"/>
      <c r="R392" s="4"/>
      <c r="S392" s="4"/>
      <c r="T392" s="4"/>
      <c r="U392" s="4"/>
      <c r="V392" s="4"/>
      <c r="W392" s="4"/>
      <c r="X392" s="4"/>
      <c r="Y392" s="4"/>
      <c r="Z392" s="4"/>
      <c r="AA392" s="4"/>
      <c r="AB392" s="11"/>
      <c r="AC392" s="11"/>
      <c r="AD392" s="11"/>
      <c r="AE392" s="11"/>
      <c r="AF392" s="11"/>
      <c r="AG392" s="11"/>
      <c r="AH392" s="11"/>
      <c r="AI392" s="11"/>
      <c r="AJ392" s="11"/>
      <c r="AK392" s="1423"/>
      <c r="AL392" s="11"/>
      <c r="AM392" s="11"/>
      <c r="AN392" s="11"/>
      <c r="AO392" s="11"/>
    </row>
    <row r="393" spans="1:41">
      <c r="A393" s="4"/>
      <c r="B393" s="4"/>
      <c r="C393" s="4"/>
      <c r="D393" s="20"/>
      <c r="E393" s="4"/>
      <c r="F393" s="4"/>
      <c r="G393" s="4"/>
      <c r="H393" s="4"/>
      <c r="I393" s="4"/>
      <c r="J393" s="4"/>
      <c r="K393" s="4"/>
      <c r="L393" s="4"/>
      <c r="M393" s="4"/>
      <c r="N393" s="4"/>
      <c r="O393" s="4"/>
      <c r="P393" s="4"/>
      <c r="Q393" s="4"/>
      <c r="R393" s="4"/>
      <c r="S393" s="4"/>
      <c r="T393" s="4"/>
      <c r="U393" s="4"/>
      <c r="V393" s="4"/>
      <c r="W393" s="4"/>
      <c r="X393" s="4"/>
      <c r="Y393" s="4"/>
      <c r="Z393" s="4"/>
      <c r="AA393" s="4"/>
      <c r="AB393" s="11"/>
      <c r="AC393" s="11"/>
      <c r="AD393" s="11"/>
      <c r="AE393" s="11"/>
      <c r="AF393" s="11"/>
      <c r="AG393" s="11"/>
      <c r="AH393" s="11"/>
      <c r="AI393" s="11"/>
      <c r="AJ393" s="11"/>
      <c r="AK393" s="1423"/>
      <c r="AL393" s="11"/>
      <c r="AM393" s="11"/>
      <c r="AN393" s="11"/>
      <c r="AO393" s="11"/>
    </row>
    <row r="394" spans="1:41">
      <c r="A394" s="4"/>
      <c r="B394" s="4"/>
      <c r="C394" s="4"/>
      <c r="D394" s="20"/>
      <c r="E394" s="12"/>
      <c r="F394" s="4"/>
      <c r="G394" s="4"/>
      <c r="H394" s="4"/>
      <c r="I394" s="4"/>
      <c r="J394" s="4"/>
      <c r="K394" s="4"/>
      <c r="L394" s="4"/>
      <c r="M394" s="4"/>
      <c r="N394" s="4"/>
      <c r="O394" s="4"/>
      <c r="P394" s="4"/>
      <c r="Q394" s="4"/>
      <c r="R394" s="4"/>
      <c r="S394" s="4"/>
      <c r="T394" s="4"/>
      <c r="U394" s="4"/>
      <c r="V394" s="4"/>
      <c r="W394" s="4"/>
      <c r="X394" s="4"/>
      <c r="Y394" s="4"/>
      <c r="Z394" s="4"/>
      <c r="AA394" s="4"/>
      <c r="AB394" s="11"/>
      <c r="AC394" s="11"/>
      <c r="AD394" s="11"/>
      <c r="AE394" s="11"/>
      <c r="AF394" s="11"/>
      <c r="AG394" s="11"/>
      <c r="AH394" s="11"/>
      <c r="AI394" s="11"/>
      <c r="AJ394" s="11"/>
      <c r="AK394" s="1423"/>
      <c r="AL394" s="11"/>
      <c r="AM394" s="11"/>
      <c r="AN394" s="11"/>
      <c r="AO394" s="11"/>
    </row>
    <row r="395" spans="1:41">
      <c r="A395" s="4"/>
      <c r="B395" s="4"/>
      <c r="C395" s="4"/>
      <c r="D395" s="20"/>
      <c r="E395" s="12"/>
      <c r="F395" s="4"/>
      <c r="G395" s="4"/>
      <c r="H395" s="4"/>
      <c r="I395" s="4"/>
      <c r="J395" s="4"/>
      <c r="K395" s="4"/>
      <c r="L395" s="4"/>
      <c r="M395" s="4"/>
      <c r="N395" s="4"/>
      <c r="O395" s="4"/>
      <c r="P395" s="4"/>
      <c r="Q395" s="4"/>
      <c r="R395" s="4"/>
      <c r="S395" s="4"/>
      <c r="T395" s="4"/>
      <c r="U395" s="4"/>
      <c r="V395" s="4"/>
      <c r="W395" s="4"/>
      <c r="X395" s="4"/>
      <c r="Y395" s="4"/>
      <c r="Z395" s="4"/>
      <c r="AA395" s="4"/>
      <c r="AB395" s="11"/>
      <c r="AC395" s="11"/>
      <c r="AD395" s="11"/>
      <c r="AE395" s="11"/>
      <c r="AF395" s="11"/>
      <c r="AG395" s="11"/>
      <c r="AH395" s="11"/>
      <c r="AI395" s="11"/>
      <c r="AJ395" s="11"/>
      <c r="AK395" s="1423"/>
      <c r="AL395" s="11"/>
      <c r="AM395" s="11"/>
      <c r="AN395" s="11"/>
      <c r="AO395" s="11"/>
    </row>
    <row r="396" spans="1:41">
      <c r="A396" s="4"/>
      <c r="B396" s="4"/>
      <c r="C396" s="4"/>
      <c r="D396" s="12"/>
      <c r="E396" s="20"/>
      <c r="F396" s="4"/>
      <c r="G396" s="4"/>
      <c r="H396" s="4"/>
      <c r="I396" s="4"/>
      <c r="J396" s="4"/>
      <c r="K396" s="4"/>
      <c r="L396" s="18"/>
      <c r="M396" s="18"/>
      <c r="N396" s="18"/>
      <c r="O396" s="18"/>
      <c r="P396" s="18"/>
      <c r="Q396" s="18"/>
      <c r="R396" s="18"/>
      <c r="S396" s="18"/>
      <c r="T396" s="18"/>
      <c r="U396" s="18"/>
      <c r="V396" s="18"/>
      <c r="W396" s="18"/>
      <c r="X396" s="18"/>
      <c r="Y396" s="18"/>
      <c r="Z396" s="18"/>
      <c r="AA396" s="18"/>
      <c r="AB396" s="11"/>
      <c r="AC396" s="11"/>
      <c r="AD396" s="11"/>
      <c r="AE396" s="11"/>
      <c r="AF396" s="11"/>
      <c r="AG396" s="11"/>
      <c r="AH396" s="11"/>
      <c r="AI396" s="11"/>
      <c r="AJ396" s="11"/>
      <c r="AK396" s="1423"/>
      <c r="AL396" s="11"/>
      <c r="AM396" s="11"/>
      <c r="AN396" s="11"/>
      <c r="AO396" s="11"/>
    </row>
    <row r="397" spans="1:41">
      <c r="A397" s="4"/>
      <c r="B397" s="4"/>
      <c r="C397" s="4"/>
      <c r="D397" s="12"/>
      <c r="E397" s="20"/>
      <c r="F397" s="21"/>
      <c r="G397" s="21"/>
      <c r="H397" s="21"/>
      <c r="I397" s="21"/>
      <c r="J397" s="21"/>
      <c r="K397" s="21"/>
      <c r="L397" s="21"/>
      <c r="M397" s="21"/>
      <c r="N397" s="21"/>
      <c r="O397" s="21"/>
      <c r="P397" s="21"/>
      <c r="Q397" s="21"/>
      <c r="R397" s="21"/>
      <c r="S397" s="21"/>
      <c r="T397" s="21"/>
      <c r="U397" s="21"/>
      <c r="V397" s="21"/>
      <c r="W397" s="21"/>
      <c r="X397" s="21"/>
      <c r="Y397" s="21"/>
      <c r="Z397" s="21"/>
      <c r="AA397" s="21"/>
      <c r="AB397" s="11"/>
      <c r="AC397" s="11"/>
      <c r="AD397" s="11"/>
      <c r="AE397" s="11"/>
      <c r="AF397" s="11"/>
      <c r="AG397" s="11"/>
      <c r="AH397" s="11"/>
      <c r="AI397" s="11"/>
      <c r="AJ397" s="11"/>
      <c r="AK397" s="1423"/>
      <c r="AL397" s="11"/>
      <c r="AM397" s="11"/>
      <c r="AN397" s="11"/>
      <c r="AO397" s="11"/>
    </row>
    <row r="398" spans="1:41">
      <c r="A398" s="4"/>
      <c r="B398" s="4"/>
      <c r="C398" s="4"/>
      <c r="D398" s="22"/>
      <c r="E398" s="20"/>
      <c r="F398" s="4"/>
      <c r="G398" s="4"/>
      <c r="H398" s="4"/>
      <c r="I398" s="4"/>
      <c r="J398" s="4"/>
      <c r="K398" s="4"/>
      <c r="L398" s="18"/>
      <c r="M398" s="18"/>
      <c r="N398" s="18"/>
      <c r="O398" s="18"/>
      <c r="P398" s="18"/>
      <c r="Q398" s="18"/>
      <c r="R398" s="18"/>
      <c r="S398" s="18"/>
      <c r="T398" s="18"/>
      <c r="U398" s="18"/>
      <c r="V398" s="18"/>
      <c r="W398" s="18"/>
      <c r="X398" s="18"/>
      <c r="Y398" s="18"/>
      <c r="Z398" s="18"/>
      <c r="AA398" s="18"/>
      <c r="AB398" s="11"/>
      <c r="AC398" s="11"/>
      <c r="AD398" s="11"/>
      <c r="AE398" s="11"/>
      <c r="AF398" s="11"/>
      <c r="AG398" s="11"/>
      <c r="AH398" s="11"/>
      <c r="AI398" s="11"/>
      <c r="AJ398" s="11"/>
      <c r="AK398" s="1423"/>
      <c r="AL398" s="11"/>
      <c r="AM398" s="11"/>
      <c r="AN398" s="11"/>
      <c r="AO398" s="11"/>
    </row>
    <row r="399" spans="1:41">
      <c r="A399" s="4"/>
      <c r="B399" s="4"/>
      <c r="C399" s="4"/>
      <c r="D399" s="12"/>
      <c r="E399" s="20"/>
      <c r="F399" s="8"/>
      <c r="G399" s="8"/>
      <c r="H399" s="8"/>
      <c r="I399" s="8"/>
      <c r="J399" s="8"/>
      <c r="K399" s="8"/>
      <c r="L399" s="8"/>
      <c r="M399" s="8"/>
      <c r="N399" s="8"/>
      <c r="O399" s="8"/>
      <c r="P399" s="8"/>
      <c r="Q399" s="8"/>
      <c r="R399" s="8"/>
      <c r="S399" s="8"/>
      <c r="T399" s="8"/>
      <c r="U399" s="8"/>
      <c r="V399" s="8"/>
      <c r="W399" s="8"/>
      <c r="X399" s="8"/>
      <c r="Y399" s="8"/>
      <c r="Z399" s="18"/>
      <c r="AA399" s="18"/>
      <c r="AB399" s="11"/>
      <c r="AC399" s="11"/>
      <c r="AD399" s="11"/>
      <c r="AE399" s="11"/>
      <c r="AF399" s="11"/>
      <c r="AG399" s="11"/>
      <c r="AH399" s="11"/>
      <c r="AI399" s="11"/>
      <c r="AJ399" s="11"/>
      <c r="AK399" s="1423"/>
      <c r="AL399" s="11"/>
      <c r="AM399" s="11"/>
      <c r="AN399" s="11"/>
      <c r="AO399" s="11"/>
    </row>
    <row r="400" spans="1:41">
      <c r="A400" s="4"/>
      <c r="B400" s="4"/>
      <c r="C400" s="4"/>
      <c r="D400" s="12"/>
      <c r="E400" s="20"/>
      <c r="F400" s="8"/>
      <c r="G400" s="8"/>
      <c r="H400" s="8"/>
      <c r="I400" s="8"/>
      <c r="J400" s="8"/>
      <c r="K400" s="8"/>
      <c r="L400" s="8"/>
      <c r="M400" s="8"/>
      <c r="N400" s="8"/>
      <c r="O400" s="8"/>
      <c r="P400" s="8"/>
      <c r="Q400" s="8"/>
      <c r="R400" s="8"/>
      <c r="S400" s="8"/>
      <c r="T400" s="8"/>
      <c r="U400" s="8"/>
      <c r="V400" s="8"/>
      <c r="W400" s="8"/>
      <c r="X400" s="8"/>
      <c r="Y400" s="8"/>
      <c r="Z400" s="18"/>
      <c r="AA400" s="18"/>
      <c r="AB400" s="11"/>
      <c r="AC400" s="11"/>
      <c r="AD400" s="11"/>
      <c r="AE400" s="11"/>
      <c r="AF400" s="11"/>
      <c r="AG400" s="11"/>
      <c r="AH400" s="11"/>
      <c r="AI400" s="11"/>
      <c r="AJ400" s="11"/>
      <c r="AK400" s="1423"/>
      <c r="AL400" s="11"/>
      <c r="AM400" s="11"/>
      <c r="AN400" s="11"/>
      <c r="AO400" s="11"/>
    </row>
    <row r="401" spans="1:41">
      <c r="A401" s="4"/>
      <c r="B401" s="4"/>
      <c r="C401" s="4"/>
      <c r="D401" s="12"/>
      <c r="E401" s="20"/>
      <c r="Z401" s="18"/>
      <c r="AA401" s="18"/>
      <c r="AB401" s="11"/>
      <c r="AC401" s="11"/>
      <c r="AD401" s="11"/>
      <c r="AE401" s="11"/>
      <c r="AF401" s="11"/>
      <c r="AG401" s="11"/>
      <c r="AH401" s="11"/>
      <c r="AI401" s="11"/>
      <c r="AJ401" s="11"/>
      <c r="AK401" s="1423"/>
      <c r="AL401" s="11"/>
      <c r="AM401" s="11"/>
      <c r="AN401" s="11"/>
      <c r="AO401" s="11"/>
    </row>
    <row r="402" spans="1:41">
      <c r="A402" s="4"/>
      <c r="B402" s="4"/>
      <c r="C402" s="4"/>
      <c r="D402" s="12"/>
      <c r="E402" s="20"/>
      <c r="F402" s="4"/>
      <c r="G402" s="4"/>
      <c r="H402" s="4"/>
      <c r="I402" s="4"/>
      <c r="J402" s="4"/>
      <c r="K402" s="4"/>
      <c r="L402" s="4"/>
      <c r="M402" s="4"/>
      <c r="N402" s="4"/>
      <c r="O402" s="4"/>
      <c r="P402" s="4"/>
      <c r="Q402" s="4"/>
      <c r="R402" s="4"/>
      <c r="S402" s="4"/>
      <c r="T402" s="4"/>
      <c r="U402" s="4"/>
      <c r="V402" s="4"/>
      <c r="W402" s="4"/>
      <c r="X402" s="4"/>
      <c r="Y402" s="4"/>
      <c r="Z402" s="18"/>
      <c r="AA402" s="18"/>
      <c r="AB402" s="11"/>
      <c r="AC402" s="11"/>
      <c r="AD402" s="11"/>
      <c r="AE402" s="11"/>
      <c r="AF402" s="11"/>
      <c r="AG402" s="11"/>
      <c r="AH402" s="11"/>
      <c r="AI402" s="11"/>
      <c r="AJ402" s="11"/>
      <c r="AK402" s="1423"/>
      <c r="AL402" s="11"/>
      <c r="AM402" s="11"/>
      <c r="AN402" s="11"/>
      <c r="AO402" s="11"/>
    </row>
    <row r="403" spans="1:41">
      <c r="A403" s="4"/>
      <c r="B403" s="4"/>
      <c r="C403" s="4"/>
      <c r="D403" s="22"/>
      <c r="E403" s="20"/>
      <c r="F403" s="4"/>
      <c r="G403" s="4"/>
      <c r="H403" s="4"/>
      <c r="I403" s="4"/>
      <c r="J403" s="4"/>
      <c r="K403" s="4"/>
      <c r="L403" s="4"/>
      <c r="M403" s="4"/>
      <c r="N403" s="4"/>
      <c r="O403" s="4"/>
      <c r="P403" s="4"/>
      <c r="Q403" s="4"/>
      <c r="R403" s="4"/>
      <c r="S403" s="4"/>
      <c r="T403" s="4"/>
      <c r="U403" s="4"/>
      <c r="V403" s="4"/>
      <c r="W403" s="4"/>
      <c r="X403" s="4"/>
      <c r="Y403" s="4"/>
      <c r="Z403" s="4"/>
      <c r="AA403" s="4"/>
      <c r="AB403" s="11"/>
      <c r="AC403" s="11"/>
      <c r="AD403" s="11"/>
      <c r="AE403" s="11"/>
      <c r="AF403" s="11"/>
      <c r="AG403" s="11"/>
      <c r="AH403" s="11"/>
      <c r="AI403" s="11"/>
      <c r="AJ403" s="11"/>
      <c r="AK403" s="1423"/>
      <c r="AL403" s="11"/>
      <c r="AM403" s="11"/>
      <c r="AN403" s="11"/>
      <c r="AO403" s="11"/>
    </row>
    <row r="404" spans="1:41">
      <c r="A404" s="4"/>
      <c r="B404" s="4"/>
      <c r="C404" s="4"/>
      <c r="D404" s="12"/>
      <c r="E404" s="20"/>
      <c r="F404" s="4"/>
      <c r="G404" s="4"/>
      <c r="H404" s="4"/>
      <c r="I404" s="4"/>
      <c r="J404" s="4"/>
      <c r="K404" s="4"/>
      <c r="L404" s="4"/>
      <c r="M404" s="4"/>
      <c r="N404" s="4"/>
      <c r="O404" s="4"/>
      <c r="P404" s="4"/>
      <c r="Q404" s="4"/>
      <c r="R404" s="4"/>
      <c r="S404" s="4"/>
      <c r="T404" s="4"/>
      <c r="U404" s="4"/>
      <c r="V404" s="4"/>
      <c r="W404" s="4"/>
      <c r="X404" s="4"/>
      <c r="Y404" s="4"/>
      <c r="Z404" s="4"/>
      <c r="AA404" s="4"/>
      <c r="AB404" s="11"/>
      <c r="AC404" s="11"/>
      <c r="AD404" s="11"/>
      <c r="AE404" s="11"/>
      <c r="AF404" s="11"/>
      <c r="AG404" s="11"/>
      <c r="AH404" s="11"/>
      <c r="AI404" s="11"/>
      <c r="AJ404" s="11"/>
      <c r="AK404" s="1423"/>
      <c r="AL404" s="11"/>
      <c r="AM404" s="11"/>
      <c r="AN404" s="11"/>
      <c r="AO404" s="11"/>
    </row>
    <row r="405" spans="1:41">
      <c r="A405" s="4"/>
      <c r="B405" s="4"/>
      <c r="C405" s="4"/>
      <c r="D405" s="12"/>
      <c r="E405" s="12"/>
      <c r="F405" s="8"/>
      <c r="G405" s="8"/>
      <c r="H405" s="8"/>
      <c r="I405" s="8"/>
      <c r="J405" s="8"/>
      <c r="K405" s="8"/>
      <c r="L405" s="8"/>
      <c r="M405" s="8"/>
      <c r="N405" s="8"/>
      <c r="O405" s="8"/>
      <c r="P405" s="8"/>
      <c r="Q405" s="8"/>
      <c r="R405" s="8"/>
      <c r="S405" s="8"/>
      <c r="T405" s="8"/>
      <c r="U405" s="8"/>
      <c r="V405" s="8"/>
      <c r="W405" s="8"/>
      <c r="X405" s="8"/>
      <c r="Y405" s="8"/>
      <c r="AA405" s="18"/>
      <c r="AB405" s="11"/>
      <c r="AC405" s="11"/>
      <c r="AD405" s="11"/>
      <c r="AE405" s="11"/>
      <c r="AF405" s="11"/>
      <c r="AG405" s="11"/>
      <c r="AH405" s="11"/>
      <c r="AI405" s="11"/>
      <c r="AJ405" s="11"/>
      <c r="AK405" s="1423"/>
      <c r="AL405" s="11"/>
      <c r="AM405" s="11"/>
      <c r="AN405" s="11"/>
      <c r="AO405" s="11"/>
    </row>
    <row r="406" spans="1:41">
      <c r="A406" s="4"/>
      <c r="B406" s="4"/>
      <c r="C406" s="4"/>
      <c r="D406" s="12"/>
      <c r="E406" s="4"/>
      <c r="F406" s="8"/>
      <c r="G406" s="8"/>
      <c r="H406" s="8"/>
      <c r="I406" s="8"/>
      <c r="J406" s="8"/>
      <c r="K406" s="8"/>
      <c r="L406" s="8"/>
      <c r="M406" s="8"/>
      <c r="N406" s="8"/>
      <c r="O406" s="8"/>
      <c r="P406" s="8"/>
      <c r="Q406" s="8"/>
      <c r="R406" s="8"/>
      <c r="S406" s="8"/>
      <c r="T406" s="8"/>
      <c r="U406" s="8"/>
      <c r="V406" s="8"/>
      <c r="W406" s="8"/>
      <c r="X406" s="8"/>
      <c r="Y406" s="8"/>
      <c r="AA406" s="18"/>
      <c r="AB406" s="11"/>
      <c r="AC406" s="11"/>
      <c r="AD406" s="11"/>
      <c r="AE406" s="11"/>
      <c r="AF406" s="11"/>
      <c r="AG406" s="11"/>
      <c r="AH406" s="11"/>
      <c r="AI406" s="11"/>
      <c r="AJ406" s="11"/>
      <c r="AK406" s="1423"/>
      <c r="AL406" s="11"/>
      <c r="AM406" s="11"/>
      <c r="AN406" s="11"/>
      <c r="AO406" s="11"/>
    </row>
    <row r="407" spans="1:41">
      <c r="A407" s="4"/>
      <c r="B407" s="4"/>
      <c r="C407" s="4"/>
      <c r="D407" s="12"/>
      <c r="E407" s="4"/>
      <c r="F407" s="8"/>
      <c r="G407" s="8"/>
      <c r="H407" s="8"/>
      <c r="I407" s="8"/>
      <c r="J407" s="8"/>
      <c r="K407" s="8"/>
      <c r="L407" s="8"/>
      <c r="M407" s="8"/>
      <c r="N407" s="8"/>
      <c r="O407" s="8"/>
      <c r="P407" s="8"/>
      <c r="Q407" s="8"/>
      <c r="R407" s="8"/>
      <c r="S407" s="8"/>
      <c r="T407" s="8"/>
      <c r="U407" s="8"/>
      <c r="V407" s="8"/>
      <c r="W407" s="8"/>
      <c r="X407" s="8"/>
      <c r="Y407" s="8"/>
      <c r="Z407" s="4"/>
      <c r="AA407" s="18"/>
      <c r="AB407" s="11"/>
      <c r="AC407" s="11"/>
      <c r="AD407" s="11"/>
      <c r="AE407" s="11"/>
      <c r="AF407" s="11"/>
      <c r="AG407" s="11"/>
      <c r="AH407" s="11"/>
      <c r="AI407" s="11"/>
      <c r="AJ407" s="11"/>
      <c r="AK407" s="1423"/>
      <c r="AL407" s="11"/>
      <c r="AM407" s="11"/>
      <c r="AN407" s="11"/>
      <c r="AO407" s="11"/>
    </row>
    <row r="408" spans="1:4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11"/>
      <c r="AC408" s="11"/>
      <c r="AD408" s="11"/>
      <c r="AE408" s="11"/>
      <c r="AF408" s="11"/>
      <c r="AG408" s="11"/>
      <c r="AH408" s="11"/>
      <c r="AI408" s="11"/>
      <c r="AJ408" s="11"/>
      <c r="AK408" s="1423"/>
      <c r="AL408" s="11"/>
      <c r="AM408" s="11"/>
      <c r="AN408" s="11"/>
      <c r="AO408" s="11"/>
    </row>
    <row r="410" spans="1:41">
      <c r="A410" s="7"/>
      <c r="B410" s="5"/>
      <c r="C410" s="5"/>
      <c r="D410" s="5"/>
      <c r="E410" s="5"/>
      <c r="F410" s="5"/>
      <c r="G410" s="5"/>
      <c r="H410" s="5"/>
      <c r="I410" s="5"/>
      <c r="J410" s="5"/>
      <c r="K410" s="5"/>
      <c r="L410" s="5"/>
      <c r="M410" s="5"/>
      <c r="N410" s="5"/>
      <c r="O410" s="5"/>
      <c r="P410" s="5"/>
      <c r="Q410" s="5"/>
      <c r="R410" s="5"/>
      <c r="S410" s="5"/>
      <c r="T410" s="5"/>
      <c r="U410" s="11"/>
      <c r="V410" s="11"/>
      <c r="W410" s="11"/>
      <c r="X410" s="11"/>
      <c r="Y410" s="11"/>
      <c r="Z410" s="11"/>
      <c r="AA410" s="11"/>
      <c r="AB410" s="11"/>
      <c r="AC410" s="11"/>
      <c r="AD410" s="11"/>
      <c r="AE410" s="11"/>
      <c r="AF410" s="11"/>
      <c r="AG410" s="11"/>
      <c r="AH410" s="11"/>
      <c r="AI410" s="11"/>
      <c r="AJ410" s="11"/>
      <c r="AK410" s="1423"/>
      <c r="AL410" s="11"/>
      <c r="AM410" s="11"/>
      <c r="AN410" s="11"/>
      <c r="AO410" s="11"/>
    </row>
    <row r="411" spans="1:41">
      <c r="A411" s="7"/>
      <c r="B411" s="5"/>
      <c r="C411" s="5"/>
      <c r="D411" s="5"/>
      <c r="E411" s="5"/>
      <c r="F411" s="5"/>
      <c r="G411" s="5"/>
      <c r="H411" s="5"/>
      <c r="I411" s="5"/>
      <c r="J411" s="5"/>
      <c r="K411" s="5"/>
      <c r="L411" s="5"/>
      <c r="M411" s="5"/>
      <c r="N411" s="5"/>
      <c r="O411" s="5"/>
      <c r="P411" s="5"/>
      <c r="Q411" s="5"/>
      <c r="R411" s="5"/>
      <c r="S411" s="5"/>
      <c r="T411" s="5"/>
      <c r="U411" s="11"/>
      <c r="V411" s="11"/>
      <c r="W411" s="11"/>
      <c r="X411" s="11"/>
      <c r="Y411" s="11"/>
      <c r="Z411" s="11"/>
      <c r="AA411" s="11"/>
      <c r="AB411" s="11"/>
      <c r="AC411" s="11"/>
      <c r="AD411" s="11"/>
      <c r="AE411" s="11"/>
      <c r="AF411" s="11"/>
      <c r="AG411" s="11"/>
      <c r="AH411" s="11"/>
      <c r="AI411" s="11"/>
      <c r="AJ411" s="11"/>
      <c r="AK411" s="1423"/>
      <c r="AL411" s="11"/>
      <c r="AM411" s="11"/>
      <c r="AN411" s="11"/>
      <c r="AO411" s="11"/>
    </row>
  </sheetData>
  <printOptions headings="1"/>
  <pageMargins left="0.28000000000000003" right="0.32" top="0.36" bottom="0.61" header="0.34" footer="0.5"/>
  <pageSetup scale="35" orientation="landscape" verticalDpi="300" r:id="rId1"/>
  <headerFooter alignWithMargins="0">
    <oddFooter>&amp;R&amp;F</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pageSetUpPr fitToPage="1"/>
  </sheetPr>
  <dimension ref="A1:AP76"/>
  <sheetViews>
    <sheetView zoomScale="75" workbookViewId="0">
      <selection sqref="A1:X76"/>
    </sheetView>
  </sheetViews>
  <sheetFormatPr defaultColWidth="8.85546875" defaultRowHeight="12.75"/>
  <cols>
    <col min="1" max="1" width="8.85546875" customWidth="1"/>
    <col min="2" max="2" width="50.5703125" customWidth="1"/>
    <col min="3" max="3" width="11.7109375" style="188" customWidth="1"/>
    <col min="4" max="4" width="9.85546875" customWidth="1"/>
    <col min="5" max="36" width="11" customWidth="1"/>
  </cols>
  <sheetData>
    <row r="1" spans="1:42" ht="15.75">
      <c r="B1" s="338" t="str">
        <f>ExecSum!$E$4</f>
        <v>Sweetwater 129.00MW Project</v>
      </c>
      <c r="E1" s="244">
        <v>1</v>
      </c>
      <c r="F1" s="245">
        <v>2</v>
      </c>
      <c r="G1" s="245">
        <v>3</v>
      </c>
      <c r="H1" s="245">
        <v>4</v>
      </c>
      <c r="I1" s="245">
        <v>5</v>
      </c>
      <c r="J1" s="245">
        <v>6</v>
      </c>
      <c r="K1" s="245">
        <v>7</v>
      </c>
      <c r="L1" s="245">
        <v>8</v>
      </c>
      <c r="M1" s="245">
        <v>9</v>
      </c>
      <c r="N1" s="245">
        <v>10</v>
      </c>
      <c r="O1" s="245">
        <v>11</v>
      </c>
      <c r="P1" s="245">
        <v>12</v>
      </c>
      <c r="Q1" s="245">
        <v>13</v>
      </c>
      <c r="R1" s="245">
        <v>14</v>
      </c>
      <c r="S1" s="245">
        <v>15</v>
      </c>
      <c r="T1" s="245">
        <v>16</v>
      </c>
      <c r="U1" s="245">
        <v>17</v>
      </c>
      <c r="V1" s="245">
        <v>18</v>
      </c>
      <c r="W1" s="245">
        <v>19</v>
      </c>
      <c r="X1" s="245">
        <v>20</v>
      </c>
      <c r="Y1" s="245">
        <v>21</v>
      </c>
      <c r="Z1" s="245">
        <v>22</v>
      </c>
      <c r="AA1" s="245">
        <v>23</v>
      </c>
      <c r="AB1" s="245">
        <v>24</v>
      </c>
      <c r="AC1" s="245">
        <v>25</v>
      </c>
      <c r="AD1" s="245">
        <v>26</v>
      </c>
      <c r="AE1" s="245">
        <v>27</v>
      </c>
      <c r="AF1" s="245">
        <v>28</v>
      </c>
      <c r="AG1" s="245">
        <v>29</v>
      </c>
      <c r="AH1" s="245">
        <v>30</v>
      </c>
      <c r="AI1" s="246">
        <v>31</v>
      </c>
    </row>
    <row r="2" spans="1:42" ht="15.75">
      <c r="B2" s="242" t="s">
        <v>433</v>
      </c>
      <c r="E2" s="247">
        <f>Assum!$H$25</f>
        <v>2002</v>
      </c>
      <c r="F2" s="248">
        <f t="shared" ref="F2:AI2" si="0">E2+1</f>
        <v>2003</v>
      </c>
      <c r="G2" s="248">
        <f t="shared" si="0"/>
        <v>2004</v>
      </c>
      <c r="H2" s="248">
        <f t="shared" si="0"/>
        <v>2005</v>
      </c>
      <c r="I2" s="248">
        <f t="shared" si="0"/>
        <v>2006</v>
      </c>
      <c r="J2" s="248">
        <f t="shared" si="0"/>
        <v>2007</v>
      </c>
      <c r="K2" s="248">
        <f t="shared" si="0"/>
        <v>2008</v>
      </c>
      <c r="L2" s="248">
        <f t="shared" si="0"/>
        <v>2009</v>
      </c>
      <c r="M2" s="248">
        <f t="shared" si="0"/>
        <v>2010</v>
      </c>
      <c r="N2" s="248">
        <f t="shared" si="0"/>
        <v>2011</v>
      </c>
      <c r="O2" s="248">
        <f t="shared" si="0"/>
        <v>2012</v>
      </c>
      <c r="P2" s="248">
        <f t="shared" si="0"/>
        <v>2013</v>
      </c>
      <c r="Q2" s="248">
        <f t="shared" si="0"/>
        <v>2014</v>
      </c>
      <c r="R2" s="248">
        <f t="shared" si="0"/>
        <v>2015</v>
      </c>
      <c r="S2" s="248">
        <f t="shared" si="0"/>
        <v>2016</v>
      </c>
      <c r="T2" s="248">
        <f t="shared" si="0"/>
        <v>2017</v>
      </c>
      <c r="U2" s="248">
        <f t="shared" si="0"/>
        <v>2018</v>
      </c>
      <c r="V2" s="248">
        <f t="shared" si="0"/>
        <v>2019</v>
      </c>
      <c r="W2" s="248">
        <f t="shared" si="0"/>
        <v>2020</v>
      </c>
      <c r="X2" s="248">
        <f t="shared" si="0"/>
        <v>2021</v>
      </c>
      <c r="Y2" s="248">
        <f t="shared" si="0"/>
        <v>2022</v>
      </c>
      <c r="Z2" s="248">
        <f t="shared" si="0"/>
        <v>2023</v>
      </c>
      <c r="AA2" s="248">
        <f t="shared" si="0"/>
        <v>2024</v>
      </c>
      <c r="AB2" s="248">
        <f t="shared" si="0"/>
        <v>2025</v>
      </c>
      <c r="AC2" s="248">
        <f t="shared" si="0"/>
        <v>2026</v>
      </c>
      <c r="AD2" s="248">
        <f t="shared" si="0"/>
        <v>2027</v>
      </c>
      <c r="AE2" s="248">
        <f t="shared" si="0"/>
        <v>2028</v>
      </c>
      <c r="AF2" s="248">
        <f t="shared" si="0"/>
        <v>2029</v>
      </c>
      <c r="AG2" s="248">
        <f t="shared" si="0"/>
        <v>2030</v>
      </c>
      <c r="AH2" s="248">
        <f t="shared" si="0"/>
        <v>2031</v>
      </c>
      <c r="AI2" s="249">
        <f t="shared" si="0"/>
        <v>2032</v>
      </c>
    </row>
    <row r="3" spans="1:42">
      <c r="F3" s="24"/>
      <c r="G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row>
    <row r="4" spans="1:42">
      <c r="A4" s="26"/>
      <c r="B4" s="24"/>
      <c r="C4" s="26"/>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3"/>
      <c r="AN4" s="23"/>
      <c r="AO4" s="23"/>
      <c r="AP4" s="23"/>
    </row>
    <row r="5" spans="1:42">
      <c r="A5" s="26"/>
      <c r="B5" s="426" t="s">
        <v>34</v>
      </c>
      <c r="C5" s="259"/>
      <c r="D5" s="24"/>
      <c r="E5" s="27"/>
      <c r="F5" s="27"/>
      <c r="G5" s="27"/>
      <c r="H5" s="27"/>
      <c r="I5" s="27"/>
      <c r="J5" s="27"/>
      <c r="K5" s="27"/>
      <c r="L5" s="27"/>
      <c r="M5" s="27"/>
      <c r="N5" s="27"/>
      <c r="O5" s="27"/>
      <c r="P5" s="27"/>
      <c r="Q5" s="24"/>
      <c r="R5" s="24"/>
      <c r="S5" s="24"/>
      <c r="T5" s="24"/>
      <c r="U5" s="24"/>
      <c r="V5" s="24"/>
      <c r="W5" s="24"/>
      <c r="X5" s="24"/>
      <c r="Y5" s="24"/>
      <c r="Z5" s="24"/>
      <c r="AA5" s="24"/>
      <c r="AB5" s="24"/>
      <c r="AC5" s="24"/>
      <c r="AD5" s="24"/>
      <c r="AE5" s="24"/>
      <c r="AF5" s="24"/>
      <c r="AG5" s="24"/>
      <c r="AH5" s="24"/>
      <c r="AI5" s="24"/>
      <c r="AJ5" s="24"/>
      <c r="AK5" s="24"/>
      <c r="AL5" s="24"/>
      <c r="AM5" s="23"/>
      <c r="AN5" s="23"/>
      <c r="AO5" s="23"/>
      <c r="AP5" s="23"/>
    </row>
    <row r="6" spans="1:42">
      <c r="A6" s="26"/>
      <c r="B6" s="504" t="s">
        <v>715</v>
      </c>
      <c r="C6" s="1253"/>
      <c r="D6" s="505"/>
      <c r="E6" s="505">
        <f>IF(CashFlow!E70&lt;0,0,CashFlow!E70+CashFlow!F70*(1-Assum!$H$23))</f>
        <v>8441.398799999999</v>
      </c>
      <c r="F6" s="505">
        <f>IF(CashFlow!F70&lt;0,0,CashFlow!F70*Assum!$H$23+CashFlow!G70*(1-Assum!$H$23))</f>
        <v>8441.3988000000008</v>
      </c>
      <c r="G6" s="505">
        <f>IF(CashFlow!G70&lt;0,0,CashFlow!G70*Assum!$H$23+CashFlow!H70*(1-Assum!$H$23))</f>
        <v>8442.7014850000014</v>
      </c>
      <c r="H6" s="505">
        <f>IF(CashFlow!H70&lt;0,0,CashFlow!H70*Assum!$H$23+CashFlow!I70*(1-Assum!$H$23))</f>
        <v>8910.3653999999988</v>
      </c>
      <c r="I6" s="505">
        <f>IF(CashFlow!I70&lt;0,0,CashFlow!I70*Assum!$H$23+CashFlow!J70*(1-Assum!$H$23))</f>
        <v>8910.3653999999988</v>
      </c>
      <c r="J6" s="505">
        <f>IF(CashFlow!J70&lt;0,0,CashFlow!J70*Assum!$H$23+CashFlow!K70*(1-Assum!$H$23))</f>
        <v>8911.6680849999993</v>
      </c>
      <c r="K6" s="505">
        <f>IF(CashFlow!K70&lt;0,0,CashFlow!K70*Assum!$H$23+CashFlow!L70*(1-Assum!$H$23))</f>
        <v>9379.3320000000003</v>
      </c>
      <c r="L6" s="505">
        <f>IF(CashFlow!L70&lt;0,0,CashFlow!L70*Assum!$H$23+CashFlow!M70*(1-Assum!$H$23))</f>
        <v>9380.6346849999991</v>
      </c>
      <c r="M6" s="505">
        <f>IF(CashFlow!M70&lt;0,0,CashFlow!M70*Assum!$H$23+CashFlow!N70*(1-Assum!$H$23))</f>
        <v>9848.2986000000001</v>
      </c>
      <c r="N6" s="1325">
        <f>IF(CashFlow!N70&lt;0,0,CashFlow!N70*Assum!$H$23+CashFlow!O70)</f>
        <v>9849.6012850000006</v>
      </c>
      <c r="O6" s="1325">
        <v>0</v>
      </c>
      <c r="P6" s="1325">
        <v>0</v>
      </c>
      <c r="Q6" s="1325">
        <v>0</v>
      </c>
      <c r="R6" s="1325">
        <v>0</v>
      </c>
      <c r="S6" s="1325">
        <v>0</v>
      </c>
      <c r="T6" s="1325">
        <v>0</v>
      </c>
      <c r="U6" s="1325">
        <v>0</v>
      </c>
      <c r="V6" s="1325">
        <v>0</v>
      </c>
      <c r="W6" s="1325">
        <v>0</v>
      </c>
      <c r="X6" s="1325">
        <v>0</v>
      </c>
      <c r="Y6" s="1325">
        <v>0</v>
      </c>
      <c r="Z6" s="1325">
        <v>0</v>
      </c>
      <c r="AA6" s="1325">
        <v>0</v>
      </c>
      <c r="AB6" s="1325">
        <v>0</v>
      </c>
      <c r="AC6" s="1325">
        <v>0</v>
      </c>
      <c r="AD6" s="1325">
        <v>0</v>
      </c>
      <c r="AE6" s="1325">
        <v>0</v>
      </c>
      <c r="AF6" s="1325">
        <v>0</v>
      </c>
      <c r="AG6" s="1325">
        <v>0</v>
      </c>
      <c r="AH6" s="1325">
        <v>0</v>
      </c>
      <c r="AI6" s="1325">
        <v>0</v>
      </c>
      <c r="AJ6" s="24"/>
      <c r="AK6" s="24"/>
      <c r="AL6" s="24"/>
      <c r="AM6" s="23"/>
      <c r="AN6" s="23"/>
      <c r="AO6" s="23"/>
      <c r="AP6" s="23"/>
    </row>
    <row r="7" spans="1:42">
      <c r="A7" s="26"/>
      <c r="B7" s="506" t="str">
        <f>Assum!B301</f>
        <v>PTC REDUCTION % - for exclusion</v>
      </c>
      <c r="C7" s="1254"/>
      <c r="D7" s="259"/>
      <c r="E7" s="507">
        <f>Assum!E301</f>
        <v>1</v>
      </c>
      <c r="F7" s="507">
        <f>Assum!F301</f>
        <v>1</v>
      </c>
      <c r="G7" s="507">
        <f>Assum!G301</f>
        <v>1</v>
      </c>
      <c r="H7" s="507">
        <f>Assum!H301</f>
        <v>1</v>
      </c>
      <c r="I7" s="507">
        <f>Assum!I301</f>
        <v>1</v>
      </c>
      <c r="J7" s="507">
        <f>Assum!J301</f>
        <v>1</v>
      </c>
      <c r="K7" s="507">
        <f>Assum!K301</f>
        <v>1</v>
      </c>
      <c r="L7" s="507">
        <f>Assum!L301</f>
        <v>1</v>
      </c>
      <c r="M7" s="507">
        <f>Assum!M301</f>
        <v>1</v>
      </c>
      <c r="N7" s="507">
        <f>Assum!N301</f>
        <v>1</v>
      </c>
      <c r="O7" s="507">
        <f>Assum!O301</f>
        <v>1</v>
      </c>
      <c r="P7" s="507">
        <f>Assum!P301</f>
        <v>1</v>
      </c>
      <c r="Q7" s="507">
        <f>Assum!Q301</f>
        <v>1</v>
      </c>
      <c r="R7" s="507">
        <f>Assum!R301</f>
        <v>1</v>
      </c>
      <c r="S7" s="507">
        <f>Assum!S301</f>
        <v>1</v>
      </c>
      <c r="T7" s="507">
        <f>Assum!T301</f>
        <v>1</v>
      </c>
      <c r="U7" s="507">
        <f>Assum!U301</f>
        <v>1</v>
      </c>
      <c r="V7" s="507">
        <f>Assum!V301</f>
        <v>1</v>
      </c>
      <c r="W7" s="507">
        <f>Assum!W301</f>
        <v>1</v>
      </c>
      <c r="X7" s="507">
        <f>Assum!X301</f>
        <v>1</v>
      </c>
      <c r="Y7" s="507">
        <f>Assum!Y301</f>
        <v>1</v>
      </c>
      <c r="Z7" s="507">
        <f>Assum!Z301</f>
        <v>1</v>
      </c>
      <c r="AA7" s="507">
        <f>Assum!AA301</f>
        <v>1</v>
      </c>
      <c r="AB7" s="507">
        <f>Assum!AB301</f>
        <v>1</v>
      </c>
      <c r="AC7" s="507">
        <f>Assum!AC301</f>
        <v>1</v>
      </c>
      <c r="AD7" s="507">
        <f>Assum!AD301</f>
        <v>1</v>
      </c>
      <c r="AE7" s="507">
        <f>Assum!AE301</f>
        <v>1</v>
      </c>
      <c r="AF7" s="507">
        <f>Assum!AF301</f>
        <v>1</v>
      </c>
      <c r="AG7" s="507">
        <f>Assum!AG301</f>
        <v>1</v>
      </c>
      <c r="AH7" s="507">
        <f>Assum!AH301</f>
        <v>1</v>
      </c>
      <c r="AI7" s="508">
        <f>Assum!AI301</f>
        <v>1</v>
      </c>
      <c r="AJ7" s="24"/>
      <c r="AK7" s="24"/>
      <c r="AL7" s="24"/>
      <c r="AM7" s="23"/>
      <c r="AN7" s="23"/>
      <c r="AO7" s="23"/>
      <c r="AP7" s="23"/>
    </row>
    <row r="8" spans="1:42">
      <c r="A8" s="26"/>
      <c r="B8" s="506" t="s">
        <v>182</v>
      </c>
      <c r="C8" s="1254"/>
      <c r="D8" s="259"/>
      <c r="E8" s="259">
        <f>E6*E7</f>
        <v>8441.398799999999</v>
      </c>
      <c r="F8" s="259">
        <f t="shared" ref="F8:AI8" si="1">F6*F7</f>
        <v>8441.3988000000008</v>
      </c>
      <c r="G8" s="259">
        <f t="shared" si="1"/>
        <v>8442.7014850000014</v>
      </c>
      <c r="H8" s="259">
        <f t="shared" si="1"/>
        <v>8910.3653999999988</v>
      </c>
      <c r="I8" s="259">
        <f t="shared" si="1"/>
        <v>8910.3653999999988</v>
      </c>
      <c r="J8" s="259">
        <f t="shared" si="1"/>
        <v>8911.6680849999993</v>
      </c>
      <c r="K8" s="259">
        <f t="shared" si="1"/>
        <v>9379.3320000000003</v>
      </c>
      <c r="L8" s="259">
        <f t="shared" si="1"/>
        <v>9380.6346849999991</v>
      </c>
      <c r="M8" s="259">
        <f t="shared" si="1"/>
        <v>9848.2986000000001</v>
      </c>
      <c r="N8" s="259">
        <f t="shared" si="1"/>
        <v>9849.6012850000006</v>
      </c>
      <c r="O8" s="259">
        <f t="shared" si="1"/>
        <v>0</v>
      </c>
      <c r="P8" s="259">
        <f t="shared" si="1"/>
        <v>0</v>
      </c>
      <c r="Q8" s="259">
        <f t="shared" si="1"/>
        <v>0</v>
      </c>
      <c r="R8" s="259">
        <f t="shared" si="1"/>
        <v>0</v>
      </c>
      <c r="S8" s="259">
        <f t="shared" si="1"/>
        <v>0</v>
      </c>
      <c r="T8" s="259">
        <f t="shared" si="1"/>
        <v>0</v>
      </c>
      <c r="U8" s="259">
        <f t="shared" si="1"/>
        <v>0</v>
      </c>
      <c r="V8" s="259">
        <f t="shared" si="1"/>
        <v>0</v>
      </c>
      <c r="W8" s="259">
        <f t="shared" si="1"/>
        <v>0</v>
      </c>
      <c r="X8" s="259">
        <f t="shared" si="1"/>
        <v>0</v>
      </c>
      <c r="Y8" s="259">
        <f t="shared" si="1"/>
        <v>0</v>
      </c>
      <c r="Z8" s="259">
        <f t="shared" si="1"/>
        <v>0</v>
      </c>
      <c r="AA8" s="259">
        <f t="shared" si="1"/>
        <v>0</v>
      </c>
      <c r="AB8" s="259">
        <f t="shared" si="1"/>
        <v>0</v>
      </c>
      <c r="AC8" s="259">
        <f t="shared" si="1"/>
        <v>0</v>
      </c>
      <c r="AD8" s="259">
        <f t="shared" si="1"/>
        <v>0</v>
      </c>
      <c r="AE8" s="259">
        <f t="shared" si="1"/>
        <v>0</v>
      </c>
      <c r="AF8" s="259">
        <f t="shared" si="1"/>
        <v>0</v>
      </c>
      <c r="AG8" s="259">
        <f t="shared" si="1"/>
        <v>0</v>
      </c>
      <c r="AH8" s="259">
        <f t="shared" si="1"/>
        <v>0</v>
      </c>
      <c r="AI8" s="509">
        <f t="shared" si="1"/>
        <v>0</v>
      </c>
      <c r="AJ8" s="24"/>
      <c r="AK8" s="24"/>
      <c r="AL8" s="24"/>
      <c r="AM8" s="23"/>
      <c r="AN8" s="23"/>
      <c r="AO8" s="23"/>
      <c r="AP8" s="23"/>
    </row>
    <row r="9" spans="1:42">
      <c r="A9" s="26"/>
      <c r="B9" s="506" t="s">
        <v>145</v>
      </c>
      <c r="C9" s="1255">
        <f>Assum!E306</f>
        <v>0.41</v>
      </c>
      <c r="D9" s="255"/>
      <c r="E9" s="255">
        <f>IF(Assum!$E$307&gt;=E1,-Assum!$E$306*E8,0)</f>
        <v>-3460.9735079999996</v>
      </c>
      <c r="F9" s="255">
        <f>IF(Assum!$E$307&gt;=F1,-Assum!$E$306*F8,0)</f>
        <v>-3460.973508</v>
      </c>
      <c r="G9" s="255">
        <f>IF(Assum!$E$307&gt;=G1,-Assum!$E$306*G8,0)</f>
        <v>-3461.5076088500005</v>
      </c>
      <c r="H9" s="255">
        <f>IF(Assum!$E$307&gt;=H1,-Assum!$E$306*H8,0)</f>
        <v>-3653.2498139999993</v>
      </c>
      <c r="I9" s="255">
        <f>IF(Assum!$E$307&gt;=I1,-Assum!$E$306*I8,0)</f>
        <v>-3653.2498139999993</v>
      </c>
      <c r="J9" s="255">
        <f>IF(Assum!$E$307&gt;=J1,-Assum!$E$306*J8,0)</f>
        <v>0</v>
      </c>
      <c r="K9" s="255">
        <f>IF(Assum!$E$307&gt;=K1,-Assum!$E$306*K8,0)</f>
        <v>0</v>
      </c>
      <c r="L9" s="255">
        <f>IF(Assum!$E$307&gt;=L1,-Assum!$E$306*L8,0)</f>
        <v>0</v>
      </c>
      <c r="M9" s="255">
        <f>IF(Assum!$E$307&gt;=M1,-Assum!$E$306*M8,0)</f>
        <v>0</v>
      </c>
      <c r="N9" s="255">
        <f>IF(Assum!$E$307&gt;=N1,-Assum!$E$306*N8,0)</f>
        <v>0</v>
      </c>
      <c r="O9" s="255">
        <f>IF(Assum!$E$307&gt;=O1,-Assum!$E$306*O8,0)</f>
        <v>0</v>
      </c>
      <c r="P9" s="255">
        <f>IF(Assum!$E$307&gt;=P1,-Assum!$E$306*P8,0)</f>
        <v>0</v>
      </c>
      <c r="Q9" s="255">
        <f>IF(Assum!$E$307&gt;=Q1,-Assum!$E$306*Q8,0)</f>
        <v>0</v>
      </c>
      <c r="R9" s="255">
        <f>IF(Assum!$E$307&gt;=R1,-Assum!$E$306*R8,0)</f>
        <v>0</v>
      </c>
      <c r="S9" s="255">
        <f>IF(Assum!$E$307&gt;=S1,-Assum!$E$306*S8,0)</f>
        <v>0</v>
      </c>
      <c r="T9" s="255">
        <f>IF(Assum!$E$307&gt;=T1,-Assum!$E$306*T8,0)</f>
        <v>0</v>
      </c>
      <c r="U9" s="255">
        <f>IF(Assum!$E$307&gt;=U1,-Assum!$E$306*U8,0)</f>
        <v>0</v>
      </c>
      <c r="V9" s="255">
        <f>IF(Assum!$E$307&gt;=V1,-Assum!$E$306*V8,0)</f>
        <v>0</v>
      </c>
      <c r="W9" s="255">
        <f>IF(Assum!$E$307&gt;=W1,-Assum!$E$306*W8,0)</f>
        <v>0</v>
      </c>
      <c r="X9" s="255">
        <f>IF(Assum!$E$307&gt;=X1,-Assum!$E$306*X8,0)</f>
        <v>0</v>
      </c>
      <c r="Y9" s="255">
        <f>IF(Assum!$E$307&gt;=Y1,-Assum!$E$306*Y8,0)</f>
        <v>0</v>
      </c>
      <c r="Z9" s="255">
        <f>IF(Assum!$E$307&gt;=Z1,-Assum!$E$306*Z8,0)</f>
        <v>0</v>
      </c>
      <c r="AA9" s="255">
        <f>IF(Assum!$E$307&gt;=AA1,-Assum!$E$306*AA8,0)</f>
        <v>0</v>
      </c>
      <c r="AB9" s="255">
        <f>IF(Assum!$E$307&gt;=AB1,-Assum!$E$306*AB8,0)</f>
        <v>0</v>
      </c>
      <c r="AC9" s="255">
        <f>IF(Assum!$E$307&gt;=AC1,-Assum!$E$306*AC8,0)</f>
        <v>0</v>
      </c>
      <c r="AD9" s="255">
        <f>IF(Assum!$E$307&gt;=AD1,-Assum!$E$306*AD8,0)</f>
        <v>0</v>
      </c>
      <c r="AE9" s="255">
        <f>IF(Assum!$E$307&gt;=AE1,-Assum!$E$306*AE8,0)</f>
        <v>0</v>
      </c>
      <c r="AF9" s="255">
        <f>IF(Assum!$E$307&gt;=AF1,-Assum!$E$306*AF8,0)</f>
        <v>0</v>
      </c>
      <c r="AG9" s="255">
        <f>IF(Assum!$E$307&gt;=AG1,-Assum!$E$306*AG8,0)</f>
        <v>0</v>
      </c>
      <c r="AH9" s="255">
        <f>IF(Assum!$E$307&gt;=AH1,-Assum!$E$306*AH8,0)</f>
        <v>0</v>
      </c>
      <c r="AI9" s="255">
        <f>IF(Assum!$E$307&gt;=AI1,-Assum!$E$306*AI8,0)</f>
        <v>0</v>
      </c>
      <c r="AJ9" s="24"/>
      <c r="AK9" s="24"/>
      <c r="AL9" s="24"/>
      <c r="AM9" s="23"/>
      <c r="AN9" s="23"/>
      <c r="AO9" s="23"/>
      <c r="AP9" s="23"/>
    </row>
    <row r="10" spans="1:42">
      <c r="A10" s="26"/>
      <c r="B10" s="506" t="s">
        <v>148</v>
      </c>
      <c r="C10" s="1255">
        <f>Assum!E308</f>
        <v>0.28000000000000003</v>
      </c>
      <c r="D10" s="255"/>
      <c r="E10" s="255">
        <f>IF(Assum!$E$307&gt;=E1,0,-Assum!$E$308*JrDebt!E8)</f>
        <v>0</v>
      </c>
      <c r="F10" s="255">
        <f>IF(Assum!$E$307&gt;=F1,0,-Assum!$E$308*JrDebt!F8)</f>
        <v>0</v>
      </c>
      <c r="G10" s="255">
        <f>IF(Assum!$E$307&gt;=G1,0,-Assum!$E$308*JrDebt!G8)</f>
        <v>0</v>
      </c>
      <c r="H10" s="255">
        <f>IF(Assum!$E$307&gt;=H1,0,-Assum!$E$308*JrDebt!H8)</f>
        <v>0</v>
      </c>
      <c r="I10" s="255">
        <f>IF(Assum!$E$307&gt;=I1,0,-Assum!$E$308*JrDebt!I8)</f>
        <v>0</v>
      </c>
      <c r="J10" s="255">
        <f>IF(Assum!$E$307&gt;=J1,0,-Assum!$E$308*JrDebt!J8)</f>
        <v>-2495.2670638</v>
      </c>
      <c r="K10" s="255">
        <f>IF(Assum!$E$307&gt;=K1,0,-Assum!$E$308*JrDebt!K8)</f>
        <v>-2626.2129600000003</v>
      </c>
      <c r="L10" s="255">
        <f>IF(Assum!$E$307&gt;=L1,0,-Assum!$E$308*JrDebt!L8)</f>
        <v>-2626.5777118000001</v>
      </c>
      <c r="M10" s="255">
        <f>IF(Assum!$E$307&gt;=M1,0,-Assum!$E$308*JrDebt!M8)</f>
        <v>-2757.5236080000004</v>
      </c>
      <c r="N10" s="255">
        <f>IF(Assum!$E$307&gt;=N1,0,-Assum!$E$308*JrDebt!N8)</f>
        <v>-2757.8883598000002</v>
      </c>
      <c r="O10" s="255">
        <f>IF(Assum!$E$307&gt;=O1,0,-Assum!$E$308*JrDebt!O8)</f>
        <v>0</v>
      </c>
      <c r="P10" s="255">
        <f>IF(Assum!$E$307&gt;=P1,0,-Assum!$E$308*JrDebt!P8)</f>
        <v>0</v>
      </c>
      <c r="Q10" s="255">
        <f>IF(Assum!$E$307&gt;=Q1,0,-Assum!$E$308*JrDebt!Q8)</f>
        <v>0</v>
      </c>
      <c r="R10" s="255">
        <f>IF(Assum!$E$307&gt;=R1,0,-Assum!$E$308*JrDebt!R8)</f>
        <v>0</v>
      </c>
      <c r="S10" s="255">
        <f>IF(Assum!$E$307&gt;=S1,0,-Assum!$E$308*JrDebt!S8)</f>
        <v>0</v>
      </c>
      <c r="T10" s="255">
        <f>IF(Assum!$E$307&gt;=T1,0,-Assum!$E$308*JrDebt!T8)</f>
        <v>0</v>
      </c>
      <c r="U10" s="255">
        <f>IF(Assum!$E$307&gt;=U1,0,-Assum!$E$308*JrDebt!U8)</f>
        <v>0</v>
      </c>
      <c r="V10" s="255">
        <f>IF(Assum!$E$307&gt;=V1,0,-Assum!$E$308*JrDebt!V8)</f>
        <v>0</v>
      </c>
      <c r="W10" s="255">
        <f>IF(Assum!$E$307&gt;=W1,0,-Assum!$E$308*JrDebt!W8)</f>
        <v>0</v>
      </c>
      <c r="X10" s="255">
        <f>IF(Assum!$E$307&gt;=X1,0,-Assum!$E$308*JrDebt!X8)</f>
        <v>0</v>
      </c>
      <c r="Y10" s="255">
        <f>IF(Assum!$E$307&gt;=Y1,0,-Assum!$E$308*JrDebt!Y8)</f>
        <v>0</v>
      </c>
      <c r="Z10" s="255">
        <f>IF(Assum!$E$307&gt;=Z1,0,-Assum!$E$308*JrDebt!Z8)</f>
        <v>0</v>
      </c>
      <c r="AA10" s="255">
        <f>IF(Assum!$E$307&gt;=AA1,0,-Assum!$E$308*JrDebt!AA8)</f>
        <v>0</v>
      </c>
      <c r="AB10" s="255">
        <f>IF(Assum!$E$307&gt;=AB1,0,-Assum!$E$308*JrDebt!AB8)</f>
        <v>0</v>
      </c>
      <c r="AC10" s="255">
        <f>IF(Assum!$E$307&gt;=AC1,0,-Assum!$E$308*JrDebt!AC8)</f>
        <v>0</v>
      </c>
      <c r="AD10" s="255">
        <f>IF(Assum!$E$307&gt;=AD1,0,-Assum!$E$308*JrDebt!AD8)</f>
        <v>0</v>
      </c>
      <c r="AE10" s="255">
        <f>IF(Assum!$E$307&gt;=AE1,0,-Assum!$E$308*JrDebt!AE8)</f>
        <v>0</v>
      </c>
      <c r="AF10" s="255">
        <f>IF(Assum!$E$307&gt;=AF1,0,-Assum!$E$308*JrDebt!AF8)</f>
        <v>0</v>
      </c>
      <c r="AG10" s="255">
        <f>IF(Assum!$E$307&gt;=AG1,0,-Assum!$E$308*JrDebt!AG8)</f>
        <v>0</v>
      </c>
      <c r="AH10" s="255">
        <f>IF(Assum!$E$307&gt;=AH1,0,-Assum!$E$308*JrDebt!AH8)</f>
        <v>0</v>
      </c>
      <c r="AI10" s="255">
        <f>IF(Assum!$E$307&gt;=AI1,0,-Assum!$E$308*JrDebt!AI8)</f>
        <v>0</v>
      </c>
      <c r="AJ10" s="24"/>
      <c r="AK10" s="24"/>
      <c r="AL10" s="24"/>
      <c r="AM10" s="23"/>
      <c r="AN10" s="23"/>
      <c r="AO10" s="23"/>
      <c r="AP10" s="23"/>
    </row>
    <row r="11" spans="1:42" s="425" customFormat="1">
      <c r="A11" s="26"/>
      <c r="B11" s="510" t="s">
        <v>370</v>
      </c>
      <c r="C11" s="1256"/>
      <c r="D11" s="263"/>
      <c r="E11" s="263">
        <f>E6+SUM(E9:E10)</f>
        <v>4980.4252919999999</v>
      </c>
      <c r="F11" s="263">
        <f t="shared" ref="F11:AI11" si="2">F6+SUM(F9:F10)</f>
        <v>4980.4252920000008</v>
      </c>
      <c r="G11" s="263">
        <f t="shared" si="2"/>
        <v>4981.1938761500005</v>
      </c>
      <c r="H11" s="263">
        <f t="shared" si="2"/>
        <v>5257.1155859999999</v>
      </c>
      <c r="I11" s="263">
        <f t="shared" si="2"/>
        <v>5257.1155859999999</v>
      </c>
      <c r="J11" s="263">
        <f t="shared" si="2"/>
        <v>6416.4010211999994</v>
      </c>
      <c r="K11" s="263">
        <f t="shared" si="2"/>
        <v>6753.1190399999996</v>
      </c>
      <c r="L11" s="263">
        <f t="shared" si="2"/>
        <v>6754.0569731999985</v>
      </c>
      <c r="M11" s="263">
        <f t="shared" si="2"/>
        <v>7090.7749919999997</v>
      </c>
      <c r="N11" s="263">
        <f t="shared" si="2"/>
        <v>7091.7129252000004</v>
      </c>
      <c r="O11" s="263">
        <f t="shared" si="2"/>
        <v>0</v>
      </c>
      <c r="P11" s="263">
        <f t="shared" si="2"/>
        <v>0</v>
      </c>
      <c r="Q11" s="263">
        <f t="shared" si="2"/>
        <v>0</v>
      </c>
      <c r="R11" s="263">
        <f t="shared" si="2"/>
        <v>0</v>
      </c>
      <c r="S11" s="263">
        <f t="shared" si="2"/>
        <v>0</v>
      </c>
      <c r="T11" s="263">
        <f t="shared" si="2"/>
        <v>0</v>
      </c>
      <c r="U11" s="263">
        <f t="shared" si="2"/>
        <v>0</v>
      </c>
      <c r="V11" s="263">
        <f t="shared" si="2"/>
        <v>0</v>
      </c>
      <c r="W11" s="263">
        <f t="shared" si="2"/>
        <v>0</v>
      </c>
      <c r="X11" s="263">
        <f t="shared" si="2"/>
        <v>0</v>
      </c>
      <c r="Y11" s="263">
        <f t="shared" si="2"/>
        <v>0</v>
      </c>
      <c r="Z11" s="263">
        <f t="shared" si="2"/>
        <v>0</v>
      </c>
      <c r="AA11" s="263">
        <f t="shared" si="2"/>
        <v>0</v>
      </c>
      <c r="AB11" s="263">
        <f t="shared" si="2"/>
        <v>0</v>
      </c>
      <c r="AC11" s="263">
        <f t="shared" si="2"/>
        <v>0</v>
      </c>
      <c r="AD11" s="263">
        <f t="shared" si="2"/>
        <v>0</v>
      </c>
      <c r="AE11" s="263">
        <f t="shared" si="2"/>
        <v>0</v>
      </c>
      <c r="AF11" s="263">
        <f t="shared" si="2"/>
        <v>0</v>
      </c>
      <c r="AG11" s="263">
        <f t="shared" si="2"/>
        <v>0</v>
      </c>
      <c r="AH11" s="263">
        <f t="shared" si="2"/>
        <v>0</v>
      </c>
      <c r="AI11" s="511">
        <f t="shared" si="2"/>
        <v>0</v>
      </c>
      <c r="AJ11" s="27"/>
      <c r="AK11" s="27"/>
      <c r="AL11" s="27"/>
      <c r="AM11" s="423"/>
      <c r="AN11" s="423"/>
      <c r="AO11" s="423"/>
      <c r="AP11" s="423"/>
    </row>
    <row r="12" spans="1:42">
      <c r="A12" s="26"/>
      <c r="B12" s="512" t="s">
        <v>39</v>
      </c>
      <c r="C12" s="1257">
        <f>Assum!E345</f>
        <v>0.99</v>
      </c>
      <c r="D12" s="507"/>
      <c r="E12" s="259">
        <f>E11*Assum!E345</f>
        <v>4930.6210390799997</v>
      </c>
      <c r="F12" s="259">
        <f>F11*Assum!F345</f>
        <v>4930.6210390800006</v>
      </c>
      <c r="G12" s="259">
        <f>G11*Assum!G345</f>
        <v>4931.3819373885008</v>
      </c>
      <c r="H12" s="259">
        <f>H11*Assum!H345</f>
        <v>5204.5444301400003</v>
      </c>
      <c r="I12" s="259">
        <f>I11*Assum!I345</f>
        <v>5204.5444301400003</v>
      </c>
      <c r="J12" s="259">
        <f>J11*Assum!J345</f>
        <v>6352.2370109879994</v>
      </c>
      <c r="K12" s="259">
        <f>K11*Assum!K345</f>
        <v>6685.5878495999996</v>
      </c>
      <c r="L12" s="259">
        <f>L11*Assum!L345</f>
        <v>6686.5164034679983</v>
      </c>
      <c r="M12" s="259">
        <f>M11*Assum!M345</f>
        <v>7019.8672420799994</v>
      </c>
      <c r="N12" s="259">
        <f>N11*Assum!N345</f>
        <v>7020.795795948</v>
      </c>
      <c r="O12" s="259">
        <f>O11*Assum!O345</f>
        <v>0</v>
      </c>
      <c r="P12" s="259">
        <f>P11*Assum!P345</f>
        <v>0</v>
      </c>
      <c r="Q12" s="259">
        <f>Q11*Assum!Q345</f>
        <v>0</v>
      </c>
      <c r="R12" s="259">
        <f>R11*Assum!R345</f>
        <v>0</v>
      </c>
      <c r="S12" s="259">
        <f>S11*Assum!S345</f>
        <v>0</v>
      </c>
      <c r="T12" s="259">
        <f>T11*Assum!T345</f>
        <v>0</v>
      </c>
      <c r="U12" s="259">
        <f>U11*Assum!U345</f>
        <v>0</v>
      </c>
      <c r="V12" s="259">
        <f>V11*Assum!V345</f>
        <v>0</v>
      </c>
      <c r="W12" s="259">
        <f>W11*Assum!W345</f>
        <v>0</v>
      </c>
      <c r="X12" s="259">
        <f>X11*Assum!X345</f>
        <v>0</v>
      </c>
      <c r="Y12" s="259">
        <f>Y11*Assum!Y345</f>
        <v>0</v>
      </c>
      <c r="Z12" s="259">
        <f>Z11*Assum!Z345</f>
        <v>0</v>
      </c>
      <c r="AA12" s="259">
        <f>AA11*Assum!AA345</f>
        <v>0</v>
      </c>
      <c r="AB12" s="259">
        <f>AB11*Assum!AB345</f>
        <v>0</v>
      </c>
      <c r="AC12" s="259">
        <f>AC11*Assum!AC345</f>
        <v>0</v>
      </c>
      <c r="AD12" s="259">
        <f>AD11*Assum!AD345</f>
        <v>0</v>
      </c>
      <c r="AE12" s="259">
        <f>AE11*Assum!AE345</f>
        <v>0</v>
      </c>
      <c r="AF12" s="259">
        <f>AF11*Assum!AF345</f>
        <v>0</v>
      </c>
      <c r="AG12" s="259">
        <f>AG11*Assum!AG345</f>
        <v>0</v>
      </c>
      <c r="AH12" s="259">
        <f>AH11*Assum!AH345</f>
        <v>0</v>
      </c>
      <c r="AI12" s="509">
        <f>AI11*Assum!AI345</f>
        <v>0</v>
      </c>
      <c r="AJ12" s="24"/>
      <c r="AK12" s="24"/>
      <c r="AL12" s="24"/>
      <c r="AM12" s="23"/>
      <c r="AN12" s="23"/>
      <c r="AO12" s="23"/>
      <c r="AP12" s="23"/>
    </row>
    <row r="13" spans="1:42">
      <c r="A13" s="26"/>
      <c r="B13" s="512" t="s">
        <v>40</v>
      </c>
      <c r="C13" s="1257">
        <f>Assum!E346</f>
        <v>0.01</v>
      </c>
      <c r="D13" s="507"/>
      <c r="E13" s="259">
        <f>E11*Assum!E346</f>
        <v>49.804252920000003</v>
      </c>
      <c r="F13" s="259">
        <f>F11*Assum!F346</f>
        <v>49.80425292000001</v>
      </c>
      <c r="G13" s="259">
        <f>G11*Assum!G346</f>
        <v>49.811938761500009</v>
      </c>
      <c r="H13" s="259">
        <f>H11*Assum!H346</f>
        <v>52.571155859999998</v>
      </c>
      <c r="I13" s="259">
        <f>I11*Assum!I346</f>
        <v>52.571155859999998</v>
      </c>
      <c r="J13" s="259">
        <f>J11*Assum!J346</f>
        <v>64.164010211999994</v>
      </c>
      <c r="K13" s="259">
        <f>K11*Assum!K346</f>
        <v>67.5311904</v>
      </c>
      <c r="L13" s="259">
        <f>L11*Assum!L346</f>
        <v>67.54056973199998</v>
      </c>
      <c r="M13" s="259">
        <f>M11*Assum!M346</f>
        <v>70.907749920000001</v>
      </c>
      <c r="N13" s="259">
        <f>N11*Assum!N346</f>
        <v>70.917129252000009</v>
      </c>
      <c r="O13" s="259">
        <f>O11*Assum!O346</f>
        <v>0</v>
      </c>
      <c r="P13" s="259">
        <f>P11*Assum!P346</f>
        <v>0</v>
      </c>
      <c r="Q13" s="259">
        <f>Q11*Assum!Q346</f>
        <v>0</v>
      </c>
      <c r="R13" s="259">
        <f>R11*Assum!R346</f>
        <v>0</v>
      </c>
      <c r="S13" s="259">
        <f>S11*Assum!S346</f>
        <v>0</v>
      </c>
      <c r="T13" s="259">
        <f>T11*Assum!T346</f>
        <v>0</v>
      </c>
      <c r="U13" s="259">
        <f>U11*Assum!U346</f>
        <v>0</v>
      </c>
      <c r="V13" s="259">
        <f>V11*Assum!V346</f>
        <v>0</v>
      </c>
      <c r="W13" s="259">
        <f>W11*Assum!W346</f>
        <v>0</v>
      </c>
      <c r="X13" s="259">
        <f>X11*Assum!X346</f>
        <v>0</v>
      </c>
      <c r="Y13" s="259">
        <f>Y11*Assum!Y346</f>
        <v>0</v>
      </c>
      <c r="Z13" s="259">
        <f>Z11*Assum!Z346</f>
        <v>0</v>
      </c>
      <c r="AA13" s="259">
        <f>AA11*Assum!AA346</f>
        <v>0</v>
      </c>
      <c r="AB13" s="259">
        <f>AB11*Assum!AB346</f>
        <v>0</v>
      </c>
      <c r="AC13" s="259">
        <f>AC11*Assum!AC346</f>
        <v>0</v>
      </c>
      <c r="AD13" s="259">
        <f>AD11*Assum!AD346</f>
        <v>0</v>
      </c>
      <c r="AE13" s="259">
        <f>AE11*Assum!AE346</f>
        <v>0</v>
      </c>
      <c r="AF13" s="259">
        <f>AF11*Assum!AF346</f>
        <v>0</v>
      </c>
      <c r="AG13" s="259">
        <f>AG11*Assum!AG346</f>
        <v>0</v>
      </c>
      <c r="AH13" s="259">
        <f>AH11*Assum!AH346</f>
        <v>0</v>
      </c>
      <c r="AI13" s="509">
        <f>AI11*Assum!AI346</f>
        <v>0</v>
      </c>
      <c r="AJ13" s="24"/>
      <c r="AK13" s="24"/>
      <c r="AL13" s="24"/>
      <c r="AM13" s="23"/>
      <c r="AN13" s="23"/>
      <c r="AO13" s="23"/>
      <c r="AP13" s="23"/>
    </row>
    <row r="14" spans="1:42">
      <c r="A14" s="26"/>
      <c r="B14" s="506" t="s">
        <v>37</v>
      </c>
      <c r="C14" s="1258">
        <f>Assum!E309*Assum!$E$285</f>
        <v>0</v>
      </c>
      <c r="D14" s="1328"/>
      <c r="E14" s="259">
        <f t="shared" ref="E14:AI14" si="3">E12*$C$14</f>
        <v>0</v>
      </c>
      <c r="F14" s="259">
        <f t="shared" si="3"/>
        <v>0</v>
      </c>
      <c r="G14" s="259">
        <f t="shared" si="3"/>
        <v>0</v>
      </c>
      <c r="H14" s="259">
        <f t="shared" si="3"/>
        <v>0</v>
      </c>
      <c r="I14" s="259">
        <f t="shared" si="3"/>
        <v>0</v>
      </c>
      <c r="J14" s="259">
        <f t="shared" si="3"/>
        <v>0</v>
      </c>
      <c r="K14" s="259">
        <f t="shared" si="3"/>
        <v>0</v>
      </c>
      <c r="L14" s="259">
        <f t="shared" si="3"/>
        <v>0</v>
      </c>
      <c r="M14" s="259">
        <f t="shared" si="3"/>
        <v>0</v>
      </c>
      <c r="N14" s="259">
        <f t="shared" si="3"/>
        <v>0</v>
      </c>
      <c r="O14" s="259">
        <f t="shared" si="3"/>
        <v>0</v>
      </c>
      <c r="P14" s="259">
        <f t="shared" si="3"/>
        <v>0</v>
      </c>
      <c r="Q14" s="259">
        <f t="shared" si="3"/>
        <v>0</v>
      </c>
      <c r="R14" s="259">
        <f t="shared" si="3"/>
        <v>0</v>
      </c>
      <c r="S14" s="259">
        <f t="shared" si="3"/>
        <v>0</v>
      </c>
      <c r="T14" s="259">
        <f t="shared" si="3"/>
        <v>0</v>
      </c>
      <c r="U14" s="259">
        <f t="shared" si="3"/>
        <v>0</v>
      </c>
      <c r="V14" s="259">
        <f t="shared" si="3"/>
        <v>0</v>
      </c>
      <c r="W14" s="259">
        <f t="shared" si="3"/>
        <v>0</v>
      </c>
      <c r="X14" s="259">
        <f t="shared" si="3"/>
        <v>0</v>
      </c>
      <c r="Y14" s="259">
        <f t="shared" si="3"/>
        <v>0</v>
      </c>
      <c r="Z14" s="259">
        <f t="shared" si="3"/>
        <v>0</v>
      </c>
      <c r="AA14" s="259">
        <f t="shared" si="3"/>
        <v>0</v>
      </c>
      <c r="AB14" s="259">
        <f t="shared" si="3"/>
        <v>0</v>
      </c>
      <c r="AC14" s="259">
        <f t="shared" si="3"/>
        <v>0</v>
      </c>
      <c r="AD14" s="259">
        <f t="shared" si="3"/>
        <v>0</v>
      </c>
      <c r="AE14" s="259">
        <f t="shared" si="3"/>
        <v>0</v>
      </c>
      <c r="AF14" s="259">
        <f t="shared" si="3"/>
        <v>0</v>
      </c>
      <c r="AG14" s="259">
        <f t="shared" si="3"/>
        <v>0</v>
      </c>
      <c r="AH14" s="259">
        <f t="shared" si="3"/>
        <v>0</v>
      </c>
      <c r="AI14" s="509">
        <f t="shared" si="3"/>
        <v>0</v>
      </c>
      <c r="AJ14" s="24"/>
      <c r="AK14" s="24"/>
      <c r="AL14" s="24"/>
      <c r="AM14" s="23"/>
      <c r="AN14" s="23"/>
      <c r="AO14" s="23"/>
      <c r="AP14" s="23"/>
    </row>
    <row r="15" spans="1:42">
      <c r="A15" s="26"/>
      <c r="B15" s="506" t="s">
        <v>38</v>
      </c>
      <c r="C15" s="1258">
        <f>Assum!E310*Assum!$E$285</f>
        <v>0</v>
      </c>
      <c r="D15" s="1328"/>
      <c r="E15" s="259">
        <f t="shared" ref="E15:AI15" si="4">E13*$C$15</f>
        <v>0</v>
      </c>
      <c r="F15" s="259">
        <f t="shared" si="4"/>
        <v>0</v>
      </c>
      <c r="G15" s="259">
        <f t="shared" si="4"/>
        <v>0</v>
      </c>
      <c r="H15" s="259">
        <f t="shared" si="4"/>
        <v>0</v>
      </c>
      <c r="I15" s="259">
        <f t="shared" si="4"/>
        <v>0</v>
      </c>
      <c r="J15" s="259">
        <f t="shared" si="4"/>
        <v>0</v>
      </c>
      <c r="K15" s="259">
        <f t="shared" si="4"/>
        <v>0</v>
      </c>
      <c r="L15" s="259">
        <f t="shared" si="4"/>
        <v>0</v>
      </c>
      <c r="M15" s="259">
        <f t="shared" si="4"/>
        <v>0</v>
      </c>
      <c r="N15" s="259">
        <f t="shared" si="4"/>
        <v>0</v>
      </c>
      <c r="O15" s="259">
        <f t="shared" si="4"/>
        <v>0</v>
      </c>
      <c r="P15" s="259">
        <f t="shared" si="4"/>
        <v>0</v>
      </c>
      <c r="Q15" s="259">
        <f t="shared" si="4"/>
        <v>0</v>
      </c>
      <c r="R15" s="259">
        <f t="shared" si="4"/>
        <v>0</v>
      </c>
      <c r="S15" s="259">
        <f t="shared" si="4"/>
        <v>0</v>
      </c>
      <c r="T15" s="259">
        <f t="shared" si="4"/>
        <v>0</v>
      </c>
      <c r="U15" s="259">
        <f t="shared" si="4"/>
        <v>0</v>
      </c>
      <c r="V15" s="259">
        <f t="shared" si="4"/>
        <v>0</v>
      </c>
      <c r="W15" s="259">
        <f t="shared" si="4"/>
        <v>0</v>
      </c>
      <c r="X15" s="259">
        <f t="shared" si="4"/>
        <v>0</v>
      </c>
      <c r="Y15" s="259">
        <f t="shared" si="4"/>
        <v>0</v>
      </c>
      <c r="Z15" s="259">
        <f t="shared" si="4"/>
        <v>0</v>
      </c>
      <c r="AA15" s="259">
        <f t="shared" si="4"/>
        <v>0</v>
      </c>
      <c r="AB15" s="259">
        <f t="shared" si="4"/>
        <v>0</v>
      </c>
      <c r="AC15" s="259">
        <f t="shared" si="4"/>
        <v>0</v>
      </c>
      <c r="AD15" s="259">
        <f t="shared" si="4"/>
        <v>0</v>
      </c>
      <c r="AE15" s="259">
        <f t="shared" si="4"/>
        <v>0</v>
      </c>
      <c r="AF15" s="259">
        <f t="shared" si="4"/>
        <v>0</v>
      </c>
      <c r="AG15" s="259">
        <f t="shared" si="4"/>
        <v>0</v>
      </c>
      <c r="AH15" s="259">
        <f t="shared" si="4"/>
        <v>0</v>
      </c>
      <c r="AI15" s="509">
        <f t="shared" si="4"/>
        <v>0</v>
      </c>
      <c r="AJ15" s="24"/>
      <c r="AK15" s="24"/>
      <c r="AL15" s="24"/>
      <c r="AM15" s="23"/>
      <c r="AN15" s="23"/>
      <c r="AO15" s="23"/>
      <c r="AP15" s="23"/>
    </row>
    <row r="16" spans="1:42" s="241" customFormat="1">
      <c r="A16" s="26"/>
      <c r="B16" s="1169" t="s">
        <v>36</v>
      </c>
      <c r="C16" s="1259"/>
      <c r="D16" s="542"/>
      <c r="E16" s="542">
        <f t="shared" ref="E16:AI16" si="5">SUM(E14:E15)</f>
        <v>0</v>
      </c>
      <c r="F16" s="542">
        <f t="shared" si="5"/>
        <v>0</v>
      </c>
      <c r="G16" s="542">
        <f t="shared" si="5"/>
        <v>0</v>
      </c>
      <c r="H16" s="542">
        <f t="shared" si="5"/>
        <v>0</v>
      </c>
      <c r="I16" s="542">
        <f t="shared" si="5"/>
        <v>0</v>
      </c>
      <c r="J16" s="542">
        <f t="shared" si="5"/>
        <v>0</v>
      </c>
      <c r="K16" s="542">
        <f t="shared" si="5"/>
        <v>0</v>
      </c>
      <c r="L16" s="542">
        <f t="shared" si="5"/>
        <v>0</v>
      </c>
      <c r="M16" s="542">
        <f t="shared" si="5"/>
        <v>0</v>
      </c>
      <c r="N16" s="542">
        <f t="shared" si="5"/>
        <v>0</v>
      </c>
      <c r="O16" s="542">
        <f t="shared" si="5"/>
        <v>0</v>
      </c>
      <c r="P16" s="542">
        <f t="shared" si="5"/>
        <v>0</v>
      </c>
      <c r="Q16" s="542">
        <f t="shared" si="5"/>
        <v>0</v>
      </c>
      <c r="R16" s="542">
        <f t="shared" si="5"/>
        <v>0</v>
      </c>
      <c r="S16" s="542">
        <f t="shared" si="5"/>
        <v>0</v>
      </c>
      <c r="T16" s="542">
        <f t="shared" si="5"/>
        <v>0</v>
      </c>
      <c r="U16" s="542">
        <f t="shared" si="5"/>
        <v>0</v>
      </c>
      <c r="V16" s="542">
        <f t="shared" si="5"/>
        <v>0</v>
      </c>
      <c r="W16" s="542">
        <f t="shared" si="5"/>
        <v>0</v>
      </c>
      <c r="X16" s="542">
        <f t="shared" si="5"/>
        <v>0</v>
      </c>
      <c r="Y16" s="542">
        <f t="shared" si="5"/>
        <v>0</v>
      </c>
      <c r="Z16" s="542">
        <f t="shared" si="5"/>
        <v>0</v>
      </c>
      <c r="AA16" s="542">
        <f t="shared" si="5"/>
        <v>0</v>
      </c>
      <c r="AB16" s="542">
        <f t="shared" si="5"/>
        <v>0</v>
      </c>
      <c r="AC16" s="542">
        <f t="shared" si="5"/>
        <v>0</v>
      </c>
      <c r="AD16" s="542">
        <f t="shared" si="5"/>
        <v>0</v>
      </c>
      <c r="AE16" s="542">
        <f t="shared" si="5"/>
        <v>0</v>
      </c>
      <c r="AF16" s="542">
        <f t="shared" si="5"/>
        <v>0</v>
      </c>
      <c r="AG16" s="542">
        <f t="shared" si="5"/>
        <v>0</v>
      </c>
      <c r="AH16" s="542">
        <f t="shared" si="5"/>
        <v>0</v>
      </c>
      <c r="AI16" s="715">
        <f t="shared" si="5"/>
        <v>0</v>
      </c>
      <c r="AJ16" s="426"/>
      <c r="AK16" s="426"/>
      <c r="AL16" s="426"/>
      <c r="AM16" s="427"/>
      <c r="AN16" s="427"/>
      <c r="AO16" s="427"/>
      <c r="AP16" s="427"/>
    </row>
    <row r="17" spans="1:42" s="241" customFormat="1">
      <c r="A17" s="26"/>
      <c r="B17" s="1169"/>
      <c r="C17" s="1259"/>
      <c r="D17" s="542"/>
      <c r="E17" s="542"/>
      <c r="F17" s="542"/>
      <c r="G17" s="542"/>
      <c r="H17" s="542"/>
      <c r="I17" s="542"/>
      <c r="J17" s="542"/>
      <c r="K17" s="542"/>
      <c r="L17" s="542"/>
      <c r="M17" s="542"/>
      <c r="N17" s="542"/>
      <c r="O17" s="542"/>
      <c r="P17" s="542"/>
      <c r="Q17" s="542"/>
      <c r="R17" s="542"/>
      <c r="S17" s="542"/>
      <c r="T17" s="542"/>
      <c r="U17" s="542"/>
      <c r="V17" s="542"/>
      <c r="W17" s="542"/>
      <c r="X17" s="542"/>
      <c r="Y17" s="542"/>
      <c r="Z17" s="542"/>
      <c r="AA17" s="542"/>
      <c r="AB17" s="542"/>
      <c r="AC17" s="542"/>
      <c r="AD17" s="542"/>
      <c r="AE17" s="542"/>
      <c r="AF17" s="542"/>
      <c r="AG17" s="542"/>
      <c r="AH17" s="542"/>
      <c r="AI17" s="715"/>
      <c r="AJ17" s="426"/>
      <c r="AK17" s="426"/>
      <c r="AL17" s="426"/>
      <c r="AM17" s="427"/>
      <c r="AN17" s="427"/>
      <c r="AO17" s="427"/>
      <c r="AP17" s="427"/>
    </row>
    <row r="18" spans="1:42" s="241" customFormat="1">
      <c r="A18" s="26"/>
      <c r="B18" s="1170" t="str">
        <f>Assum!B302</f>
        <v>PTC GEC CHECK COV RATIO</v>
      </c>
      <c r="C18" s="883"/>
      <c r="D18" s="543"/>
      <c r="E18" s="543">
        <f>Assum!E302</f>
        <v>1.5</v>
      </c>
      <c r="F18" s="543">
        <f>Assum!F302</f>
        <v>1.5</v>
      </c>
      <c r="G18" s="543">
        <f>Assum!G302</f>
        <v>1.5</v>
      </c>
      <c r="H18" s="543">
        <f>Assum!H302</f>
        <v>1.5</v>
      </c>
      <c r="I18" s="543">
        <f>Assum!I302</f>
        <v>1.5</v>
      </c>
      <c r="J18" s="543">
        <f>Assum!J302</f>
        <v>1.5</v>
      </c>
      <c r="K18" s="543">
        <f>Assum!K302</f>
        <v>1.5</v>
      </c>
      <c r="L18" s="543">
        <f>Assum!L302</f>
        <v>1.5</v>
      </c>
      <c r="M18" s="543">
        <f>Assum!M302</f>
        <v>1.5</v>
      </c>
      <c r="N18" s="543">
        <f>Assum!N302</f>
        <v>1.5</v>
      </c>
      <c r="O18" s="543">
        <f>Assum!O302</f>
        <v>1.5</v>
      </c>
      <c r="P18" s="543">
        <f>Assum!P302</f>
        <v>1.5</v>
      </c>
      <c r="Q18" s="543">
        <f>Assum!Q302</f>
        <v>1.5</v>
      </c>
      <c r="R18" s="543">
        <f>Assum!R302</f>
        <v>1.5</v>
      </c>
      <c r="S18" s="543">
        <f>Assum!S302</f>
        <v>1.5</v>
      </c>
      <c r="T18" s="543">
        <f>Assum!T302</f>
        <v>1.5</v>
      </c>
      <c r="U18" s="543">
        <f>Assum!U302</f>
        <v>1.5</v>
      </c>
      <c r="V18" s="543">
        <f>Assum!V302</f>
        <v>1.5</v>
      </c>
      <c r="W18" s="543">
        <f>Assum!W302</f>
        <v>1.5</v>
      </c>
      <c r="X18" s="543">
        <f>Assum!X302</f>
        <v>1.5</v>
      </c>
      <c r="Y18" s="543">
        <f>Assum!Y302</f>
        <v>1.5</v>
      </c>
      <c r="Z18" s="543">
        <f>Assum!Z302</f>
        <v>1.5</v>
      </c>
      <c r="AA18" s="543">
        <f>Assum!AA302</f>
        <v>1.5</v>
      </c>
      <c r="AB18" s="543">
        <f>Assum!AB302</f>
        <v>1.5</v>
      </c>
      <c r="AC18" s="543">
        <f>Assum!AC302</f>
        <v>1.5</v>
      </c>
      <c r="AD18" s="543">
        <f>Assum!AD302</f>
        <v>1.5</v>
      </c>
      <c r="AE18" s="543">
        <f>Assum!AE302</f>
        <v>1.5</v>
      </c>
      <c r="AF18" s="543">
        <f>Assum!AF302</f>
        <v>1.5</v>
      </c>
      <c r="AG18" s="543">
        <f>Assum!AG302</f>
        <v>1.5</v>
      </c>
      <c r="AH18" s="543">
        <f>Assum!AH302</f>
        <v>1.5</v>
      </c>
      <c r="AI18" s="1171">
        <f>Assum!AI302</f>
        <v>1.5</v>
      </c>
      <c r="AJ18" s="426"/>
      <c r="AK18" s="426"/>
      <c r="AL18" s="426"/>
      <c r="AM18" s="427"/>
      <c r="AN18" s="427"/>
      <c r="AO18" s="427"/>
      <c r="AP18" s="427"/>
    </row>
    <row r="19" spans="1:42" s="732" customFormat="1">
      <c r="A19" s="729"/>
      <c r="B19" s="1172" t="s">
        <v>430</v>
      </c>
      <c r="C19" s="1260"/>
      <c r="D19" s="1173"/>
      <c r="E19" s="1173">
        <f t="shared" ref="E19:AI19" si="6">E6/E18</f>
        <v>5627.5991999999997</v>
      </c>
      <c r="F19" s="1173">
        <f t="shared" si="6"/>
        <v>5627.5992000000006</v>
      </c>
      <c r="G19" s="1173">
        <f t="shared" si="6"/>
        <v>5628.4676566666676</v>
      </c>
      <c r="H19" s="1173">
        <f t="shared" si="6"/>
        <v>5940.2435999999989</v>
      </c>
      <c r="I19" s="1173">
        <f t="shared" si="6"/>
        <v>5940.2435999999989</v>
      </c>
      <c r="J19" s="1173">
        <f t="shared" si="6"/>
        <v>5941.1120566666659</v>
      </c>
      <c r="K19" s="1173">
        <f t="shared" si="6"/>
        <v>6252.8879999999999</v>
      </c>
      <c r="L19" s="1173">
        <f t="shared" si="6"/>
        <v>6253.7564566666661</v>
      </c>
      <c r="M19" s="1173">
        <f t="shared" si="6"/>
        <v>6565.5324000000001</v>
      </c>
      <c r="N19" s="1173">
        <f t="shared" si="6"/>
        <v>6566.4008566666671</v>
      </c>
      <c r="O19" s="1173">
        <f t="shared" si="6"/>
        <v>0</v>
      </c>
      <c r="P19" s="1173">
        <f t="shared" si="6"/>
        <v>0</v>
      </c>
      <c r="Q19" s="1173">
        <f t="shared" si="6"/>
        <v>0</v>
      </c>
      <c r="R19" s="1173">
        <f t="shared" si="6"/>
        <v>0</v>
      </c>
      <c r="S19" s="1173">
        <f t="shared" si="6"/>
        <v>0</v>
      </c>
      <c r="T19" s="1173">
        <f t="shared" si="6"/>
        <v>0</v>
      </c>
      <c r="U19" s="1173">
        <f t="shared" si="6"/>
        <v>0</v>
      </c>
      <c r="V19" s="1173">
        <f t="shared" si="6"/>
        <v>0</v>
      </c>
      <c r="W19" s="1173">
        <f t="shared" si="6"/>
        <v>0</v>
      </c>
      <c r="X19" s="1173">
        <f t="shared" si="6"/>
        <v>0</v>
      </c>
      <c r="Y19" s="1173">
        <f t="shared" si="6"/>
        <v>0</v>
      </c>
      <c r="Z19" s="1173">
        <f t="shared" si="6"/>
        <v>0</v>
      </c>
      <c r="AA19" s="1173">
        <f t="shared" si="6"/>
        <v>0</v>
      </c>
      <c r="AB19" s="1173">
        <f t="shared" si="6"/>
        <v>0</v>
      </c>
      <c r="AC19" s="1173">
        <f t="shared" si="6"/>
        <v>0</v>
      </c>
      <c r="AD19" s="1173">
        <f t="shared" si="6"/>
        <v>0</v>
      </c>
      <c r="AE19" s="1173">
        <f t="shared" si="6"/>
        <v>0</v>
      </c>
      <c r="AF19" s="1173">
        <f t="shared" si="6"/>
        <v>0</v>
      </c>
      <c r="AG19" s="1173">
        <f t="shared" si="6"/>
        <v>0</v>
      </c>
      <c r="AH19" s="1173">
        <f t="shared" si="6"/>
        <v>0</v>
      </c>
      <c r="AI19" s="1174">
        <f t="shared" si="6"/>
        <v>0</v>
      </c>
      <c r="AJ19" s="730"/>
      <c r="AK19" s="730"/>
      <c r="AL19" s="730"/>
      <c r="AM19" s="731"/>
      <c r="AN19" s="731"/>
      <c r="AO19" s="731"/>
      <c r="AP19" s="731"/>
    </row>
    <row r="20" spans="1:42" s="241" customFormat="1">
      <c r="A20" s="26"/>
      <c r="B20" s="426"/>
      <c r="C20" s="1261"/>
      <c r="D20" s="426"/>
      <c r="E20" s="426"/>
      <c r="F20" s="426"/>
      <c r="G20" s="426"/>
      <c r="H20" s="426"/>
      <c r="I20" s="426"/>
      <c r="J20" s="426"/>
      <c r="K20" s="426"/>
      <c r="L20" s="426"/>
      <c r="M20" s="426"/>
      <c r="N20" s="426"/>
      <c r="O20" s="426"/>
      <c r="P20" s="426"/>
      <c r="Q20" s="426"/>
      <c r="R20" s="426"/>
      <c r="S20" s="426"/>
      <c r="T20" s="426"/>
      <c r="U20" s="426"/>
      <c r="V20" s="426"/>
      <c r="W20" s="426"/>
      <c r="X20" s="426"/>
      <c r="Y20" s="426"/>
      <c r="Z20" s="426"/>
      <c r="AA20" s="426"/>
      <c r="AB20" s="426"/>
      <c r="AC20" s="426"/>
      <c r="AD20" s="426"/>
      <c r="AE20" s="426"/>
      <c r="AF20" s="426"/>
      <c r="AG20" s="426"/>
      <c r="AH20" s="426"/>
      <c r="AI20" s="426"/>
      <c r="AJ20" s="426"/>
      <c r="AK20" s="426"/>
      <c r="AL20" s="426"/>
      <c r="AM20" s="427"/>
      <c r="AN20" s="427"/>
      <c r="AO20" s="427"/>
      <c r="AP20" s="427"/>
    </row>
    <row r="21" spans="1:42" s="241" customFormat="1">
      <c r="A21" s="26"/>
      <c r="B21" s="426" t="s">
        <v>35</v>
      </c>
      <c r="C21" s="1261"/>
      <c r="D21" s="426"/>
      <c r="E21" s="426"/>
      <c r="F21" s="426"/>
      <c r="G21" s="426"/>
      <c r="H21" s="426"/>
      <c r="I21" s="426"/>
      <c r="J21" s="426"/>
      <c r="K21" s="426"/>
      <c r="L21" s="426"/>
      <c r="M21" s="426"/>
      <c r="N21" s="426"/>
      <c r="O21" s="426"/>
      <c r="P21" s="426"/>
      <c r="Q21" s="426"/>
      <c r="R21" s="426"/>
      <c r="S21" s="426"/>
      <c r="T21" s="426"/>
      <c r="U21" s="426"/>
      <c r="V21" s="426"/>
      <c r="W21" s="426"/>
      <c r="X21" s="426"/>
      <c r="Y21" s="426"/>
      <c r="Z21" s="426"/>
      <c r="AA21" s="426"/>
      <c r="AB21" s="426"/>
      <c r="AC21" s="426"/>
      <c r="AD21" s="426"/>
      <c r="AE21" s="426"/>
      <c r="AF21" s="426"/>
      <c r="AG21" s="426"/>
      <c r="AH21" s="426"/>
      <c r="AI21" s="426"/>
      <c r="AJ21" s="426"/>
      <c r="AK21" s="426"/>
      <c r="AL21" s="426"/>
      <c r="AM21" s="427"/>
      <c r="AN21" s="427"/>
      <c r="AO21" s="427"/>
      <c r="AP21" s="427"/>
    </row>
    <row r="22" spans="1:42" s="76" customFormat="1">
      <c r="A22" s="26"/>
      <c r="B22" s="504" t="s">
        <v>716</v>
      </c>
      <c r="C22" s="1262"/>
      <c r="D22" s="513"/>
      <c r="E22" s="505">
        <f>IF(CashFlow!E43&lt;0,0,CashFlow!E43+CashFlow!F43*(1-Assum!$H$23))</f>
        <v>1989.3232602202088</v>
      </c>
      <c r="F22" s="505">
        <f>IF(CashFlow!F43&lt;0,0,CashFlow!F43*Assum!$H$23+CashFlow!G43*(1-Assum!$H$23))</f>
        <v>1480.5248801904374</v>
      </c>
      <c r="G22" s="505">
        <f>IF(CashFlow!G43&lt;0,0,CashFlow!G43*Assum!$H$23+CashFlow!H43*(1-Assum!$H$23))</f>
        <v>1492.0675194156643</v>
      </c>
      <c r="H22" s="505">
        <f>IF(CashFlow!H43&lt;0,0,CashFlow!H43*Assum!$H$23+CashFlow!I43*(1-Assum!$H$23))</f>
        <v>1481.3432692961271</v>
      </c>
      <c r="I22" s="505">
        <f>IF(CashFlow!I43&lt;0,0,CashFlow!I43*Assum!$H$23+CashFlow!J43*(1-Assum!$H$23))</f>
        <v>1470.6536609403777</v>
      </c>
      <c r="J22" s="505">
        <f>IF(CashFlow!J43&lt;0,0,CashFlow!J43*Assum!$H$23+CashFlow!K43*(1-Assum!$H$23))</f>
        <v>1554.9009395806017</v>
      </c>
      <c r="K22" s="505">
        <f>IF(CashFlow!K43&lt;0,0,CashFlow!K43*Assum!$H$23+CashFlow!L43*(1-Assum!$H$23))</f>
        <v>1431.6921935687349</v>
      </c>
      <c r="L22" s="505">
        <f>IF(CashFlow!L43&lt;0,0,CashFlow!L43*Assum!$H$23+CashFlow!M43*(1-Assum!$H$23))</f>
        <v>1429.9992961574228</v>
      </c>
      <c r="M22" s="505">
        <f>IF(CashFlow!M43&lt;0,0,CashFlow!M43*Assum!$H$23+CashFlow!N43*(1-Assum!$H$23))</f>
        <v>1427.7478469204912</v>
      </c>
      <c r="N22" s="505">
        <f>IF(CashFlow!N43&lt;0,0,CashFlow!N43*Assum!$H$23+CashFlow!O43*(1-Assum!$H$23))</f>
        <v>1447.1681811217995</v>
      </c>
      <c r="O22" s="505">
        <f>IF(CashFlow!O43&lt;0,0,CashFlow!O43*Assum!$H$23+CashFlow!P43*(1-Assum!$H$23))</f>
        <v>1470.2483074784809</v>
      </c>
      <c r="P22" s="505">
        <f>IF(CashFlow!P43&lt;0,0,CashFlow!P43*Assum!$H$23+CashFlow!Q43*(1-Assum!$H$23))</f>
        <v>1496.3283781949294</v>
      </c>
      <c r="Q22" s="505">
        <f>IF(CashFlow!Q43&lt;0,0,CashFlow!Q43*Assum!$H$23+CashFlow!R43*(1-Assum!$H$23))</f>
        <v>1527.0360075807541</v>
      </c>
      <c r="R22" s="505">
        <f>IF(CashFlow!R43&lt;0,0,CashFlow!R43*Assum!$H$23+CashFlow!S43*(1-Assum!$H$23))</f>
        <v>1495.070584030929</v>
      </c>
      <c r="S22" s="505">
        <f>IF(CashFlow!S43&lt;0,0,CashFlow!S43*Assum!$H$23+CashFlow!T43*(1-Assum!$H$23))</f>
        <v>1459.2746969720686</v>
      </c>
      <c r="T22" s="505">
        <f>IF(CashFlow!T43&lt;0,0,CashFlow!T43*Assum!$H$23+CashFlow!U43*(1-Assum!$H$23))</f>
        <v>1390.7378788540204</v>
      </c>
      <c r="U22" s="505">
        <f>IF(CashFlow!U43&lt;0,0,CashFlow!U43*Assum!$H$23+CashFlow!V43*(1-Assum!$H$23))</f>
        <v>1372.9989418051377</v>
      </c>
      <c r="V22" s="505">
        <f>IF(CashFlow!V43&lt;0,0,CashFlow!V43*Assum!$H$23+CashFlow!W43*(1-Assum!$H$23))</f>
        <v>2330.2328312368659</v>
      </c>
      <c r="W22" s="505">
        <f>IF(CashFlow!W43&lt;0,0,CashFlow!W43*Assum!$H$23+CashFlow!X43*(1-Assum!$H$23))</f>
        <v>5816.7257528562732</v>
      </c>
      <c r="X22" s="505">
        <f>IF(CashFlow!X43&lt;0,0,CashFlow!X43*Assum!$H$23+CashFlow!Y43*(1-Assum!$H$23))</f>
        <v>5724.6080969435279</v>
      </c>
      <c r="Y22" s="505">
        <f>IF(CashFlow!Y43&lt;0,0,CashFlow!Y43*Assum!$H$23+CashFlow!Z43*(1-Assum!$H$23))</f>
        <v>16.797730777110509</v>
      </c>
      <c r="Z22" s="505">
        <f>IF(CashFlow!Z43&lt;0,0,CashFlow!Z43*Assum!$H$23+CashFlow!AA43*(1-Assum!$H$23))</f>
        <v>0</v>
      </c>
      <c r="AA22" s="505">
        <f>IF(CashFlow!AA43&lt;0,0,CashFlow!AA43*Assum!$H$23+CashFlow!AB43*(1-Assum!$H$23))</f>
        <v>0</v>
      </c>
      <c r="AB22" s="505">
        <f>IF(CashFlow!AB43&lt;0,0,CashFlow!AB43*Assum!$H$23+CashFlow!AC43*(1-Assum!$H$23))</f>
        <v>0</v>
      </c>
      <c r="AC22" s="505">
        <f>IF(CashFlow!AC43&lt;0,0,CashFlow!AC43*Assum!$H$23+CashFlow!AD43*(1-Assum!$H$23))</f>
        <v>0</v>
      </c>
      <c r="AD22" s="505">
        <f>IF(CashFlow!AD43&lt;0,0,CashFlow!AD43*Assum!$H$23+CashFlow!AE43*(1-Assum!$H$23))</f>
        <v>0</v>
      </c>
      <c r="AE22" s="505">
        <f>IF(CashFlow!AE43&lt;0,0,CashFlow!AE43*Assum!$H$23+CashFlow!AF43*(1-Assum!$H$23))</f>
        <v>0</v>
      </c>
      <c r="AF22" s="505">
        <f>IF(CashFlow!AF43&lt;0,0,CashFlow!AF43*Assum!$H$23+CashFlow!AG43*(1-Assum!$H$23))</f>
        <v>0</v>
      </c>
      <c r="AG22" s="505">
        <f>IF(CashFlow!AG43&lt;0,0,CashFlow!AG43*Assum!$H$23+CashFlow!AH43*(1-Assum!$H$23))</f>
        <v>0</v>
      </c>
      <c r="AH22" s="505">
        <f>IF(CashFlow!AH43&lt;0,0,CashFlow!AH43*Assum!$H$23+CashFlow!AI43*(1-Assum!$H$23))</f>
        <v>0</v>
      </c>
      <c r="AI22" s="505">
        <f>IF(CashFlow!AI43&lt;0,0,CashFlow!AI43*Assum!$H$23+CashFlow!AJ43*(1-Assum!$H$23))</f>
        <v>0</v>
      </c>
      <c r="AJ22" s="502"/>
      <c r="AK22" s="502"/>
      <c r="AL22" s="502"/>
      <c r="AM22" s="503"/>
      <c r="AN22" s="503"/>
      <c r="AO22" s="503"/>
      <c r="AP22" s="503"/>
    </row>
    <row r="23" spans="1:42">
      <c r="A23" s="26"/>
      <c r="B23" s="506" t="s">
        <v>30</v>
      </c>
      <c r="C23" s="1254"/>
      <c r="D23" s="259"/>
      <c r="E23" s="507">
        <f>Assum!E303</f>
        <v>1</v>
      </c>
      <c r="F23" s="507">
        <f>Assum!F303</f>
        <v>1</v>
      </c>
      <c r="G23" s="507">
        <f>Assum!G303</f>
        <v>1</v>
      </c>
      <c r="H23" s="507">
        <f>Assum!H303</f>
        <v>1</v>
      </c>
      <c r="I23" s="507">
        <f>Assum!I303</f>
        <v>1</v>
      </c>
      <c r="J23" s="507">
        <f>Assum!J303</f>
        <v>1</v>
      </c>
      <c r="K23" s="507">
        <f>Assum!K303</f>
        <v>1</v>
      </c>
      <c r="L23" s="507">
        <f>Assum!L303</f>
        <v>1</v>
      </c>
      <c r="M23" s="507">
        <f>Assum!M303</f>
        <v>1</v>
      </c>
      <c r="N23" s="507">
        <f>Assum!N303</f>
        <v>1</v>
      </c>
      <c r="O23" s="507">
        <f>Assum!O303</f>
        <v>1</v>
      </c>
      <c r="P23" s="507">
        <f>Assum!P303</f>
        <v>1</v>
      </c>
      <c r="Q23" s="507">
        <f>Assum!Q303</f>
        <v>1</v>
      </c>
      <c r="R23" s="507">
        <f>Assum!R303</f>
        <v>1</v>
      </c>
      <c r="S23" s="507">
        <f>Assum!S303</f>
        <v>1</v>
      </c>
      <c r="T23" s="507">
        <f>Assum!T303</f>
        <v>1</v>
      </c>
      <c r="U23" s="507">
        <f>Assum!U303</f>
        <v>1</v>
      </c>
      <c r="V23" s="507">
        <f>Assum!V303</f>
        <v>1</v>
      </c>
      <c r="W23" s="507">
        <f>Assum!W303</f>
        <v>1</v>
      </c>
      <c r="X23" s="507">
        <f>Assum!X303</f>
        <v>1</v>
      </c>
      <c r="Y23" s="507">
        <f>Assum!Y303</f>
        <v>1</v>
      </c>
      <c r="Z23" s="507">
        <f>Assum!Z303</f>
        <v>1</v>
      </c>
      <c r="AA23" s="507">
        <f>Assum!AA303</f>
        <v>1</v>
      </c>
      <c r="AB23" s="507">
        <f>Assum!AB303</f>
        <v>1</v>
      </c>
      <c r="AC23" s="507">
        <f>Assum!AC303</f>
        <v>1</v>
      </c>
      <c r="AD23" s="507">
        <f>Assum!AD303</f>
        <v>1</v>
      </c>
      <c r="AE23" s="507">
        <f>Assum!AE303</f>
        <v>1</v>
      </c>
      <c r="AF23" s="507">
        <f>Assum!AF303</f>
        <v>1</v>
      </c>
      <c r="AG23" s="507">
        <f>Assum!AG303</f>
        <v>1</v>
      </c>
      <c r="AH23" s="507">
        <f>Assum!AH303</f>
        <v>1</v>
      </c>
      <c r="AI23" s="508">
        <f>Assum!AI303</f>
        <v>1</v>
      </c>
      <c r="AJ23" s="24"/>
      <c r="AK23" s="24"/>
      <c r="AL23" s="24"/>
      <c r="AM23" s="23"/>
      <c r="AN23" s="23"/>
      <c r="AO23" s="23"/>
      <c r="AP23" s="23"/>
    </row>
    <row r="24" spans="1:42" s="425" customFormat="1">
      <c r="A24" s="26"/>
      <c r="B24" s="510" t="s">
        <v>604</v>
      </c>
      <c r="C24" s="1256"/>
      <c r="D24" s="263"/>
      <c r="E24" s="433">
        <f t="shared" ref="E24:AI24" si="7">E22/E23</f>
        <v>1989.3232602202088</v>
      </c>
      <c r="F24" s="433">
        <f t="shared" si="7"/>
        <v>1480.5248801904374</v>
      </c>
      <c r="G24" s="433">
        <f t="shared" si="7"/>
        <v>1492.0675194156643</v>
      </c>
      <c r="H24" s="433">
        <f t="shared" si="7"/>
        <v>1481.3432692961271</v>
      </c>
      <c r="I24" s="433">
        <f t="shared" si="7"/>
        <v>1470.6536609403777</v>
      </c>
      <c r="J24" s="433">
        <f t="shared" si="7"/>
        <v>1554.9009395806017</v>
      </c>
      <c r="K24" s="433">
        <f t="shared" si="7"/>
        <v>1431.6921935687349</v>
      </c>
      <c r="L24" s="433">
        <f t="shared" si="7"/>
        <v>1429.9992961574228</v>
      </c>
      <c r="M24" s="433">
        <f t="shared" si="7"/>
        <v>1427.7478469204912</v>
      </c>
      <c r="N24" s="433">
        <f t="shared" si="7"/>
        <v>1447.1681811217995</v>
      </c>
      <c r="O24" s="433">
        <f t="shared" si="7"/>
        <v>1470.2483074784809</v>
      </c>
      <c r="P24" s="433">
        <f t="shared" si="7"/>
        <v>1496.3283781949294</v>
      </c>
      <c r="Q24" s="433">
        <f t="shared" si="7"/>
        <v>1527.0360075807541</v>
      </c>
      <c r="R24" s="433">
        <f t="shared" si="7"/>
        <v>1495.070584030929</v>
      </c>
      <c r="S24" s="433">
        <f t="shared" si="7"/>
        <v>1459.2746969720686</v>
      </c>
      <c r="T24" s="433">
        <f t="shared" si="7"/>
        <v>1390.7378788540204</v>
      </c>
      <c r="U24" s="433">
        <f t="shared" si="7"/>
        <v>1372.9989418051377</v>
      </c>
      <c r="V24" s="433">
        <f t="shared" si="7"/>
        <v>2330.2328312368659</v>
      </c>
      <c r="W24" s="433">
        <f t="shared" si="7"/>
        <v>5816.7257528562732</v>
      </c>
      <c r="X24" s="433">
        <f t="shared" si="7"/>
        <v>5724.6080969435279</v>
      </c>
      <c r="Y24" s="433">
        <f t="shared" si="7"/>
        <v>16.797730777110509</v>
      </c>
      <c r="Z24" s="433">
        <f t="shared" si="7"/>
        <v>0</v>
      </c>
      <c r="AA24" s="433">
        <f t="shared" si="7"/>
        <v>0</v>
      </c>
      <c r="AB24" s="433">
        <f t="shared" si="7"/>
        <v>0</v>
      </c>
      <c r="AC24" s="433">
        <f t="shared" si="7"/>
        <v>0</v>
      </c>
      <c r="AD24" s="433">
        <f t="shared" si="7"/>
        <v>0</v>
      </c>
      <c r="AE24" s="433">
        <f t="shared" si="7"/>
        <v>0</v>
      </c>
      <c r="AF24" s="433">
        <f t="shared" si="7"/>
        <v>0</v>
      </c>
      <c r="AG24" s="433">
        <f t="shared" si="7"/>
        <v>0</v>
      </c>
      <c r="AH24" s="433">
        <f t="shared" si="7"/>
        <v>0</v>
      </c>
      <c r="AI24" s="434">
        <f t="shared" si="7"/>
        <v>0</v>
      </c>
      <c r="AJ24" s="27"/>
      <c r="AK24" s="27"/>
      <c r="AL24" s="27"/>
      <c r="AM24" s="423"/>
      <c r="AN24" s="423"/>
      <c r="AO24" s="423"/>
      <c r="AP24" s="423"/>
    </row>
    <row r="25" spans="1:42">
      <c r="A25" s="26"/>
      <c r="B25" s="506"/>
      <c r="C25" s="1254"/>
      <c r="D25" s="259"/>
      <c r="E25" s="507"/>
      <c r="F25" s="507"/>
      <c r="G25" s="507"/>
      <c r="H25" s="507"/>
      <c r="I25" s="507"/>
      <c r="J25" s="507"/>
      <c r="K25" s="507"/>
      <c r="L25" s="507"/>
      <c r="M25" s="507"/>
      <c r="N25" s="507"/>
      <c r="O25" s="507"/>
      <c r="P25" s="507"/>
      <c r="Q25" s="507"/>
      <c r="R25" s="507"/>
      <c r="S25" s="507"/>
      <c r="T25" s="507"/>
      <c r="U25" s="507"/>
      <c r="V25" s="507"/>
      <c r="W25" s="507"/>
      <c r="X25" s="507"/>
      <c r="Y25" s="507"/>
      <c r="Z25" s="507"/>
      <c r="AA25" s="507"/>
      <c r="AB25" s="507"/>
      <c r="AC25" s="507"/>
      <c r="AD25" s="507"/>
      <c r="AE25" s="507"/>
      <c r="AF25" s="507"/>
      <c r="AG25" s="507"/>
      <c r="AH25" s="507"/>
      <c r="AI25" s="508"/>
      <c r="AJ25" s="24"/>
      <c r="AK25" s="24"/>
      <c r="AL25" s="24"/>
      <c r="AM25" s="23"/>
      <c r="AN25" s="23"/>
      <c r="AO25" s="23"/>
      <c r="AP25" s="23"/>
    </row>
    <row r="26" spans="1:42" s="735" customFormat="1">
      <c r="A26" s="733"/>
      <c r="B26" s="1175" t="s">
        <v>605</v>
      </c>
      <c r="C26" s="1263"/>
      <c r="D26" s="1176"/>
      <c r="E26" s="1176">
        <f t="shared" ref="E26:AI26" si="8">E16+E24</f>
        <v>1989.3232602202088</v>
      </c>
      <c r="F26" s="1176">
        <f t="shared" si="8"/>
        <v>1480.5248801904374</v>
      </c>
      <c r="G26" s="1176">
        <f t="shared" si="8"/>
        <v>1492.0675194156643</v>
      </c>
      <c r="H26" s="1176">
        <f t="shared" si="8"/>
        <v>1481.3432692961271</v>
      </c>
      <c r="I26" s="1176">
        <f t="shared" si="8"/>
        <v>1470.6536609403777</v>
      </c>
      <c r="J26" s="1176">
        <f t="shared" si="8"/>
        <v>1554.9009395806017</v>
      </c>
      <c r="K26" s="1176">
        <f t="shared" si="8"/>
        <v>1431.6921935687349</v>
      </c>
      <c r="L26" s="1176">
        <f t="shared" si="8"/>
        <v>1429.9992961574228</v>
      </c>
      <c r="M26" s="1176">
        <f t="shared" si="8"/>
        <v>1427.7478469204912</v>
      </c>
      <c r="N26" s="1176">
        <f t="shared" si="8"/>
        <v>1447.1681811217995</v>
      </c>
      <c r="O26" s="1176">
        <f t="shared" si="8"/>
        <v>1470.2483074784809</v>
      </c>
      <c r="P26" s="1176">
        <f t="shared" si="8"/>
        <v>1496.3283781949294</v>
      </c>
      <c r="Q26" s="1176">
        <f t="shared" si="8"/>
        <v>1527.0360075807541</v>
      </c>
      <c r="R26" s="1176">
        <f t="shared" si="8"/>
        <v>1495.070584030929</v>
      </c>
      <c r="S26" s="1176">
        <f t="shared" si="8"/>
        <v>1459.2746969720686</v>
      </c>
      <c r="T26" s="1176">
        <f t="shared" si="8"/>
        <v>1390.7378788540204</v>
      </c>
      <c r="U26" s="1176">
        <f t="shared" si="8"/>
        <v>1372.9989418051377</v>
      </c>
      <c r="V26" s="1176">
        <f t="shared" si="8"/>
        <v>2330.2328312368659</v>
      </c>
      <c r="W26" s="1176">
        <f t="shared" si="8"/>
        <v>5816.7257528562732</v>
      </c>
      <c r="X26" s="1176">
        <f t="shared" si="8"/>
        <v>5724.6080969435279</v>
      </c>
      <c r="Y26" s="1176">
        <f t="shared" si="8"/>
        <v>16.797730777110509</v>
      </c>
      <c r="Z26" s="1176">
        <f t="shared" si="8"/>
        <v>0</v>
      </c>
      <c r="AA26" s="1176">
        <f t="shared" si="8"/>
        <v>0</v>
      </c>
      <c r="AB26" s="1176">
        <f t="shared" si="8"/>
        <v>0</v>
      </c>
      <c r="AC26" s="1176">
        <f t="shared" si="8"/>
        <v>0</v>
      </c>
      <c r="AD26" s="1176">
        <f t="shared" si="8"/>
        <v>0</v>
      </c>
      <c r="AE26" s="1176">
        <f t="shared" si="8"/>
        <v>0</v>
      </c>
      <c r="AF26" s="1176">
        <f t="shared" si="8"/>
        <v>0</v>
      </c>
      <c r="AG26" s="1176">
        <f t="shared" si="8"/>
        <v>0</v>
      </c>
      <c r="AH26" s="1176">
        <f t="shared" si="8"/>
        <v>0</v>
      </c>
      <c r="AI26" s="1177">
        <f t="shared" si="8"/>
        <v>0</v>
      </c>
      <c r="AJ26" s="734"/>
      <c r="AK26" s="734"/>
      <c r="AL26" s="734"/>
      <c r="AM26" s="734"/>
      <c r="AN26" s="734"/>
      <c r="AO26" s="734"/>
      <c r="AP26" s="734"/>
    </row>
    <row r="27" spans="1:42">
      <c r="A27" s="26"/>
      <c r="B27" s="35"/>
      <c r="C27" s="1264"/>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row>
    <row r="28" spans="1:42">
      <c r="A28" s="26"/>
      <c r="B28" s="259"/>
      <c r="C28" s="1254"/>
      <c r="D28" s="259"/>
      <c r="E28" s="921">
        <v>1</v>
      </c>
      <c r="F28" s="922">
        <v>2</v>
      </c>
      <c r="G28" s="922">
        <v>3</v>
      </c>
      <c r="H28" s="922">
        <v>4</v>
      </c>
      <c r="I28" s="922">
        <v>5</v>
      </c>
      <c r="J28" s="922">
        <v>6</v>
      </c>
      <c r="K28" s="922">
        <v>7</v>
      </c>
      <c r="L28" s="922">
        <v>8</v>
      </c>
      <c r="M28" s="922">
        <v>9</v>
      </c>
      <c r="N28" s="922">
        <v>10</v>
      </c>
      <c r="O28" s="922">
        <v>11</v>
      </c>
      <c r="P28" s="922">
        <v>12</v>
      </c>
      <c r="Q28" s="922">
        <v>13</v>
      </c>
      <c r="R28" s="922">
        <v>14</v>
      </c>
      <c r="S28" s="922">
        <v>15</v>
      </c>
      <c r="T28" s="922">
        <v>16</v>
      </c>
      <c r="U28" s="922">
        <v>17</v>
      </c>
      <c r="V28" s="922">
        <v>18</v>
      </c>
      <c r="W28" s="922">
        <v>19</v>
      </c>
      <c r="X28" s="922">
        <v>20</v>
      </c>
      <c r="Y28" s="922">
        <v>21</v>
      </c>
      <c r="Z28" s="922">
        <v>22</v>
      </c>
      <c r="AA28" s="922">
        <v>23</v>
      </c>
      <c r="AB28" s="922">
        <v>24</v>
      </c>
      <c r="AC28" s="922">
        <v>25</v>
      </c>
      <c r="AD28" s="922">
        <v>26</v>
      </c>
      <c r="AE28" s="922">
        <v>27</v>
      </c>
      <c r="AF28" s="922">
        <v>28</v>
      </c>
      <c r="AG28" s="922">
        <v>29</v>
      </c>
      <c r="AH28" s="922">
        <v>30</v>
      </c>
      <c r="AI28" s="923">
        <v>31</v>
      </c>
      <c r="AJ28" s="24"/>
      <c r="AK28" s="24"/>
      <c r="AL28" s="24"/>
      <c r="AM28" s="23"/>
      <c r="AN28" s="23"/>
      <c r="AO28" s="23"/>
      <c r="AP28" s="23"/>
    </row>
    <row r="29" spans="1:42">
      <c r="A29" s="26"/>
      <c r="B29" s="259" t="s">
        <v>359</v>
      </c>
      <c r="C29" s="1254"/>
      <c r="D29" s="259"/>
      <c r="E29" s="261">
        <f>Assum!E304</f>
        <v>1.2</v>
      </c>
      <c r="F29" s="261">
        <f>Assum!F304</f>
        <v>1.2</v>
      </c>
      <c r="G29" s="261">
        <f>Assum!G304</f>
        <v>1.2</v>
      </c>
      <c r="H29" s="261">
        <f>Assum!H304</f>
        <v>1.2</v>
      </c>
      <c r="I29" s="261">
        <f>Assum!I304</f>
        <v>1.2</v>
      </c>
      <c r="J29" s="261">
        <f>Assum!J304</f>
        <v>1.2</v>
      </c>
      <c r="K29" s="261">
        <f>Assum!K304</f>
        <v>1.2</v>
      </c>
      <c r="L29" s="261">
        <f>Assum!L304</f>
        <v>1.2</v>
      </c>
      <c r="M29" s="261">
        <f>Assum!M304</f>
        <v>1.2</v>
      </c>
      <c r="N29" s="261">
        <f>Assum!N304</f>
        <v>1.2</v>
      </c>
      <c r="O29" s="261">
        <f>Assum!O304</f>
        <v>1.2</v>
      </c>
      <c r="P29" s="261">
        <f>Assum!P304</f>
        <v>1.2</v>
      </c>
      <c r="Q29" s="261">
        <f>Assum!Q304</f>
        <v>1.2</v>
      </c>
      <c r="R29" s="261">
        <f>Assum!R304</f>
        <v>1.2</v>
      </c>
      <c r="S29" s="261">
        <f>Assum!S304</f>
        <v>1.2</v>
      </c>
      <c r="T29" s="261">
        <f>Assum!T304</f>
        <v>1.2</v>
      </c>
      <c r="U29" s="261">
        <f>Assum!U304</f>
        <v>1.2</v>
      </c>
      <c r="V29" s="261">
        <f>Assum!V304</f>
        <v>1.2</v>
      </c>
      <c r="W29" s="261">
        <f>Assum!W304</f>
        <v>1.2</v>
      </c>
      <c r="X29" s="261">
        <f>Assum!X304</f>
        <v>1.2</v>
      </c>
      <c r="Y29" s="261">
        <f>Assum!Y304</f>
        <v>1.2</v>
      </c>
      <c r="Z29" s="261">
        <f>Assum!Z304</f>
        <v>1.2</v>
      </c>
      <c r="AA29" s="261">
        <f>Assum!AA304</f>
        <v>1.2</v>
      </c>
      <c r="AB29" s="261">
        <f>Assum!AB304</f>
        <v>1.2</v>
      </c>
      <c r="AC29" s="261">
        <f>Assum!AC304</f>
        <v>1.2</v>
      </c>
      <c r="AD29" s="261">
        <f>Assum!AD304</f>
        <v>1.2</v>
      </c>
      <c r="AE29" s="261">
        <f>Assum!AE304</f>
        <v>1.2</v>
      </c>
      <c r="AF29" s="261">
        <f>Assum!AF304</f>
        <v>1.2</v>
      </c>
      <c r="AG29" s="261">
        <f>Assum!AG304</f>
        <v>1.2</v>
      </c>
      <c r="AH29" s="261">
        <f>Assum!AH304</f>
        <v>1.2</v>
      </c>
      <c r="AI29" s="261">
        <f>Assum!AI304</f>
        <v>1.2</v>
      </c>
      <c r="AJ29" s="24"/>
      <c r="AK29" s="24"/>
      <c r="AL29" s="24"/>
      <c r="AM29" s="23"/>
      <c r="AN29" s="23"/>
      <c r="AO29" s="23"/>
      <c r="AP29" s="23"/>
    </row>
    <row r="30" spans="1:42">
      <c r="A30" s="26"/>
      <c r="B30" s="259" t="s">
        <v>360</v>
      </c>
      <c r="C30" s="1254"/>
      <c r="D30" s="259"/>
      <c r="E30" s="261" t="str">
        <f t="shared" ref="E30:AI30" si="9">IF(E58&gt;0,+E26/E58,"")</f>
        <v/>
      </c>
      <c r="F30" s="261" t="str">
        <f t="shared" si="9"/>
        <v/>
      </c>
      <c r="G30" s="261" t="str">
        <f t="shared" si="9"/>
        <v/>
      </c>
      <c r="H30" s="261" t="str">
        <f t="shared" si="9"/>
        <v/>
      </c>
      <c r="I30" s="261" t="str">
        <f t="shared" si="9"/>
        <v/>
      </c>
      <c r="J30" s="261" t="str">
        <f t="shared" si="9"/>
        <v/>
      </c>
      <c r="K30" s="261" t="str">
        <f t="shared" si="9"/>
        <v/>
      </c>
      <c r="L30" s="261" t="str">
        <f t="shared" si="9"/>
        <v/>
      </c>
      <c r="M30" s="261" t="str">
        <f t="shared" si="9"/>
        <v/>
      </c>
      <c r="N30" s="261" t="str">
        <f t="shared" si="9"/>
        <v/>
      </c>
      <c r="O30" s="261" t="str">
        <f t="shared" si="9"/>
        <v/>
      </c>
      <c r="P30" s="261" t="str">
        <f t="shared" si="9"/>
        <v/>
      </c>
      <c r="Q30" s="261" t="str">
        <f t="shared" si="9"/>
        <v/>
      </c>
      <c r="R30" s="261" t="str">
        <f t="shared" si="9"/>
        <v/>
      </c>
      <c r="S30" s="261" t="str">
        <f t="shared" si="9"/>
        <v/>
      </c>
      <c r="T30" s="261" t="str">
        <f t="shared" si="9"/>
        <v/>
      </c>
      <c r="U30" s="261" t="str">
        <f t="shared" si="9"/>
        <v/>
      </c>
      <c r="V30" s="261" t="str">
        <f t="shared" si="9"/>
        <v/>
      </c>
      <c r="W30" s="261" t="str">
        <f t="shared" si="9"/>
        <v/>
      </c>
      <c r="X30" s="261" t="str">
        <f t="shared" si="9"/>
        <v/>
      </c>
      <c r="Y30" s="261" t="str">
        <f t="shared" si="9"/>
        <v/>
      </c>
      <c r="Z30" s="261" t="str">
        <f t="shared" si="9"/>
        <v/>
      </c>
      <c r="AA30" s="261" t="str">
        <f t="shared" si="9"/>
        <v/>
      </c>
      <c r="AB30" s="261" t="str">
        <f t="shared" si="9"/>
        <v/>
      </c>
      <c r="AC30" s="261" t="str">
        <f t="shared" si="9"/>
        <v/>
      </c>
      <c r="AD30" s="261" t="str">
        <f t="shared" si="9"/>
        <v/>
      </c>
      <c r="AE30" s="261" t="str">
        <f t="shared" si="9"/>
        <v/>
      </c>
      <c r="AF30" s="261" t="str">
        <f t="shared" si="9"/>
        <v/>
      </c>
      <c r="AG30" s="261" t="str">
        <f t="shared" si="9"/>
        <v/>
      </c>
      <c r="AH30" s="261" t="str">
        <f t="shared" si="9"/>
        <v/>
      </c>
      <c r="AI30" s="261" t="str">
        <f t="shared" si="9"/>
        <v/>
      </c>
      <c r="AJ30" s="24"/>
      <c r="AK30" s="24"/>
      <c r="AL30" s="24"/>
      <c r="AM30" s="23"/>
      <c r="AN30" s="23"/>
      <c r="AO30" s="23"/>
      <c r="AP30" s="23"/>
    </row>
    <row r="31" spans="1:42">
      <c r="A31" s="26"/>
      <c r="B31" s="259"/>
      <c r="C31" s="1254"/>
      <c r="D31" s="259"/>
      <c r="E31" s="261"/>
      <c r="F31" s="261"/>
      <c r="G31" s="261"/>
      <c r="H31" s="261"/>
      <c r="I31" s="261"/>
      <c r="J31" s="261"/>
      <c r="K31" s="261"/>
      <c r="L31" s="261"/>
      <c r="M31" s="261"/>
      <c r="N31" s="261"/>
      <c r="O31" s="261"/>
      <c r="P31" s="261"/>
      <c r="Q31" s="261"/>
      <c r="R31" s="261"/>
      <c r="S31" s="261"/>
      <c r="T31" s="261"/>
      <c r="U31" s="261"/>
      <c r="V31" s="261"/>
      <c r="W31" s="261"/>
      <c r="X31" s="261"/>
      <c r="Y31" s="261"/>
      <c r="Z31" s="261"/>
      <c r="AA31" s="261"/>
      <c r="AB31" s="261"/>
      <c r="AC31" s="261"/>
      <c r="AD31" s="261"/>
      <c r="AE31" s="261"/>
      <c r="AF31" s="261"/>
      <c r="AG31" s="261"/>
      <c r="AH31" s="261"/>
      <c r="AI31" s="261"/>
      <c r="AJ31" s="24"/>
      <c r="AK31" s="24"/>
      <c r="AL31" s="24"/>
      <c r="AM31" s="23"/>
      <c r="AN31" s="23"/>
      <c r="AO31" s="23"/>
      <c r="AP31" s="23"/>
    </row>
    <row r="32" spans="1:42">
      <c r="A32" s="26"/>
      <c r="B32" s="27" t="s">
        <v>32</v>
      </c>
      <c r="C32" s="1264"/>
      <c r="D32" s="27"/>
      <c r="E32" s="28">
        <f>Assum!E299</f>
        <v>0.08</v>
      </c>
      <c r="F32" s="28">
        <f>Assum!F299</f>
        <v>0.08</v>
      </c>
      <c r="G32" s="28">
        <f>Assum!G299</f>
        <v>0.08</v>
      </c>
      <c r="H32" s="28">
        <f>Assum!H299</f>
        <v>0.08</v>
      </c>
      <c r="I32" s="28">
        <f>Assum!I299</f>
        <v>0.08</v>
      </c>
      <c r="J32" s="28">
        <f>Assum!J299</f>
        <v>0.08</v>
      </c>
      <c r="K32" s="28">
        <f>Assum!K299</f>
        <v>0.08</v>
      </c>
      <c r="L32" s="28">
        <f>Assum!L299</f>
        <v>0.08</v>
      </c>
      <c r="M32" s="28">
        <f>Assum!M299</f>
        <v>0.08</v>
      </c>
      <c r="N32" s="28">
        <f>Assum!N299</f>
        <v>0.08</v>
      </c>
      <c r="O32" s="28">
        <f>Assum!O299</f>
        <v>0.08</v>
      </c>
      <c r="P32" s="28">
        <f>Assum!P299</f>
        <v>0.08</v>
      </c>
      <c r="Q32" s="28">
        <f>Assum!Q299</f>
        <v>0.08</v>
      </c>
      <c r="R32" s="28">
        <f>Assum!R299</f>
        <v>0.08</v>
      </c>
      <c r="S32" s="28">
        <f>Assum!S299</f>
        <v>0.08</v>
      </c>
      <c r="T32" s="28">
        <f>Assum!T299</f>
        <v>0.08</v>
      </c>
      <c r="U32" s="28">
        <f>Assum!U299</f>
        <v>0.08</v>
      </c>
      <c r="V32" s="28">
        <f>Assum!V299</f>
        <v>0.08</v>
      </c>
      <c r="W32" s="28">
        <f>Assum!W299</f>
        <v>0.08</v>
      </c>
      <c r="X32" s="28">
        <f>Assum!X299</f>
        <v>0.08</v>
      </c>
      <c r="Y32" s="28">
        <f>Assum!Y299</f>
        <v>0.08</v>
      </c>
      <c r="Z32" s="28">
        <f>Assum!Z299</f>
        <v>0.08</v>
      </c>
      <c r="AA32" s="28">
        <f>Assum!AA299</f>
        <v>0.08</v>
      </c>
      <c r="AB32" s="28">
        <f>Assum!AB299</f>
        <v>0.08</v>
      </c>
      <c r="AC32" s="28">
        <f>Assum!AC299</f>
        <v>0.08</v>
      </c>
      <c r="AD32" s="28">
        <f>Assum!AD299</f>
        <v>0.08</v>
      </c>
      <c r="AE32" s="28">
        <f>Assum!AE299</f>
        <v>0.08</v>
      </c>
      <c r="AF32" s="28">
        <f>Assum!AF299</f>
        <v>0.08</v>
      </c>
      <c r="AG32" s="28">
        <f>Assum!AG299</f>
        <v>0.08</v>
      </c>
      <c r="AH32" s="28">
        <f>Assum!AH299</f>
        <v>0.08</v>
      </c>
      <c r="AI32" s="28">
        <f>Assum!AI299</f>
        <v>0.08</v>
      </c>
      <c r="AJ32" s="27"/>
      <c r="AK32" s="27"/>
      <c r="AL32" s="27"/>
      <c r="AM32" s="27"/>
      <c r="AN32" s="27"/>
      <c r="AO32" s="27"/>
      <c r="AP32" s="27"/>
    </row>
    <row r="33" spans="1:42" s="703" customFormat="1">
      <c r="A33" s="699"/>
      <c r="B33" s="700" t="s">
        <v>265</v>
      </c>
      <c r="C33" s="699"/>
      <c r="D33" s="700"/>
      <c r="E33" s="1291">
        <f t="shared" ref="E33:AI33" si="10">PV(E32,E1,0,-1,0)</f>
        <v>0.92592592592592582</v>
      </c>
      <c r="F33" s="1291">
        <f t="shared" si="10"/>
        <v>0.85733882030178321</v>
      </c>
      <c r="G33" s="1291">
        <f t="shared" si="10"/>
        <v>0.79383224102016958</v>
      </c>
      <c r="H33" s="1291">
        <f>PV(H32,H1,0,-1,0)</f>
        <v>0.73502985279645328</v>
      </c>
      <c r="I33" s="1291">
        <f t="shared" si="10"/>
        <v>0.68058319703375303</v>
      </c>
      <c r="J33" s="1291">
        <f t="shared" si="10"/>
        <v>0.63016962688310452</v>
      </c>
      <c r="K33" s="1291">
        <f t="shared" si="10"/>
        <v>0.58349039526213387</v>
      </c>
      <c r="L33" s="1291">
        <f t="shared" si="10"/>
        <v>0.54026888450197574</v>
      </c>
      <c r="M33" s="1291">
        <f t="shared" si="10"/>
        <v>0.50024896713145905</v>
      </c>
      <c r="N33" s="1291">
        <f t="shared" si="10"/>
        <v>0.46319348808468425</v>
      </c>
      <c r="O33" s="1291">
        <f t="shared" si="10"/>
        <v>0.42888285933767062</v>
      </c>
      <c r="P33" s="1291">
        <f t="shared" si="10"/>
        <v>0.39711375864599124</v>
      </c>
      <c r="Q33" s="1291">
        <f t="shared" si="10"/>
        <v>0.36769792467221413</v>
      </c>
      <c r="R33" s="1291">
        <f t="shared" si="10"/>
        <v>0.34046104136316119</v>
      </c>
      <c r="S33" s="1291">
        <f t="shared" si="10"/>
        <v>0.31524170496588994</v>
      </c>
      <c r="T33" s="1291">
        <f t="shared" si="10"/>
        <v>0.29189046756100923</v>
      </c>
      <c r="U33" s="1291">
        <f t="shared" si="10"/>
        <v>0.27026895144537894</v>
      </c>
      <c r="V33" s="1291">
        <f t="shared" si="10"/>
        <v>0.25024902911609154</v>
      </c>
      <c r="W33" s="1291">
        <f t="shared" si="10"/>
        <v>0.23171206399638106</v>
      </c>
      <c r="X33" s="1291">
        <f t="shared" si="10"/>
        <v>0.21454820740405653</v>
      </c>
      <c r="Y33" s="1291">
        <f t="shared" si="10"/>
        <v>0.19865574759634863</v>
      </c>
      <c r="Z33" s="1291">
        <f t="shared" si="10"/>
        <v>0.18394050703365611</v>
      </c>
      <c r="AA33" s="1291">
        <f t="shared" si="10"/>
        <v>0.17031528429042234</v>
      </c>
      <c r="AB33" s="1291">
        <f t="shared" si="10"/>
        <v>0.1576993373059466</v>
      </c>
      <c r="AC33" s="1291">
        <f t="shared" si="10"/>
        <v>0.1460179049129135</v>
      </c>
      <c r="AD33" s="1291">
        <f t="shared" si="10"/>
        <v>0.13520176380825324</v>
      </c>
      <c r="AE33" s="1291">
        <f t="shared" si="10"/>
        <v>0.12518681834097523</v>
      </c>
      <c r="AF33" s="1291">
        <f t="shared" si="10"/>
        <v>0.11591372068608817</v>
      </c>
      <c r="AG33" s="1291">
        <f t="shared" si="10"/>
        <v>0.10732751915378534</v>
      </c>
      <c r="AH33" s="1291">
        <f t="shared" si="10"/>
        <v>9.9377332549801231E-2</v>
      </c>
      <c r="AI33" s="1291">
        <f t="shared" si="10"/>
        <v>9.2016048657223348E-2</v>
      </c>
      <c r="AJ33" s="700"/>
      <c r="AK33" s="700"/>
      <c r="AL33" s="700"/>
      <c r="AM33" s="702"/>
      <c r="AN33" s="702"/>
      <c r="AO33" s="702"/>
      <c r="AP33" s="702"/>
    </row>
    <row r="34" spans="1:42">
      <c r="A34" s="26"/>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4"/>
      <c r="AK34" s="24"/>
      <c r="AL34" s="24"/>
      <c r="AM34" s="23"/>
      <c r="AN34" s="23"/>
      <c r="AO34" s="23"/>
      <c r="AP34" s="23"/>
    </row>
    <row r="35" spans="1:42">
      <c r="A35" s="26"/>
      <c r="B35" s="270" t="s">
        <v>702</v>
      </c>
      <c r="C35" s="585">
        <f>SUM(E35:AI35)</f>
        <v>12671.184206176555</v>
      </c>
      <c r="D35" s="263" t="e">
        <f>IF(MIN(D19,D26/D29)&lt;0,0,MIN(D19,D26/D29))</f>
        <v>#DIV/0!</v>
      </c>
      <c r="E35" s="263">
        <f>IF(MIN(E19,E26/E29)&lt;0,0,MIN(E19,E26/E29))</f>
        <v>1657.7693835168407</v>
      </c>
      <c r="F35" s="263">
        <f>IF(MIN(F19,F26/F29)&lt;0,0,MIN(F19,F26/F29))</f>
        <v>1233.7707334920312</v>
      </c>
      <c r="G35" s="263">
        <f t="shared" ref="G35:AI35" si="11">IF(MIN(G19,G26/G29)&lt;0,0,MIN(G19,G26/G29))</f>
        <v>1243.3895995130536</v>
      </c>
      <c r="H35" s="263">
        <f t="shared" si="11"/>
        <v>1234.4527244134392</v>
      </c>
      <c r="I35" s="263">
        <f t="shared" si="11"/>
        <v>1225.5447174503147</v>
      </c>
      <c r="J35" s="263">
        <f t="shared" si="11"/>
        <v>1295.7507829838348</v>
      </c>
      <c r="K35" s="263">
        <f t="shared" si="11"/>
        <v>1193.0768279739457</v>
      </c>
      <c r="L35" s="263">
        <f t="shared" si="11"/>
        <v>1191.6660801311857</v>
      </c>
      <c r="M35" s="263">
        <f t="shared" si="11"/>
        <v>1189.7898724337426</v>
      </c>
      <c r="N35" s="263">
        <f t="shared" si="11"/>
        <v>1205.9734842681664</v>
      </c>
      <c r="O35" s="263">
        <f t="shared" si="11"/>
        <v>0</v>
      </c>
      <c r="P35" s="263">
        <f t="shared" si="11"/>
        <v>0</v>
      </c>
      <c r="Q35" s="263">
        <f t="shared" si="11"/>
        <v>0</v>
      </c>
      <c r="R35" s="263">
        <f t="shared" si="11"/>
        <v>0</v>
      </c>
      <c r="S35" s="263">
        <f t="shared" si="11"/>
        <v>0</v>
      </c>
      <c r="T35" s="263">
        <f t="shared" si="11"/>
        <v>0</v>
      </c>
      <c r="U35" s="263">
        <f t="shared" si="11"/>
        <v>0</v>
      </c>
      <c r="V35" s="263">
        <f t="shared" si="11"/>
        <v>0</v>
      </c>
      <c r="W35" s="263">
        <f t="shared" si="11"/>
        <v>0</v>
      </c>
      <c r="X35" s="263">
        <f t="shared" si="11"/>
        <v>0</v>
      </c>
      <c r="Y35" s="263">
        <f t="shared" si="11"/>
        <v>0</v>
      </c>
      <c r="Z35" s="263">
        <f t="shared" si="11"/>
        <v>0</v>
      </c>
      <c r="AA35" s="263">
        <f t="shared" si="11"/>
        <v>0</v>
      </c>
      <c r="AB35" s="263">
        <f t="shared" si="11"/>
        <v>0</v>
      </c>
      <c r="AC35" s="263">
        <f t="shared" si="11"/>
        <v>0</v>
      </c>
      <c r="AD35" s="263">
        <f t="shared" si="11"/>
        <v>0</v>
      </c>
      <c r="AE35" s="263">
        <f t="shared" si="11"/>
        <v>0</v>
      </c>
      <c r="AF35" s="263">
        <f t="shared" si="11"/>
        <v>0</v>
      </c>
      <c r="AG35" s="263">
        <f t="shared" si="11"/>
        <v>0</v>
      </c>
      <c r="AH35" s="263">
        <f t="shared" si="11"/>
        <v>0</v>
      </c>
      <c r="AI35" s="263">
        <f t="shared" si="11"/>
        <v>0</v>
      </c>
      <c r="AJ35" s="27"/>
      <c r="AK35" s="27"/>
      <c r="AL35" s="27"/>
      <c r="AM35" s="27"/>
      <c r="AN35" s="27"/>
      <c r="AO35" s="27"/>
      <c r="AP35" s="27"/>
    </row>
    <row r="36" spans="1:42" s="703" customFormat="1">
      <c r="A36" s="699"/>
      <c r="B36" s="714" t="s">
        <v>357</v>
      </c>
      <c r="C36" s="1265"/>
      <c r="D36" s="714"/>
      <c r="E36" s="717">
        <f>E35*E33</f>
        <v>1534.9716514044819</v>
      </c>
      <c r="F36" s="717">
        <f t="shared" ref="F36:AI36" si="12">F35*F33</f>
        <v>1057.7595451749239</v>
      </c>
      <c r="G36" s="717">
        <f t="shared" si="12"/>
        <v>987.04275224261846</v>
      </c>
      <c r="H36" s="717">
        <f t="shared" si="12"/>
        <v>907.35960430979094</v>
      </c>
      <c r="I36" s="717">
        <f t="shared" si="12"/>
        <v>834.08514191016275</v>
      </c>
      <c r="J36" s="717">
        <f t="shared" si="12"/>
        <v>816.54278744641374</v>
      </c>
      <c r="K36" s="717">
        <f t="shared" si="12"/>
        <v>696.14886993261041</v>
      </c>
      <c r="L36" s="717">
        <f t="shared" si="12"/>
        <v>643.82010381131772</v>
      </c>
      <c r="M36" s="717">
        <f t="shared" si="12"/>
        <v>595.19115478845015</v>
      </c>
      <c r="N36" s="717">
        <f t="shared" si="12"/>
        <v>558.59906471581212</v>
      </c>
      <c r="O36" s="717">
        <f t="shared" si="12"/>
        <v>0</v>
      </c>
      <c r="P36" s="717">
        <f t="shared" si="12"/>
        <v>0</v>
      </c>
      <c r="Q36" s="717">
        <f t="shared" si="12"/>
        <v>0</v>
      </c>
      <c r="R36" s="717">
        <f t="shared" si="12"/>
        <v>0</v>
      </c>
      <c r="S36" s="717">
        <f t="shared" si="12"/>
        <v>0</v>
      </c>
      <c r="T36" s="717">
        <f t="shared" si="12"/>
        <v>0</v>
      </c>
      <c r="U36" s="717">
        <f t="shared" si="12"/>
        <v>0</v>
      </c>
      <c r="V36" s="717">
        <f t="shared" si="12"/>
        <v>0</v>
      </c>
      <c r="W36" s="717">
        <f t="shared" si="12"/>
        <v>0</v>
      </c>
      <c r="X36" s="717">
        <f t="shared" si="12"/>
        <v>0</v>
      </c>
      <c r="Y36" s="717">
        <f t="shared" si="12"/>
        <v>0</v>
      </c>
      <c r="Z36" s="717">
        <f t="shared" si="12"/>
        <v>0</v>
      </c>
      <c r="AA36" s="717">
        <f t="shared" si="12"/>
        <v>0</v>
      </c>
      <c r="AB36" s="717">
        <f t="shared" si="12"/>
        <v>0</v>
      </c>
      <c r="AC36" s="717">
        <f t="shared" si="12"/>
        <v>0</v>
      </c>
      <c r="AD36" s="717">
        <f t="shared" si="12"/>
        <v>0</v>
      </c>
      <c r="AE36" s="717">
        <f t="shared" si="12"/>
        <v>0</v>
      </c>
      <c r="AF36" s="717">
        <f t="shared" si="12"/>
        <v>0</v>
      </c>
      <c r="AG36" s="717">
        <f t="shared" si="12"/>
        <v>0</v>
      </c>
      <c r="AH36" s="717">
        <f t="shared" si="12"/>
        <v>0</v>
      </c>
      <c r="AI36" s="717">
        <f t="shared" si="12"/>
        <v>0</v>
      </c>
      <c r="AJ36" s="700"/>
      <c r="AK36" s="700"/>
      <c r="AL36" s="700"/>
      <c r="AM36" s="702"/>
      <c r="AN36" s="702"/>
      <c r="AO36" s="702"/>
      <c r="AP36" s="702"/>
    </row>
    <row r="37" spans="1:42" s="703" customFormat="1">
      <c r="A37" s="699"/>
      <c r="B37" s="700" t="s">
        <v>68</v>
      </c>
      <c r="C37" s="1265"/>
      <c r="D37" s="714"/>
      <c r="E37" s="717">
        <f>SUM(E36:AI36)+Assum!E288</f>
        <v>8481.5206757365813</v>
      </c>
      <c r="F37" s="718"/>
      <c r="G37" s="718"/>
      <c r="H37" s="718"/>
      <c r="I37" s="718"/>
      <c r="J37" s="718"/>
      <c r="K37" s="718"/>
      <c r="L37" s="718"/>
      <c r="M37" s="718"/>
      <c r="N37" s="718"/>
      <c r="O37" s="718"/>
      <c r="P37" s="718"/>
      <c r="Q37" s="718"/>
      <c r="R37" s="718"/>
      <c r="S37" s="718"/>
      <c r="T37" s="718"/>
      <c r="U37" s="718"/>
      <c r="V37" s="718"/>
      <c r="W37" s="718"/>
      <c r="X37" s="718"/>
      <c r="Y37" s="718"/>
      <c r="Z37" s="718"/>
      <c r="AA37" s="718"/>
      <c r="AB37" s="718"/>
      <c r="AC37" s="718"/>
      <c r="AD37" s="718"/>
      <c r="AE37" s="718"/>
      <c r="AF37" s="718"/>
      <c r="AG37" s="718"/>
      <c r="AH37" s="718"/>
      <c r="AI37" s="718"/>
      <c r="AJ37" s="700"/>
      <c r="AK37" s="700"/>
      <c r="AL37" s="700"/>
      <c r="AM37" s="702"/>
      <c r="AN37" s="702"/>
      <c r="AO37" s="702"/>
      <c r="AP37" s="702"/>
    </row>
    <row r="38" spans="1:42" s="703" customFormat="1">
      <c r="A38" s="699"/>
      <c r="B38" s="700" t="s">
        <v>266</v>
      </c>
      <c r="C38" s="699"/>
      <c r="D38" s="700"/>
      <c r="E38" s="701">
        <f>Assum!E287</f>
        <v>10</v>
      </c>
      <c r="F38" s="714"/>
      <c r="G38" s="719">
        <f>(SUM(E60:AH60)+SUM(E61:AH61))/2</f>
        <v>0</v>
      </c>
      <c r="H38" s="700" t="s">
        <v>429</v>
      </c>
      <c r="I38" s="714"/>
      <c r="J38" s="714"/>
      <c r="K38" s="714"/>
      <c r="L38" s="714"/>
      <c r="M38" s="714"/>
      <c r="N38" s="714"/>
      <c r="O38" s="714"/>
      <c r="P38" s="714"/>
      <c r="Q38" s="714"/>
      <c r="R38" s="714"/>
      <c r="S38" s="714"/>
      <c r="T38" s="714"/>
      <c r="U38" s="714"/>
      <c r="V38" s="714"/>
      <c r="W38" s="714"/>
      <c r="X38" s="714"/>
      <c r="Y38" s="714"/>
      <c r="Z38" s="714"/>
      <c r="AA38" s="714"/>
      <c r="AB38" s="714"/>
      <c r="AC38" s="714"/>
      <c r="AD38" s="714"/>
      <c r="AE38" s="714"/>
      <c r="AF38" s="714"/>
      <c r="AG38" s="714"/>
      <c r="AH38" s="714"/>
      <c r="AI38" s="714"/>
      <c r="AJ38" s="700"/>
      <c r="AK38" s="700"/>
      <c r="AL38" s="700"/>
      <c r="AM38" s="702"/>
      <c r="AN38" s="702"/>
      <c r="AO38" s="702"/>
      <c r="AP38" s="702"/>
    </row>
    <row r="39" spans="1:42" ht="13.5" thickBot="1">
      <c r="A39" s="26"/>
      <c r="B39" s="259"/>
      <c r="C39" s="1254"/>
      <c r="D39" s="259"/>
      <c r="E39" s="259"/>
      <c r="F39" s="259"/>
      <c r="G39" s="259"/>
      <c r="H39" s="259"/>
      <c r="I39" s="259"/>
      <c r="J39" s="259"/>
      <c r="K39" s="259"/>
      <c r="L39" s="259"/>
      <c r="M39" s="259"/>
      <c r="N39" s="259"/>
      <c r="O39" s="259"/>
      <c r="P39" s="259"/>
      <c r="Q39" s="259"/>
      <c r="R39" s="259"/>
      <c r="S39" s="259"/>
      <c r="T39" s="259"/>
      <c r="U39" s="259"/>
      <c r="V39" s="259"/>
      <c r="W39" s="259"/>
      <c r="X39" s="259"/>
      <c r="Y39" s="259"/>
      <c r="Z39" s="259"/>
      <c r="AA39" s="259"/>
      <c r="AB39" s="259"/>
      <c r="AC39" s="259"/>
      <c r="AD39" s="259"/>
      <c r="AE39" s="259"/>
      <c r="AF39" s="259"/>
      <c r="AG39" s="259"/>
      <c r="AH39" s="259"/>
      <c r="AI39" s="259"/>
      <c r="AJ39" s="24"/>
      <c r="AK39" s="24"/>
      <c r="AL39" s="24"/>
      <c r="AM39" s="23"/>
      <c r="AN39" s="23"/>
      <c r="AO39" s="23"/>
      <c r="AP39" s="23"/>
    </row>
    <row r="40" spans="1:42">
      <c r="A40" s="26"/>
      <c r="B40" s="1044"/>
      <c r="C40" s="1045"/>
      <c r="D40" s="1046" t="s">
        <v>432</v>
      </c>
      <c r="E40" s="1046">
        <v>1</v>
      </c>
      <c r="F40" s="1046">
        <v>2</v>
      </c>
      <c r="G40" s="1046">
        <v>3</v>
      </c>
      <c r="H40" s="1046">
        <v>4</v>
      </c>
      <c r="I40" s="1046">
        <v>5</v>
      </c>
      <c r="J40" s="1046">
        <v>6</v>
      </c>
      <c r="K40" s="1046">
        <v>7</v>
      </c>
      <c r="L40" s="1046">
        <v>8</v>
      </c>
      <c r="M40" s="1046">
        <v>9</v>
      </c>
      <c r="N40" s="1046">
        <v>10</v>
      </c>
      <c r="O40" s="1046">
        <v>11</v>
      </c>
      <c r="P40" s="1046">
        <v>12</v>
      </c>
      <c r="Q40" s="1046">
        <v>13</v>
      </c>
      <c r="R40" s="1046">
        <v>14</v>
      </c>
      <c r="S40" s="1046">
        <v>15</v>
      </c>
      <c r="T40" s="1046">
        <v>16</v>
      </c>
      <c r="U40" s="1046">
        <v>17</v>
      </c>
      <c r="V40" s="1046">
        <v>18</v>
      </c>
      <c r="W40" s="1046">
        <v>19</v>
      </c>
      <c r="X40" s="1046">
        <v>20</v>
      </c>
      <c r="Y40" s="1046">
        <v>21</v>
      </c>
      <c r="Z40" s="1046">
        <v>22</v>
      </c>
      <c r="AA40" s="1046">
        <v>23</v>
      </c>
      <c r="AB40" s="1046">
        <v>24</v>
      </c>
      <c r="AC40" s="1046">
        <v>25</v>
      </c>
      <c r="AD40" s="1046">
        <v>26</v>
      </c>
      <c r="AE40" s="1046">
        <v>27</v>
      </c>
      <c r="AF40" s="1046">
        <v>28</v>
      </c>
      <c r="AG40" s="1046">
        <v>29</v>
      </c>
      <c r="AH40" s="1046">
        <v>30</v>
      </c>
      <c r="AI40" s="1047">
        <v>30</v>
      </c>
      <c r="AJ40" s="446"/>
      <c r="AK40" s="24"/>
      <c r="AL40" s="24"/>
      <c r="AM40" s="23"/>
      <c r="AN40" s="23"/>
      <c r="AO40" s="23"/>
      <c r="AP40" s="23"/>
    </row>
    <row r="41" spans="1:42">
      <c r="A41" s="26"/>
      <c r="B41" s="1042" t="s">
        <v>62</v>
      </c>
      <c r="C41" s="1039"/>
      <c r="D41" s="1043"/>
      <c r="E41" s="1043">
        <f>Assum!F24</f>
        <v>35795</v>
      </c>
      <c r="F41" s="1043">
        <f>E53</f>
        <v>36160</v>
      </c>
      <c r="G41" s="1043">
        <f t="shared" ref="G41:AJ41" si="13">F53</f>
        <v>36525</v>
      </c>
      <c r="H41" s="1043">
        <f>G53</f>
        <v>36891</v>
      </c>
      <c r="I41" s="1043">
        <f>H53</f>
        <v>37256</v>
      </c>
      <c r="J41" s="1043">
        <f t="shared" si="13"/>
        <v>37621</v>
      </c>
      <c r="K41" s="1043">
        <f t="shared" si="13"/>
        <v>37986</v>
      </c>
      <c r="L41" s="1043">
        <f t="shared" si="13"/>
        <v>38352</v>
      </c>
      <c r="M41" s="1043">
        <f t="shared" si="13"/>
        <v>38717</v>
      </c>
      <c r="N41" s="1043">
        <f t="shared" si="13"/>
        <v>39082</v>
      </c>
      <c r="O41" s="1043">
        <f t="shared" si="13"/>
        <v>39447</v>
      </c>
      <c r="P41" s="1043">
        <f t="shared" si="13"/>
        <v>39813</v>
      </c>
      <c r="Q41" s="1043">
        <f t="shared" si="13"/>
        <v>40178</v>
      </c>
      <c r="R41" s="1043">
        <f t="shared" si="13"/>
        <v>40543</v>
      </c>
      <c r="S41" s="1043">
        <f t="shared" si="13"/>
        <v>40908</v>
      </c>
      <c r="T41" s="1043">
        <f t="shared" si="13"/>
        <v>41274</v>
      </c>
      <c r="U41" s="1043">
        <f t="shared" si="13"/>
        <v>41639</v>
      </c>
      <c r="V41" s="1043">
        <f t="shared" si="13"/>
        <v>42004</v>
      </c>
      <c r="W41" s="1043">
        <f t="shared" si="13"/>
        <v>42369</v>
      </c>
      <c r="X41" s="1043">
        <f t="shared" si="13"/>
        <v>42735</v>
      </c>
      <c r="Y41" s="1043">
        <f t="shared" si="13"/>
        <v>43100</v>
      </c>
      <c r="Z41" s="1043">
        <f t="shared" si="13"/>
        <v>43465</v>
      </c>
      <c r="AA41" s="1043">
        <f t="shared" si="13"/>
        <v>43830</v>
      </c>
      <c r="AB41" s="1043">
        <f t="shared" si="13"/>
        <v>44196</v>
      </c>
      <c r="AC41" s="1043">
        <f t="shared" si="13"/>
        <v>44561</v>
      </c>
      <c r="AD41" s="1043">
        <f t="shared" si="13"/>
        <v>44926</v>
      </c>
      <c r="AE41" s="1043">
        <f t="shared" si="13"/>
        <v>45291</v>
      </c>
      <c r="AF41" s="1043">
        <f t="shared" si="13"/>
        <v>45657</v>
      </c>
      <c r="AG41" s="1043">
        <f t="shared" si="13"/>
        <v>46022</v>
      </c>
      <c r="AH41" s="1043">
        <f t="shared" si="13"/>
        <v>46387</v>
      </c>
      <c r="AI41" s="1043">
        <f t="shared" si="13"/>
        <v>46752</v>
      </c>
      <c r="AJ41" s="1043">
        <f t="shared" si="13"/>
        <v>47118</v>
      </c>
      <c r="AK41" s="31"/>
      <c r="AL41" s="31"/>
      <c r="AM41" s="31"/>
      <c r="AN41" s="31"/>
      <c r="AO41" s="31"/>
      <c r="AP41" s="31"/>
    </row>
    <row r="42" spans="1:42">
      <c r="A42" s="26"/>
      <c r="B42" s="1191" t="s">
        <v>431</v>
      </c>
      <c r="C42" s="1266"/>
      <c r="D42" s="1192"/>
      <c r="E42" s="1192">
        <f>IF(Assum!$E$294=2,E47-E41,0)</f>
        <v>0</v>
      </c>
      <c r="F42" s="1192">
        <f>IF(Assum!$E$294=2,F47-F41,0)</f>
        <v>0</v>
      </c>
      <c r="G42" s="1192">
        <f>IF(Assum!$E$294=2,G47-G41,0)</f>
        <v>0</v>
      </c>
      <c r="H42" s="1192">
        <f>IF(Assum!$E$294=2,H47-H41,0)</f>
        <v>0</v>
      </c>
      <c r="I42" s="1192">
        <f>IF(Assum!$E$294=2,I47-I41,0)</f>
        <v>0</v>
      </c>
      <c r="J42" s="1192">
        <f>IF(Assum!$E$294=2,J47-J41,0)</f>
        <v>0</v>
      </c>
      <c r="K42" s="1192">
        <f>IF(Assum!$E$294=2,K47-K41,0)</f>
        <v>0</v>
      </c>
      <c r="L42" s="1192">
        <f>IF(Assum!$E$294=2,L47-L41,0)</f>
        <v>0</v>
      </c>
      <c r="M42" s="1192">
        <f>IF(Assum!$E$294=2,M47-M41,0)</f>
        <v>0</v>
      </c>
      <c r="N42" s="1192">
        <f>IF(Assum!$E$294=2,N47-N41,0)</f>
        <v>0</v>
      </c>
      <c r="O42" s="1192">
        <f>IF(Assum!$E$294=2,O47-O41,0)</f>
        <v>0</v>
      </c>
      <c r="P42" s="1192">
        <f>IF(Assum!$E$294=2,P47-P41,0)</f>
        <v>0</v>
      </c>
      <c r="Q42" s="1192">
        <f>IF(Assum!$E$294=2,Q47-Q41,0)</f>
        <v>0</v>
      </c>
      <c r="R42" s="1192">
        <f>IF(Assum!$E$294=2,R47-R41,0)</f>
        <v>0</v>
      </c>
      <c r="S42" s="1192">
        <f>IF(Assum!$E$294=2,S47-S41,0)</f>
        <v>0</v>
      </c>
      <c r="T42" s="1192">
        <f>IF(Assum!$E$294=2,T47-T41,0)</f>
        <v>0</v>
      </c>
      <c r="U42" s="1192">
        <f>IF(Assum!$E$294=2,U47-U41,0)</f>
        <v>0</v>
      </c>
      <c r="V42" s="1192">
        <f>IF(Assum!$E$294=2,V47-V41,0)</f>
        <v>0</v>
      </c>
      <c r="W42" s="1192">
        <f>IF(Assum!$E$294=2,W47-W41,0)</f>
        <v>0</v>
      </c>
      <c r="X42" s="1192">
        <f>IF(Assum!$E$294=2,X47-X41,0)</f>
        <v>0</v>
      </c>
      <c r="Y42" s="1192">
        <f>IF(Assum!$E$294=2,Y47-Y41,0)</f>
        <v>0</v>
      </c>
      <c r="Z42" s="1192">
        <f>IF(Assum!$E$294=2,Z47-Z41,0)</f>
        <v>0</v>
      </c>
      <c r="AA42" s="1192">
        <f>IF(Assum!$E$294=2,AA47-AA41,0)</f>
        <v>0</v>
      </c>
      <c r="AB42" s="1192">
        <f>IF(Assum!$E$294=2,AB47-AB41,0)</f>
        <v>0</v>
      </c>
      <c r="AC42" s="1192">
        <f>IF(Assum!$E$294=2,AC47-AC41,0)</f>
        <v>0</v>
      </c>
      <c r="AD42" s="1192">
        <f>IF(Assum!$E$294=2,AD47-AD41,0)</f>
        <v>0</v>
      </c>
      <c r="AE42" s="1192">
        <f>IF(Assum!$E$294=2,AE47-AE41,0)</f>
        <v>0</v>
      </c>
      <c r="AF42" s="1192">
        <f>IF(Assum!$E$294=2,AF47-AF41,0)</f>
        <v>0</v>
      </c>
      <c r="AG42" s="1192">
        <f>IF(Assum!$E$294=2,AG47-AG41,0)</f>
        <v>0</v>
      </c>
      <c r="AH42" s="1192">
        <f>IF(Assum!$E$294=2,AH47-AH41,0)</f>
        <v>0</v>
      </c>
      <c r="AI42" s="1193">
        <f>IF(Assum!$E$294=2,AI47-AI41,0)</f>
        <v>0</v>
      </c>
      <c r="AJ42" s="1050"/>
      <c r="AK42" s="31"/>
      <c r="AL42" s="31"/>
      <c r="AM42" s="31"/>
      <c r="AN42" s="31"/>
      <c r="AO42" s="31"/>
      <c r="AP42" s="31"/>
    </row>
    <row r="43" spans="1:42">
      <c r="A43" s="26"/>
      <c r="B43" s="262" t="s">
        <v>361</v>
      </c>
      <c r="C43" s="1259"/>
      <c r="D43" s="542"/>
      <c r="E43" s="542">
        <f>E37*Assum!E285</f>
        <v>0</v>
      </c>
      <c r="F43" s="542">
        <f t="shared" ref="F43:AI43" si="14">E52</f>
        <v>0</v>
      </c>
      <c r="G43" s="542">
        <f t="shared" si="14"/>
        <v>0</v>
      </c>
      <c r="H43" s="542">
        <f>G52</f>
        <v>0</v>
      </c>
      <c r="I43" s="542">
        <f>H52</f>
        <v>0</v>
      </c>
      <c r="J43" s="542">
        <f t="shared" si="14"/>
        <v>0</v>
      </c>
      <c r="K43" s="542">
        <f t="shared" si="14"/>
        <v>0</v>
      </c>
      <c r="L43" s="542">
        <f t="shared" si="14"/>
        <v>0</v>
      </c>
      <c r="M43" s="542">
        <f t="shared" si="14"/>
        <v>0</v>
      </c>
      <c r="N43" s="542">
        <f t="shared" si="14"/>
        <v>0</v>
      </c>
      <c r="O43" s="542">
        <f t="shared" si="14"/>
        <v>0</v>
      </c>
      <c r="P43" s="542">
        <f t="shared" si="14"/>
        <v>0</v>
      </c>
      <c r="Q43" s="542">
        <f t="shared" si="14"/>
        <v>0</v>
      </c>
      <c r="R43" s="542">
        <f t="shared" si="14"/>
        <v>0</v>
      </c>
      <c r="S43" s="542">
        <f t="shared" si="14"/>
        <v>0</v>
      </c>
      <c r="T43" s="542">
        <f t="shared" si="14"/>
        <v>0</v>
      </c>
      <c r="U43" s="542">
        <f t="shared" si="14"/>
        <v>0</v>
      </c>
      <c r="V43" s="542">
        <f t="shared" si="14"/>
        <v>0</v>
      </c>
      <c r="W43" s="542">
        <f t="shared" si="14"/>
        <v>0</v>
      </c>
      <c r="X43" s="542">
        <f t="shared" si="14"/>
        <v>0</v>
      </c>
      <c r="Y43" s="542">
        <f t="shared" si="14"/>
        <v>0</v>
      </c>
      <c r="Z43" s="542">
        <f t="shared" si="14"/>
        <v>0</v>
      </c>
      <c r="AA43" s="542">
        <f t="shared" si="14"/>
        <v>0</v>
      </c>
      <c r="AB43" s="542">
        <f t="shared" si="14"/>
        <v>0</v>
      </c>
      <c r="AC43" s="542">
        <f t="shared" si="14"/>
        <v>0</v>
      </c>
      <c r="AD43" s="542">
        <f t="shared" si="14"/>
        <v>0</v>
      </c>
      <c r="AE43" s="542">
        <f t="shared" si="14"/>
        <v>0</v>
      </c>
      <c r="AF43" s="542">
        <f t="shared" si="14"/>
        <v>0</v>
      </c>
      <c r="AG43" s="542">
        <f t="shared" si="14"/>
        <v>0</v>
      </c>
      <c r="AH43" s="542">
        <f t="shared" si="14"/>
        <v>0</v>
      </c>
      <c r="AI43" s="715">
        <f t="shared" si="14"/>
        <v>0</v>
      </c>
      <c r="AJ43" s="267"/>
      <c r="AK43" s="27"/>
      <c r="AL43" s="27"/>
      <c r="AM43" s="27"/>
      <c r="AN43" s="27"/>
      <c r="AO43" s="27"/>
      <c r="AP43" s="27"/>
    </row>
    <row r="44" spans="1:42">
      <c r="A44" s="26"/>
      <c r="B44" s="264" t="s">
        <v>263</v>
      </c>
      <c r="C44" s="1254"/>
      <c r="D44" s="259"/>
      <c r="E44" s="259">
        <f>E43*E32*E42/Assum!$E$289</f>
        <v>0</v>
      </c>
      <c r="F44" s="259">
        <f>F43*F32*F42/Assum!$E$289</f>
        <v>0</v>
      </c>
      <c r="G44" s="259">
        <f>G43*G32*G42/Assum!$E$289</f>
        <v>0</v>
      </c>
      <c r="H44" s="259">
        <f>H43*H32*H42/Assum!$E$289</f>
        <v>0</v>
      </c>
      <c r="I44" s="259">
        <f>I43*I32*I42/Assum!$E$289</f>
        <v>0</v>
      </c>
      <c r="J44" s="259">
        <f>J43*J32*J42/Assum!$E$289</f>
        <v>0</v>
      </c>
      <c r="K44" s="259">
        <f>K43*K32*K42/Assum!$E$289</f>
        <v>0</v>
      </c>
      <c r="L44" s="259">
        <f>L43*L32*L42/Assum!$E$289</f>
        <v>0</v>
      </c>
      <c r="M44" s="259">
        <f>M43*M32*M42/Assum!$E$289</f>
        <v>0</v>
      </c>
      <c r="N44" s="259">
        <f>N43*N32*N42/Assum!$E$289</f>
        <v>0</v>
      </c>
      <c r="O44" s="259">
        <f>O43*O32*O42/Assum!$E$289</f>
        <v>0</v>
      </c>
      <c r="P44" s="259">
        <f>P43*P32*P42/Assum!$E$289</f>
        <v>0</v>
      </c>
      <c r="Q44" s="259">
        <f>Q43*Q32*Q42/Assum!$E$289</f>
        <v>0</v>
      </c>
      <c r="R44" s="259">
        <f>R43*R32*R42/Assum!$E$289</f>
        <v>0</v>
      </c>
      <c r="S44" s="259">
        <f>S43*S32*S42/Assum!$E$289</f>
        <v>0</v>
      </c>
      <c r="T44" s="259">
        <f>T43*T32*T42/Assum!$E$289</f>
        <v>0</v>
      </c>
      <c r="U44" s="259">
        <f>U43*U32*U42/Assum!$E$289</f>
        <v>0</v>
      </c>
      <c r="V44" s="259">
        <f>V43*V32*V42/Assum!$E$289</f>
        <v>0</v>
      </c>
      <c r="W44" s="259">
        <f>W43*W32*W42/Assum!$E$289</f>
        <v>0</v>
      </c>
      <c r="X44" s="259">
        <f>X43*X32*X42/Assum!$E$289</f>
        <v>0</v>
      </c>
      <c r="Y44" s="259">
        <f>Y43*Y32*Y42/Assum!$E$289</f>
        <v>0</v>
      </c>
      <c r="Z44" s="259">
        <f>Z43*Z32*Z42/Assum!$E$289</f>
        <v>0</v>
      </c>
      <c r="AA44" s="259">
        <f>AA43*AA32*AA42/Assum!$E$289</f>
        <v>0</v>
      </c>
      <c r="AB44" s="259">
        <f>AB43*AB32*AB42/Assum!$E$289</f>
        <v>0</v>
      </c>
      <c r="AC44" s="259">
        <f>AC43*AC32*AC42/Assum!$E$289</f>
        <v>0</v>
      </c>
      <c r="AD44" s="259">
        <f>AD43*AD32*AD42/Assum!$E$289</f>
        <v>0</v>
      </c>
      <c r="AE44" s="259">
        <f>AE43*AE32*AE42/Assum!$E$289</f>
        <v>0</v>
      </c>
      <c r="AF44" s="259">
        <f>AF43*AF32*AF42/Assum!$E$289</f>
        <v>0</v>
      </c>
      <c r="AG44" s="259">
        <f>AG43*AG32*AG42/Assum!$E$289</f>
        <v>0</v>
      </c>
      <c r="AH44" s="259">
        <f>AH43*AH32*AH42/Assum!$E$289</f>
        <v>0</v>
      </c>
      <c r="AI44" s="509">
        <f>AI43*AI32*AI42/Assum!$E$289</f>
        <v>0</v>
      </c>
      <c r="AJ44" s="709"/>
      <c r="AK44" s="24"/>
      <c r="AL44" s="24"/>
      <c r="AM44" s="23"/>
      <c r="AN44" s="23"/>
      <c r="AO44" s="23"/>
      <c r="AP44" s="23"/>
    </row>
    <row r="45" spans="1:42">
      <c r="A45" s="26"/>
      <c r="B45" s="264" t="s">
        <v>362</v>
      </c>
      <c r="C45" s="1254"/>
      <c r="D45" s="259"/>
      <c r="E45" s="259">
        <f>IF(E35*E42/Assum!$E$289-E44&lt;E43,E35*E42/Assum!$E$289-E44,E43)*Assum!E292</f>
        <v>0</v>
      </c>
      <c r="F45" s="259">
        <f>IF(F35*Assum!$E$293-F44&lt;F43,F35*Assum!$E$293-F44,F43)*(Assum!$E$294-1)</f>
        <v>0</v>
      </c>
      <c r="G45" s="259">
        <f>IF(G35*Assum!$E$293-G44&lt;G43,G35*Assum!$E$293-G44,G43)*(Assum!$E$294-1)</f>
        <v>0</v>
      </c>
      <c r="H45" s="259">
        <f>IF(H35*Assum!$E$293-H44&lt;H43,H35*Assum!$E$293-H44,H43)*(Assum!$E$294-1)</f>
        <v>0</v>
      </c>
      <c r="I45" s="259">
        <f>IF(I35*Assum!$E$293-I44&lt;I43,I35*Assum!$E$293-I44,I43)*(Assum!$E$294-1)</f>
        <v>0</v>
      </c>
      <c r="J45" s="259">
        <f>IF(J35*Assum!$E$293-J44&lt;J43,J35*Assum!$E$293-J44,J43)*(Assum!$E$294-1)</f>
        <v>0</v>
      </c>
      <c r="K45" s="259">
        <f>IF(K35*Assum!$E$293-K44&lt;K43,K35*Assum!$E$293-K44,K43)*(Assum!$E$294-1)</f>
        <v>0</v>
      </c>
      <c r="L45" s="259">
        <f>IF(L35*Assum!$E$293-L44&lt;L43,L35*Assum!$E$293-L44,L43)*(Assum!$E$294-1)</f>
        <v>0</v>
      </c>
      <c r="M45" s="259">
        <f>IF(M35*Assum!$E$293-M44&lt;M43,M35*Assum!$E$293-M44,M43)*(Assum!$E$294-1)</f>
        <v>0</v>
      </c>
      <c r="N45" s="259">
        <f>IF(N35*Assum!$E$293-N44&lt;N43,N35*Assum!$E$293-N44,N43)*(Assum!$E$294-1)</f>
        <v>0</v>
      </c>
      <c r="O45" s="259">
        <f>IF(O35*Assum!$E$293-O44&lt;O43,O35*Assum!$E$293-O44,O43)*(Assum!$E$294-1)</f>
        <v>0</v>
      </c>
      <c r="P45" s="259">
        <f>IF(P35*Assum!$E$293-P44&lt;P43,P35*Assum!$E$293-P44,P43)*(Assum!$E$294-1)</f>
        <v>0</v>
      </c>
      <c r="Q45" s="259">
        <f>IF(Q35*Assum!$E$293-Q44&lt;Q43,Q35*Assum!$E$293-Q44,Q43)*(Assum!$E$294-1)</f>
        <v>0</v>
      </c>
      <c r="R45" s="259">
        <f>IF(R35*Assum!$E$293-R44&lt;R43,R35*Assum!$E$293-R44,R43)*(Assum!$E$294-1)</f>
        <v>0</v>
      </c>
      <c r="S45" s="259">
        <f>IF(S35*Assum!$E$293-S44&lt;S43,S35*Assum!$E$293-S44,S43)*(Assum!$E$294-1)</f>
        <v>0</v>
      </c>
      <c r="T45" s="259">
        <f>IF(T35*Assum!$E$293-T44&lt;T43,T35*Assum!$E$293-T44,T43)*(Assum!$E$294-1)</f>
        <v>0</v>
      </c>
      <c r="U45" s="259">
        <f>IF(U35*Assum!$E$293-U44&lt;U43,U35*Assum!$E$293-U44,U43)*(Assum!$E$294-1)</f>
        <v>0</v>
      </c>
      <c r="V45" s="259">
        <f>IF(V35*Assum!$E$293-V44&lt;V43,V35*Assum!$E$293-V44,V43)*(Assum!$E$294-1)</f>
        <v>0</v>
      </c>
      <c r="W45" s="259">
        <f>IF(W35*Assum!$E$293-W44&lt;W43,W35*Assum!$E$293-W44,W43)*(Assum!$E$294-1)</f>
        <v>0</v>
      </c>
      <c r="X45" s="259">
        <f>IF(X35*Assum!$E$293-X44&lt;X43,X35*Assum!$E$293-X44,X43)*(Assum!$E$294-1)</f>
        <v>0</v>
      </c>
      <c r="Y45" s="259">
        <f>IF(Y35*Assum!$E$293-Y44&lt;Y43,Y35*Assum!$E$293-Y44,Y43)*(Assum!$E$294-1)</f>
        <v>0</v>
      </c>
      <c r="Z45" s="259">
        <f>IF(Z35*Assum!$E$293-Z44&lt;Z43,Z35*Assum!$E$293-Z44,Z43)*(Assum!$E$294-1)</f>
        <v>0</v>
      </c>
      <c r="AA45" s="259">
        <f>IF(AA35*Assum!$E$293-AA44&lt;AA43,AA35*Assum!$E$293-AA44,AA43)*(Assum!$E$294-1)</f>
        <v>0</v>
      </c>
      <c r="AB45" s="259">
        <f>IF(AB35*Assum!$E$293-AB44&lt;AB43,AB35*Assum!$E$293-AB44,AB43)*(Assum!$E$294-1)</f>
        <v>0</v>
      </c>
      <c r="AC45" s="259">
        <f>IF(AC35*Assum!$E$293-AC44&lt;AC43,AC35*Assum!$E$293-AC44,AC43)*(Assum!$E$294-1)</f>
        <v>0</v>
      </c>
      <c r="AD45" s="259">
        <f>IF(AD35*Assum!$E$293-AD44&lt;AD43,AD35*Assum!$E$293-AD44,AD43)*(Assum!$E$294-1)</f>
        <v>0</v>
      </c>
      <c r="AE45" s="259">
        <f>IF(AE35*Assum!$E$293-AE44&lt;AE43,AE35*Assum!$E$293-AE44,AE43)*(Assum!$E$294-1)</f>
        <v>0</v>
      </c>
      <c r="AF45" s="259">
        <f>IF(AF35*Assum!$E$293-AF44&lt;AF43,AF35*Assum!$E$293-AF44,AF43)*(Assum!$E$294-1)</f>
        <v>0</v>
      </c>
      <c r="AG45" s="259">
        <f>IF(AG35*Assum!$E$293-AG44&lt;AG43,AG35*Assum!$E$293-AG44,AG43)*(Assum!$E$294-1)</f>
        <v>0</v>
      </c>
      <c r="AH45" s="259">
        <f>IF(AH35*Assum!$E$293-AH44&lt;AH43,AH35*Assum!$E$293-AH44,AH43)*(Assum!$E$294-1)</f>
        <v>0</v>
      </c>
      <c r="AI45" s="259">
        <f>IF(AI35*Assum!$E$293-AI44&lt;AI43,AI35*Assum!$E$293-AI44,AI43)*(Assum!$E$294-1)</f>
        <v>0</v>
      </c>
      <c r="AJ45" s="709"/>
      <c r="AK45" s="24"/>
      <c r="AL45" s="24"/>
      <c r="AM45" s="23"/>
      <c r="AN45" s="23"/>
      <c r="AO45" s="23"/>
      <c r="AP45" s="23"/>
    </row>
    <row r="46" spans="1:42">
      <c r="A46" s="26"/>
      <c r="B46" s="262" t="s">
        <v>588</v>
      </c>
      <c r="C46" s="1259"/>
      <c r="D46" s="542"/>
      <c r="E46" s="542">
        <f t="shared" ref="E46:AI46" si="15">E43-E45</f>
        <v>0</v>
      </c>
      <c r="F46" s="542">
        <f t="shared" si="15"/>
        <v>0</v>
      </c>
      <c r="G46" s="542">
        <f t="shared" si="15"/>
        <v>0</v>
      </c>
      <c r="H46" s="542">
        <f t="shared" si="15"/>
        <v>0</v>
      </c>
      <c r="I46" s="542">
        <f t="shared" si="15"/>
        <v>0</v>
      </c>
      <c r="J46" s="542">
        <f t="shared" si="15"/>
        <v>0</v>
      </c>
      <c r="K46" s="542">
        <f t="shared" si="15"/>
        <v>0</v>
      </c>
      <c r="L46" s="542">
        <f t="shared" si="15"/>
        <v>0</v>
      </c>
      <c r="M46" s="542">
        <f t="shared" si="15"/>
        <v>0</v>
      </c>
      <c r="N46" s="542">
        <f t="shared" si="15"/>
        <v>0</v>
      </c>
      <c r="O46" s="542">
        <f t="shared" si="15"/>
        <v>0</v>
      </c>
      <c r="P46" s="542">
        <f t="shared" si="15"/>
        <v>0</v>
      </c>
      <c r="Q46" s="542">
        <f t="shared" si="15"/>
        <v>0</v>
      </c>
      <c r="R46" s="542">
        <f t="shared" si="15"/>
        <v>0</v>
      </c>
      <c r="S46" s="542">
        <f t="shared" si="15"/>
        <v>0</v>
      </c>
      <c r="T46" s="542">
        <f t="shared" si="15"/>
        <v>0</v>
      </c>
      <c r="U46" s="542">
        <f t="shared" si="15"/>
        <v>0</v>
      </c>
      <c r="V46" s="542">
        <f t="shared" si="15"/>
        <v>0</v>
      </c>
      <c r="W46" s="542">
        <f t="shared" si="15"/>
        <v>0</v>
      </c>
      <c r="X46" s="542">
        <f t="shared" si="15"/>
        <v>0</v>
      </c>
      <c r="Y46" s="542">
        <f t="shared" si="15"/>
        <v>0</v>
      </c>
      <c r="Z46" s="542">
        <f t="shared" si="15"/>
        <v>0</v>
      </c>
      <c r="AA46" s="542">
        <f t="shared" si="15"/>
        <v>0</v>
      </c>
      <c r="AB46" s="542">
        <f t="shared" si="15"/>
        <v>0</v>
      </c>
      <c r="AC46" s="542">
        <f t="shared" si="15"/>
        <v>0</v>
      </c>
      <c r="AD46" s="542">
        <f t="shared" si="15"/>
        <v>0</v>
      </c>
      <c r="AE46" s="542">
        <f t="shared" si="15"/>
        <v>0</v>
      </c>
      <c r="AF46" s="542">
        <f t="shared" si="15"/>
        <v>0</v>
      </c>
      <c r="AG46" s="542">
        <f t="shared" si="15"/>
        <v>0</v>
      </c>
      <c r="AH46" s="542">
        <f t="shared" si="15"/>
        <v>0</v>
      </c>
      <c r="AI46" s="715">
        <f t="shared" si="15"/>
        <v>0</v>
      </c>
      <c r="AJ46" s="267"/>
      <c r="AK46" s="27"/>
      <c r="AL46" s="27"/>
      <c r="AM46" s="27"/>
      <c r="AN46" s="27"/>
      <c r="AO46" s="27"/>
      <c r="AP46" s="27"/>
    </row>
    <row r="47" spans="1:42">
      <c r="A47" s="26"/>
      <c r="B47" s="1042" t="s">
        <v>63</v>
      </c>
      <c r="C47" s="1267"/>
      <c r="D47" s="1048"/>
      <c r="E47" s="1043">
        <f>Assum!E290</f>
        <v>35976</v>
      </c>
      <c r="F47" s="1043">
        <f t="shared" ref="F47:AJ47" si="16">EDATE(E47,12)</f>
        <v>36341</v>
      </c>
      <c r="G47" s="1043">
        <f t="shared" si="16"/>
        <v>36707</v>
      </c>
      <c r="H47" s="1043">
        <f t="shared" si="16"/>
        <v>37072</v>
      </c>
      <c r="I47" s="1043">
        <f t="shared" si="16"/>
        <v>37437</v>
      </c>
      <c r="J47" s="1043">
        <f t="shared" si="16"/>
        <v>37802</v>
      </c>
      <c r="K47" s="1043">
        <f t="shared" si="16"/>
        <v>38168</v>
      </c>
      <c r="L47" s="1043">
        <f t="shared" si="16"/>
        <v>38533</v>
      </c>
      <c r="M47" s="1043">
        <f t="shared" si="16"/>
        <v>38898</v>
      </c>
      <c r="N47" s="1043">
        <f t="shared" si="16"/>
        <v>39263</v>
      </c>
      <c r="O47" s="1043">
        <f t="shared" si="16"/>
        <v>39629</v>
      </c>
      <c r="P47" s="1043">
        <f t="shared" si="16"/>
        <v>39994</v>
      </c>
      <c r="Q47" s="1043">
        <f t="shared" si="16"/>
        <v>40359</v>
      </c>
      <c r="R47" s="1043">
        <f t="shared" si="16"/>
        <v>40724</v>
      </c>
      <c r="S47" s="1043">
        <f t="shared" si="16"/>
        <v>41090</v>
      </c>
      <c r="T47" s="1043">
        <f t="shared" si="16"/>
        <v>41455</v>
      </c>
      <c r="U47" s="1043">
        <f t="shared" si="16"/>
        <v>41820</v>
      </c>
      <c r="V47" s="1043">
        <f t="shared" si="16"/>
        <v>42185</v>
      </c>
      <c r="W47" s="1043">
        <f t="shared" si="16"/>
        <v>42551</v>
      </c>
      <c r="X47" s="1043">
        <f t="shared" si="16"/>
        <v>42916</v>
      </c>
      <c r="Y47" s="1043">
        <f t="shared" si="16"/>
        <v>43281</v>
      </c>
      <c r="Z47" s="1043">
        <f t="shared" si="16"/>
        <v>43646</v>
      </c>
      <c r="AA47" s="1043">
        <f t="shared" si="16"/>
        <v>44012</v>
      </c>
      <c r="AB47" s="1043">
        <f t="shared" si="16"/>
        <v>44377</v>
      </c>
      <c r="AC47" s="1043">
        <f t="shared" si="16"/>
        <v>44742</v>
      </c>
      <c r="AD47" s="1043">
        <f t="shared" si="16"/>
        <v>45107</v>
      </c>
      <c r="AE47" s="1043">
        <f t="shared" si="16"/>
        <v>45473</v>
      </c>
      <c r="AF47" s="1043">
        <f t="shared" si="16"/>
        <v>45838</v>
      </c>
      <c r="AG47" s="1043">
        <f t="shared" si="16"/>
        <v>46203</v>
      </c>
      <c r="AH47" s="1043">
        <f t="shared" si="16"/>
        <v>46568</v>
      </c>
      <c r="AI47" s="1043">
        <f t="shared" si="16"/>
        <v>46934</v>
      </c>
      <c r="AJ47" s="1043">
        <f t="shared" si="16"/>
        <v>47299</v>
      </c>
      <c r="AK47" s="24"/>
      <c r="AL47" s="24"/>
      <c r="AM47" s="23"/>
      <c r="AN47" s="23"/>
      <c r="AO47" s="23"/>
      <c r="AP47" s="23"/>
    </row>
    <row r="48" spans="1:42">
      <c r="A48" s="26"/>
      <c r="B48" s="1191" t="s">
        <v>431</v>
      </c>
      <c r="C48" s="1268"/>
      <c r="D48" s="1194"/>
      <c r="E48" s="1195">
        <f>IF(Assum!$E$294=2,E53-E47,E53-E41)</f>
        <v>365</v>
      </c>
      <c r="F48" s="1195">
        <f>IF(Assum!$E$294=2,F53-F47,G47-F47)</f>
        <v>366</v>
      </c>
      <c r="G48" s="1195">
        <f>IF(Assum!$E$294=2,G53-G47,H47-G47)</f>
        <v>365</v>
      </c>
      <c r="H48" s="1195">
        <f>IF(Assum!$E$294=2,H53-H47,I47-H47)</f>
        <v>365</v>
      </c>
      <c r="I48" s="1195">
        <f>IF(Assum!$E$294=2,I53-I47,J47-I47)</f>
        <v>365</v>
      </c>
      <c r="J48" s="1195">
        <f>IF(Assum!$E$294=2,J53-J47,K47-J47)</f>
        <v>366</v>
      </c>
      <c r="K48" s="1195">
        <f>IF(Assum!$E$294=2,K53-K47,L47-K47)</f>
        <v>365</v>
      </c>
      <c r="L48" s="1195">
        <f>IF(Assum!$E$294=2,L53-L47,M47-L47)</f>
        <v>365</v>
      </c>
      <c r="M48" s="1195">
        <f>IF(Assum!$E$294=2,M53-M47,N47-M47)</f>
        <v>365</v>
      </c>
      <c r="N48" s="1195">
        <f>IF(Assum!$E$294=2,N53-N47,O47-N47)</f>
        <v>366</v>
      </c>
      <c r="O48" s="1195">
        <f>IF(Assum!$E$294=2,O53-O47,P47-O47)</f>
        <v>365</v>
      </c>
      <c r="P48" s="1195">
        <f>IF(Assum!$E$294=2,P53-P47,Q47-P47)</f>
        <v>365</v>
      </c>
      <c r="Q48" s="1195">
        <f>IF(Assum!$E$294=2,Q53-Q47,R47-Q47)</f>
        <v>365</v>
      </c>
      <c r="R48" s="1195">
        <f>IF(Assum!$E$294=2,R53-R47,S47-R47)</f>
        <v>366</v>
      </c>
      <c r="S48" s="1195">
        <f>IF(Assum!$E$294=2,S53-S47,T47-S47)</f>
        <v>365</v>
      </c>
      <c r="T48" s="1195">
        <f>IF(Assum!$E$294=2,T53-T47,U47-T47)</f>
        <v>365</v>
      </c>
      <c r="U48" s="1195">
        <f>IF(Assum!$E$294=2,U53-U47,V47-U47)</f>
        <v>365</v>
      </c>
      <c r="V48" s="1195">
        <f>IF(Assum!$E$294=2,V53-V47,W47-V47)</f>
        <v>366</v>
      </c>
      <c r="W48" s="1195">
        <f>IF(Assum!$E$294=2,W53-W47,X47-W47)</f>
        <v>365</v>
      </c>
      <c r="X48" s="1195">
        <f>IF(Assum!$E$294=2,X53-X47,Y47-X47)</f>
        <v>365</v>
      </c>
      <c r="Y48" s="1195">
        <f>IF(Assum!$E$294=2,Y53-Y47,Z47-Y47)</f>
        <v>365</v>
      </c>
      <c r="Z48" s="1195">
        <f>IF(Assum!$E$294=2,Z53-Z47,AA47-Z47)</f>
        <v>366</v>
      </c>
      <c r="AA48" s="1195">
        <f>IF(Assum!$E$294=2,AA53-AA47,AB47-AA47)</f>
        <v>365</v>
      </c>
      <c r="AB48" s="1195">
        <f>IF(Assum!$E$294=2,AB53-AB47,AC47-AB47)</f>
        <v>365</v>
      </c>
      <c r="AC48" s="1195">
        <f>IF(Assum!$E$294=2,AC53-AC47,AD47-AC47)</f>
        <v>365</v>
      </c>
      <c r="AD48" s="1195">
        <f>IF(Assum!$E$294=2,AD53-AD47,AE47-AD47)</f>
        <v>366</v>
      </c>
      <c r="AE48" s="1195">
        <f>IF(Assum!$E$294=2,AE53-AE47,AF47-AE47)</f>
        <v>365</v>
      </c>
      <c r="AF48" s="1195">
        <f>IF(Assum!$E$294=2,AF53-AF47,AG47-AF47)</f>
        <v>365</v>
      </c>
      <c r="AG48" s="1195">
        <f>IF(Assum!$E$294=2,AG53-AG47,AH47-AG47)</f>
        <v>365</v>
      </c>
      <c r="AH48" s="1195">
        <f>IF(Assum!$E$294=2,AH53-AH47,AI47-AH47)</f>
        <v>366</v>
      </c>
      <c r="AI48" s="1195">
        <f>IF(Assum!$E$294=2,AI53-AI47,AJ47-AI47)</f>
        <v>365</v>
      </c>
      <c r="AJ48" s="1050"/>
      <c r="AK48" s="24"/>
      <c r="AL48" s="24"/>
      <c r="AM48" s="23"/>
      <c r="AN48" s="23"/>
      <c r="AO48" s="23"/>
      <c r="AP48" s="23"/>
    </row>
    <row r="49" spans="1:42">
      <c r="A49" s="26"/>
      <c r="B49" s="262" t="s">
        <v>363</v>
      </c>
      <c r="C49" s="1259"/>
      <c r="D49" s="542"/>
      <c r="E49" s="542">
        <f t="shared" ref="E49:AI49" si="17">E46</f>
        <v>0</v>
      </c>
      <c r="F49" s="542">
        <f t="shared" si="17"/>
        <v>0</v>
      </c>
      <c r="G49" s="542">
        <f t="shared" si="17"/>
        <v>0</v>
      </c>
      <c r="H49" s="542">
        <f t="shared" si="17"/>
        <v>0</v>
      </c>
      <c r="I49" s="542">
        <f t="shared" si="17"/>
        <v>0</v>
      </c>
      <c r="J49" s="542">
        <f t="shared" si="17"/>
        <v>0</v>
      </c>
      <c r="K49" s="542">
        <f t="shared" si="17"/>
        <v>0</v>
      </c>
      <c r="L49" s="542">
        <f t="shared" si="17"/>
        <v>0</v>
      </c>
      <c r="M49" s="542">
        <f t="shared" si="17"/>
        <v>0</v>
      </c>
      <c r="N49" s="542">
        <f t="shared" si="17"/>
        <v>0</v>
      </c>
      <c r="O49" s="542">
        <f t="shared" si="17"/>
        <v>0</v>
      </c>
      <c r="P49" s="542">
        <f t="shared" si="17"/>
        <v>0</v>
      </c>
      <c r="Q49" s="542">
        <f t="shared" si="17"/>
        <v>0</v>
      </c>
      <c r="R49" s="542">
        <f t="shared" si="17"/>
        <v>0</v>
      </c>
      <c r="S49" s="542">
        <f t="shared" si="17"/>
        <v>0</v>
      </c>
      <c r="T49" s="542">
        <f t="shared" si="17"/>
        <v>0</v>
      </c>
      <c r="U49" s="542">
        <f t="shared" si="17"/>
        <v>0</v>
      </c>
      <c r="V49" s="542">
        <f t="shared" si="17"/>
        <v>0</v>
      </c>
      <c r="W49" s="542">
        <f t="shared" si="17"/>
        <v>0</v>
      </c>
      <c r="X49" s="542">
        <f t="shared" si="17"/>
        <v>0</v>
      </c>
      <c r="Y49" s="542">
        <f t="shared" si="17"/>
        <v>0</v>
      </c>
      <c r="Z49" s="542">
        <f t="shared" si="17"/>
        <v>0</v>
      </c>
      <c r="AA49" s="542">
        <f t="shared" si="17"/>
        <v>0</v>
      </c>
      <c r="AB49" s="542">
        <f t="shared" si="17"/>
        <v>0</v>
      </c>
      <c r="AC49" s="542">
        <f t="shared" si="17"/>
        <v>0</v>
      </c>
      <c r="AD49" s="542">
        <f t="shared" si="17"/>
        <v>0</v>
      </c>
      <c r="AE49" s="542">
        <f t="shared" si="17"/>
        <v>0</v>
      </c>
      <c r="AF49" s="542">
        <f t="shared" si="17"/>
        <v>0</v>
      </c>
      <c r="AG49" s="542">
        <f t="shared" si="17"/>
        <v>0</v>
      </c>
      <c r="AH49" s="542">
        <f t="shared" si="17"/>
        <v>0</v>
      </c>
      <c r="AI49" s="715">
        <f t="shared" si="17"/>
        <v>0</v>
      </c>
      <c r="AJ49" s="267"/>
      <c r="AK49" s="27"/>
      <c r="AL49" s="27"/>
      <c r="AM49" s="27"/>
      <c r="AN49" s="27"/>
      <c r="AO49" s="27"/>
      <c r="AP49" s="27"/>
    </row>
    <row r="50" spans="1:42">
      <c r="A50" s="26"/>
      <c r="B50" s="264" t="s">
        <v>263</v>
      </c>
      <c r="C50" s="1254"/>
      <c r="D50" s="259"/>
      <c r="E50" s="259">
        <f>E49*E32*E48/Assum!$E$289</f>
        <v>0</v>
      </c>
      <c r="F50" s="259">
        <f>F49*F32*F48/Assum!$E$289</f>
        <v>0</v>
      </c>
      <c r="G50" s="259">
        <f>G49*G32*G48/Assum!$E$289</f>
        <v>0</v>
      </c>
      <c r="H50" s="259">
        <f>H49*H32*H48/Assum!$E$289</f>
        <v>0</v>
      </c>
      <c r="I50" s="259">
        <f>I49*I32*I48/Assum!$E$289</f>
        <v>0</v>
      </c>
      <c r="J50" s="259">
        <f>J49*J32*J48/Assum!$E$289</f>
        <v>0</v>
      </c>
      <c r="K50" s="259">
        <f>K49*K32*K48/Assum!$E$289</f>
        <v>0</v>
      </c>
      <c r="L50" s="259">
        <f>L49*L32*L48/Assum!$E$289</f>
        <v>0</v>
      </c>
      <c r="M50" s="259">
        <f>M49*M32*M48/Assum!$E$289</f>
        <v>0</v>
      </c>
      <c r="N50" s="259">
        <f>N49*N32*N48/Assum!$E$289</f>
        <v>0</v>
      </c>
      <c r="O50" s="259">
        <f>O49*O32*O48/Assum!$E$289</f>
        <v>0</v>
      </c>
      <c r="P50" s="259">
        <f>P49*P32*P48/Assum!$E$289</f>
        <v>0</v>
      </c>
      <c r="Q50" s="259">
        <f>Q49*Q32*Q48/Assum!$E$289</f>
        <v>0</v>
      </c>
      <c r="R50" s="259">
        <f>R49*R32*R48/Assum!$E$289</f>
        <v>0</v>
      </c>
      <c r="S50" s="259">
        <f>S49*S32*S48/Assum!$E$289</f>
        <v>0</v>
      </c>
      <c r="T50" s="259">
        <f>T49*T32*T48/Assum!$E$289</f>
        <v>0</v>
      </c>
      <c r="U50" s="259">
        <f>U49*U32*U48/Assum!$E$289</f>
        <v>0</v>
      </c>
      <c r="V50" s="259">
        <f>V49*V32*V48/Assum!$E$289</f>
        <v>0</v>
      </c>
      <c r="W50" s="259">
        <f>W49*W32*W48/Assum!$E$289</f>
        <v>0</v>
      </c>
      <c r="X50" s="259">
        <f>X49*X32*X48/Assum!$E$289</f>
        <v>0</v>
      </c>
      <c r="Y50" s="259">
        <f>Y49*Y32*Y48/Assum!$E$289</f>
        <v>0</v>
      </c>
      <c r="Z50" s="259">
        <f>Z49*Z32*Z48/Assum!$E$289</f>
        <v>0</v>
      </c>
      <c r="AA50" s="259">
        <f>AA49*AA32*AA48/Assum!$E$289</f>
        <v>0</v>
      </c>
      <c r="AB50" s="259">
        <f>AB49*AB32*AB48/Assum!$E$289</f>
        <v>0</v>
      </c>
      <c r="AC50" s="259">
        <f>AC49*AC32*AC48/Assum!$E$289</f>
        <v>0</v>
      </c>
      <c r="AD50" s="259">
        <f>AD49*AD32*AD48/Assum!$E$289</f>
        <v>0</v>
      </c>
      <c r="AE50" s="259">
        <f>AE49*AE32*AE48/Assum!$E$289</f>
        <v>0</v>
      </c>
      <c r="AF50" s="259">
        <f>AF49*AF32*AF48/Assum!$E$289</f>
        <v>0</v>
      </c>
      <c r="AG50" s="259">
        <f>AG49*AG32*AG48/Assum!$E$289</f>
        <v>0</v>
      </c>
      <c r="AH50" s="259">
        <f>AH49*AH32*AH48/Assum!$E$289</f>
        <v>0</v>
      </c>
      <c r="AI50" s="259">
        <f>AI49*AI32*AI48/Assum!$E$289</f>
        <v>0</v>
      </c>
      <c r="AJ50" s="709"/>
      <c r="AK50" s="24"/>
      <c r="AL50" s="24"/>
      <c r="AM50" s="23"/>
      <c r="AN50" s="23"/>
      <c r="AO50" s="23"/>
      <c r="AP50" s="23"/>
    </row>
    <row r="51" spans="1:42">
      <c r="A51" s="26"/>
      <c r="B51" s="264" t="s">
        <v>362</v>
      </c>
      <c r="C51" s="1254"/>
      <c r="D51" s="259"/>
      <c r="E51" s="259">
        <f t="shared" ref="E51:AI51" si="18">IF(E35-SUM(E44:E45)-E50&lt;E49,E35-SUM(E44:E45)-E50,E49)</f>
        <v>0</v>
      </c>
      <c r="F51" s="259">
        <f t="shared" si="18"/>
        <v>0</v>
      </c>
      <c r="G51" s="259">
        <f t="shared" si="18"/>
        <v>0</v>
      </c>
      <c r="H51" s="259">
        <f t="shared" si="18"/>
        <v>0</v>
      </c>
      <c r="I51" s="259">
        <f t="shared" si="18"/>
        <v>0</v>
      </c>
      <c r="J51" s="259">
        <f t="shared" si="18"/>
        <v>0</v>
      </c>
      <c r="K51" s="259">
        <f t="shared" si="18"/>
        <v>0</v>
      </c>
      <c r="L51" s="259">
        <f t="shared" si="18"/>
        <v>0</v>
      </c>
      <c r="M51" s="259">
        <f t="shared" si="18"/>
        <v>0</v>
      </c>
      <c r="N51" s="259">
        <f t="shared" si="18"/>
        <v>0</v>
      </c>
      <c r="O51" s="259">
        <f t="shared" si="18"/>
        <v>0</v>
      </c>
      <c r="P51" s="259">
        <f t="shared" si="18"/>
        <v>0</v>
      </c>
      <c r="Q51" s="259">
        <f t="shared" si="18"/>
        <v>0</v>
      </c>
      <c r="R51" s="259">
        <f t="shared" si="18"/>
        <v>0</v>
      </c>
      <c r="S51" s="259">
        <f t="shared" si="18"/>
        <v>0</v>
      </c>
      <c r="T51" s="259">
        <f t="shared" si="18"/>
        <v>0</v>
      </c>
      <c r="U51" s="259">
        <f t="shared" si="18"/>
        <v>0</v>
      </c>
      <c r="V51" s="259">
        <f t="shared" si="18"/>
        <v>0</v>
      </c>
      <c r="W51" s="259">
        <f t="shared" si="18"/>
        <v>0</v>
      </c>
      <c r="X51" s="259">
        <f t="shared" si="18"/>
        <v>0</v>
      </c>
      <c r="Y51" s="259">
        <f t="shared" si="18"/>
        <v>0</v>
      </c>
      <c r="Z51" s="259">
        <f t="shared" si="18"/>
        <v>0</v>
      </c>
      <c r="AA51" s="259">
        <f t="shared" si="18"/>
        <v>0</v>
      </c>
      <c r="AB51" s="259">
        <f t="shared" si="18"/>
        <v>0</v>
      </c>
      <c r="AC51" s="259">
        <f t="shared" si="18"/>
        <v>0</v>
      </c>
      <c r="AD51" s="259">
        <f t="shared" si="18"/>
        <v>0</v>
      </c>
      <c r="AE51" s="259">
        <f t="shared" si="18"/>
        <v>0</v>
      </c>
      <c r="AF51" s="259">
        <f t="shared" si="18"/>
        <v>0</v>
      </c>
      <c r="AG51" s="259">
        <f t="shared" si="18"/>
        <v>0</v>
      </c>
      <c r="AH51" s="259">
        <f t="shared" si="18"/>
        <v>0</v>
      </c>
      <c r="AI51" s="259">
        <f t="shared" si="18"/>
        <v>0</v>
      </c>
      <c r="AJ51" s="709"/>
      <c r="AK51" s="24"/>
      <c r="AL51" s="24"/>
      <c r="AM51" s="23"/>
      <c r="AN51" s="23"/>
      <c r="AO51" s="23"/>
      <c r="AP51" s="23"/>
    </row>
    <row r="52" spans="1:42">
      <c r="A52" s="26"/>
      <c r="B52" s="262" t="s">
        <v>588</v>
      </c>
      <c r="C52" s="1259"/>
      <c r="D52" s="542"/>
      <c r="E52" s="542">
        <f t="shared" ref="E52:AI52" si="19">E49-E51</f>
        <v>0</v>
      </c>
      <c r="F52" s="542">
        <f t="shared" si="19"/>
        <v>0</v>
      </c>
      <c r="G52" s="542">
        <f t="shared" si="19"/>
        <v>0</v>
      </c>
      <c r="H52" s="542">
        <f t="shared" si="19"/>
        <v>0</v>
      </c>
      <c r="I52" s="542">
        <f t="shared" si="19"/>
        <v>0</v>
      </c>
      <c r="J52" s="542">
        <f t="shared" si="19"/>
        <v>0</v>
      </c>
      <c r="K52" s="542">
        <f t="shared" si="19"/>
        <v>0</v>
      </c>
      <c r="L52" s="542">
        <f t="shared" si="19"/>
        <v>0</v>
      </c>
      <c r="M52" s="542">
        <f t="shared" si="19"/>
        <v>0</v>
      </c>
      <c r="N52" s="542">
        <f t="shared" si="19"/>
        <v>0</v>
      </c>
      <c r="O52" s="542">
        <f t="shared" si="19"/>
        <v>0</v>
      </c>
      <c r="P52" s="542">
        <f t="shared" si="19"/>
        <v>0</v>
      </c>
      <c r="Q52" s="542">
        <f t="shared" si="19"/>
        <v>0</v>
      </c>
      <c r="R52" s="542">
        <f t="shared" si="19"/>
        <v>0</v>
      </c>
      <c r="S52" s="542">
        <f t="shared" si="19"/>
        <v>0</v>
      </c>
      <c r="T52" s="542">
        <f t="shared" si="19"/>
        <v>0</v>
      </c>
      <c r="U52" s="542">
        <f t="shared" si="19"/>
        <v>0</v>
      </c>
      <c r="V52" s="542">
        <f t="shared" si="19"/>
        <v>0</v>
      </c>
      <c r="W52" s="542">
        <f t="shared" si="19"/>
        <v>0</v>
      </c>
      <c r="X52" s="542">
        <f t="shared" si="19"/>
        <v>0</v>
      </c>
      <c r="Y52" s="542">
        <f t="shared" si="19"/>
        <v>0</v>
      </c>
      <c r="Z52" s="542">
        <f t="shared" si="19"/>
        <v>0</v>
      </c>
      <c r="AA52" s="542">
        <f t="shared" si="19"/>
        <v>0</v>
      </c>
      <c r="AB52" s="542">
        <f t="shared" si="19"/>
        <v>0</v>
      </c>
      <c r="AC52" s="542">
        <f t="shared" si="19"/>
        <v>0</v>
      </c>
      <c r="AD52" s="542">
        <f t="shared" si="19"/>
        <v>0</v>
      </c>
      <c r="AE52" s="542">
        <f t="shared" si="19"/>
        <v>0</v>
      </c>
      <c r="AF52" s="542">
        <f t="shared" si="19"/>
        <v>0</v>
      </c>
      <c r="AG52" s="542">
        <f t="shared" si="19"/>
        <v>0</v>
      </c>
      <c r="AH52" s="542">
        <f t="shared" si="19"/>
        <v>0</v>
      </c>
      <c r="AI52" s="715">
        <f t="shared" si="19"/>
        <v>0</v>
      </c>
      <c r="AJ52" s="267"/>
      <c r="AK52" s="27"/>
      <c r="AL52" s="27"/>
      <c r="AM52" s="27"/>
      <c r="AN52" s="27"/>
      <c r="AO52" s="27"/>
      <c r="AP52" s="27"/>
    </row>
    <row r="53" spans="1:42">
      <c r="A53" s="26"/>
      <c r="B53" s="1042" t="s">
        <v>64</v>
      </c>
      <c r="C53" s="1269"/>
      <c r="D53" s="1049"/>
      <c r="E53" s="1043">
        <f>Assum!E291</f>
        <v>36160</v>
      </c>
      <c r="F53" s="1043">
        <f t="shared" ref="F53:AJ53" si="20">EDATE(E53,12)</f>
        <v>36525</v>
      </c>
      <c r="G53" s="1043">
        <f t="shared" si="20"/>
        <v>36891</v>
      </c>
      <c r="H53" s="1043">
        <f t="shared" si="20"/>
        <v>37256</v>
      </c>
      <c r="I53" s="1043">
        <f t="shared" si="20"/>
        <v>37621</v>
      </c>
      <c r="J53" s="1043">
        <f t="shared" si="20"/>
        <v>37986</v>
      </c>
      <c r="K53" s="1043">
        <f t="shared" si="20"/>
        <v>38352</v>
      </c>
      <c r="L53" s="1043">
        <f t="shared" si="20"/>
        <v>38717</v>
      </c>
      <c r="M53" s="1043">
        <f t="shared" si="20"/>
        <v>39082</v>
      </c>
      <c r="N53" s="1043">
        <f t="shared" si="20"/>
        <v>39447</v>
      </c>
      <c r="O53" s="1043">
        <f t="shared" si="20"/>
        <v>39813</v>
      </c>
      <c r="P53" s="1043">
        <f t="shared" si="20"/>
        <v>40178</v>
      </c>
      <c r="Q53" s="1043">
        <f t="shared" si="20"/>
        <v>40543</v>
      </c>
      <c r="R53" s="1043">
        <f t="shared" si="20"/>
        <v>40908</v>
      </c>
      <c r="S53" s="1043">
        <f t="shared" si="20"/>
        <v>41274</v>
      </c>
      <c r="T53" s="1043">
        <f t="shared" si="20"/>
        <v>41639</v>
      </c>
      <c r="U53" s="1043">
        <f t="shared" si="20"/>
        <v>42004</v>
      </c>
      <c r="V53" s="1043">
        <f t="shared" si="20"/>
        <v>42369</v>
      </c>
      <c r="W53" s="1043">
        <f t="shared" si="20"/>
        <v>42735</v>
      </c>
      <c r="X53" s="1043">
        <f t="shared" si="20"/>
        <v>43100</v>
      </c>
      <c r="Y53" s="1043">
        <f t="shared" si="20"/>
        <v>43465</v>
      </c>
      <c r="Z53" s="1043">
        <f t="shared" si="20"/>
        <v>43830</v>
      </c>
      <c r="AA53" s="1043">
        <f t="shared" si="20"/>
        <v>44196</v>
      </c>
      <c r="AB53" s="1043">
        <f t="shared" si="20"/>
        <v>44561</v>
      </c>
      <c r="AC53" s="1043">
        <f t="shared" si="20"/>
        <v>44926</v>
      </c>
      <c r="AD53" s="1043">
        <f t="shared" si="20"/>
        <v>45291</v>
      </c>
      <c r="AE53" s="1043">
        <f t="shared" si="20"/>
        <v>45657</v>
      </c>
      <c r="AF53" s="1043">
        <f t="shared" si="20"/>
        <v>46022</v>
      </c>
      <c r="AG53" s="1043">
        <f t="shared" si="20"/>
        <v>46387</v>
      </c>
      <c r="AH53" s="1043">
        <f t="shared" si="20"/>
        <v>46752</v>
      </c>
      <c r="AI53" s="1043">
        <f t="shared" si="20"/>
        <v>47118</v>
      </c>
      <c r="AJ53" s="1043">
        <f t="shared" si="20"/>
        <v>47483</v>
      </c>
      <c r="AK53" s="24"/>
      <c r="AL53" s="24"/>
      <c r="AM53" s="23"/>
      <c r="AN53" s="23"/>
      <c r="AO53" s="23"/>
      <c r="AP53" s="23"/>
    </row>
    <row r="54" spans="1:42" s="65" customFormat="1" ht="13.5" thickBot="1">
      <c r="A54" s="165"/>
      <c r="B54" s="971"/>
      <c r="C54" s="1274"/>
      <c r="D54" s="1275"/>
      <c r="E54" s="1235"/>
      <c r="F54" s="1235"/>
      <c r="G54" s="1235"/>
      <c r="H54" s="1235"/>
      <c r="I54" s="1235"/>
      <c r="J54" s="1235"/>
      <c r="K54" s="1235"/>
      <c r="L54" s="1235"/>
      <c r="M54" s="1235"/>
      <c r="N54" s="1235"/>
      <c r="O54" s="1235"/>
      <c r="P54" s="1235"/>
      <c r="Q54" s="1235"/>
      <c r="R54" s="1235"/>
      <c r="S54" s="1235"/>
      <c r="T54" s="1235"/>
      <c r="U54" s="1235"/>
      <c r="V54" s="1235"/>
      <c r="W54" s="1235"/>
      <c r="X54" s="1235"/>
      <c r="Y54" s="1235"/>
      <c r="Z54" s="1235"/>
      <c r="AA54" s="1235"/>
      <c r="AB54" s="1235"/>
      <c r="AC54" s="1235"/>
      <c r="AD54" s="1235"/>
      <c r="AE54" s="1235"/>
      <c r="AF54" s="1235"/>
      <c r="AG54" s="1235"/>
      <c r="AH54" s="1235"/>
      <c r="AI54" s="1235"/>
      <c r="AJ54" s="1235"/>
      <c r="AK54" s="166"/>
      <c r="AL54" s="166"/>
      <c r="AM54" s="167"/>
      <c r="AN54" s="167"/>
      <c r="AO54" s="167"/>
      <c r="AP54" s="167"/>
    </row>
    <row r="55" spans="1:42" ht="13.5" thickBot="1">
      <c r="A55" s="26"/>
      <c r="B55" s="1237" t="s">
        <v>61</v>
      </c>
      <c r="C55" s="1287"/>
      <c r="D55" s="1288"/>
      <c r="E55" s="1238"/>
      <c r="F55" s="1238"/>
      <c r="G55" s="1238"/>
      <c r="H55" s="1238"/>
      <c r="I55" s="1238"/>
      <c r="J55" s="1238"/>
      <c r="K55" s="1238"/>
      <c r="L55" s="1238"/>
      <c r="M55" s="1238"/>
      <c r="N55" s="1238"/>
      <c r="O55" s="1238"/>
      <c r="P55" s="1238"/>
      <c r="Q55" s="1238"/>
      <c r="R55" s="1238"/>
      <c r="S55" s="1238"/>
      <c r="T55" s="1238"/>
      <c r="U55" s="1238"/>
      <c r="V55" s="1238"/>
      <c r="W55" s="1238"/>
      <c r="X55" s="1238"/>
      <c r="Y55" s="1238"/>
      <c r="Z55" s="1238"/>
      <c r="AA55" s="1238"/>
      <c r="AB55" s="1238"/>
      <c r="AC55" s="1238"/>
      <c r="AD55" s="1238"/>
      <c r="AE55" s="1238"/>
      <c r="AF55" s="1238"/>
      <c r="AG55" s="1238"/>
      <c r="AH55" s="1238"/>
      <c r="AI55" s="1238"/>
      <c r="AJ55" s="1239"/>
      <c r="AK55" s="24"/>
      <c r="AL55" s="24"/>
      <c r="AM55" s="23"/>
      <c r="AN55" s="23"/>
      <c r="AO55" s="23"/>
      <c r="AP55" s="23"/>
    </row>
    <row r="56" spans="1:42">
      <c r="A56" s="26"/>
      <c r="B56" s="269" t="s">
        <v>364</v>
      </c>
      <c r="C56" s="259">
        <f>SUM(E56:AI56)</f>
        <v>0</v>
      </c>
      <c r="D56" s="259"/>
      <c r="E56" s="259">
        <f t="shared" ref="E56:AI56" si="21">E44+E50</f>
        <v>0</v>
      </c>
      <c r="F56" s="259">
        <f t="shared" si="21"/>
        <v>0</v>
      </c>
      <c r="G56" s="259">
        <f t="shared" si="21"/>
        <v>0</v>
      </c>
      <c r="H56" s="259">
        <f t="shared" si="21"/>
        <v>0</v>
      </c>
      <c r="I56" s="259">
        <f t="shared" si="21"/>
        <v>0</v>
      </c>
      <c r="J56" s="259">
        <f t="shared" si="21"/>
        <v>0</v>
      </c>
      <c r="K56" s="259">
        <f t="shared" si="21"/>
        <v>0</v>
      </c>
      <c r="L56" s="259">
        <f t="shared" si="21"/>
        <v>0</v>
      </c>
      <c r="M56" s="259">
        <f t="shared" si="21"/>
        <v>0</v>
      </c>
      <c r="N56" s="259">
        <f t="shared" si="21"/>
        <v>0</v>
      </c>
      <c r="O56" s="259">
        <f t="shared" si="21"/>
        <v>0</v>
      </c>
      <c r="P56" s="259">
        <f t="shared" si="21"/>
        <v>0</v>
      </c>
      <c r="Q56" s="259">
        <f t="shared" si="21"/>
        <v>0</v>
      </c>
      <c r="R56" s="259">
        <f t="shared" si="21"/>
        <v>0</v>
      </c>
      <c r="S56" s="259">
        <f t="shared" si="21"/>
        <v>0</v>
      </c>
      <c r="T56" s="259">
        <f t="shared" si="21"/>
        <v>0</v>
      </c>
      <c r="U56" s="259">
        <f t="shared" si="21"/>
        <v>0</v>
      </c>
      <c r="V56" s="259">
        <f t="shared" si="21"/>
        <v>0</v>
      </c>
      <c r="W56" s="259">
        <f t="shared" si="21"/>
        <v>0</v>
      </c>
      <c r="X56" s="259">
        <f t="shared" si="21"/>
        <v>0</v>
      </c>
      <c r="Y56" s="259">
        <f t="shared" si="21"/>
        <v>0</v>
      </c>
      <c r="Z56" s="259">
        <f t="shared" si="21"/>
        <v>0</v>
      </c>
      <c r="AA56" s="259">
        <f t="shared" si="21"/>
        <v>0</v>
      </c>
      <c r="AB56" s="259">
        <f t="shared" si="21"/>
        <v>0</v>
      </c>
      <c r="AC56" s="259">
        <f t="shared" si="21"/>
        <v>0</v>
      </c>
      <c r="AD56" s="259">
        <f t="shared" si="21"/>
        <v>0</v>
      </c>
      <c r="AE56" s="259">
        <f t="shared" si="21"/>
        <v>0</v>
      </c>
      <c r="AF56" s="259">
        <f t="shared" si="21"/>
        <v>0</v>
      </c>
      <c r="AG56" s="259">
        <f t="shared" si="21"/>
        <v>0</v>
      </c>
      <c r="AH56" s="259">
        <f t="shared" si="21"/>
        <v>0</v>
      </c>
      <c r="AI56" s="509">
        <f t="shared" si="21"/>
        <v>0</v>
      </c>
      <c r="AJ56" s="709"/>
      <c r="AK56" s="24"/>
      <c r="AL56" s="24"/>
      <c r="AM56" s="23"/>
      <c r="AN56" s="23"/>
      <c r="AO56" s="23"/>
      <c r="AP56" s="23"/>
    </row>
    <row r="57" spans="1:42">
      <c r="A57" s="26"/>
      <c r="B57" s="238" t="s">
        <v>365</v>
      </c>
      <c r="C57" s="259">
        <f>SUM(E57:AI57)</f>
        <v>0</v>
      </c>
      <c r="D57" s="259"/>
      <c r="E57" s="259">
        <f t="shared" ref="E57:AI57" si="22">E45+E51</f>
        <v>0</v>
      </c>
      <c r="F57" s="259">
        <f t="shared" si="22"/>
        <v>0</v>
      </c>
      <c r="G57" s="259">
        <f t="shared" si="22"/>
        <v>0</v>
      </c>
      <c r="H57" s="259">
        <f t="shared" si="22"/>
        <v>0</v>
      </c>
      <c r="I57" s="259">
        <f t="shared" si="22"/>
        <v>0</v>
      </c>
      <c r="J57" s="259">
        <f t="shared" si="22"/>
        <v>0</v>
      </c>
      <c r="K57" s="259">
        <f t="shared" si="22"/>
        <v>0</v>
      </c>
      <c r="L57" s="259">
        <f t="shared" si="22"/>
        <v>0</v>
      </c>
      <c r="M57" s="259">
        <f t="shared" si="22"/>
        <v>0</v>
      </c>
      <c r="N57" s="259">
        <f t="shared" si="22"/>
        <v>0</v>
      </c>
      <c r="O57" s="259">
        <f t="shared" si="22"/>
        <v>0</v>
      </c>
      <c r="P57" s="259">
        <f t="shared" si="22"/>
        <v>0</v>
      </c>
      <c r="Q57" s="259">
        <f t="shared" si="22"/>
        <v>0</v>
      </c>
      <c r="R57" s="259">
        <f t="shared" si="22"/>
        <v>0</v>
      </c>
      <c r="S57" s="259">
        <f t="shared" si="22"/>
        <v>0</v>
      </c>
      <c r="T57" s="259">
        <f t="shared" si="22"/>
        <v>0</v>
      </c>
      <c r="U57" s="259">
        <f t="shared" si="22"/>
        <v>0</v>
      </c>
      <c r="V57" s="259">
        <f t="shared" si="22"/>
        <v>0</v>
      </c>
      <c r="W57" s="259">
        <f t="shared" si="22"/>
        <v>0</v>
      </c>
      <c r="X57" s="259">
        <f t="shared" si="22"/>
        <v>0</v>
      </c>
      <c r="Y57" s="259">
        <f t="shared" si="22"/>
        <v>0</v>
      </c>
      <c r="Z57" s="259">
        <f t="shared" si="22"/>
        <v>0</v>
      </c>
      <c r="AA57" s="259">
        <f t="shared" si="22"/>
        <v>0</v>
      </c>
      <c r="AB57" s="259">
        <f t="shared" si="22"/>
        <v>0</v>
      </c>
      <c r="AC57" s="259">
        <f t="shared" si="22"/>
        <v>0</v>
      </c>
      <c r="AD57" s="259">
        <f t="shared" si="22"/>
        <v>0</v>
      </c>
      <c r="AE57" s="259">
        <f t="shared" si="22"/>
        <v>0</v>
      </c>
      <c r="AF57" s="259">
        <f t="shared" si="22"/>
        <v>0</v>
      </c>
      <c r="AG57" s="259">
        <f t="shared" si="22"/>
        <v>0</v>
      </c>
      <c r="AH57" s="259">
        <f t="shared" si="22"/>
        <v>0</v>
      </c>
      <c r="AI57" s="509">
        <f t="shared" si="22"/>
        <v>0</v>
      </c>
      <c r="AJ57" s="709"/>
      <c r="AK57" s="24"/>
      <c r="AL57" s="24"/>
      <c r="AM57" s="23"/>
      <c r="AN57" s="23"/>
      <c r="AO57" s="23"/>
      <c r="AP57" s="23"/>
    </row>
    <row r="58" spans="1:42" ht="13.5" thickBot="1">
      <c r="A58" s="26"/>
      <c r="B58" s="265" t="s">
        <v>366</v>
      </c>
      <c r="C58" s="1270"/>
      <c r="D58" s="1051"/>
      <c r="E58" s="1052">
        <f t="shared" ref="E58:AI58" si="23">E57+E56</f>
        <v>0</v>
      </c>
      <c r="F58" s="1052">
        <f t="shared" si="23"/>
        <v>0</v>
      </c>
      <c r="G58" s="1052">
        <f t="shared" si="23"/>
        <v>0</v>
      </c>
      <c r="H58" s="1052">
        <f t="shared" si="23"/>
        <v>0</v>
      </c>
      <c r="I58" s="1052">
        <f t="shared" si="23"/>
        <v>0</v>
      </c>
      <c r="J58" s="1052">
        <f t="shared" si="23"/>
        <v>0</v>
      </c>
      <c r="K58" s="1052">
        <f t="shared" si="23"/>
        <v>0</v>
      </c>
      <c r="L58" s="1052">
        <f t="shared" si="23"/>
        <v>0</v>
      </c>
      <c r="M58" s="1052">
        <f t="shared" si="23"/>
        <v>0</v>
      </c>
      <c r="N58" s="1052">
        <f t="shared" si="23"/>
        <v>0</v>
      </c>
      <c r="O58" s="1052">
        <f t="shared" si="23"/>
        <v>0</v>
      </c>
      <c r="P58" s="1052">
        <f t="shared" si="23"/>
        <v>0</v>
      </c>
      <c r="Q58" s="1052">
        <f t="shared" si="23"/>
        <v>0</v>
      </c>
      <c r="R58" s="1052">
        <f t="shared" si="23"/>
        <v>0</v>
      </c>
      <c r="S58" s="1052">
        <f t="shared" si="23"/>
        <v>0</v>
      </c>
      <c r="T58" s="1052">
        <f t="shared" si="23"/>
        <v>0</v>
      </c>
      <c r="U58" s="1052">
        <f t="shared" si="23"/>
        <v>0</v>
      </c>
      <c r="V58" s="1052">
        <f t="shared" si="23"/>
        <v>0</v>
      </c>
      <c r="W58" s="1052">
        <f t="shared" si="23"/>
        <v>0</v>
      </c>
      <c r="X58" s="1052">
        <f t="shared" si="23"/>
        <v>0</v>
      </c>
      <c r="Y58" s="1052">
        <f t="shared" si="23"/>
        <v>0</v>
      </c>
      <c r="Z58" s="1052">
        <f t="shared" si="23"/>
        <v>0</v>
      </c>
      <c r="AA58" s="1052">
        <f t="shared" si="23"/>
        <v>0</v>
      </c>
      <c r="AB58" s="1052">
        <f t="shared" si="23"/>
        <v>0</v>
      </c>
      <c r="AC58" s="1052">
        <f t="shared" si="23"/>
        <v>0</v>
      </c>
      <c r="AD58" s="1052">
        <f t="shared" si="23"/>
        <v>0</v>
      </c>
      <c r="AE58" s="1052">
        <f t="shared" si="23"/>
        <v>0</v>
      </c>
      <c r="AF58" s="1052">
        <f t="shared" si="23"/>
        <v>0</v>
      </c>
      <c r="AG58" s="1052">
        <f t="shared" si="23"/>
        <v>0</v>
      </c>
      <c r="AH58" s="1052">
        <f t="shared" si="23"/>
        <v>0</v>
      </c>
      <c r="AI58" s="1053">
        <f t="shared" si="23"/>
        <v>0</v>
      </c>
      <c r="AJ58" s="284"/>
      <c r="AK58" s="27"/>
      <c r="AL58" s="27"/>
      <c r="AM58" s="27"/>
      <c r="AN58" s="27"/>
      <c r="AO58" s="27"/>
      <c r="AP58" s="27"/>
    </row>
    <row r="59" spans="1:42">
      <c r="A59" s="26"/>
      <c r="B59" s="30"/>
      <c r="C59" s="1271"/>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24"/>
      <c r="AK59" s="24"/>
      <c r="AL59" s="24"/>
      <c r="AM59" s="23"/>
      <c r="AN59" s="23"/>
      <c r="AO59" s="23"/>
      <c r="AP59" s="23"/>
    </row>
    <row r="60" spans="1:42">
      <c r="A60" s="26"/>
      <c r="B60" s="32" t="s">
        <v>367</v>
      </c>
      <c r="C60" s="1272"/>
      <c r="D60" s="32"/>
      <c r="E60" s="32">
        <f t="shared" ref="E60:AI60" si="24">IF(E43&gt;0.1,1,0)</f>
        <v>0</v>
      </c>
      <c r="F60" s="32">
        <f t="shared" si="24"/>
        <v>0</v>
      </c>
      <c r="G60" s="32">
        <f t="shared" si="24"/>
        <v>0</v>
      </c>
      <c r="H60" s="32">
        <f t="shared" si="24"/>
        <v>0</v>
      </c>
      <c r="I60" s="32">
        <f t="shared" si="24"/>
        <v>0</v>
      </c>
      <c r="J60" s="32">
        <f t="shared" si="24"/>
        <v>0</v>
      </c>
      <c r="K60" s="32">
        <f t="shared" si="24"/>
        <v>0</v>
      </c>
      <c r="L60" s="32">
        <f t="shared" si="24"/>
        <v>0</v>
      </c>
      <c r="M60" s="32">
        <f t="shared" si="24"/>
        <v>0</v>
      </c>
      <c r="N60" s="32">
        <f t="shared" si="24"/>
        <v>0</v>
      </c>
      <c r="O60" s="32">
        <f t="shared" si="24"/>
        <v>0</v>
      </c>
      <c r="P60" s="32">
        <f t="shared" si="24"/>
        <v>0</v>
      </c>
      <c r="Q60" s="32">
        <f t="shared" si="24"/>
        <v>0</v>
      </c>
      <c r="R60" s="32">
        <f t="shared" si="24"/>
        <v>0</v>
      </c>
      <c r="S60" s="32">
        <f t="shared" si="24"/>
        <v>0</v>
      </c>
      <c r="T60" s="32">
        <f t="shared" si="24"/>
        <v>0</v>
      </c>
      <c r="U60" s="32">
        <f t="shared" si="24"/>
        <v>0</v>
      </c>
      <c r="V60" s="32">
        <f t="shared" si="24"/>
        <v>0</v>
      </c>
      <c r="W60" s="32">
        <f t="shared" si="24"/>
        <v>0</v>
      </c>
      <c r="X60" s="32">
        <f t="shared" si="24"/>
        <v>0</v>
      </c>
      <c r="Y60" s="32">
        <f t="shared" si="24"/>
        <v>0</v>
      </c>
      <c r="Z60" s="32">
        <f t="shared" si="24"/>
        <v>0</v>
      </c>
      <c r="AA60" s="32">
        <f t="shared" si="24"/>
        <v>0</v>
      </c>
      <c r="AB60" s="32">
        <f t="shared" si="24"/>
        <v>0</v>
      </c>
      <c r="AC60" s="32">
        <f t="shared" si="24"/>
        <v>0</v>
      </c>
      <c r="AD60" s="32">
        <f t="shared" si="24"/>
        <v>0</v>
      </c>
      <c r="AE60" s="32">
        <f t="shared" si="24"/>
        <v>0</v>
      </c>
      <c r="AF60" s="32">
        <f t="shared" si="24"/>
        <v>0</v>
      </c>
      <c r="AG60" s="32">
        <f t="shared" si="24"/>
        <v>0</v>
      </c>
      <c r="AH60" s="32">
        <f t="shared" si="24"/>
        <v>0</v>
      </c>
      <c r="AI60" s="32">
        <f t="shared" si="24"/>
        <v>0</v>
      </c>
      <c r="AJ60" s="32"/>
      <c r="AK60" s="32"/>
      <c r="AL60" s="32"/>
      <c r="AM60" s="32"/>
      <c r="AN60" s="32"/>
      <c r="AO60" s="32"/>
      <c r="AP60" s="32"/>
    </row>
    <row r="61" spans="1:42">
      <c r="A61" s="26"/>
      <c r="B61" s="32" t="s">
        <v>368</v>
      </c>
      <c r="C61" s="1272"/>
      <c r="D61" s="32"/>
      <c r="E61" s="32">
        <f t="shared" ref="E61:AI61" si="25">IF(E49&gt;0.1,1,0)</f>
        <v>0</v>
      </c>
      <c r="F61" s="32">
        <f t="shared" si="25"/>
        <v>0</v>
      </c>
      <c r="G61" s="32">
        <f t="shared" si="25"/>
        <v>0</v>
      </c>
      <c r="H61" s="32">
        <f t="shared" si="25"/>
        <v>0</v>
      </c>
      <c r="I61" s="32">
        <f t="shared" si="25"/>
        <v>0</v>
      </c>
      <c r="J61" s="32">
        <f t="shared" si="25"/>
        <v>0</v>
      </c>
      <c r="K61" s="32">
        <f t="shared" si="25"/>
        <v>0</v>
      </c>
      <c r="L61" s="32">
        <f t="shared" si="25"/>
        <v>0</v>
      </c>
      <c r="M61" s="32">
        <f t="shared" si="25"/>
        <v>0</v>
      </c>
      <c r="N61" s="32">
        <f t="shared" si="25"/>
        <v>0</v>
      </c>
      <c r="O61" s="32">
        <f t="shared" si="25"/>
        <v>0</v>
      </c>
      <c r="P61" s="32">
        <f t="shared" si="25"/>
        <v>0</v>
      </c>
      <c r="Q61" s="32">
        <f t="shared" si="25"/>
        <v>0</v>
      </c>
      <c r="R61" s="32">
        <f t="shared" si="25"/>
        <v>0</v>
      </c>
      <c r="S61" s="32">
        <f t="shared" si="25"/>
        <v>0</v>
      </c>
      <c r="T61" s="32">
        <f t="shared" si="25"/>
        <v>0</v>
      </c>
      <c r="U61" s="32">
        <f t="shared" si="25"/>
        <v>0</v>
      </c>
      <c r="V61" s="32">
        <f t="shared" si="25"/>
        <v>0</v>
      </c>
      <c r="W61" s="32">
        <f t="shared" si="25"/>
        <v>0</v>
      </c>
      <c r="X61" s="32">
        <f t="shared" si="25"/>
        <v>0</v>
      </c>
      <c r="Y61" s="32">
        <f t="shared" si="25"/>
        <v>0</v>
      </c>
      <c r="Z61" s="32">
        <f t="shared" si="25"/>
        <v>0</v>
      </c>
      <c r="AA61" s="32">
        <f t="shared" si="25"/>
        <v>0</v>
      </c>
      <c r="AB61" s="32">
        <f t="shared" si="25"/>
        <v>0</v>
      </c>
      <c r="AC61" s="32">
        <f t="shared" si="25"/>
        <v>0</v>
      </c>
      <c r="AD61" s="32">
        <f t="shared" si="25"/>
        <v>0</v>
      </c>
      <c r="AE61" s="32">
        <f t="shared" si="25"/>
        <v>0</v>
      </c>
      <c r="AF61" s="32">
        <f t="shared" si="25"/>
        <v>0</v>
      </c>
      <c r="AG61" s="32">
        <f t="shared" si="25"/>
        <v>0</v>
      </c>
      <c r="AH61" s="32">
        <f t="shared" si="25"/>
        <v>0</v>
      </c>
      <c r="AI61" s="32">
        <f t="shared" si="25"/>
        <v>0</v>
      </c>
      <c r="AJ61" s="32"/>
      <c r="AK61" s="32"/>
      <c r="AL61" s="32"/>
      <c r="AM61" s="32"/>
      <c r="AN61" s="32"/>
      <c r="AO61" s="32"/>
      <c r="AP61" s="32"/>
    </row>
    <row r="62" spans="1:42">
      <c r="A62" s="26"/>
      <c r="B62" s="32" t="s">
        <v>369</v>
      </c>
      <c r="C62" s="1272"/>
      <c r="D62" s="32"/>
      <c r="E62" s="32" t="e">
        <f>SUM(E49:AI49)/E49</f>
        <v>#DIV/0!</v>
      </c>
      <c r="F62" s="24"/>
      <c r="G62" s="34"/>
      <c r="H62" s="32"/>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3"/>
      <c r="AN62" s="23"/>
      <c r="AO62" s="23"/>
      <c r="AP62" s="23"/>
    </row>
    <row r="63" spans="1:42">
      <c r="A63" s="26"/>
      <c r="B63" s="32"/>
      <c r="C63" s="1272"/>
      <c r="D63" s="32"/>
      <c r="E63" s="32"/>
      <c r="F63" s="24"/>
      <c r="G63" s="34"/>
      <c r="H63" s="32"/>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3"/>
      <c r="AN63" s="23"/>
      <c r="AO63" s="23"/>
      <c r="AP63" s="23"/>
    </row>
    <row r="64" spans="1:42">
      <c r="A64" s="26"/>
      <c r="B64" s="32" t="s">
        <v>60</v>
      </c>
      <c r="C64" s="32"/>
      <c r="D64" s="1232">
        <f>1-E64</f>
        <v>1</v>
      </c>
      <c r="E64" s="1232">
        <f>IF(E42=0,0,IF(YEAR(E47)=YEAR(E67),1,ROUND(((E67-E41)/E42),2)))</f>
        <v>0</v>
      </c>
      <c r="F64" s="24"/>
      <c r="G64" s="34"/>
      <c r="H64" s="32"/>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3"/>
      <c r="AN64" s="23"/>
      <c r="AO64" s="23"/>
      <c r="AP64" s="23"/>
    </row>
    <row r="65" spans="1:42">
      <c r="A65" s="26"/>
      <c r="B65" s="32"/>
      <c r="C65" s="32"/>
      <c r="D65" s="1232">
        <f>1-E65</f>
        <v>2.739726027397249E-3</v>
      </c>
      <c r="E65" s="1232">
        <f>IF(Assum!$E$294=1,(1-(ABS(E67-E53)/E48)),IF(YEAR(E53)=YEAR(E67),1,IF(F67-F47&lt;0,0,ROUND(((E67-E47)/E48),2))))</f>
        <v>0.99726027397260275</v>
      </c>
      <c r="F65" s="1232"/>
      <c r="G65" s="34"/>
      <c r="H65" s="32"/>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3"/>
      <c r="AN65" s="23"/>
      <c r="AO65" s="23"/>
      <c r="AP65" s="23"/>
    </row>
    <row r="66" spans="1:42" ht="13.5" thickBot="1">
      <c r="A66" s="26"/>
      <c r="B66" s="32"/>
      <c r="C66" s="1272"/>
      <c r="D66" s="1232"/>
      <c r="E66" s="1232"/>
      <c r="F66" s="1232"/>
      <c r="G66" s="34"/>
      <c r="H66" s="32"/>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3"/>
      <c r="AN66" s="23"/>
      <c r="AO66" s="23"/>
      <c r="AP66" s="23"/>
    </row>
    <row r="67" spans="1:42" ht="13.5" thickBot="1">
      <c r="B67" s="447" t="s">
        <v>699</v>
      </c>
      <c r="C67" s="1273"/>
      <c r="D67" s="286"/>
      <c r="E67" s="1276">
        <f>Assum!F25</f>
        <v>36159</v>
      </c>
      <c r="F67" s="1276">
        <f t="shared" ref="F67:AJ67" si="26">EDATE(E67,12)</f>
        <v>36524</v>
      </c>
      <c r="G67" s="1276">
        <f t="shared" si="26"/>
        <v>36890</v>
      </c>
      <c r="H67" s="1276">
        <f t="shared" si="26"/>
        <v>37255</v>
      </c>
      <c r="I67" s="1276">
        <f t="shared" si="26"/>
        <v>37620</v>
      </c>
      <c r="J67" s="1276">
        <f t="shared" si="26"/>
        <v>37985</v>
      </c>
      <c r="K67" s="1276">
        <f t="shared" si="26"/>
        <v>38351</v>
      </c>
      <c r="L67" s="1276">
        <f t="shared" si="26"/>
        <v>38716</v>
      </c>
      <c r="M67" s="1276">
        <f t="shared" si="26"/>
        <v>39081</v>
      </c>
      <c r="N67" s="1276">
        <f t="shared" si="26"/>
        <v>39446</v>
      </c>
      <c r="O67" s="1276">
        <f t="shared" si="26"/>
        <v>39812</v>
      </c>
      <c r="P67" s="1276">
        <f t="shared" si="26"/>
        <v>40177</v>
      </c>
      <c r="Q67" s="1276">
        <f t="shared" si="26"/>
        <v>40542</v>
      </c>
      <c r="R67" s="1276">
        <f t="shared" si="26"/>
        <v>40907</v>
      </c>
      <c r="S67" s="1276">
        <f t="shared" si="26"/>
        <v>41273</v>
      </c>
      <c r="T67" s="1276">
        <f t="shared" si="26"/>
        <v>41638</v>
      </c>
      <c r="U67" s="1276">
        <f t="shared" si="26"/>
        <v>42003</v>
      </c>
      <c r="V67" s="1276">
        <f t="shared" si="26"/>
        <v>42368</v>
      </c>
      <c r="W67" s="1276">
        <f t="shared" si="26"/>
        <v>42734</v>
      </c>
      <c r="X67" s="1276">
        <f t="shared" si="26"/>
        <v>43099</v>
      </c>
      <c r="Y67" s="1276">
        <f t="shared" si="26"/>
        <v>43464</v>
      </c>
      <c r="Z67" s="1276">
        <f t="shared" si="26"/>
        <v>43829</v>
      </c>
      <c r="AA67" s="1276">
        <f t="shared" si="26"/>
        <v>44195</v>
      </c>
      <c r="AB67" s="1276">
        <f t="shared" si="26"/>
        <v>44560</v>
      </c>
      <c r="AC67" s="1276">
        <f t="shared" si="26"/>
        <v>44925</v>
      </c>
      <c r="AD67" s="1276">
        <f t="shared" si="26"/>
        <v>45290</v>
      </c>
      <c r="AE67" s="1276">
        <f t="shared" si="26"/>
        <v>45656</v>
      </c>
      <c r="AF67" s="1276">
        <f t="shared" si="26"/>
        <v>46021</v>
      </c>
      <c r="AG67" s="1276">
        <f t="shared" si="26"/>
        <v>46386</v>
      </c>
      <c r="AH67" s="1276">
        <f t="shared" si="26"/>
        <v>46751</v>
      </c>
      <c r="AI67" s="1276">
        <f t="shared" si="26"/>
        <v>47117</v>
      </c>
      <c r="AJ67" s="1326">
        <f t="shared" si="26"/>
        <v>47482</v>
      </c>
    </row>
    <row r="68" spans="1:42">
      <c r="B68" s="1277" t="s">
        <v>7</v>
      </c>
      <c r="C68" s="1278"/>
      <c r="D68" s="1278">
        <f>D43</f>
        <v>0</v>
      </c>
      <c r="E68" s="1278">
        <f>C57</f>
        <v>0</v>
      </c>
      <c r="F68" s="1278">
        <f>E71</f>
        <v>0</v>
      </c>
      <c r="G68" s="1278">
        <f t="shared" ref="G68:AI68" si="27">F71</f>
        <v>0</v>
      </c>
      <c r="H68" s="1278">
        <f>G71</f>
        <v>0</v>
      </c>
      <c r="I68" s="1278">
        <f>H71</f>
        <v>0</v>
      </c>
      <c r="J68" s="1278">
        <f t="shared" si="27"/>
        <v>0</v>
      </c>
      <c r="K68" s="1278">
        <f t="shared" si="27"/>
        <v>0</v>
      </c>
      <c r="L68" s="1278">
        <f t="shared" si="27"/>
        <v>0</v>
      </c>
      <c r="M68" s="1278">
        <f t="shared" si="27"/>
        <v>0</v>
      </c>
      <c r="N68" s="1278">
        <f t="shared" si="27"/>
        <v>0</v>
      </c>
      <c r="O68" s="1278">
        <f t="shared" si="27"/>
        <v>0</v>
      </c>
      <c r="P68" s="1278">
        <f t="shared" si="27"/>
        <v>0</v>
      </c>
      <c r="Q68" s="1278">
        <f t="shared" si="27"/>
        <v>0</v>
      </c>
      <c r="R68" s="1278">
        <f t="shared" si="27"/>
        <v>0</v>
      </c>
      <c r="S68" s="1278">
        <f t="shared" si="27"/>
        <v>0</v>
      </c>
      <c r="T68" s="1278">
        <f t="shared" si="27"/>
        <v>0</v>
      </c>
      <c r="U68" s="1278">
        <f t="shared" si="27"/>
        <v>0</v>
      </c>
      <c r="V68" s="1278">
        <f t="shared" si="27"/>
        <v>0</v>
      </c>
      <c r="W68" s="1278">
        <f t="shared" si="27"/>
        <v>0</v>
      </c>
      <c r="X68" s="1278">
        <f t="shared" si="27"/>
        <v>0</v>
      </c>
      <c r="Y68" s="1278">
        <f t="shared" si="27"/>
        <v>0</v>
      </c>
      <c r="Z68" s="1278">
        <f t="shared" si="27"/>
        <v>0</v>
      </c>
      <c r="AA68" s="1278">
        <f t="shared" si="27"/>
        <v>0</v>
      </c>
      <c r="AB68" s="1278">
        <f t="shared" si="27"/>
        <v>0</v>
      </c>
      <c r="AC68" s="1278">
        <f t="shared" si="27"/>
        <v>0</v>
      </c>
      <c r="AD68" s="1278">
        <f t="shared" si="27"/>
        <v>0</v>
      </c>
      <c r="AE68" s="1278">
        <f t="shared" si="27"/>
        <v>0</v>
      </c>
      <c r="AF68" s="1278">
        <f t="shared" si="27"/>
        <v>0</v>
      </c>
      <c r="AG68" s="1278">
        <f t="shared" si="27"/>
        <v>0</v>
      </c>
      <c r="AH68" s="1278">
        <f t="shared" si="27"/>
        <v>0</v>
      </c>
      <c r="AI68" s="1278">
        <f t="shared" si="27"/>
        <v>0</v>
      </c>
      <c r="AJ68" s="1279">
        <f>AJ43</f>
        <v>0</v>
      </c>
    </row>
    <row r="69" spans="1:42">
      <c r="B69" s="238" t="s">
        <v>158</v>
      </c>
      <c r="C69" s="259">
        <f>SUM(E69:AI69)</f>
        <v>0</v>
      </c>
      <c r="D69" s="259">
        <f>$D$43*C44+$D$44*C50+$E$43*D44+$E$44*D50</f>
        <v>0</v>
      </c>
      <c r="E69" s="259">
        <f>$D$64*D44+$D$65*D50+$E$64*E44+$E$65*E50</f>
        <v>0</v>
      </c>
      <c r="F69" s="259">
        <f t="shared" ref="F69:AJ69" si="28">$D$64*E44+$D$65*E50+$E$64*F44+$E$65*F50</f>
        <v>0</v>
      </c>
      <c r="G69" s="259">
        <f t="shared" si="28"/>
        <v>0</v>
      </c>
      <c r="H69" s="259">
        <f>$D$64*G44+$D$65*G50+$E$64*H44+$E$65*H50</f>
        <v>0</v>
      </c>
      <c r="I69" s="259">
        <f>$D$64*H44+$D$65*H50+$E$64*I44+$E$65*I50</f>
        <v>0</v>
      </c>
      <c r="J69" s="259">
        <f t="shared" si="28"/>
        <v>0</v>
      </c>
      <c r="K69" s="259">
        <f t="shared" si="28"/>
        <v>0</v>
      </c>
      <c r="L69" s="259">
        <f t="shared" si="28"/>
        <v>0</v>
      </c>
      <c r="M69" s="259">
        <f t="shared" si="28"/>
        <v>0</v>
      </c>
      <c r="N69" s="259">
        <f t="shared" si="28"/>
        <v>0</v>
      </c>
      <c r="O69" s="259">
        <f t="shared" si="28"/>
        <v>0</v>
      </c>
      <c r="P69" s="259">
        <f t="shared" si="28"/>
        <v>0</v>
      </c>
      <c r="Q69" s="259">
        <f t="shared" si="28"/>
        <v>0</v>
      </c>
      <c r="R69" s="259">
        <f t="shared" si="28"/>
        <v>0</v>
      </c>
      <c r="S69" s="259">
        <f t="shared" si="28"/>
        <v>0</v>
      </c>
      <c r="T69" s="259">
        <f t="shared" si="28"/>
        <v>0</v>
      </c>
      <c r="U69" s="259">
        <f t="shared" si="28"/>
        <v>0</v>
      </c>
      <c r="V69" s="259">
        <f t="shared" si="28"/>
        <v>0</v>
      </c>
      <c r="W69" s="259">
        <f t="shared" si="28"/>
        <v>0</v>
      </c>
      <c r="X69" s="259">
        <f t="shared" si="28"/>
        <v>0</v>
      </c>
      <c r="Y69" s="259">
        <f t="shared" si="28"/>
        <v>0</v>
      </c>
      <c r="Z69" s="259">
        <f t="shared" si="28"/>
        <v>0</v>
      </c>
      <c r="AA69" s="259">
        <f t="shared" si="28"/>
        <v>0</v>
      </c>
      <c r="AB69" s="259">
        <f t="shared" si="28"/>
        <v>0</v>
      </c>
      <c r="AC69" s="259">
        <f t="shared" si="28"/>
        <v>0</v>
      </c>
      <c r="AD69" s="259">
        <f t="shared" si="28"/>
        <v>0</v>
      </c>
      <c r="AE69" s="259">
        <f t="shared" si="28"/>
        <v>0</v>
      </c>
      <c r="AF69" s="259">
        <f t="shared" si="28"/>
        <v>0</v>
      </c>
      <c r="AG69" s="259">
        <f t="shared" si="28"/>
        <v>0</v>
      </c>
      <c r="AH69" s="259">
        <f t="shared" si="28"/>
        <v>0</v>
      </c>
      <c r="AI69" s="259">
        <f t="shared" si="28"/>
        <v>0</v>
      </c>
      <c r="AJ69" s="1280">
        <f t="shared" si="28"/>
        <v>0</v>
      </c>
    </row>
    <row r="70" spans="1:42">
      <c r="B70" s="264" t="s">
        <v>159</v>
      </c>
      <c r="C70" s="259">
        <f>SUM(E70:AI70)</f>
        <v>0</v>
      </c>
      <c r="D70" s="259">
        <f>$D$43*C45+$D$44*C51+$E$43*D45+$E$44*D51</f>
        <v>0</v>
      </c>
      <c r="E70" s="259">
        <f>$D$64*D45+$D$65*D51+$E$64*E45+$E$65*E51</f>
        <v>0</v>
      </c>
      <c r="F70" s="259">
        <f t="shared" ref="F70:AJ70" si="29">$D$64*E45+$D$65*E51+$E$64*F45+$E$65*F51</f>
        <v>0</v>
      </c>
      <c r="G70" s="259">
        <f t="shared" si="29"/>
        <v>0</v>
      </c>
      <c r="H70" s="259">
        <f>$D$64*G45+$D$65*G51+$E$64*H45+$E$65*H51</f>
        <v>0</v>
      </c>
      <c r="I70" s="259">
        <f>$D$64*H45+$D$65*H51+$E$64*I45+$E$65*I51</f>
        <v>0</v>
      </c>
      <c r="J70" s="259">
        <f t="shared" si="29"/>
        <v>0</v>
      </c>
      <c r="K70" s="259">
        <f t="shared" si="29"/>
        <v>0</v>
      </c>
      <c r="L70" s="259">
        <f t="shared" si="29"/>
        <v>0</v>
      </c>
      <c r="M70" s="259">
        <f t="shared" si="29"/>
        <v>0</v>
      </c>
      <c r="N70" s="259">
        <f t="shared" si="29"/>
        <v>0</v>
      </c>
      <c r="O70" s="259">
        <f t="shared" si="29"/>
        <v>0</v>
      </c>
      <c r="P70" s="259">
        <f t="shared" si="29"/>
        <v>0</v>
      </c>
      <c r="Q70" s="259">
        <f t="shared" si="29"/>
        <v>0</v>
      </c>
      <c r="R70" s="259">
        <f t="shared" si="29"/>
        <v>0</v>
      </c>
      <c r="S70" s="259">
        <f t="shared" si="29"/>
        <v>0</v>
      </c>
      <c r="T70" s="259">
        <f t="shared" si="29"/>
        <v>0</v>
      </c>
      <c r="U70" s="259">
        <f t="shared" si="29"/>
        <v>0</v>
      </c>
      <c r="V70" s="259">
        <f t="shared" si="29"/>
        <v>0</v>
      </c>
      <c r="W70" s="259">
        <f t="shared" si="29"/>
        <v>0</v>
      </c>
      <c r="X70" s="259">
        <f t="shared" si="29"/>
        <v>0</v>
      </c>
      <c r="Y70" s="259">
        <f t="shared" si="29"/>
        <v>0</v>
      </c>
      <c r="Z70" s="259">
        <f t="shared" si="29"/>
        <v>0</v>
      </c>
      <c r="AA70" s="259">
        <f t="shared" si="29"/>
        <v>0</v>
      </c>
      <c r="AB70" s="259">
        <f t="shared" si="29"/>
        <v>0</v>
      </c>
      <c r="AC70" s="259">
        <f t="shared" si="29"/>
        <v>0</v>
      </c>
      <c r="AD70" s="259">
        <f t="shared" si="29"/>
        <v>0</v>
      </c>
      <c r="AE70" s="259">
        <f t="shared" si="29"/>
        <v>0</v>
      </c>
      <c r="AF70" s="259">
        <f t="shared" si="29"/>
        <v>0</v>
      </c>
      <c r="AG70" s="259">
        <f t="shared" si="29"/>
        <v>0</v>
      </c>
      <c r="AH70" s="259">
        <f t="shared" si="29"/>
        <v>0</v>
      </c>
      <c r="AI70" s="259">
        <f t="shared" si="29"/>
        <v>0</v>
      </c>
      <c r="AJ70" s="1280">
        <f t="shared" si="29"/>
        <v>0</v>
      </c>
    </row>
    <row r="71" spans="1:42">
      <c r="B71" s="1281" t="s">
        <v>588</v>
      </c>
      <c r="C71" s="270"/>
      <c r="D71" s="263">
        <f>D52</f>
        <v>0</v>
      </c>
      <c r="E71" s="263">
        <f>E68-E70</f>
        <v>0</v>
      </c>
      <c r="F71" s="263">
        <f>F68-F70</f>
        <v>0</v>
      </c>
      <c r="G71" s="263">
        <f t="shared" ref="G71:AI71" si="30">G68-G70</f>
        <v>0</v>
      </c>
      <c r="H71" s="263">
        <f t="shared" si="30"/>
        <v>0</v>
      </c>
      <c r="I71" s="263">
        <f t="shared" si="30"/>
        <v>0</v>
      </c>
      <c r="J71" s="263">
        <f t="shared" si="30"/>
        <v>0</v>
      </c>
      <c r="K71" s="263">
        <f t="shared" si="30"/>
        <v>0</v>
      </c>
      <c r="L71" s="263">
        <f t="shared" si="30"/>
        <v>0</v>
      </c>
      <c r="M71" s="263">
        <f t="shared" si="30"/>
        <v>0</v>
      </c>
      <c r="N71" s="263">
        <f t="shared" si="30"/>
        <v>0</v>
      </c>
      <c r="O71" s="263">
        <f t="shared" si="30"/>
        <v>0</v>
      </c>
      <c r="P71" s="263">
        <f t="shared" si="30"/>
        <v>0</v>
      </c>
      <c r="Q71" s="263">
        <f t="shared" si="30"/>
        <v>0</v>
      </c>
      <c r="R71" s="263">
        <f t="shared" si="30"/>
        <v>0</v>
      </c>
      <c r="S71" s="263">
        <f t="shared" si="30"/>
        <v>0</v>
      </c>
      <c r="T71" s="263">
        <f t="shared" si="30"/>
        <v>0</v>
      </c>
      <c r="U71" s="263">
        <f t="shared" si="30"/>
        <v>0</v>
      </c>
      <c r="V71" s="263">
        <f t="shared" si="30"/>
        <v>0</v>
      </c>
      <c r="W71" s="263">
        <f t="shared" si="30"/>
        <v>0</v>
      </c>
      <c r="X71" s="263">
        <f t="shared" si="30"/>
        <v>0</v>
      </c>
      <c r="Y71" s="263">
        <f t="shared" si="30"/>
        <v>0</v>
      </c>
      <c r="Z71" s="263">
        <f t="shared" si="30"/>
        <v>0</v>
      </c>
      <c r="AA71" s="263">
        <f t="shared" si="30"/>
        <v>0</v>
      </c>
      <c r="AB71" s="263">
        <f t="shared" si="30"/>
        <v>0</v>
      </c>
      <c r="AC71" s="263">
        <f t="shared" si="30"/>
        <v>0</v>
      </c>
      <c r="AD71" s="263">
        <f t="shared" si="30"/>
        <v>0</v>
      </c>
      <c r="AE71" s="263">
        <f t="shared" si="30"/>
        <v>0</v>
      </c>
      <c r="AF71" s="263">
        <f t="shared" si="30"/>
        <v>0</v>
      </c>
      <c r="AG71" s="263">
        <f t="shared" si="30"/>
        <v>0</v>
      </c>
      <c r="AH71" s="263">
        <f t="shared" si="30"/>
        <v>0</v>
      </c>
      <c r="AI71" s="263">
        <f t="shared" si="30"/>
        <v>0</v>
      </c>
      <c r="AJ71" s="267">
        <f>AJ52</f>
        <v>0</v>
      </c>
    </row>
    <row r="72" spans="1:42">
      <c r="B72" s="1281"/>
      <c r="C72" s="1256"/>
      <c r="D72" s="263"/>
      <c r="E72" s="263"/>
      <c r="F72" s="263"/>
      <c r="G72" s="263"/>
      <c r="H72" s="263"/>
      <c r="I72" s="263"/>
      <c r="J72" s="263"/>
      <c r="K72" s="263"/>
      <c r="L72" s="263"/>
      <c r="M72" s="263"/>
      <c r="N72" s="263"/>
      <c r="O72" s="263"/>
      <c r="P72" s="263"/>
      <c r="Q72" s="263"/>
      <c r="R72" s="263"/>
      <c r="S72" s="263"/>
      <c r="T72" s="263"/>
      <c r="U72" s="263"/>
      <c r="V72" s="263"/>
      <c r="W72" s="263"/>
      <c r="X72" s="263"/>
      <c r="Y72" s="263"/>
      <c r="Z72" s="263"/>
      <c r="AA72" s="263"/>
      <c r="AB72" s="263"/>
      <c r="AC72" s="263"/>
      <c r="AD72" s="263"/>
      <c r="AE72" s="263"/>
      <c r="AF72" s="263"/>
      <c r="AG72" s="263"/>
      <c r="AH72" s="263"/>
      <c r="AI72" s="263"/>
      <c r="AJ72" s="267"/>
    </row>
    <row r="73" spans="1:42">
      <c r="B73" s="1282" t="s">
        <v>700</v>
      </c>
      <c r="C73" s="259">
        <f>SUM(E73:AI73)</f>
        <v>0</v>
      </c>
      <c r="D73" s="1252">
        <f t="shared" ref="D73:F74" si="31">SUMPRODUCT($D$65:$E$65,C14:D14)</f>
        <v>0</v>
      </c>
      <c r="E73" s="1252">
        <f t="shared" si="31"/>
        <v>0</v>
      </c>
      <c r="F73" s="1252">
        <f t="shared" si="31"/>
        <v>0</v>
      </c>
      <c r="G73" s="1252">
        <f t="shared" ref="G73:AJ74" si="32">SUMPRODUCT($D$65:$E$65,F14:G14)</f>
        <v>0</v>
      </c>
      <c r="H73" s="1252">
        <f t="shared" si="32"/>
        <v>0</v>
      </c>
      <c r="I73" s="1252">
        <f t="shared" si="32"/>
        <v>0</v>
      </c>
      <c r="J73" s="1252">
        <f t="shared" si="32"/>
        <v>0</v>
      </c>
      <c r="K73" s="1252">
        <f t="shared" si="32"/>
        <v>0</v>
      </c>
      <c r="L73" s="1252">
        <f t="shared" si="32"/>
        <v>0</v>
      </c>
      <c r="M73" s="1252">
        <f t="shared" si="32"/>
        <v>0</v>
      </c>
      <c r="N73" s="1252">
        <f t="shared" si="32"/>
        <v>0</v>
      </c>
      <c r="O73" s="1252">
        <f t="shared" si="32"/>
        <v>0</v>
      </c>
      <c r="P73" s="1252">
        <f t="shared" si="32"/>
        <v>0</v>
      </c>
      <c r="Q73" s="1252">
        <f t="shared" si="32"/>
        <v>0</v>
      </c>
      <c r="R73" s="1252">
        <f t="shared" si="32"/>
        <v>0</v>
      </c>
      <c r="S73" s="1252">
        <f t="shared" si="32"/>
        <v>0</v>
      </c>
      <c r="T73" s="1252">
        <f t="shared" si="32"/>
        <v>0</v>
      </c>
      <c r="U73" s="1252">
        <f t="shared" si="32"/>
        <v>0</v>
      </c>
      <c r="V73" s="1252">
        <f t="shared" si="32"/>
        <v>0</v>
      </c>
      <c r="W73" s="1252">
        <f t="shared" si="32"/>
        <v>0</v>
      </c>
      <c r="X73" s="1252">
        <f t="shared" si="32"/>
        <v>0</v>
      </c>
      <c r="Y73" s="1252">
        <f t="shared" si="32"/>
        <v>0</v>
      </c>
      <c r="Z73" s="1252">
        <f t="shared" si="32"/>
        <v>0</v>
      </c>
      <c r="AA73" s="1252">
        <f t="shared" si="32"/>
        <v>0</v>
      </c>
      <c r="AB73" s="1252">
        <f t="shared" si="32"/>
        <v>0</v>
      </c>
      <c r="AC73" s="1252">
        <f t="shared" si="32"/>
        <v>0</v>
      </c>
      <c r="AD73" s="1252">
        <f t="shared" si="32"/>
        <v>0</v>
      </c>
      <c r="AE73" s="1252">
        <f t="shared" si="32"/>
        <v>0</v>
      </c>
      <c r="AF73" s="1252">
        <f t="shared" si="32"/>
        <v>0</v>
      </c>
      <c r="AG73" s="1252">
        <f t="shared" si="32"/>
        <v>0</v>
      </c>
      <c r="AH73" s="1252">
        <f t="shared" si="32"/>
        <v>0</v>
      </c>
      <c r="AI73" s="1252">
        <f t="shared" si="32"/>
        <v>0</v>
      </c>
      <c r="AJ73" s="1283">
        <f t="shared" si="32"/>
        <v>0</v>
      </c>
    </row>
    <row r="74" spans="1:42" ht="13.5" thickBot="1">
      <c r="B74" s="1284" t="s">
        <v>701</v>
      </c>
      <c r="C74" s="1327">
        <f>SUM(E74:AI74)</f>
        <v>0</v>
      </c>
      <c r="D74" s="1285">
        <f t="shared" si="31"/>
        <v>0</v>
      </c>
      <c r="E74" s="1285">
        <f t="shared" si="31"/>
        <v>0</v>
      </c>
      <c r="F74" s="1285">
        <f t="shared" si="31"/>
        <v>0</v>
      </c>
      <c r="G74" s="1285">
        <f t="shared" si="32"/>
        <v>0</v>
      </c>
      <c r="H74" s="1285">
        <f t="shared" si="32"/>
        <v>0</v>
      </c>
      <c r="I74" s="1285">
        <f t="shared" si="32"/>
        <v>0</v>
      </c>
      <c r="J74" s="1285">
        <f t="shared" si="32"/>
        <v>0</v>
      </c>
      <c r="K74" s="1285">
        <f t="shared" si="32"/>
        <v>0</v>
      </c>
      <c r="L74" s="1285">
        <f t="shared" si="32"/>
        <v>0</v>
      </c>
      <c r="M74" s="1285">
        <f t="shared" si="32"/>
        <v>0</v>
      </c>
      <c r="N74" s="1285">
        <f t="shared" si="32"/>
        <v>0</v>
      </c>
      <c r="O74" s="1285">
        <f t="shared" si="32"/>
        <v>0</v>
      </c>
      <c r="P74" s="1285">
        <f t="shared" si="32"/>
        <v>0</v>
      </c>
      <c r="Q74" s="1285">
        <f t="shared" si="32"/>
        <v>0</v>
      </c>
      <c r="R74" s="1285">
        <f t="shared" si="32"/>
        <v>0</v>
      </c>
      <c r="S74" s="1285">
        <f t="shared" si="32"/>
        <v>0</v>
      </c>
      <c r="T74" s="1285">
        <f t="shared" si="32"/>
        <v>0</v>
      </c>
      <c r="U74" s="1285">
        <f t="shared" si="32"/>
        <v>0</v>
      </c>
      <c r="V74" s="1285">
        <f t="shared" si="32"/>
        <v>0</v>
      </c>
      <c r="W74" s="1285">
        <f t="shared" si="32"/>
        <v>0</v>
      </c>
      <c r="X74" s="1285">
        <f t="shared" si="32"/>
        <v>0</v>
      </c>
      <c r="Y74" s="1285">
        <f t="shared" si="32"/>
        <v>0</v>
      </c>
      <c r="Z74" s="1285">
        <f t="shared" si="32"/>
        <v>0</v>
      </c>
      <c r="AA74" s="1285">
        <f t="shared" si="32"/>
        <v>0</v>
      </c>
      <c r="AB74" s="1285">
        <f t="shared" si="32"/>
        <v>0</v>
      </c>
      <c r="AC74" s="1285">
        <f t="shared" si="32"/>
        <v>0</v>
      </c>
      <c r="AD74" s="1285">
        <f t="shared" si="32"/>
        <v>0</v>
      </c>
      <c r="AE74" s="1285">
        <f t="shared" si="32"/>
        <v>0</v>
      </c>
      <c r="AF74" s="1285">
        <f t="shared" si="32"/>
        <v>0</v>
      </c>
      <c r="AG74" s="1285">
        <f t="shared" si="32"/>
        <v>0</v>
      </c>
      <c r="AH74" s="1285">
        <f t="shared" si="32"/>
        <v>0</v>
      </c>
      <c r="AI74" s="1285">
        <f t="shared" si="32"/>
        <v>0</v>
      </c>
      <c r="AJ74" s="1286">
        <f t="shared" si="32"/>
        <v>0</v>
      </c>
    </row>
    <row r="76" spans="1:42" s="214" customFormat="1">
      <c r="C76" s="330"/>
    </row>
  </sheetData>
  <printOptions headings="1"/>
  <pageMargins left="0.3" right="0.33" top="0.32" bottom="0.53" header="0.32" footer="0.5"/>
  <pageSetup scale="44" orientation="landscape" r:id="rId1"/>
  <headerFooter alignWithMargins="0"/>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DE94"/>
  <sheetViews>
    <sheetView zoomScale="75" zoomScaleNormal="75" zoomScaleSheetLayoutView="75" workbookViewId="0">
      <selection sqref="A1:X52"/>
    </sheetView>
  </sheetViews>
  <sheetFormatPr defaultColWidth="8.7109375" defaultRowHeight="12.75"/>
  <cols>
    <col min="1" max="1" width="6.140625" customWidth="1"/>
    <col min="2" max="2" width="44.42578125" customWidth="1"/>
    <col min="3" max="3" width="15.140625" customWidth="1"/>
    <col min="4" max="4" width="16.28515625" style="285" customWidth="1"/>
    <col min="5" max="24" width="12.42578125" customWidth="1"/>
    <col min="25" max="27" width="10.7109375" customWidth="1"/>
    <col min="28" max="34" width="13.42578125" customWidth="1"/>
    <col min="35" max="35" width="8.7109375" customWidth="1"/>
    <col min="36" max="36" width="5.28515625" style="214" customWidth="1"/>
    <col min="37" max="37" width="4.28515625" style="214" customWidth="1"/>
  </cols>
  <sheetData>
    <row r="1" spans="1:109" ht="15.75">
      <c r="A1" s="49"/>
      <c r="B1" s="338" t="str">
        <f>ExecSum!$E$4</f>
        <v>Sweetwater 129.00MW Project</v>
      </c>
      <c r="D1" s="320"/>
      <c r="E1" s="244">
        <v>1</v>
      </c>
      <c r="F1" s="245">
        <f>E1+1</f>
        <v>2</v>
      </c>
      <c r="G1" s="245">
        <f t="shared" ref="G1:AI2" si="0">F1+1</f>
        <v>3</v>
      </c>
      <c r="H1" s="245">
        <f t="shared" si="0"/>
        <v>4</v>
      </c>
      <c r="I1" s="245">
        <f t="shared" si="0"/>
        <v>5</v>
      </c>
      <c r="J1" s="245">
        <f t="shared" si="0"/>
        <v>6</v>
      </c>
      <c r="K1" s="245">
        <f t="shared" si="0"/>
        <v>7</v>
      </c>
      <c r="L1" s="245">
        <f t="shared" si="0"/>
        <v>8</v>
      </c>
      <c r="M1" s="245">
        <f t="shared" si="0"/>
        <v>9</v>
      </c>
      <c r="N1" s="245">
        <f t="shared" si="0"/>
        <v>10</v>
      </c>
      <c r="O1" s="245">
        <f t="shared" si="0"/>
        <v>11</v>
      </c>
      <c r="P1" s="245">
        <f t="shared" si="0"/>
        <v>12</v>
      </c>
      <c r="Q1" s="245">
        <f t="shared" si="0"/>
        <v>13</v>
      </c>
      <c r="R1" s="245">
        <f t="shared" si="0"/>
        <v>14</v>
      </c>
      <c r="S1" s="245">
        <f t="shared" si="0"/>
        <v>15</v>
      </c>
      <c r="T1" s="245">
        <f t="shared" si="0"/>
        <v>16</v>
      </c>
      <c r="U1" s="245">
        <f t="shared" si="0"/>
        <v>17</v>
      </c>
      <c r="V1" s="245">
        <f t="shared" si="0"/>
        <v>18</v>
      </c>
      <c r="W1" s="245">
        <f t="shared" si="0"/>
        <v>19</v>
      </c>
      <c r="X1" s="245">
        <f t="shared" si="0"/>
        <v>20</v>
      </c>
      <c r="Y1" s="245">
        <f t="shared" si="0"/>
        <v>21</v>
      </c>
      <c r="Z1" s="245">
        <f t="shared" si="0"/>
        <v>22</v>
      </c>
      <c r="AA1" s="245">
        <f t="shared" si="0"/>
        <v>23</v>
      </c>
      <c r="AB1" s="245">
        <f t="shared" si="0"/>
        <v>24</v>
      </c>
      <c r="AC1" s="245">
        <f t="shared" si="0"/>
        <v>25</v>
      </c>
      <c r="AD1" s="245">
        <f t="shared" si="0"/>
        <v>26</v>
      </c>
      <c r="AE1" s="245">
        <f t="shared" si="0"/>
        <v>27</v>
      </c>
      <c r="AF1" s="245">
        <f t="shared" si="0"/>
        <v>28</v>
      </c>
      <c r="AG1" s="245">
        <f t="shared" si="0"/>
        <v>29</v>
      </c>
      <c r="AH1" s="245">
        <f t="shared" si="0"/>
        <v>30</v>
      </c>
      <c r="AI1" s="246">
        <f t="shared" si="0"/>
        <v>31</v>
      </c>
      <c r="AJ1" s="47"/>
      <c r="AK1" s="47"/>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c r="CL1" s="38"/>
      <c r="CM1" s="38"/>
      <c r="CN1" s="38"/>
      <c r="CO1" s="38"/>
      <c r="CP1" s="38"/>
      <c r="CQ1" s="38"/>
      <c r="CR1" s="38"/>
      <c r="CS1" s="38"/>
      <c r="CT1" s="38"/>
      <c r="CU1" s="38"/>
      <c r="CV1" s="38"/>
      <c r="CW1" s="38"/>
      <c r="CX1" s="38"/>
      <c r="CY1" s="38"/>
      <c r="CZ1" s="38"/>
      <c r="DA1" s="38"/>
      <c r="DB1" s="38"/>
      <c r="DC1" s="38"/>
      <c r="DD1" s="38"/>
      <c r="DE1" s="38"/>
    </row>
    <row r="2" spans="1:109" ht="15.75">
      <c r="A2" s="49"/>
      <c r="B2" s="334" t="s">
        <v>503</v>
      </c>
      <c r="E2" s="247">
        <f>Assum!H25</f>
        <v>2002</v>
      </c>
      <c r="F2" s="248">
        <f>E2+1</f>
        <v>2003</v>
      </c>
      <c r="G2" s="248">
        <f t="shared" si="0"/>
        <v>2004</v>
      </c>
      <c r="H2" s="248">
        <f t="shared" si="0"/>
        <v>2005</v>
      </c>
      <c r="I2" s="248">
        <f t="shared" si="0"/>
        <v>2006</v>
      </c>
      <c r="J2" s="248">
        <f t="shared" si="0"/>
        <v>2007</v>
      </c>
      <c r="K2" s="248">
        <f t="shared" si="0"/>
        <v>2008</v>
      </c>
      <c r="L2" s="248">
        <f t="shared" si="0"/>
        <v>2009</v>
      </c>
      <c r="M2" s="248">
        <f t="shared" si="0"/>
        <v>2010</v>
      </c>
      <c r="N2" s="248">
        <f t="shared" si="0"/>
        <v>2011</v>
      </c>
      <c r="O2" s="248">
        <f t="shared" si="0"/>
        <v>2012</v>
      </c>
      <c r="P2" s="248">
        <f t="shared" si="0"/>
        <v>2013</v>
      </c>
      <c r="Q2" s="248">
        <f t="shared" si="0"/>
        <v>2014</v>
      </c>
      <c r="R2" s="248">
        <f t="shared" si="0"/>
        <v>2015</v>
      </c>
      <c r="S2" s="248">
        <f t="shared" si="0"/>
        <v>2016</v>
      </c>
      <c r="T2" s="248">
        <f t="shared" si="0"/>
        <v>2017</v>
      </c>
      <c r="U2" s="248">
        <f t="shared" si="0"/>
        <v>2018</v>
      </c>
      <c r="V2" s="248">
        <f t="shared" si="0"/>
        <v>2019</v>
      </c>
      <c r="W2" s="248">
        <f t="shared" si="0"/>
        <v>2020</v>
      </c>
      <c r="X2" s="248">
        <f t="shared" si="0"/>
        <v>2021</v>
      </c>
      <c r="Y2" s="248">
        <f t="shared" si="0"/>
        <v>2022</v>
      </c>
      <c r="Z2" s="248">
        <f t="shared" si="0"/>
        <v>2023</v>
      </c>
      <c r="AA2" s="248">
        <f t="shared" si="0"/>
        <v>2024</v>
      </c>
      <c r="AB2" s="248">
        <f t="shared" si="0"/>
        <v>2025</v>
      </c>
      <c r="AC2" s="248">
        <f t="shared" si="0"/>
        <v>2026</v>
      </c>
      <c r="AD2" s="248">
        <f t="shared" si="0"/>
        <v>2027</v>
      </c>
      <c r="AE2" s="248">
        <f t="shared" si="0"/>
        <v>2028</v>
      </c>
      <c r="AF2" s="248">
        <f t="shared" si="0"/>
        <v>2029</v>
      </c>
      <c r="AG2" s="248">
        <f t="shared" si="0"/>
        <v>2030</v>
      </c>
      <c r="AH2" s="248">
        <f t="shared" si="0"/>
        <v>2031</v>
      </c>
      <c r="AI2" s="249">
        <f t="shared" si="0"/>
        <v>2032</v>
      </c>
      <c r="AJ2" s="47"/>
      <c r="AK2" s="47"/>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row>
    <row r="3" spans="1:109" s="59" customFormat="1" ht="15">
      <c r="A3" s="881"/>
      <c r="B3" s="64"/>
      <c r="D3" s="324"/>
      <c r="E3" s="324"/>
      <c r="F3" s="64"/>
      <c r="G3" s="64"/>
      <c r="H3" s="64"/>
      <c r="M3" s="64"/>
      <c r="N3" s="64"/>
      <c r="O3" s="64"/>
      <c r="P3" s="64"/>
      <c r="Q3" s="64"/>
      <c r="R3" s="64"/>
      <c r="S3" s="64"/>
      <c r="T3" s="64"/>
      <c r="U3" s="64"/>
      <c r="V3" s="64"/>
      <c r="W3" s="64"/>
      <c r="X3" s="64"/>
      <c r="Y3" s="64"/>
      <c r="Z3" s="64"/>
      <c r="AA3" s="64"/>
      <c r="AB3" s="64"/>
      <c r="AC3" s="64"/>
      <c r="AD3" s="64"/>
      <c r="AE3" s="64"/>
      <c r="AF3" s="64"/>
      <c r="AG3" s="64"/>
      <c r="AH3" s="64"/>
      <c r="AI3" s="64"/>
      <c r="AJ3" s="648"/>
      <c r="AK3" s="648"/>
      <c r="AL3" s="64"/>
      <c r="AM3" s="64"/>
      <c r="AN3" s="64"/>
      <c r="AO3" s="64"/>
      <c r="AP3" s="64"/>
      <c r="AQ3" s="64"/>
      <c r="AR3" s="64"/>
      <c r="AS3" s="64"/>
      <c r="AT3" s="64"/>
      <c r="AU3" s="64"/>
      <c r="AV3" s="64"/>
      <c r="AW3" s="64"/>
      <c r="AX3" s="64"/>
      <c r="AY3" s="64"/>
      <c r="AZ3" s="64"/>
      <c r="BA3" s="64"/>
      <c r="BB3" s="64"/>
      <c r="BC3" s="64"/>
      <c r="BD3" s="64"/>
      <c r="BE3" s="64"/>
      <c r="BF3" s="64"/>
      <c r="BG3" s="64"/>
      <c r="BH3" s="64"/>
      <c r="BI3" s="64"/>
      <c r="BJ3" s="64"/>
      <c r="BK3" s="64"/>
      <c r="BL3" s="64"/>
      <c r="BM3" s="64"/>
      <c r="BN3" s="64"/>
      <c r="BO3" s="64"/>
      <c r="BP3" s="64"/>
      <c r="BQ3" s="64"/>
      <c r="BR3" s="64"/>
      <c r="BS3" s="64"/>
      <c r="BT3" s="64"/>
      <c r="BU3" s="64"/>
      <c r="BV3" s="64"/>
      <c r="BW3" s="64"/>
      <c r="BX3" s="64"/>
      <c r="BY3" s="64"/>
      <c r="BZ3" s="64"/>
      <c r="CA3" s="64"/>
      <c r="CB3" s="64"/>
      <c r="CC3" s="64"/>
      <c r="CD3" s="64"/>
      <c r="CE3" s="64"/>
      <c r="CF3" s="64"/>
      <c r="CG3" s="64"/>
      <c r="CH3" s="64"/>
      <c r="CI3" s="64"/>
      <c r="CJ3" s="64"/>
      <c r="CK3" s="64"/>
      <c r="CL3" s="64"/>
      <c r="CM3" s="64"/>
      <c r="CN3" s="64"/>
      <c r="CO3" s="64"/>
      <c r="CP3" s="64"/>
      <c r="CQ3" s="64"/>
      <c r="CR3" s="64"/>
      <c r="CS3" s="64"/>
      <c r="CT3" s="64"/>
      <c r="CU3" s="64"/>
      <c r="CV3" s="64"/>
      <c r="CW3" s="64"/>
      <c r="CX3" s="64"/>
      <c r="CY3" s="64"/>
      <c r="CZ3" s="64"/>
      <c r="DA3" s="64"/>
      <c r="DB3" s="64"/>
      <c r="DC3" s="64"/>
      <c r="DD3" s="64"/>
      <c r="DE3" s="64"/>
    </row>
    <row r="4" spans="1:109" s="59" customFormat="1" ht="15">
      <c r="A4" s="881"/>
      <c r="B4" t="s">
        <v>817</v>
      </c>
      <c r="D4" s="324"/>
      <c r="E4" s="324">
        <f ca="1">Srcs_Uses!E33</f>
        <v>131611.67485811526</v>
      </c>
      <c r="F4" s="64"/>
      <c r="G4" s="64"/>
      <c r="H4" s="64"/>
      <c r="M4" s="64"/>
      <c r="N4" s="64"/>
      <c r="O4" s="64"/>
      <c r="P4" s="64"/>
      <c r="Q4" s="64"/>
      <c r="R4" s="64"/>
      <c r="S4" s="64"/>
      <c r="T4" s="64"/>
      <c r="U4" s="64"/>
      <c r="V4" s="64"/>
      <c r="W4" s="64"/>
      <c r="X4" s="64"/>
      <c r="Y4" s="64"/>
      <c r="Z4" s="64"/>
      <c r="AA4" s="64"/>
      <c r="AB4" s="64"/>
      <c r="AC4" s="64"/>
      <c r="AD4" s="64"/>
      <c r="AE4" s="64"/>
      <c r="AF4" s="64"/>
      <c r="AG4" s="64"/>
      <c r="AH4" s="64"/>
      <c r="AI4" s="64"/>
      <c r="AJ4" s="648"/>
      <c r="AK4" s="648"/>
      <c r="AL4" s="64"/>
      <c r="AM4" s="64"/>
      <c r="AN4" s="64"/>
      <c r="AO4" s="64"/>
      <c r="AP4" s="64"/>
      <c r="AQ4" s="64"/>
      <c r="AR4" s="64"/>
      <c r="AS4" s="64"/>
      <c r="AT4" s="64"/>
      <c r="AU4" s="64"/>
      <c r="AV4" s="64"/>
      <c r="AW4" s="64"/>
      <c r="AX4" s="64"/>
      <c r="AY4" s="64"/>
      <c r="AZ4" s="64"/>
      <c r="BA4" s="64"/>
      <c r="BB4" s="64"/>
      <c r="BC4" s="64"/>
      <c r="BD4" s="64"/>
      <c r="BE4" s="64"/>
      <c r="BF4" s="64"/>
      <c r="BG4" s="64"/>
      <c r="BH4" s="64"/>
      <c r="BI4" s="64"/>
      <c r="BJ4" s="64"/>
      <c r="BK4" s="64"/>
      <c r="BL4" s="64"/>
      <c r="BM4" s="64"/>
      <c r="BN4" s="64"/>
      <c r="BO4" s="64"/>
      <c r="BP4" s="64"/>
      <c r="BQ4" s="64"/>
      <c r="BR4" s="64"/>
      <c r="BS4" s="64"/>
      <c r="BT4" s="64"/>
      <c r="BU4" s="64"/>
      <c r="BV4" s="64"/>
      <c r="BW4" s="64"/>
      <c r="BX4" s="64"/>
      <c r="BY4" s="64"/>
      <c r="BZ4" s="64"/>
      <c r="CA4" s="64"/>
      <c r="CB4" s="64"/>
      <c r="CC4" s="64"/>
      <c r="CD4" s="64"/>
      <c r="CE4" s="64"/>
      <c r="CF4" s="64"/>
      <c r="CG4" s="64"/>
      <c r="CH4" s="64"/>
      <c r="CI4" s="64"/>
      <c r="CJ4" s="64"/>
      <c r="CK4" s="64"/>
      <c r="CL4" s="64"/>
      <c r="CM4" s="64"/>
      <c r="CN4" s="64"/>
      <c r="CO4" s="64"/>
      <c r="CP4" s="64"/>
      <c r="CQ4" s="64"/>
      <c r="CR4" s="64"/>
      <c r="CS4" s="64"/>
      <c r="CT4" s="64"/>
      <c r="CU4" s="64"/>
      <c r="CV4" s="64"/>
      <c r="CW4" s="64"/>
      <c r="CX4" s="64"/>
      <c r="CY4" s="64"/>
      <c r="CZ4" s="64"/>
      <c r="DA4" s="64"/>
      <c r="DB4" s="64"/>
      <c r="DC4" s="64"/>
      <c r="DD4" s="64"/>
      <c r="DE4" s="64"/>
    </row>
    <row r="5" spans="1:109" s="59" customFormat="1">
      <c r="A5" t="s">
        <v>828</v>
      </c>
      <c r="B5" s="414" t="str">
        <f>Internal!B98</f>
        <v>SERVICES</v>
      </c>
      <c r="D5" s="324"/>
      <c r="E5" s="1583">
        <f>-Internal!F98</f>
        <v>-1758</v>
      </c>
      <c r="G5" s="64"/>
      <c r="H5" s="64"/>
      <c r="M5" s="64"/>
      <c r="N5" s="64"/>
      <c r="O5" s="64"/>
      <c r="P5" s="64"/>
      <c r="Q5" s="64"/>
      <c r="R5" s="64"/>
      <c r="S5" s="64"/>
      <c r="T5" s="64"/>
      <c r="U5" s="64"/>
      <c r="V5" s="64"/>
      <c r="W5" s="64"/>
      <c r="X5" s="64"/>
      <c r="Y5" s="64"/>
      <c r="Z5" s="64"/>
      <c r="AA5" s="64"/>
      <c r="AB5" s="64"/>
      <c r="AC5" s="64"/>
      <c r="AD5" s="64"/>
      <c r="AE5" s="64"/>
      <c r="AF5" s="64"/>
      <c r="AG5" s="64"/>
      <c r="AH5" s="64"/>
      <c r="AI5" s="64"/>
      <c r="AJ5" s="648"/>
      <c r="AK5" s="648"/>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c r="BP5" s="64"/>
      <c r="BQ5" s="64"/>
      <c r="BR5" s="64"/>
      <c r="BS5" s="64"/>
      <c r="BT5" s="64"/>
      <c r="BU5" s="64"/>
      <c r="BV5" s="64"/>
      <c r="BW5" s="64"/>
      <c r="BX5" s="64"/>
      <c r="BY5" s="64"/>
      <c r="BZ5" s="64"/>
      <c r="CA5" s="64"/>
      <c r="CB5" s="64"/>
      <c r="CC5" s="64"/>
      <c r="CD5" s="64"/>
      <c r="CE5" s="64"/>
      <c r="CF5" s="64"/>
      <c r="CG5" s="64"/>
      <c r="CH5" s="64"/>
      <c r="CI5" s="64"/>
      <c r="CJ5" s="64"/>
      <c r="CK5" s="64"/>
      <c r="CL5" s="64"/>
      <c r="CM5" s="64"/>
      <c r="CN5" s="64"/>
      <c r="CO5" s="64"/>
      <c r="CP5" s="64"/>
      <c r="CQ5" s="64"/>
      <c r="CR5" s="64"/>
      <c r="CS5" s="64"/>
      <c r="CT5" s="64"/>
      <c r="CU5" s="64"/>
      <c r="CV5" s="64"/>
      <c r="CW5" s="64"/>
      <c r="CX5" s="64"/>
      <c r="CY5" s="64"/>
      <c r="CZ5" s="64"/>
      <c r="DA5" s="64"/>
      <c r="DB5" s="64"/>
      <c r="DC5" s="64"/>
      <c r="DD5" s="64"/>
      <c r="DE5" s="64"/>
    </row>
    <row r="6" spans="1:109" s="59" customFormat="1">
      <c r="A6" t="s">
        <v>828</v>
      </c>
      <c r="B6" s="414" t="str">
        <f>Internal!B105</f>
        <v>O&amp;M BLDG</v>
      </c>
      <c r="D6" s="324"/>
      <c r="E6" s="1583">
        <f>-Internal!F105</f>
        <v>-254.56</v>
      </c>
      <c r="G6" s="64"/>
      <c r="H6" s="64"/>
      <c r="M6" s="64"/>
      <c r="N6" s="64"/>
      <c r="O6" s="64"/>
      <c r="P6" s="64"/>
      <c r="Q6" s="64"/>
      <c r="R6" s="64"/>
      <c r="S6" s="64"/>
      <c r="T6" s="64"/>
      <c r="U6" s="64"/>
      <c r="V6" s="64"/>
      <c r="W6" s="64"/>
      <c r="X6" s="64"/>
      <c r="Y6" s="64"/>
      <c r="Z6" s="64"/>
      <c r="AA6" s="64"/>
      <c r="AB6" s="64"/>
      <c r="AC6" s="64"/>
      <c r="AD6" s="64"/>
      <c r="AE6" s="64"/>
      <c r="AF6" s="64"/>
      <c r="AG6" s="64"/>
      <c r="AH6" s="64"/>
      <c r="AI6" s="64"/>
      <c r="AJ6" s="648"/>
      <c r="AK6" s="648"/>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4"/>
      <c r="CW6" s="64"/>
      <c r="CX6" s="64"/>
      <c r="CY6" s="64"/>
      <c r="CZ6" s="64"/>
      <c r="DA6" s="64"/>
      <c r="DB6" s="64"/>
      <c r="DC6" s="64"/>
      <c r="DD6" s="64"/>
      <c r="DE6" s="64"/>
    </row>
    <row r="7" spans="1:109" s="59" customFormat="1">
      <c r="A7" t="s">
        <v>828</v>
      </c>
      <c r="B7" s="64" t="str">
        <f>Srcs_Uses!B24</f>
        <v xml:space="preserve">INITIAL WORKING CAPITAL </v>
      </c>
      <c r="D7" s="324"/>
      <c r="E7" s="324">
        <f>-Srcs_Uses!E24</f>
        <v>-700</v>
      </c>
      <c r="F7" s="64"/>
      <c r="G7" s="64"/>
      <c r="H7" s="64"/>
      <c r="M7" s="64"/>
      <c r="N7" s="64"/>
      <c r="O7" s="64"/>
      <c r="P7" s="64"/>
      <c r="Q7" s="64"/>
      <c r="R7" s="64"/>
      <c r="S7" s="64"/>
      <c r="T7" s="64"/>
      <c r="U7" s="64"/>
      <c r="V7" s="64"/>
      <c r="W7" s="64"/>
      <c r="X7" s="64"/>
      <c r="Y7" s="64"/>
      <c r="Z7" s="64"/>
      <c r="AA7" s="64"/>
      <c r="AB7" s="64"/>
      <c r="AC7" s="64"/>
      <c r="AD7" s="64"/>
      <c r="AE7" s="64"/>
      <c r="AF7" s="64"/>
      <c r="AG7" s="64"/>
      <c r="AH7" s="64"/>
      <c r="AI7" s="64"/>
      <c r="AJ7" s="648"/>
      <c r="AK7" s="648"/>
      <c r="AL7" s="64"/>
      <c r="AM7" s="64"/>
      <c r="AN7" s="64"/>
      <c r="AO7" s="64"/>
      <c r="AP7" s="64"/>
      <c r="AQ7" s="64"/>
      <c r="AR7" s="64"/>
      <c r="AS7" s="64"/>
      <c r="AT7" s="64"/>
      <c r="AU7" s="64"/>
      <c r="AV7" s="64"/>
      <c r="AW7" s="64"/>
      <c r="AX7" s="64"/>
      <c r="AY7" s="64"/>
      <c r="AZ7" s="64"/>
      <c r="BA7" s="64"/>
      <c r="BB7" s="64"/>
      <c r="BC7" s="64"/>
      <c r="BD7" s="64"/>
      <c r="BE7" s="64"/>
      <c r="BF7" s="64"/>
      <c r="BG7" s="64"/>
      <c r="BH7" s="64"/>
      <c r="BI7" s="64"/>
      <c r="BJ7" s="64"/>
      <c r="BK7" s="64"/>
      <c r="BL7" s="64"/>
      <c r="BM7" s="64"/>
      <c r="BN7" s="64"/>
      <c r="BO7" s="64"/>
      <c r="BP7" s="64"/>
      <c r="BQ7" s="64"/>
      <c r="BR7" s="64"/>
      <c r="BS7" s="64"/>
      <c r="BT7" s="64"/>
      <c r="BU7" s="64"/>
      <c r="BV7" s="64"/>
      <c r="BW7" s="64"/>
      <c r="BX7" s="64"/>
      <c r="BY7" s="64"/>
      <c r="BZ7" s="64"/>
      <c r="CA7" s="64"/>
      <c r="CB7" s="64"/>
      <c r="CC7" s="64"/>
      <c r="CD7" s="64"/>
      <c r="CE7" s="64"/>
      <c r="CF7" s="64"/>
      <c r="CG7" s="64"/>
      <c r="CH7" s="64"/>
      <c r="CI7" s="64"/>
      <c r="CJ7" s="64"/>
      <c r="CK7" s="64"/>
      <c r="CL7" s="64"/>
      <c r="CM7" s="64"/>
      <c r="CN7" s="64"/>
      <c r="CO7" s="64"/>
      <c r="CP7" s="64"/>
      <c r="CQ7" s="64"/>
      <c r="CR7" s="64"/>
      <c r="CS7" s="64"/>
      <c r="CT7" s="64"/>
      <c r="CU7" s="64"/>
      <c r="CV7" s="64"/>
      <c r="CW7" s="64"/>
      <c r="CX7" s="64"/>
      <c r="CY7" s="64"/>
      <c r="CZ7" s="64"/>
      <c r="DA7" s="64"/>
      <c r="DB7" s="64"/>
      <c r="DC7" s="64"/>
      <c r="DD7" s="64"/>
      <c r="DE7" s="64"/>
    </row>
    <row r="8" spans="1:109" s="59" customFormat="1" ht="15.75" thickBot="1">
      <c r="A8" s="881"/>
      <c r="B8" s="911" t="s">
        <v>820</v>
      </c>
      <c r="C8" s="911"/>
      <c r="D8" s="1572"/>
      <c r="E8" s="1573">
        <f ca="1">SUM(E4:E7)</f>
        <v>128899.11485811527</v>
      </c>
      <c r="F8" s="64"/>
      <c r="G8" s="64"/>
      <c r="H8" s="64"/>
      <c r="M8" s="64"/>
      <c r="N8" s="64"/>
      <c r="O8" s="64"/>
      <c r="P8" s="64"/>
      <c r="Q8" s="64"/>
      <c r="R8" s="64"/>
      <c r="S8" s="64"/>
      <c r="T8" s="64"/>
      <c r="U8" s="64"/>
      <c r="V8" s="64"/>
      <c r="W8" s="64"/>
      <c r="X8" s="64"/>
      <c r="Y8" s="64"/>
      <c r="Z8" s="64"/>
      <c r="AA8" s="64"/>
      <c r="AB8" s="64"/>
      <c r="AC8" s="64"/>
      <c r="AD8" s="64"/>
      <c r="AE8" s="64"/>
      <c r="AF8" s="64"/>
      <c r="AG8" s="64"/>
      <c r="AH8" s="64"/>
      <c r="AI8" s="64"/>
      <c r="AJ8" s="648"/>
      <c r="AK8" s="648"/>
      <c r="AL8" s="64"/>
      <c r="AM8" s="64"/>
      <c r="AN8" s="64"/>
      <c r="AO8" s="64"/>
      <c r="AP8" s="64"/>
      <c r="AQ8" s="64"/>
      <c r="AR8" s="64"/>
      <c r="AS8" s="64"/>
      <c r="AT8" s="64"/>
      <c r="AU8" s="64"/>
      <c r="AV8" s="64"/>
      <c r="AW8" s="64"/>
      <c r="AX8" s="64"/>
      <c r="AY8" s="64"/>
      <c r="AZ8" s="64"/>
      <c r="BA8" s="64"/>
      <c r="BB8" s="64"/>
      <c r="BC8" s="64"/>
      <c r="BD8" s="64"/>
      <c r="BE8" s="64"/>
      <c r="BF8" s="64"/>
      <c r="BG8" s="64"/>
      <c r="BH8" s="64"/>
      <c r="BI8" s="64"/>
      <c r="BJ8" s="64"/>
      <c r="BK8" s="64"/>
      <c r="BL8" s="64"/>
      <c r="BM8" s="64"/>
      <c r="BN8" s="64"/>
      <c r="BO8" s="64"/>
      <c r="BP8" s="64"/>
      <c r="BQ8" s="64"/>
      <c r="BR8" s="64"/>
      <c r="BS8" s="64"/>
      <c r="BT8" s="64"/>
      <c r="BU8" s="64"/>
      <c r="BV8" s="64"/>
      <c r="BW8" s="64"/>
      <c r="BX8" s="64"/>
      <c r="BY8" s="64"/>
      <c r="BZ8" s="64"/>
      <c r="CA8" s="64"/>
      <c r="CB8" s="64"/>
      <c r="CC8" s="64"/>
      <c r="CD8" s="64"/>
      <c r="CE8" s="64"/>
      <c r="CF8" s="64"/>
      <c r="CG8" s="64"/>
      <c r="CH8" s="64"/>
      <c r="CI8" s="64"/>
      <c r="CJ8" s="64"/>
      <c r="CK8" s="64"/>
      <c r="CL8" s="64"/>
      <c r="CM8" s="64"/>
      <c r="CN8" s="64"/>
      <c r="CO8" s="64"/>
      <c r="CP8" s="64"/>
      <c r="CQ8" s="64"/>
      <c r="CR8" s="64"/>
      <c r="CS8" s="64"/>
      <c r="CT8" s="64"/>
      <c r="CU8" s="64"/>
      <c r="CV8" s="64"/>
      <c r="CW8" s="64"/>
      <c r="CX8" s="64"/>
      <c r="CY8" s="64"/>
      <c r="CZ8" s="64"/>
      <c r="DA8" s="64"/>
      <c r="DB8" s="64"/>
      <c r="DC8" s="64"/>
      <c r="DD8" s="64"/>
      <c r="DE8" s="64"/>
    </row>
    <row r="9" spans="1:109" s="59" customFormat="1" ht="15">
      <c r="A9" s="881"/>
      <c r="B9"/>
      <c r="D9" s="324"/>
      <c r="E9" s="324"/>
      <c r="F9" s="64"/>
      <c r="G9" s="64"/>
      <c r="H9" s="64"/>
      <c r="M9" s="64"/>
      <c r="N9" s="64"/>
      <c r="O9" s="64"/>
      <c r="P9" s="64"/>
      <c r="Q9" s="64"/>
      <c r="R9" s="64"/>
      <c r="S9" s="64"/>
      <c r="T9" s="64"/>
      <c r="U9" s="64"/>
      <c r="V9" s="64"/>
      <c r="W9" s="64"/>
      <c r="X9" s="64"/>
      <c r="Y9" s="64"/>
      <c r="Z9" s="64"/>
      <c r="AA9" s="64"/>
      <c r="AB9" s="64"/>
      <c r="AC9" s="64"/>
      <c r="AD9" s="64"/>
      <c r="AE9" s="64"/>
      <c r="AF9" s="64"/>
      <c r="AG9" s="64"/>
      <c r="AH9" s="64"/>
      <c r="AI9" s="64"/>
      <c r="AJ9" s="648"/>
      <c r="AK9" s="648"/>
      <c r="AL9" s="64"/>
      <c r="AM9" s="64"/>
      <c r="AN9" s="64"/>
      <c r="AO9" s="64"/>
      <c r="AP9" s="64"/>
      <c r="AQ9" s="64"/>
      <c r="AR9" s="64"/>
      <c r="AS9" s="64"/>
      <c r="AT9" s="64"/>
      <c r="AU9" s="64"/>
      <c r="AV9" s="64"/>
      <c r="AW9" s="64"/>
      <c r="AX9" s="64"/>
      <c r="AY9" s="64"/>
      <c r="AZ9" s="64"/>
      <c r="BA9" s="64"/>
      <c r="BB9" s="64"/>
      <c r="BC9" s="64"/>
      <c r="BD9" s="64"/>
      <c r="BE9" s="64"/>
      <c r="BF9" s="64"/>
      <c r="BG9" s="64"/>
      <c r="BH9" s="64"/>
      <c r="BI9" s="64"/>
      <c r="BJ9" s="64"/>
      <c r="BK9" s="64"/>
      <c r="BL9" s="64"/>
      <c r="BM9" s="64"/>
      <c r="BN9" s="64"/>
      <c r="BO9" s="64"/>
      <c r="BP9" s="64"/>
      <c r="BQ9" s="64"/>
      <c r="BR9" s="64"/>
      <c r="BS9" s="64"/>
      <c r="BT9" s="64"/>
      <c r="BU9" s="64"/>
      <c r="BV9" s="64"/>
      <c r="BW9" s="64"/>
      <c r="BX9" s="64"/>
      <c r="BY9" s="64"/>
      <c r="BZ9" s="64"/>
      <c r="CA9" s="64"/>
      <c r="CB9" s="64"/>
      <c r="CC9" s="64"/>
      <c r="CD9" s="64"/>
      <c r="CE9" s="64"/>
      <c r="CF9" s="64"/>
      <c r="CG9" s="64"/>
      <c r="CH9" s="64"/>
      <c r="CI9" s="64"/>
      <c r="CJ9" s="64"/>
      <c r="CK9" s="64"/>
      <c r="CL9" s="64"/>
      <c r="CM9" s="64"/>
      <c r="CN9" s="64"/>
      <c r="CO9" s="64"/>
      <c r="CP9" s="64"/>
      <c r="CQ9" s="64"/>
      <c r="CR9" s="64"/>
      <c r="CS9" s="64"/>
      <c r="CT9" s="64"/>
      <c r="CU9" s="64"/>
      <c r="CV9" s="64"/>
      <c r="CW9" s="64"/>
      <c r="CX9" s="64"/>
      <c r="CY9" s="64"/>
      <c r="CZ9" s="64"/>
      <c r="DA9" s="64"/>
      <c r="DB9" s="64"/>
      <c r="DC9" s="64"/>
      <c r="DD9" s="64"/>
      <c r="DE9" s="64"/>
    </row>
    <row r="10" spans="1:109" s="59" customFormat="1">
      <c r="A10" s="64"/>
      <c r="B10" t="s">
        <v>579</v>
      </c>
      <c r="C10" s="1570">
        <f>Assum!D212</f>
        <v>0.95</v>
      </c>
      <c r="D10" s="1570" t="str">
        <f>Assum!E212</f>
        <v>MACRS HALFYR</v>
      </c>
      <c r="E10" s="59">
        <f ca="1">$E$8*C10</f>
        <v>122454.15911520949</v>
      </c>
      <c r="F10"/>
      <c r="H10" s="64"/>
      <c r="M10" s="63"/>
      <c r="N10" s="63"/>
      <c r="O10" s="63"/>
      <c r="P10" s="63"/>
      <c r="Q10" s="63"/>
      <c r="R10" s="63"/>
      <c r="S10" s="63"/>
      <c r="T10" s="63"/>
      <c r="U10" s="63"/>
      <c r="V10" s="63"/>
      <c r="W10" s="63"/>
      <c r="X10" s="63"/>
      <c r="Y10" s="63"/>
      <c r="Z10" s="63"/>
      <c r="AA10" s="63"/>
      <c r="AB10" s="63"/>
      <c r="AC10" s="63"/>
      <c r="AD10" s="63"/>
      <c r="AE10" s="63"/>
      <c r="AF10" s="63"/>
      <c r="AG10" s="63"/>
      <c r="AH10" s="63"/>
      <c r="AI10" s="64"/>
      <c r="AJ10" s="648"/>
      <c r="AK10" s="648"/>
      <c r="AL10" s="64"/>
      <c r="AM10" s="64"/>
      <c r="AN10" s="64"/>
      <c r="AO10" s="64"/>
      <c r="AP10" s="64"/>
      <c r="AQ10" s="64"/>
      <c r="AR10" s="64"/>
      <c r="AS10" s="64"/>
      <c r="AT10" s="64"/>
      <c r="AU10" s="64"/>
      <c r="AV10" s="64"/>
      <c r="AW10" s="64"/>
      <c r="AX10" s="64"/>
      <c r="AY10" s="64"/>
      <c r="AZ10" s="64"/>
      <c r="BA10" s="64"/>
      <c r="BB10" s="64"/>
      <c r="BC10" s="64"/>
      <c r="BD10" s="64"/>
      <c r="BE10" s="64"/>
      <c r="BF10" s="64"/>
      <c r="BG10" s="64"/>
      <c r="BH10" s="64"/>
      <c r="BI10" s="64"/>
      <c r="BJ10" s="64"/>
      <c r="BK10" s="64"/>
      <c r="BL10" s="64"/>
      <c r="BM10" s="64"/>
      <c r="BN10" s="64"/>
      <c r="BO10" s="64"/>
      <c r="BP10" s="64"/>
      <c r="BQ10" s="64"/>
      <c r="BR10" s="64"/>
      <c r="BS10" s="64"/>
      <c r="BT10" s="64"/>
      <c r="BU10" s="64"/>
      <c r="BV10" s="64"/>
      <c r="BW10" s="64"/>
      <c r="BX10" s="64"/>
      <c r="BY10" s="64"/>
      <c r="BZ10" s="64"/>
      <c r="CA10" s="64"/>
      <c r="CB10" s="64"/>
      <c r="CC10" s="64"/>
      <c r="CD10" s="64"/>
      <c r="CE10" s="64"/>
      <c r="CF10" s="64"/>
      <c r="CG10" s="64"/>
      <c r="CH10" s="64"/>
      <c r="CI10" s="64"/>
      <c r="CJ10" s="64"/>
      <c r="CK10" s="64"/>
      <c r="CL10" s="64"/>
      <c r="CM10" s="64"/>
      <c r="CN10" s="64"/>
      <c r="CO10" s="64"/>
      <c r="CP10" s="64"/>
      <c r="CQ10" s="64"/>
      <c r="CR10" s="64"/>
      <c r="CS10" s="64"/>
      <c r="CT10" s="64"/>
      <c r="CU10" s="64"/>
      <c r="CV10" s="64"/>
      <c r="CW10" s="64"/>
      <c r="CX10" s="64"/>
      <c r="CY10" s="64"/>
      <c r="CZ10" s="64"/>
      <c r="DA10" s="64"/>
      <c r="DB10" s="64"/>
      <c r="DC10" s="64"/>
      <c r="DD10" s="64"/>
      <c r="DE10" s="64"/>
    </row>
    <row r="11" spans="1:109" s="59" customFormat="1">
      <c r="A11" s="64"/>
      <c r="B11" t="s">
        <v>825</v>
      </c>
      <c r="C11" s="1570">
        <f>Assum!D213</f>
        <v>0</v>
      </c>
      <c r="D11" s="897">
        <f>Assum!E213</f>
        <v>10</v>
      </c>
      <c r="E11" s="59">
        <f ca="1">$E$8*C11</f>
        <v>0</v>
      </c>
      <c r="F11"/>
      <c r="H11" s="64"/>
      <c r="M11" s="63"/>
      <c r="N11" s="63"/>
      <c r="O11" s="63"/>
      <c r="P11" s="63"/>
      <c r="Q11" s="63"/>
      <c r="R11" s="63"/>
      <c r="S11" s="63"/>
      <c r="T11" s="63"/>
      <c r="U11" s="63"/>
      <c r="V11" s="63"/>
      <c r="W11" s="63"/>
      <c r="X11" s="63"/>
      <c r="Y11" s="63"/>
      <c r="Z11" s="63"/>
      <c r="AA11" s="63"/>
      <c r="AB11" s="63"/>
      <c r="AC11" s="63"/>
      <c r="AD11" s="63"/>
      <c r="AE11" s="63"/>
      <c r="AF11" s="63"/>
      <c r="AG11" s="63"/>
      <c r="AH11" s="63"/>
      <c r="AI11" s="64"/>
      <c r="AJ11" s="648"/>
      <c r="AK11" s="648"/>
      <c r="AL11" s="64"/>
      <c r="AM11" s="64"/>
      <c r="AN11" s="64"/>
      <c r="AO11" s="64"/>
      <c r="AP11" s="64"/>
      <c r="AQ11" s="64"/>
      <c r="AR11" s="64"/>
      <c r="AS11" s="64"/>
      <c r="AT11" s="64"/>
      <c r="AU11" s="64"/>
      <c r="AV11" s="64"/>
      <c r="AW11" s="64"/>
      <c r="AX11" s="64"/>
      <c r="AY11" s="64"/>
      <c r="AZ11" s="64"/>
      <c r="BA11" s="64"/>
      <c r="BB11" s="64"/>
      <c r="BC11" s="64"/>
      <c r="BD11" s="64"/>
      <c r="BE11" s="64"/>
      <c r="BF11" s="64"/>
      <c r="BG11" s="64"/>
      <c r="BH11" s="64"/>
      <c r="BI11" s="64"/>
      <c r="BJ11" s="64"/>
      <c r="BK11" s="64"/>
      <c r="BL11" s="64"/>
      <c r="BM11" s="64"/>
      <c r="BN11" s="64"/>
      <c r="BO11" s="64"/>
      <c r="BP11" s="64"/>
      <c r="BQ11" s="64"/>
      <c r="BR11" s="64"/>
      <c r="BS11" s="64"/>
      <c r="BT11" s="64"/>
      <c r="BU11" s="64"/>
      <c r="BV11" s="64"/>
      <c r="BW11" s="64"/>
      <c r="BX11" s="64"/>
      <c r="BY11" s="64"/>
      <c r="BZ11" s="64"/>
      <c r="CA11" s="64"/>
      <c r="CB11" s="64"/>
      <c r="CC11" s="64"/>
      <c r="CD11" s="64"/>
      <c r="CE11" s="64"/>
      <c r="CF11" s="64"/>
      <c r="CG11" s="64"/>
      <c r="CH11" s="64"/>
      <c r="CI11" s="64"/>
      <c r="CJ11" s="64"/>
      <c r="CK11" s="64"/>
      <c r="CL11" s="64"/>
      <c r="CM11" s="64"/>
      <c r="CN11" s="64"/>
      <c r="CO11" s="64"/>
      <c r="CP11" s="64"/>
      <c r="CQ11" s="64"/>
      <c r="CR11" s="64"/>
      <c r="CS11" s="64"/>
      <c r="CT11" s="64"/>
      <c r="CU11" s="64"/>
      <c r="CV11" s="64"/>
      <c r="CW11" s="64"/>
      <c r="CX11" s="64"/>
      <c r="CY11" s="64"/>
      <c r="CZ11" s="64"/>
      <c r="DA11" s="64"/>
      <c r="DB11" s="64"/>
      <c r="DC11" s="64"/>
      <c r="DD11" s="64"/>
      <c r="DE11" s="64"/>
    </row>
    <row r="12" spans="1:109" s="59" customFormat="1">
      <c r="A12" s="64"/>
      <c r="B12" t="s">
        <v>818</v>
      </c>
      <c r="C12" s="1570">
        <f>Assum!D214</f>
        <v>0.03</v>
      </c>
      <c r="D12" s="897">
        <f>Assum!E214</f>
        <v>18</v>
      </c>
      <c r="E12" s="59">
        <f ca="1">$E$8*C12</f>
        <v>3866.9734457434579</v>
      </c>
      <c r="F12"/>
      <c r="H12" s="64"/>
      <c r="M12" s="63"/>
      <c r="N12" s="63"/>
      <c r="O12" s="63"/>
      <c r="P12" s="63"/>
      <c r="Q12" s="63"/>
      <c r="R12" s="63"/>
      <c r="S12" s="63"/>
      <c r="T12" s="63"/>
      <c r="U12" s="63"/>
      <c r="V12" s="63"/>
      <c r="W12" s="63"/>
      <c r="X12" s="63"/>
      <c r="Y12" s="63"/>
      <c r="Z12" s="63"/>
      <c r="AA12" s="63"/>
      <c r="AB12" s="63"/>
      <c r="AC12" s="63"/>
      <c r="AD12" s="63"/>
      <c r="AE12" s="63"/>
      <c r="AF12" s="63"/>
      <c r="AG12" s="63"/>
      <c r="AH12" s="63"/>
      <c r="AI12" s="64"/>
      <c r="AJ12" s="648"/>
      <c r="AK12" s="648"/>
      <c r="AL12" s="64"/>
      <c r="AM12" s="64"/>
      <c r="AN12" s="64"/>
      <c r="AO12" s="64"/>
      <c r="AP12" s="64"/>
      <c r="AQ12" s="64"/>
      <c r="AR12" s="64"/>
      <c r="AS12" s="64"/>
      <c r="AT12" s="64"/>
      <c r="AU12" s="64"/>
      <c r="AV12" s="64"/>
      <c r="AW12" s="64"/>
      <c r="AX12" s="64"/>
      <c r="AY12" s="64"/>
      <c r="AZ12" s="64"/>
      <c r="BA12" s="64"/>
      <c r="BB12" s="64"/>
      <c r="BC12" s="64"/>
      <c r="BD12" s="64"/>
      <c r="BE12" s="64"/>
      <c r="BF12" s="64"/>
      <c r="BG12" s="64"/>
      <c r="BH12" s="64"/>
      <c r="BI12" s="64"/>
      <c r="BJ12" s="64"/>
      <c r="BK12" s="64"/>
      <c r="BL12" s="64"/>
      <c r="BM12" s="64"/>
      <c r="BN12" s="64"/>
      <c r="BO12" s="64"/>
      <c r="BP12" s="64"/>
      <c r="BQ12" s="64"/>
      <c r="BR12" s="64"/>
      <c r="BS12" s="64"/>
      <c r="BT12" s="64"/>
      <c r="BU12" s="64"/>
      <c r="BV12" s="64"/>
      <c r="BW12" s="64"/>
      <c r="BX12" s="64"/>
      <c r="BY12" s="64"/>
      <c r="BZ12" s="64"/>
      <c r="CA12" s="64"/>
      <c r="CB12" s="64"/>
      <c r="CC12" s="64"/>
      <c r="CD12" s="64"/>
      <c r="CE12" s="64"/>
      <c r="CF12" s="64"/>
      <c r="CG12" s="64"/>
      <c r="CH12" s="64"/>
      <c r="CI12" s="64"/>
      <c r="CJ12" s="64"/>
      <c r="CK12" s="64"/>
      <c r="CL12" s="64"/>
      <c r="CM12" s="64"/>
      <c r="CN12" s="64"/>
      <c r="CO12" s="64"/>
      <c r="CP12" s="64"/>
      <c r="CQ12" s="64"/>
      <c r="CR12" s="64"/>
      <c r="CS12" s="64"/>
      <c r="CT12" s="64"/>
      <c r="CU12" s="64"/>
      <c r="CV12" s="64"/>
      <c r="CW12" s="64"/>
      <c r="CX12" s="64"/>
      <c r="CY12" s="64"/>
      <c r="CZ12" s="64"/>
      <c r="DA12" s="64"/>
      <c r="DB12" s="64"/>
      <c r="DC12" s="64"/>
      <c r="DD12" s="64"/>
      <c r="DE12" s="64"/>
    </row>
    <row r="13" spans="1:109" s="59" customFormat="1">
      <c r="A13" s="64"/>
      <c r="B13" t="s">
        <v>819</v>
      </c>
      <c r="C13" s="1570">
        <f>Assum!D215</f>
        <v>0.02</v>
      </c>
      <c r="D13" s="897">
        <f>Assum!E215</f>
        <v>20</v>
      </c>
      <c r="E13" s="59">
        <f ca="1">$E$8*C13</f>
        <v>2577.9822971623053</v>
      </c>
      <c r="F13"/>
      <c r="H13" s="64"/>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64"/>
      <c r="AJ13" s="648"/>
      <c r="AK13" s="648"/>
      <c r="AL13" s="64"/>
      <c r="AM13" s="64"/>
      <c r="AN13" s="64"/>
      <c r="AO13" s="64"/>
      <c r="AP13" s="64"/>
      <c r="AQ13" s="64"/>
      <c r="AR13" s="64"/>
      <c r="AS13" s="64"/>
      <c r="AT13" s="64"/>
      <c r="AU13" s="64"/>
      <c r="AV13" s="64"/>
      <c r="AW13" s="64"/>
      <c r="AX13" s="64"/>
      <c r="AY13" s="64"/>
      <c r="AZ13" s="64"/>
      <c r="BA13" s="64"/>
      <c r="BB13" s="64"/>
      <c r="BC13" s="64"/>
      <c r="BD13" s="64"/>
      <c r="BE13" s="64"/>
      <c r="BF13" s="64"/>
      <c r="BG13" s="64"/>
      <c r="BH13" s="64"/>
      <c r="BI13" s="64"/>
      <c r="BJ13" s="64"/>
      <c r="BK13" s="64"/>
      <c r="BL13" s="64"/>
      <c r="BM13" s="64"/>
      <c r="BN13" s="64"/>
      <c r="BO13" s="64"/>
      <c r="BP13" s="64"/>
      <c r="BQ13" s="64"/>
      <c r="BR13" s="64"/>
      <c r="BS13" s="64"/>
      <c r="BT13" s="64"/>
      <c r="BU13" s="64"/>
      <c r="BV13" s="64"/>
      <c r="BW13" s="64"/>
      <c r="BX13" s="64"/>
      <c r="BY13" s="64"/>
      <c r="BZ13" s="64"/>
      <c r="CA13" s="64"/>
      <c r="CB13" s="64"/>
      <c r="CC13" s="64"/>
      <c r="CD13" s="64"/>
      <c r="CE13" s="64"/>
      <c r="CF13" s="64"/>
      <c r="CG13" s="64"/>
      <c r="CH13" s="64"/>
      <c r="CI13" s="64"/>
      <c r="CJ13" s="64"/>
      <c r="CK13" s="64"/>
      <c r="CL13" s="64"/>
      <c r="CM13" s="64"/>
      <c r="CN13" s="64"/>
      <c r="CO13" s="64"/>
      <c r="CP13" s="64"/>
      <c r="CQ13" s="64"/>
      <c r="CR13" s="64"/>
      <c r="CS13" s="64"/>
      <c r="CT13" s="64"/>
      <c r="CU13" s="64"/>
      <c r="CV13" s="64"/>
      <c r="CW13" s="64"/>
      <c r="CX13" s="64"/>
      <c r="CY13" s="64"/>
      <c r="CZ13" s="64"/>
      <c r="DA13" s="64"/>
      <c r="DB13" s="64"/>
      <c r="DC13" s="64"/>
      <c r="DD13" s="64"/>
      <c r="DE13" s="64"/>
    </row>
    <row r="14" spans="1:109" s="59" customFormat="1" ht="13.5" thickBot="1">
      <c r="A14" s="64"/>
      <c r="B14" s="1566" t="s">
        <v>583</v>
      </c>
      <c r="C14" s="1571">
        <f ca="1">E14/$E$14</f>
        <v>1</v>
      </c>
      <c r="D14" s="558"/>
      <c r="E14" s="911">
        <f ca="1">E10+E11+E12+E13</f>
        <v>128899.11485811525</v>
      </c>
      <c r="F14"/>
      <c r="H14" s="64"/>
      <c r="J14" s="64"/>
      <c r="K14" s="64"/>
      <c r="L14" s="64"/>
      <c r="M14" s="64"/>
      <c r="N14" s="64"/>
      <c r="O14" s="64"/>
      <c r="P14" s="64"/>
      <c r="Q14" s="64"/>
      <c r="R14" s="64"/>
      <c r="S14" s="64"/>
      <c r="T14" s="64"/>
      <c r="V14" s="64"/>
      <c r="W14" s="64"/>
      <c r="X14" s="64"/>
      <c r="Y14" s="64"/>
      <c r="Z14" s="64"/>
      <c r="AA14" s="64"/>
      <c r="AB14" s="64"/>
      <c r="AC14" s="64"/>
      <c r="AD14" s="64"/>
      <c r="AE14" s="64"/>
      <c r="AF14" s="64"/>
      <c r="AG14" s="64"/>
      <c r="AH14" s="64"/>
      <c r="AI14" s="64"/>
      <c r="AJ14" s="648"/>
      <c r="AK14" s="648"/>
      <c r="AL14" s="64"/>
      <c r="AM14" s="64"/>
      <c r="AN14" s="64"/>
      <c r="AO14" s="64"/>
      <c r="AP14" s="64"/>
      <c r="AQ14" s="64"/>
      <c r="AR14" s="64"/>
      <c r="AS14" s="64"/>
      <c r="AT14" s="64"/>
      <c r="AU14" s="64"/>
      <c r="AV14" s="64"/>
      <c r="AW14" s="64"/>
      <c r="AX14" s="64"/>
      <c r="AY14" s="64"/>
      <c r="AZ14" s="64"/>
      <c r="BA14" s="64"/>
      <c r="BB14" s="64"/>
      <c r="BC14" s="64"/>
      <c r="BD14" s="64"/>
      <c r="BE14" s="64"/>
      <c r="BF14" s="64"/>
      <c r="BG14" s="64"/>
      <c r="BH14" s="64"/>
      <c r="BI14" s="64"/>
      <c r="BJ14" s="64"/>
      <c r="BK14" s="64"/>
      <c r="BL14" s="64"/>
      <c r="BM14" s="64"/>
      <c r="BN14" s="64"/>
      <c r="BO14" s="64"/>
      <c r="BP14" s="64"/>
      <c r="BQ14" s="64"/>
      <c r="BR14" s="64"/>
      <c r="BS14" s="64"/>
      <c r="BT14" s="64"/>
      <c r="BU14" s="64"/>
      <c r="BV14" s="64"/>
      <c r="BW14" s="64"/>
      <c r="BX14" s="64"/>
      <c r="BY14" s="64"/>
      <c r="BZ14" s="64"/>
      <c r="CA14" s="64"/>
      <c r="CB14" s="64"/>
      <c r="CC14" s="64"/>
      <c r="CD14" s="64"/>
      <c r="CE14" s="64"/>
      <c r="CF14" s="64"/>
      <c r="CG14" s="64"/>
      <c r="CH14" s="64"/>
      <c r="CI14" s="64"/>
      <c r="CJ14" s="64"/>
      <c r="CK14" s="64"/>
      <c r="CL14" s="64"/>
      <c r="CM14" s="64"/>
      <c r="CN14" s="64"/>
      <c r="CO14" s="64"/>
      <c r="CP14" s="64"/>
      <c r="CQ14" s="64"/>
      <c r="CR14" s="64"/>
      <c r="CS14" s="64"/>
      <c r="CT14" s="64"/>
      <c r="CU14" s="64"/>
      <c r="CV14" s="64"/>
      <c r="CW14" s="64"/>
      <c r="CX14" s="64"/>
      <c r="CY14" s="64"/>
      <c r="CZ14" s="64"/>
      <c r="DA14" s="64"/>
      <c r="DB14" s="64"/>
      <c r="DC14" s="64"/>
      <c r="DD14" s="64"/>
      <c r="DE14" s="64"/>
    </row>
    <row r="15" spans="1:109">
      <c r="A15" s="39"/>
      <c r="B15" s="327"/>
      <c r="D15" s="327"/>
      <c r="E15" s="581"/>
      <c r="G15" s="574"/>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47"/>
      <c r="AK15" s="47"/>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c r="CL15" s="38"/>
      <c r="CM15" s="38"/>
      <c r="CN15" s="38"/>
      <c r="CO15" s="38"/>
      <c r="CP15" s="38"/>
      <c r="CQ15" s="38"/>
      <c r="CR15" s="38"/>
      <c r="CS15" s="38"/>
      <c r="CT15" s="38"/>
      <c r="CU15" s="38"/>
      <c r="CV15" s="38"/>
      <c r="CW15" s="38"/>
      <c r="CX15" s="38"/>
      <c r="CY15" s="38"/>
      <c r="CZ15" s="38"/>
      <c r="DA15" s="38"/>
      <c r="DB15" s="38"/>
      <c r="DC15" s="38"/>
      <c r="DD15" s="38"/>
      <c r="DE15" s="38"/>
    </row>
    <row r="16" spans="1:109">
      <c r="A16" s="39"/>
      <c r="B16" s="327"/>
      <c r="D16" s="327"/>
      <c r="E16" s="581"/>
      <c r="F16" s="573"/>
      <c r="G16" s="574"/>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47"/>
      <c r="AK16" s="47"/>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c r="BM16" s="38"/>
      <c r="BN16" s="38"/>
      <c r="BO16" s="38"/>
      <c r="BP16" s="38"/>
      <c r="BQ16" s="38"/>
      <c r="BR16" s="38"/>
      <c r="BS16" s="38"/>
      <c r="BT16" s="38"/>
      <c r="BU16" s="38"/>
      <c r="BV16" s="38"/>
      <c r="BW16" s="38"/>
      <c r="BX16" s="38"/>
      <c r="BY16" s="38"/>
      <c r="BZ16" s="38"/>
      <c r="CA16" s="38"/>
      <c r="CB16" s="38"/>
      <c r="CC16" s="38"/>
      <c r="CD16" s="38"/>
      <c r="CE16" s="38"/>
      <c r="CF16" s="38"/>
      <c r="CG16" s="38"/>
      <c r="CH16" s="38"/>
      <c r="CI16" s="38"/>
      <c r="CJ16" s="38"/>
      <c r="CK16" s="38"/>
      <c r="CL16" s="38"/>
      <c r="CM16" s="38"/>
      <c r="CN16" s="38"/>
      <c r="CO16" s="38"/>
      <c r="CP16" s="38"/>
      <c r="CQ16" s="38"/>
      <c r="CR16" s="38"/>
      <c r="CS16" s="38"/>
      <c r="CT16" s="38"/>
      <c r="CU16" s="38"/>
      <c r="CV16" s="38"/>
      <c r="CW16" s="38"/>
      <c r="CX16" s="38"/>
      <c r="CY16" s="38"/>
      <c r="CZ16" s="38"/>
      <c r="DA16" s="38"/>
      <c r="DB16" s="38"/>
      <c r="DC16" s="38"/>
      <c r="DD16" s="38"/>
      <c r="DE16" s="38"/>
    </row>
    <row r="17" spans="1:106">
      <c r="A17" s="48"/>
      <c r="B17" s="649"/>
      <c r="C17" s="214"/>
      <c r="D17" s="685"/>
      <c r="E17" s="685">
        <v>1</v>
      </c>
      <c r="F17" s="685">
        <v>2</v>
      </c>
      <c r="G17" s="685">
        <v>3</v>
      </c>
      <c r="H17" s="685">
        <v>4</v>
      </c>
      <c r="I17" s="685">
        <v>5</v>
      </c>
      <c r="J17" s="685">
        <v>6</v>
      </c>
      <c r="K17" s="685">
        <v>7</v>
      </c>
      <c r="L17" s="685">
        <v>8</v>
      </c>
      <c r="M17" s="685">
        <v>9</v>
      </c>
      <c r="N17" s="685">
        <v>10</v>
      </c>
      <c r="O17" s="685">
        <v>11</v>
      </c>
      <c r="P17" s="685">
        <v>12</v>
      </c>
      <c r="Q17" s="685">
        <v>13</v>
      </c>
      <c r="R17" s="685">
        <v>14</v>
      </c>
      <c r="S17" s="685">
        <v>15</v>
      </c>
      <c r="T17" s="685">
        <v>16</v>
      </c>
      <c r="U17" s="685">
        <v>17</v>
      </c>
      <c r="V17" s="685">
        <v>18</v>
      </c>
      <c r="W17" s="685">
        <v>19</v>
      </c>
      <c r="X17" s="685">
        <v>20</v>
      </c>
      <c r="Y17" s="685">
        <v>21</v>
      </c>
      <c r="Z17" s="685">
        <v>22</v>
      </c>
      <c r="AA17" s="685">
        <v>23</v>
      </c>
      <c r="AB17" s="685">
        <v>24</v>
      </c>
      <c r="AC17" s="685">
        <v>25</v>
      </c>
      <c r="AD17" s="685">
        <v>26</v>
      </c>
      <c r="AE17" s="685">
        <v>27</v>
      </c>
      <c r="AF17" s="685">
        <v>28</v>
      </c>
      <c r="AG17" s="685">
        <v>29</v>
      </c>
      <c r="AH17" s="685">
        <v>30</v>
      </c>
      <c r="AI17" s="685">
        <v>31</v>
      </c>
      <c r="AJ17" s="47"/>
      <c r="AK17" s="47"/>
      <c r="AL17" s="38"/>
      <c r="AM17" s="244">
        <f>D17</f>
        <v>0</v>
      </c>
      <c r="AN17" s="245">
        <f t="shared" ref="AN17:BQ18" si="1">E17</f>
        <v>1</v>
      </c>
      <c r="AO17" s="245">
        <f t="shared" si="1"/>
        <v>2</v>
      </c>
      <c r="AP17" s="245">
        <f t="shared" si="1"/>
        <v>3</v>
      </c>
      <c r="AQ17" s="245">
        <f t="shared" si="1"/>
        <v>4</v>
      </c>
      <c r="AR17" s="245">
        <f t="shared" si="1"/>
        <v>5</v>
      </c>
      <c r="AS17" s="245">
        <f t="shared" si="1"/>
        <v>6</v>
      </c>
      <c r="AT17" s="245">
        <f t="shared" si="1"/>
        <v>7</v>
      </c>
      <c r="AU17" s="245">
        <f t="shared" si="1"/>
        <v>8</v>
      </c>
      <c r="AV17" s="245">
        <f t="shared" si="1"/>
        <v>9</v>
      </c>
      <c r="AW17" s="245">
        <f t="shared" si="1"/>
        <v>10</v>
      </c>
      <c r="AX17" s="245">
        <f t="shared" si="1"/>
        <v>11</v>
      </c>
      <c r="AY17" s="245">
        <f t="shared" si="1"/>
        <v>12</v>
      </c>
      <c r="AZ17" s="245">
        <f t="shared" si="1"/>
        <v>13</v>
      </c>
      <c r="BA17" s="245">
        <f t="shared" si="1"/>
        <v>14</v>
      </c>
      <c r="BB17" s="245">
        <f t="shared" si="1"/>
        <v>15</v>
      </c>
      <c r="BC17" s="245">
        <f t="shared" si="1"/>
        <v>16</v>
      </c>
      <c r="BD17" s="245">
        <f t="shared" si="1"/>
        <v>17</v>
      </c>
      <c r="BE17" s="245">
        <f t="shared" si="1"/>
        <v>18</v>
      </c>
      <c r="BF17" s="245">
        <f t="shared" si="1"/>
        <v>19</v>
      </c>
      <c r="BG17" s="245">
        <f t="shared" si="1"/>
        <v>20</v>
      </c>
      <c r="BH17" s="245">
        <f t="shared" si="1"/>
        <v>21</v>
      </c>
      <c r="BI17" s="245">
        <f t="shared" si="1"/>
        <v>22</v>
      </c>
      <c r="BJ17" s="245">
        <f t="shared" si="1"/>
        <v>23</v>
      </c>
      <c r="BK17" s="245">
        <f t="shared" si="1"/>
        <v>24</v>
      </c>
      <c r="BL17" s="245">
        <f t="shared" si="1"/>
        <v>25</v>
      </c>
      <c r="BM17" s="245">
        <f t="shared" si="1"/>
        <v>26</v>
      </c>
      <c r="BN17" s="245">
        <f t="shared" si="1"/>
        <v>27</v>
      </c>
      <c r="BO17" s="245">
        <f t="shared" si="1"/>
        <v>28</v>
      </c>
      <c r="BP17" s="245">
        <f t="shared" si="1"/>
        <v>29</v>
      </c>
      <c r="BQ17" s="246">
        <f t="shared" si="1"/>
        <v>30</v>
      </c>
      <c r="BR17" s="38"/>
      <c r="BS17" s="38"/>
      <c r="BT17" s="38"/>
      <c r="BU17" s="38"/>
      <c r="BV17" s="38"/>
      <c r="BW17" s="38"/>
      <c r="BX17" s="38"/>
      <c r="BY17" s="38"/>
      <c r="BZ17" s="38"/>
      <c r="CA17" s="38"/>
      <c r="CB17" s="38"/>
      <c r="CC17" s="38"/>
      <c r="CD17" s="38"/>
      <c r="CE17" s="38"/>
      <c r="CF17" s="38"/>
      <c r="CG17" s="38"/>
      <c r="CH17" s="38"/>
      <c r="CI17" s="38"/>
      <c r="CJ17" s="38"/>
      <c r="CK17" s="38"/>
      <c r="CL17" s="38"/>
      <c r="CM17" s="38"/>
      <c r="CN17" s="38"/>
      <c r="CO17" s="38"/>
      <c r="CP17" s="38"/>
      <c r="CQ17" s="38"/>
      <c r="CR17" s="38"/>
      <c r="CS17" s="38"/>
      <c r="CT17" s="38"/>
      <c r="CU17" s="38"/>
      <c r="CV17" s="38"/>
      <c r="CW17" s="38"/>
      <c r="CX17" s="38"/>
      <c r="CY17" s="38"/>
      <c r="CZ17" s="38"/>
      <c r="DA17" s="38"/>
      <c r="DB17" s="38"/>
    </row>
    <row r="18" spans="1:106">
      <c r="A18" s="48"/>
      <c r="B18" s="650" t="s">
        <v>586</v>
      </c>
      <c r="C18" s="214"/>
      <c r="D18" s="850"/>
      <c r="E18" s="850">
        <f>Assum!$H$25</f>
        <v>2002</v>
      </c>
      <c r="F18" s="850">
        <f>E18+1</f>
        <v>2003</v>
      </c>
      <c r="G18" s="850">
        <f t="shared" ref="G18:X18" si="2">F18+1</f>
        <v>2004</v>
      </c>
      <c r="H18" s="850">
        <f t="shared" si="2"/>
        <v>2005</v>
      </c>
      <c r="I18" s="850">
        <f t="shared" si="2"/>
        <v>2006</v>
      </c>
      <c r="J18" s="850">
        <f t="shared" si="2"/>
        <v>2007</v>
      </c>
      <c r="K18" s="850">
        <f t="shared" si="2"/>
        <v>2008</v>
      </c>
      <c r="L18" s="850">
        <f t="shared" si="2"/>
        <v>2009</v>
      </c>
      <c r="M18" s="850">
        <f t="shared" si="2"/>
        <v>2010</v>
      </c>
      <c r="N18" s="850">
        <f t="shared" si="2"/>
        <v>2011</v>
      </c>
      <c r="O18" s="850">
        <f t="shared" si="2"/>
        <v>2012</v>
      </c>
      <c r="P18" s="850">
        <f t="shared" si="2"/>
        <v>2013</v>
      </c>
      <c r="Q18" s="850">
        <f t="shared" si="2"/>
        <v>2014</v>
      </c>
      <c r="R18" s="850">
        <f t="shared" si="2"/>
        <v>2015</v>
      </c>
      <c r="S18" s="850">
        <f t="shared" si="2"/>
        <v>2016</v>
      </c>
      <c r="T18" s="850">
        <f t="shared" si="2"/>
        <v>2017</v>
      </c>
      <c r="U18" s="850">
        <f t="shared" si="2"/>
        <v>2018</v>
      </c>
      <c r="V18" s="850">
        <f t="shared" si="2"/>
        <v>2019</v>
      </c>
      <c r="W18" s="850">
        <f t="shared" si="2"/>
        <v>2020</v>
      </c>
      <c r="X18" s="850">
        <f t="shared" si="2"/>
        <v>2021</v>
      </c>
      <c r="Y18" s="850">
        <f t="shared" ref="Y18:AH18" si="3">X18+1</f>
        <v>2022</v>
      </c>
      <c r="Z18" s="850">
        <f t="shared" si="3"/>
        <v>2023</v>
      </c>
      <c r="AA18" s="850">
        <f t="shared" si="3"/>
        <v>2024</v>
      </c>
      <c r="AB18" s="850">
        <f t="shared" si="3"/>
        <v>2025</v>
      </c>
      <c r="AC18" s="850">
        <f t="shared" si="3"/>
        <v>2026</v>
      </c>
      <c r="AD18" s="850">
        <f t="shared" si="3"/>
        <v>2027</v>
      </c>
      <c r="AE18" s="850">
        <f t="shared" si="3"/>
        <v>2028</v>
      </c>
      <c r="AF18" s="850">
        <f t="shared" si="3"/>
        <v>2029</v>
      </c>
      <c r="AG18" s="850">
        <f t="shared" si="3"/>
        <v>2030</v>
      </c>
      <c r="AH18" s="850">
        <f t="shared" si="3"/>
        <v>2031</v>
      </c>
      <c r="AI18" s="850">
        <f>AH18+1</f>
        <v>2032</v>
      </c>
      <c r="AJ18" s="47"/>
      <c r="AK18" s="47"/>
      <c r="AL18" s="38"/>
      <c r="AM18" s="247">
        <f>D18</f>
        <v>0</v>
      </c>
      <c r="AN18" s="248">
        <f t="shared" si="1"/>
        <v>2002</v>
      </c>
      <c r="AO18" s="248">
        <f t="shared" si="1"/>
        <v>2003</v>
      </c>
      <c r="AP18" s="248">
        <f t="shared" si="1"/>
        <v>2004</v>
      </c>
      <c r="AQ18" s="248">
        <f t="shared" si="1"/>
        <v>2005</v>
      </c>
      <c r="AR18" s="248">
        <f t="shared" si="1"/>
        <v>2006</v>
      </c>
      <c r="AS18" s="248">
        <f t="shared" si="1"/>
        <v>2007</v>
      </c>
      <c r="AT18" s="248">
        <f t="shared" si="1"/>
        <v>2008</v>
      </c>
      <c r="AU18" s="248">
        <f t="shared" si="1"/>
        <v>2009</v>
      </c>
      <c r="AV18" s="248">
        <f t="shared" si="1"/>
        <v>2010</v>
      </c>
      <c r="AW18" s="248">
        <f t="shared" si="1"/>
        <v>2011</v>
      </c>
      <c r="AX18" s="248">
        <f t="shared" si="1"/>
        <v>2012</v>
      </c>
      <c r="AY18" s="248">
        <f t="shared" si="1"/>
        <v>2013</v>
      </c>
      <c r="AZ18" s="248">
        <f t="shared" si="1"/>
        <v>2014</v>
      </c>
      <c r="BA18" s="248">
        <f t="shared" si="1"/>
        <v>2015</v>
      </c>
      <c r="BB18" s="248">
        <f t="shared" si="1"/>
        <v>2016</v>
      </c>
      <c r="BC18" s="248">
        <f t="shared" si="1"/>
        <v>2017</v>
      </c>
      <c r="BD18" s="248">
        <f t="shared" si="1"/>
        <v>2018</v>
      </c>
      <c r="BE18" s="248">
        <f t="shared" si="1"/>
        <v>2019</v>
      </c>
      <c r="BF18" s="248">
        <f t="shared" si="1"/>
        <v>2020</v>
      </c>
      <c r="BG18" s="248">
        <f t="shared" si="1"/>
        <v>2021</v>
      </c>
      <c r="BH18" s="248">
        <f t="shared" si="1"/>
        <v>2022</v>
      </c>
      <c r="BI18" s="248">
        <f t="shared" si="1"/>
        <v>2023</v>
      </c>
      <c r="BJ18" s="248">
        <f t="shared" si="1"/>
        <v>2024</v>
      </c>
      <c r="BK18" s="248">
        <f t="shared" si="1"/>
        <v>2025</v>
      </c>
      <c r="BL18" s="248">
        <f t="shared" si="1"/>
        <v>2026</v>
      </c>
      <c r="BM18" s="248">
        <f t="shared" si="1"/>
        <v>2027</v>
      </c>
      <c r="BN18" s="248">
        <f t="shared" si="1"/>
        <v>2028</v>
      </c>
      <c r="BO18" s="248">
        <f t="shared" si="1"/>
        <v>2029</v>
      </c>
      <c r="BP18" s="248">
        <f t="shared" si="1"/>
        <v>2030</v>
      </c>
      <c r="BQ18" s="249">
        <f t="shared" si="1"/>
        <v>2031</v>
      </c>
      <c r="BR18" s="38"/>
      <c r="BS18" s="38"/>
      <c r="BT18" s="38"/>
      <c r="BU18" s="38"/>
      <c r="BV18" s="38"/>
      <c r="BW18" s="38"/>
      <c r="BX18" s="38"/>
      <c r="BY18" s="38"/>
      <c r="BZ18" s="38"/>
      <c r="CA18" s="38"/>
      <c r="CB18" s="38"/>
      <c r="CC18" s="38"/>
      <c r="CD18" s="38"/>
      <c r="CE18" s="38"/>
      <c r="CF18" s="38"/>
      <c r="CG18" s="38"/>
      <c r="CH18" s="38"/>
      <c r="CI18" s="38"/>
      <c r="CJ18" s="38"/>
      <c r="CK18" s="38"/>
      <c r="CL18" s="38"/>
      <c r="CM18" s="38"/>
      <c r="CN18" s="38"/>
      <c r="CO18" s="38"/>
      <c r="CP18" s="38"/>
      <c r="CQ18" s="38"/>
      <c r="CR18" s="38"/>
      <c r="CS18" s="38"/>
      <c r="CT18" s="38"/>
      <c r="CU18" s="38"/>
      <c r="CV18" s="38"/>
      <c r="CW18" s="38"/>
      <c r="CX18" s="38"/>
      <c r="CY18" s="38"/>
      <c r="CZ18" s="38"/>
      <c r="DA18" s="38"/>
      <c r="DB18" s="38"/>
    </row>
    <row r="19" spans="1:106" s="65" customFormat="1">
      <c r="A19" s="169"/>
      <c r="B19" s="556" t="s">
        <v>407</v>
      </c>
      <c r="D19" s="287"/>
      <c r="E19" s="652">
        <f>CashFlow!E6</f>
        <v>0.99722222222222223</v>
      </c>
      <c r="F19" s="652">
        <f>CashFlow!F6</f>
        <v>1</v>
      </c>
      <c r="G19" s="652">
        <f>CashFlow!G6</f>
        <v>1</v>
      </c>
      <c r="H19" s="652">
        <f>CashFlow!H6</f>
        <v>1</v>
      </c>
      <c r="I19" s="652">
        <f>CashFlow!I6</f>
        <v>1</v>
      </c>
      <c r="J19" s="652">
        <f>CashFlow!J6</f>
        <v>1</v>
      </c>
      <c r="K19" s="652">
        <f>CashFlow!K6</f>
        <v>1</v>
      </c>
      <c r="L19" s="652">
        <f>CashFlow!L6</f>
        <v>1</v>
      </c>
      <c r="M19" s="652">
        <f>CashFlow!M6</f>
        <v>1</v>
      </c>
      <c r="N19" s="652">
        <f>CashFlow!N6</f>
        <v>1</v>
      </c>
      <c r="O19" s="652">
        <f>CashFlow!O6</f>
        <v>1</v>
      </c>
      <c r="P19" s="652">
        <f>CashFlow!P6</f>
        <v>1</v>
      </c>
      <c r="Q19" s="652">
        <f>CashFlow!Q6</f>
        <v>1</v>
      </c>
      <c r="R19" s="652">
        <f>CashFlow!R6</f>
        <v>1</v>
      </c>
      <c r="S19" s="652">
        <f>CashFlow!S6</f>
        <v>1</v>
      </c>
      <c r="T19" s="652">
        <f>CashFlow!T6</f>
        <v>1</v>
      </c>
      <c r="U19" s="652">
        <f>CashFlow!U6</f>
        <v>1</v>
      </c>
      <c r="V19" s="652">
        <f>CashFlow!V6</f>
        <v>1</v>
      </c>
      <c r="W19" s="652">
        <f>CashFlow!W6</f>
        <v>1</v>
      </c>
      <c r="X19" s="652">
        <f>CashFlow!X6</f>
        <v>1</v>
      </c>
      <c r="Y19" s="652">
        <f>CashFlow!Y6</f>
        <v>2.7777777777777679E-3</v>
      </c>
      <c r="Z19" s="652">
        <f>CashFlow!Z6</f>
        <v>0</v>
      </c>
      <c r="AA19" s="652">
        <f>CashFlow!AA6</f>
        <v>0</v>
      </c>
      <c r="AB19" s="652">
        <f>CashFlow!AB6</f>
        <v>0</v>
      </c>
      <c r="AC19" s="652">
        <f>CashFlow!AC6</f>
        <v>0</v>
      </c>
      <c r="AD19" s="652">
        <f>CashFlow!AD6</f>
        <v>0</v>
      </c>
      <c r="AE19" s="652">
        <f>CashFlow!AE6</f>
        <v>0</v>
      </c>
      <c r="AF19" s="652">
        <f>CashFlow!AF6</f>
        <v>0</v>
      </c>
      <c r="AG19" s="652">
        <f>CashFlow!AG6</f>
        <v>0</v>
      </c>
      <c r="AH19" s="652">
        <f>CashFlow!AH6</f>
        <v>0</v>
      </c>
      <c r="AI19" s="652">
        <f>CashFlow!AI6</f>
        <v>0</v>
      </c>
      <c r="AJ19" s="168"/>
      <c r="AK19" s="168"/>
      <c r="AL19" s="168"/>
      <c r="AM19" s="287"/>
      <c r="AN19" s="287"/>
      <c r="AO19" s="287"/>
      <c r="AP19" s="287"/>
      <c r="AQ19" s="287"/>
      <c r="AR19" s="287"/>
      <c r="AS19" s="287"/>
      <c r="AT19" s="287"/>
      <c r="AU19" s="287"/>
      <c r="AV19" s="287"/>
      <c r="AW19" s="287"/>
      <c r="AX19" s="287"/>
      <c r="AY19" s="287"/>
      <c r="AZ19" s="287"/>
      <c r="BA19" s="287"/>
      <c r="BB19" s="287"/>
      <c r="BC19" s="287"/>
      <c r="BD19" s="287"/>
      <c r="BE19" s="287"/>
      <c r="BF19" s="287"/>
      <c r="BG19" s="287"/>
      <c r="BH19" s="287"/>
      <c r="BI19" s="287"/>
      <c r="BJ19" s="287"/>
      <c r="BK19" s="287"/>
      <c r="BL19" s="287"/>
      <c r="BM19" s="287"/>
      <c r="BN19" s="287"/>
      <c r="BO19" s="287"/>
      <c r="BP19" s="287"/>
      <c r="BQ19" s="287"/>
      <c r="BR19" s="168"/>
      <c r="BS19" s="168"/>
      <c r="BT19" s="168"/>
      <c r="BU19" s="168"/>
      <c r="BV19" s="168"/>
      <c r="BW19" s="168"/>
      <c r="BX19" s="168"/>
      <c r="BY19" s="168"/>
      <c r="BZ19" s="168"/>
      <c r="CA19" s="168"/>
      <c r="CB19" s="168"/>
      <c r="CC19" s="168"/>
      <c r="CD19" s="168"/>
      <c r="CE19" s="168"/>
      <c r="CF19" s="168"/>
      <c r="CG19" s="168"/>
      <c r="CH19" s="168"/>
      <c r="CI19" s="168"/>
      <c r="CJ19" s="168"/>
      <c r="CK19" s="168"/>
      <c r="CL19" s="168"/>
      <c r="CM19" s="168"/>
      <c r="CN19" s="168"/>
      <c r="CO19" s="168"/>
      <c r="CP19" s="168"/>
      <c r="CQ19" s="168"/>
      <c r="CR19" s="168"/>
      <c r="CS19" s="168"/>
      <c r="CT19" s="168"/>
      <c r="CU19" s="168"/>
      <c r="CV19" s="168"/>
      <c r="CW19" s="168"/>
      <c r="CX19" s="168"/>
      <c r="CY19" s="168"/>
      <c r="CZ19" s="168"/>
      <c r="DA19" s="168"/>
      <c r="DB19" s="168"/>
    </row>
    <row r="20" spans="1:106">
      <c r="A20" s="39"/>
      <c r="B20" s="1581" t="str">
        <f>D10</f>
        <v>MACRS HALFYR</v>
      </c>
      <c r="D20" s="320"/>
      <c r="E20" s="430">
        <f>IF(Assum!$H$24&gt;0.25,Assum!E208,Assum!E207)</f>
        <v>0.2</v>
      </c>
      <c r="F20" s="430">
        <f>IF(Assum!$H$24&gt;0.25,Assum!F208,Assum!F207)</f>
        <v>0.32</v>
      </c>
      <c r="G20" s="430">
        <f>IF(Assum!$H$24&gt;0.25,Assum!G208,Assum!G207)</f>
        <v>0.192</v>
      </c>
      <c r="H20" s="430">
        <f>IF(Assum!$H$24&gt;0.25,Assum!H208,Assum!H207)</f>
        <v>0.1152</v>
      </c>
      <c r="I20" s="430">
        <f>IF(Assum!$H$24&gt;0.25,Assum!I208,Assum!I207)</f>
        <v>0.1152</v>
      </c>
      <c r="J20" s="430">
        <f>IF(Assum!$H$24&gt;0.25,Assum!J208,Assum!J207)</f>
        <v>5.7599999999999998E-2</v>
      </c>
      <c r="K20" s="430">
        <f>IF(Assum!$H$24&gt;0.25,Assum!K208,Assum!K207)</f>
        <v>0</v>
      </c>
      <c r="L20" s="430">
        <f>IF(Assum!$H$24&gt;0.25,Assum!L208,Assum!L207)</f>
        <v>0</v>
      </c>
      <c r="M20" s="430">
        <f>IF(Assum!$H$24&gt;0.25,Assum!M208,Assum!M207)</f>
        <v>0</v>
      </c>
      <c r="N20" s="430">
        <f>IF(Assum!$H$24&gt;0.25,Assum!N208,Assum!N207)</f>
        <v>0</v>
      </c>
      <c r="O20" s="430">
        <f>IF(Assum!$H$24&gt;0.25,Assum!O208,Assum!O207)</f>
        <v>0</v>
      </c>
      <c r="P20" s="430">
        <f>IF(Assum!$H$24&gt;0.25,Assum!P208,Assum!P207)</f>
        <v>0</v>
      </c>
      <c r="Q20" s="430">
        <f>IF(Assum!$H$24&gt;0.25,Assum!Q208,Assum!Q207)</f>
        <v>0</v>
      </c>
      <c r="R20" s="430">
        <f>IF(Assum!$H$24&gt;0.25,Assum!R208,Assum!R207)</f>
        <v>0</v>
      </c>
      <c r="S20" s="430">
        <f>IF(Assum!$H$24&gt;0.25,Assum!S208,Assum!S207)</f>
        <v>0</v>
      </c>
      <c r="T20" s="430">
        <f>IF(Assum!$H$24&gt;0.25,Assum!T208,Assum!T207)</f>
        <v>0</v>
      </c>
      <c r="U20" s="430">
        <f>IF(Assum!$H$24&gt;0.25,Assum!U208,Assum!U207)</f>
        <v>0</v>
      </c>
      <c r="V20" s="430">
        <f>IF(Assum!$H$24&gt;0.25,Assum!V208,Assum!V207)</f>
        <v>0</v>
      </c>
      <c r="W20" s="430">
        <f>IF(Assum!$H$24&gt;0.25,Assum!W208,Assum!W207)</f>
        <v>0</v>
      </c>
      <c r="X20" s="430">
        <f>IF(Assum!$H$24&gt;0.25,Assum!X208,Assum!X207)</f>
        <v>0</v>
      </c>
      <c r="Y20" s="430">
        <f>IF(Assum!$H$24&gt;0.25,Assum!Y208,Assum!Y207)</f>
        <v>0</v>
      </c>
      <c r="Z20" s="430">
        <f>IF(Assum!$H$24&gt;0.25,Assum!Z208,Assum!Z207)</f>
        <v>0</v>
      </c>
      <c r="AA20" s="430">
        <f>IF(Assum!$H$24&gt;0.25,Assum!AA208,Assum!AA207)</f>
        <v>0</v>
      </c>
      <c r="AB20" s="430">
        <f>IF(Assum!$H$24&gt;0.25,Assum!AB208,Assum!AB207)</f>
        <v>0</v>
      </c>
      <c r="AC20" s="430">
        <f>IF(Assum!$H$24&gt;0.25,Assum!AC208,Assum!AC207)</f>
        <v>0</v>
      </c>
      <c r="AD20" s="430">
        <f>IF(Assum!$H$24&gt;0.25,Assum!AD208,Assum!AD207)</f>
        <v>0</v>
      </c>
      <c r="AE20" s="430">
        <f>IF(Assum!$H$24&gt;0.25,Assum!AE208,Assum!AE207)</f>
        <v>0</v>
      </c>
      <c r="AF20" s="430">
        <f>IF(Assum!$H$24&gt;0.25,Assum!AF208,Assum!AF207)</f>
        <v>0</v>
      </c>
      <c r="AG20" s="430">
        <f>IF(Assum!$H$24&gt;0.25,Assum!AG208,Assum!AG207)</f>
        <v>0</v>
      </c>
      <c r="AH20" s="430">
        <f>IF(Assum!$H$24&gt;0.25,Assum!AH208,Assum!AH207)</f>
        <v>0</v>
      </c>
      <c r="AI20" s="430">
        <f>IF(Assum!$H$24&gt;0.25,Assum!AI208,Assum!AI207)</f>
        <v>0</v>
      </c>
      <c r="AJ20" s="47"/>
      <c r="AK20" s="47"/>
      <c r="AL20" s="38"/>
      <c r="AM20" s="320"/>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8"/>
      <c r="BS20" s="38"/>
      <c r="BT20" s="38"/>
      <c r="BU20" s="38"/>
      <c r="BV20" s="38"/>
      <c r="BW20" s="38"/>
      <c r="BX20" s="38"/>
      <c r="BY20" s="38"/>
      <c r="BZ20" s="38"/>
      <c r="CA20" s="38"/>
      <c r="CB20" s="38"/>
      <c r="CC20" s="38"/>
      <c r="CD20" s="38"/>
      <c r="CE20" s="38"/>
      <c r="CF20" s="38"/>
      <c r="CG20" s="38"/>
      <c r="CH20" s="38"/>
      <c r="CI20" s="38"/>
      <c r="CJ20" s="38"/>
      <c r="CK20" s="38"/>
      <c r="CL20" s="38"/>
      <c r="CM20" s="38"/>
      <c r="CN20" s="38"/>
      <c r="CO20" s="38"/>
      <c r="CP20" s="38"/>
      <c r="CQ20" s="38"/>
      <c r="CR20" s="38"/>
      <c r="CS20" s="38"/>
      <c r="CT20" s="38"/>
      <c r="CU20" s="38"/>
      <c r="CV20" s="38"/>
      <c r="CW20" s="38"/>
      <c r="CX20" s="38"/>
      <c r="CY20" s="38"/>
      <c r="CZ20" s="38"/>
      <c r="DA20" s="38"/>
      <c r="DB20" s="38"/>
    </row>
    <row r="21" spans="1:106">
      <c r="A21" s="39"/>
      <c r="B21" s="18" t="s">
        <v>545</v>
      </c>
      <c r="D21" s="329"/>
      <c r="E21" s="430">
        <f>1/$D$13*E19</f>
        <v>4.9861111111111113E-2</v>
      </c>
      <c r="F21" s="430">
        <f t="shared" ref="F21:AH21" si="4">1/$D$13*F19</f>
        <v>0.05</v>
      </c>
      <c r="G21" s="430">
        <f t="shared" si="4"/>
        <v>0.05</v>
      </c>
      <c r="H21" s="430">
        <f t="shared" si="4"/>
        <v>0.05</v>
      </c>
      <c r="I21" s="430">
        <f t="shared" si="4"/>
        <v>0.05</v>
      </c>
      <c r="J21" s="430">
        <f t="shared" si="4"/>
        <v>0.05</v>
      </c>
      <c r="K21" s="430">
        <f t="shared" si="4"/>
        <v>0.05</v>
      </c>
      <c r="L21" s="430">
        <f t="shared" si="4"/>
        <v>0.05</v>
      </c>
      <c r="M21" s="430">
        <f t="shared" si="4"/>
        <v>0.05</v>
      </c>
      <c r="N21" s="430">
        <f t="shared" si="4"/>
        <v>0.05</v>
      </c>
      <c r="O21" s="430">
        <f t="shared" si="4"/>
        <v>0.05</v>
      </c>
      <c r="P21" s="430">
        <f t="shared" si="4"/>
        <v>0.05</v>
      </c>
      <c r="Q21" s="430">
        <f t="shared" si="4"/>
        <v>0.05</v>
      </c>
      <c r="R21" s="430">
        <f t="shared" si="4"/>
        <v>0.05</v>
      </c>
      <c r="S21" s="430">
        <f t="shared" si="4"/>
        <v>0.05</v>
      </c>
      <c r="T21" s="430">
        <f t="shared" si="4"/>
        <v>0.05</v>
      </c>
      <c r="U21" s="430">
        <f t="shared" si="4"/>
        <v>0.05</v>
      </c>
      <c r="V21" s="430">
        <f t="shared" si="4"/>
        <v>0.05</v>
      </c>
      <c r="W21" s="430">
        <f t="shared" si="4"/>
        <v>0.05</v>
      </c>
      <c r="X21" s="430">
        <f t="shared" si="4"/>
        <v>0.05</v>
      </c>
      <c r="Y21" s="430">
        <f t="shared" si="4"/>
        <v>1.388888888888884E-4</v>
      </c>
      <c r="Z21" s="430">
        <f t="shared" si="4"/>
        <v>0</v>
      </c>
      <c r="AA21" s="430">
        <f t="shared" si="4"/>
        <v>0</v>
      </c>
      <c r="AB21" s="430">
        <f t="shared" si="4"/>
        <v>0</v>
      </c>
      <c r="AC21" s="430">
        <f t="shared" si="4"/>
        <v>0</v>
      </c>
      <c r="AD21" s="430">
        <f t="shared" si="4"/>
        <v>0</v>
      </c>
      <c r="AE21" s="430">
        <f t="shared" si="4"/>
        <v>0</v>
      </c>
      <c r="AF21" s="430">
        <f t="shared" si="4"/>
        <v>0</v>
      </c>
      <c r="AG21" s="430">
        <f t="shared" si="4"/>
        <v>0</v>
      </c>
      <c r="AH21" s="430">
        <f t="shared" si="4"/>
        <v>0</v>
      </c>
      <c r="AI21" s="430">
        <f>1/$D$13*AI19</f>
        <v>0</v>
      </c>
      <c r="AJ21" s="47"/>
      <c r="AK21" s="47"/>
      <c r="AL21" s="38"/>
      <c r="AM21" s="32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8"/>
      <c r="BS21" s="38"/>
      <c r="BT21" s="38"/>
      <c r="BU21" s="38"/>
      <c r="BV21" s="38"/>
      <c r="BW21" s="38"/>
      <c r="BX21" s="38"/>
      <c r="BY21" s="38"/>
      <c r="BZ21" s="38"/>
      <c r="CA21" s="38"/>
      <c r="CB21" s="38"/>
      <c r="CC21" s="38"/>
      <c r="CD21" s="38"/>
      <c r="CE21" s="38"/>
      <c r="CF21" s="38"/>
      <c r="CG21" s="38"/>
      <c r="CH21" s="38"/>
      <c r="CI21" s="38"/>
      <c r="CJ21" s="38"/>
      <c r="CK21" s="38"/>
      <c r="CL21" s="38"/>
      <c r="CM21" s="38"/>
      <c r="CN21" s="38"/>
      <c r="CO21" s="38"/>
      <c r="CP21" s="38"/>
      <c r="CQ21" s="38"/>
      <c r="CR21" s="38"/>
      <c r="CS21" s="38"/>
      <c r="CT21" s="38"/>
      <c r="CU21" s="38"/>
      <c r="CV21" s="38"/>
      <c r="CW21" s="38"/>
      <c r="CX21" s="38"/>
      <c r="CY21" s="38"/>
      <c r="CZ21" s="38"/>
      <c r="DA21" s="38"/>
      <c r="DB21" s="38"/>
    </row>
    <row r="22" spans="1:106">
      <c r="A22" s="39"/>
      <c r="B22" s="18"/>
      <c r="D22" s="329"/>
      <c r="E22" s="39"/>
      <c r="F22" s="39"/>
      <c r="G22" s="39"/>
      <c r="H22" s="39"/>
      <c r="I22" s="39"/>
      <c r="J22" s="39"/>
      <c r="K22" s="39"/>
      <c r="L22" s="39"/>
      <c r="M22" s="39"/>
      <c r="N22" s="39"/>
      <c r="O22" s="39"/>
      <c r="P22" s="39"/>
      <c r="Q22" s="39"/>
      <c r="R22" s="39"/>
      <c r="S22" s="39"/>
      <c r="T22" s="39"/>
      <c r="U22" s="39"/>
      <c r="V22" s="39"/>
      <c r="W22" s="39"/>
      <c r="X22" s="39"/>
      <c r="Y22" s="39"/>
      <c r="Z22" s="39"/>
      <c r="AA22" s="39"/>
      <c r="AB22" s="39"/>
      <c r="AC22" s="39"/>
      <c r="AD22" s="39"/>
      <c r="AE22" s="39"/>
      <c r="AF22" s="39"/>
      <c r="AG22" s="39"/>
      <c r="AH22" s="39"/>
      <c r="AI22" s="39"/>
      <c r="AJ22" s="47"/>
      <c r="AK22" s="47"/>
      <c r="AL22" s="38"/>
      <c r="AM22" s="32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8"/>
      <c r="BS22" s="38"/>
      <c r="BT22" s="38"/>
      <c r="BU22" s="38"/>
      <c r="BV22" s="38"/>
      <c r="BW22" s="38"/>
      <c r="BX22" s="38"/>
      <c r="BY22" s="38"/>
      <c r="BZ22" s="38"/>
      <c r="CA22" s="38"/>
      <c r="CB22" s="38"/>
      <c r="CC22" s="38"/>
      <c r="CD22" s="38"/>
      <c r="CE22" s="38"/>
      <c r="CF22" s="38"/>
      <c r="CG22" s="38"/>
      <c r="CH22" s="38"/>
      <c r="CI22" s="38"/>
      <c r="CJ22" s="38"/>
      <c r="CK22" s="38"/>
      <c r="CL22" s="38"/>
      <c r="CM22" s="38"/>
      <c r="CN22" s="38"/>
      <c r="CO22" s="38"/>
      <c r="CP22" s="38"/>
      <c r="CQ22" s="38"/>
      <c r="CR22" s="38"/>
      <c r="CS22" s="38"/>
      <c r="CT22" s="38"/>
      <c r="CU22" s="38"/>
      <c r="CV22" s="38"/>
      <c r="CW22" s="38"/>
      <c r="CX22" s="38"/>
      <c r="CY22" s="38"/>
      <c r="CZ22" s="38"/>
      <c r="DA22" s="38"/>
      <c r="DB22" s="38"/>
    </row>
    <row r="23" spans="1:106" s="59" customFormat="1">
      <c r="A23" s="64"/>
      <c r="B23" s="324" t="s">
        <v>300</v>
      </c>
      <c r="C23" s="852">
        <f ca="1">SUM(E23:AH23)</f>
        <v>122454.15911046657</v>
      </c>
      <c r="D23" s="325"/>
      <c r="E23" s="64">
        <f t="shared" ref="E23:AI23" ca="1" si="5">$E$10*E20</f>
        <v>24490.831823041899</v>
      </c>
      <c r="F23" s="64">
        <f t="shared" ca="1" si="5"/>
        <v>39185.330916867038</v>
      </c>
      <c r="G23" s="64">
        <f t="shared" ca="1" si="5"/>
        <v>23511.198550120222</v>
      </c>
      <c r="H23" s="64">
        <f t="shared" ca="1" si="5"/>
        <v>14106.719130072133</v>
      </c>
      <c r="I23" s="64">
        <f t="shared" ca="1" si="5"/>
        <v>14106.719130072133</v>
      </c>
      <c r="J23" s="64">
        <f t="shared" ca="1" si="5"/>
        <v>7053.3595650360667</v>
      </c>
      <c r="K23" s="64">
        <f t="shared" ca="1" si="5"/>
        <v>0</v>
      </c>
      <c r="L23" s="64">
        <f t="shared" ca="1" si="5"/>
        <v>0</v>
      </c>
      <c r="M23" s="64">
        <f t="shared" ca="1" si="5"/>
        <v>0</v>
      </c>
      <c r="N23" s="64">
        <f t="shared" ca="1" si="5"/>
        <v>0</v>
      </c>
      <c r="O23" s="64">
        <f t="shared" ca="1" si="5"/>
        <v>0</v>
      </c>
      <c r="P23" s="64">
        <f t="shared" ca="1" si="5"/>
        <v>0</v>
      </c>
      <c r="Q23" s="64">
        <f t="shared" ca="1" si="5"/>
        <v>0</v>
      </c>
      <c r="R23" s="64">
        <f t="shared" ca="1" si="5"/>
        <v>0</v>
      </c>
      <c r="S23" s="64">
        <f t="shared" ca="1" si="5"/>
        <v>0</v>
      </c>
      <c r="T23" s="64">
        <f t="shared" ca="1" si="5"/>
        <v>0</v>
      </c>
      <c r="U23" s="64">
        <f t="shared" ca="1" si="5"/>
        <v>0</v>
      </c>
      <c r="V23" s="64">
        <f t="shared" ca="1" si="5"/>
        <v>0</v>
      </c>
      <c r="W23" s="64">
        <f t="shared" ca="1" si="5"/>
        <v>0</v>
      </c>
      <c r="X23" s="64">
        <f t="shared" ca="1" si="5"/>
        <v>0</v>
      </c>
      <c r="Y23" s="64">
        <f t="shared" ca="1" si="5"/>
        <v>0</v>
      </c>
      <c r="Z23" s="64">
        <f t="shared" ca="1" si="5"/>
        <v>0</v>
      </c>
      <c r="AA23" s="64">
        <f t="shared" ca="1" si="5"/>
        <v>0</v>
      </c>
      <c r="AB23" s="64">
        <f t="shared" ca="1" si="5"/>
        <v>0</v>
      </c>
      <c r="AC23" s="64">
        <f t="shared" ca="1" si="5"/>
        <v>0</v>
      </c>
      <c r="AD23" s="64">
        <f t="shared" ca="1" si="5"/>
        <v>0</v>
      </c>
      <c r="AE23" s="64">
        <f t="shared" ca="1" si="5"/>
        <v>0</v>
      </c>
      <c r="AF23" s="64">
        <f t="shared" ca="1" si="5"/>
        <v>0</v>
      </c>
      <c r="AG23" s="64">
        <f t="shared" ca="1" si="5"/>
        <v>0</v>
      </c>
      <c r="AH23" s="64">
        <f t="shared" ca="1" si="5"/>
        <v>0</v>
      </c>
      <c r="AI23" s="64">
        <f t="shared" ca="1" si="5"/>
        <v>0</v>
      </c>
      <c r="AJ23" s="648"/>
      <c r="AK23" s="648"/>
      <c r="AL23" s="64"/>
      <c r="AM23" s="325"/>
      <c r="AN23" s="64"/>
      <c r="AO23" s="64"/>
      <c r="AP23" s="64"/>
      <c r="AQ23" s="64"/>
      <c r="AR23" s="64"/>
      <c r="AS23" s="64"/>
      <c r="AT23" s="64"/>
      <c r="AU23" s="64"/>
      <c r="AV23" s="64"/>
      <c r="AW23" s="64"/>
      <c r="AX23" s="64"/>
      <c r="AY23" s="64"/>
      <c r="AZ23" s="64"/>
      <c r="BA23" s="64"/>
      <c r="BB23" s="64"/>
      <c r="BC23" s="64"/>
      <c r="BD23" s="64"/>
      <c r="BE23" s="64"/>
      <c r="BF23" s="64"/>
      <c r="BG23" s="64"/>
      <c r="BH23" s="64"/>
      <c r="BI23" s="64"/>
      <c r="BJ23" s="64"/>
      <c r="BK23" s="64"/>
      <c r="BL23" s="64"/>
      <c r="BM23" s="64"/>
      <c r="BN23" s="64"/>
      <c r="BO23" s="64"/>
      <c r="BP23" s="64"/>
      <c r="BQ23" s="64"/>
      <c r="BR23" s="64"/>
      <c r="BS23" s="64"/>
      <c r="BT23" s="64"/>
      <c r="BU23" s="64"/>
      <c r="BV23" s="64"/>
      <c r="BW23" s="64"/>
      <c r="BX23" s="64"/>
      <c r="BY23" s="64"/>
      <c r="BZ23" s="64"/>
      <c r="CA23" s="64"/>
      <c r="CB23" s="64"/>
      <c r="CC23" s="64"/>
      <c r="CD23" s="64"/>
      <c r="CE23" s="64"/>
      <c r="CF23" s="64"/>
      <c r="CG23" s="64"/>
      <c r="CH23" s="64"/>
      <c r="CI23" s="64"/>
      <c r="CJ23" s="64"/>
      <c r="CK23" s="64"/>
      <c r="CL23" s="64"/>
      <c r="CM23" s="64"/>
      <c r="CN23" s="64"/>
      <c r="CO23" s="64"/>
      <c r="CP23" s="64"/>
      <c r="CQ23" s="64"/>
      <c r="CR23" s="64"/>
      <c r="CS23" s="64"/>
      <c r="CT23" s="64"/>
      <c r="CU23" s="64"/>
      <c r="CV23" s="64"/>
      <c r="CW23" s="64"/>
      <c r="CX23" s="64"/>
      <c r="CY23" s="64"/>
      <c r="CZ23" s="64"/>
      <c r="DA23" s="64"/>
      <c r="DB23" s="64"/>
    </row>
    <row r="24" spans="1:106" s="59" customFormat="1">
      <c r="A24" s="64"/>
      <c r="B24" s="64" t="s">
        <v>301</v>
      </c>
      <c r="C24" s="852">
        <f ca="1">SUM(E24:AI24)</f>
        <v>122454.15911046664</v>
      </c>
      <c r="D24" s="325"/>
      <c r="E24" s="64">
        <f t="shared" ref="E24:AI24" ca="1" si="6">$E$10*E21</f>
        <v>6105.7004336611399</v>
      </c>
      <c r="F24" s="64">
        <f t="shared" ca="1" si="6"/>
        <v>6122.7079557604748</v>
      </c>
      <c r="G24" s="64">
        <f t="shared" ca="1" si="6"/>
        <v>6122.7079557604748</v>
      </c>
      <c r="H24" s="64">
        <f t="shared" ca="1" si="6"/>
        <v>6122.7079557604748</v>
      </c>
      <c r="I24" s="64">
        <f t="shared" ca="1" si="6"/>
        <v>6122.7079557604748</v>
      </c>
      <c r="J24" s="64">
        <f t="shared" ca="1" si="6"/>
        <v>6122.7079557604748</v>
      </c>
      <c r="K24" s="64">
        <f t="shared" ca="1" si="6"/>
        <v>6122.7079557604748</v>
      </c>
      <c r="L24" s="64">
        <f t="shared" ca="1" si="6"/>
        <v>6122.7079557604748</v>
      </c>
      <c r="M24" s="64">
        <f t="shared" ca="1" si="6"/>
        <v>6122.7079557604748</v>
      </c>
      <c r="N24" s="64">
        <f t="shared" ca="1" si="6"/>
        <v>6122.7079557604748</v>
      </c>
      <c r="O24" s="64">
        <f t="shared" ca="1" si="6"/>
        <v>6122.7079557604748</v>
      </c>
      <c r="P24" s="64">
        <f t="shared" ca="1" si="6"/>
        <v>6122.7079557604748</v>
      </c>
      <c r="Q24" s="64">
        <f t="shared" ca="1" si="6"/>
        <v>6122.7079557604748</v>
      </c>
      <c r="R24" s="64">
        <f t="shared" ca="1" si="6"/>
        <v>6122.7079557604748</v>
      </c>
      <c r="S24" s="64">
        <f t="shared" ca="1" si="6"/>
        <v>6122.7079557604748</v>
      </c>
      <c r="T24" s="64">
        <f t="shared" ca="1" si="6"/>
        <v>6122.7079557604748</v>
      </c>
      <c r="U24" s="64">
        <f t="shared" ca="1" si="6"/>
        <v>6122.7079557604748</v>
      </c>
      <c r="V24" s="64">
        <f t="shared" ca="1" si="6"/>
        <v>6122.7079557604748</v>
      </c>
      <c r="W24" s="64">
        <f t="shared" ca="1" si="6"/>
        <v>6122.7079557604748</v>
      </c>
      <c r="X24" s="64">
        <f t="shared" ca="1" si="6"/>
        <v>6122.7079557604748</v>
      </c>
      <c r="Y24" s="64">
        <f t="shared" ca="1" si="6"/>
        <v>17.00752209933459</v>
      </c>
      <c r="Z24" s="64">
        <f t="shared" ca="1" si="6"/>
        <v>0</v>
      </c>
      <c r="AA24" s="64">
        <f t="shared" ca="1" si="6"/>
        <v>0</v>
      </c>
      <c r="AB24" s="64">
        <f t="shared" ca="1" si="6"/>
        <v>0</v>
      </c>
      <c r="AC24" s="64">
        <f t="shared" ca="1" si="6"/>
        <v>0</v>
      </c>
      <c r="AD24" s="64">
        <f t="shared" ca="1" si="6"/>
        <v>0</v>
      </c>
      <c r="AE24" s="64">
        <f t="shared" ca="1" si="6"/>
        <v>0</v>
      </c>
      <c r="AF24" s="64">
        <f t="shared" ca="1" si="6"/>
        <v>0</v>
      </c>
      <c r="AG24" s="64">
        <f t="shared" ca="1" si="6"/>
        <v>0</v>
      </c>
      <c r="AH24" s="64">
        <f t="shared" ca="1" si="6"/>
        <v>0</v>
      </c>
      <c r="AI24" s="64">
        <f t="shared" ca="1" si="6"/>
        <v>0</v>
      </c>
      <c r="AJ24" s="648"/>
      <c r="AK24" s="648"/>
      <c r="AL24" s="64"/>
      <c r="AM24" s="325"/>
      <c r="AN24" s="64"/>
      <c r="AO24" s="64"/>
      <c r="AP24" s="64"/>
      <c r="AQ24" s="64"/>
      <c r="AR24" s="64"/>
      <c r="AS24" s="64"/>
      <c r="AT24" s="64"/>
      <c r="AU24" s="64"/>
      <c r="AV24" s="64"/>
      <c r="AW24" s="64"/>
      <c r="AX24" s="64"/>
      <c r="AY24" s="64"/>
      <c r="AZ24" s="64"/>
      <c r="BA24" s="64"/>
      <c r="BB24" s="64"/>
      <c r="BC24" s="64"/>
      <c r="BD24" s="64"/>
      <c r="BE24" s="64"/>
      <c r="BF24" s="64"/>
      <c r="BG24" s="64"/>
      <c r="BH24" s="64"/>
      <c r="BI24" s="64"/>
      <c r="BJ24" s="64"/>
      <c r="BK24" s="64"/>
      <c r="BL24" s="64"/>
      <c r="BM24" s="64"/>
      <c r="BN24" s="64"/>
      <c r="BO24" s="64"/>
      <c r="BP24" s="64"/>
      <c r="BQ24" s="64"/>
      <c r="BR24" s="64"/>
      <c r="BS24" s="64"/>
      <c r="BT24" s="64"/>
      <c r="BU24" s="64"/>
      <c r="BV24" s="64"/>
      <c r="BW24" s="64"/>
      <c r="BX24" s="64"/>
      <c r="BY24" s="64"/>
      <c r="BZ24" s="64"/>
      <c r="CA24" s="64"/>
      <c r="CB24" s="64"/>
      <c r="CC24" s="64"/>
      <c r="CD24" s="64"/>
      <c r="CE24" s="64"/>
      <c r="CF24" s="64"/>
      <c r="CG24" s="64"/>
      <c r="CH24" s="64"/>
      <c r="CI24" s="64"/>
      <c r="CJ24" s="64"/>
      <c r="CK24" s="64"/>
      <c r="CL24" s="64"/>
      <c r="CM24" s="64"/>
      <c r="CN24" s="64"/>
      <c r="CO24" s="64"/>
      <c r="CP24" s="64"/>
      <c r="CQ24" s="64"/>
      <c r="CR24" s="64"/>
      <c r="CS24" s="64"/>
      <c r="CT24" s="64"/>
      <c r="CU24" s="64"/>
      <c r="CV24" s="64"/>
      <c r="CW24" s="64"/>
      <c r="CX24" s="64"/>
      <c r="CY24" s="64"/>
      <c r="CZ24" s="64"/>
      <c r="DA24" s="64"/>
      <c r="DB24" s="64"/>
    </row>
    <row r="25" spans="1:106" s="59" customFormat="1">
      <c r="A25" s="64"/>
      <c r="B25" s="64"/>
      <c r="C25" s="64"/>
      <c r="D25" s="325"/>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8"/>
      <c r="AK25" s="648"/>
      <c r="AL25" s="64"/>
      <c r="AM25" s="325"/>
      <c r="AN25" s="64"/>
      <c r="AO25" s="64"/>
      <c r="AP25" s="64"/>
      <c r="AQ25" s="64"/>
      <c r="AR25" s="64"/>
      <c r="AS25" s="64"/>
      <c r="AT25" s="64"/>
      <c r="AU25" s="64"/>
      <c r="AV25" s="64"/>
      <c r="AW25" s="64"/>
      <c r="AX25" s="64"/>
      <c r="AY25" s="64"/>
      <c r="AZ25" s="64"/>
      <c r="BA25" s="64"/>
      <c r="BB25" s="64"/>
      <c r="BC25" s="64"/>
      <c r="BD25" s="64"/>
      <c r="BE25" s="64"/>
      <c r="BF25" s="64"/>
      <c r="BG25" s="64"/>
      <c r="BH25" s="64"/>
      <c r="BI25" s="64"/>
      <c r="BJ25" s="64"/>
      <c r="BK25" s="64"/>
      <c r="BL25" s="64"/>
      <c r="BM25" s="64"/>
      <c r="BN25" s="64"/>
      <c r="BO25" s="64"/>
      <c r="BP25" s="64"/>
      <c r="BQ25" s="64"/>
      <c r="BR25" s="64"/>
      <c r="BS25" s="64"/>
      <c r="BT25" s="64"/>
      <c r="BU25" s="64"/>
      <c r="BV25" s="64"/>
      <c r="BW25" s="64"/>
      <c r="BX25" s="64"/>
      <c r="BY25" s="64"/>
      <c r="BZ25" s="64"/>
      <c r="CA25" s="64"/>
      <c r="CB25" s="64"/>
      <c r="CC25" s="64"/>
      <c r="CD25" s="64"/>
      <c r="CE25" s="64"/>
      <c r="CF25" s="64"/>
      <c r="CG25" s="64"/>
      <c r="CH25" s="64"/>
      <c r="CI25" s="64"/>
      <c r="CJ25" s="64"/>
      <c r="CK25" s="64"/>
      <c r="CL25" s="64"/>
      <c r="CM25" s="64"/>
      <c r="CN25" s="64"/>
      <c r="CO25" s="64"/>
      <c r="CP25" s="64"/>
      <c r="CQ25" s="64"/>
      <c r="CR25" s="64"/>
      <c r="CS25" s="64"/>
      <c r="CT25" s="64"/>
      <c r="CU25" s="64"/>
      <c r="CV25" s="64"/>
      <c r="CW25" s="64"/>
      <c r="CX25" s="64"/>
      <c r="CY25" s="64"/>
      <c r="CZ25" s="64"/>
      <c r="DA25" s="64"/>
      <c r="DB25" s="64"/>
    </row>
    <row r="26" spans="1:106" s="59" customFormat="1">
      <c r="A26" s="648"/>
      <c r="B26" s="644" t="s">
        <v>302</v>
      </c>
      <c r="C26" s="64"/>
      <c r="D26" s="325"/>
      <c r="E26" s="64"/>
      <c r="F26" s="64"/>
      <c r="G26" s="64"/>
      <c r="H26" s="64"/>
      <c r="I26" s="64"/>
      <c r="J26" s="64"/>
      <c r="K26" s="64"/>
      <c r="L26" s="64"/>
      <c r="M26" s="64"/>
      <c r="N26" s="64"/>
      <c r="O26" s="64"/>
      <c r="P26" s="64"/>
      <c r="Q26" s="64"/>
      <c r="R26" s="64"/>
      <c r="S26" s="64"/>
      <c r="T26" s="64"/>
      <c r="U26" s="64"/>
      <c r="V26" s="64"/>
      <c r="W26" s="64"/>
      <c r="X26" s="64"/>
      <c r="Y26" s="64"/>
      <c r="Z26" s="64"/>
      <c r="AA26" s="64"/>
      <c r="AB26" s="64"/>
      <c r="AC26" s="64"/>
      <c r="AD26" s="64"/>
      <c r="AE26" s="64"/>
      <c r="AF26" s="64"/>
      <c r="AG26" s="64"/>
      <c r="AH26" s="64"/>
      <c r="AI26" s="64"/>
      <c r="AJ26" s="648"/>
      <c r="AK26" s="648"/>
      <c r="AL26" s="64"/>
      <c r="AM26" s="325"/>
      <c r="AN26" s="64"/>
      <c r="AO26" s="64"/>
      <c r="AP26" s="64"/>
      <c r="AQ26" s="64"/>
      <c r="AR26" s="64"/>
      <c r="AS26" s="64"/>
      <c r="AT26" s="64"/>
      <c r="AU26" s="64"/>
      <c r="AV26" s="64"/>
      <c r="AW26" s="64"/>
      <c r="AX26" s="64"/>
      <c r="AY26" s="64"/>
      <c r="AZ26" s="64"/>
      <c r="BA26" s="64"/>
      <c r="BB26" s="64"/>
      <c r="BC26" s="64"/>
      <c r="BD26" s="64"/>
      <c r="BE26" s="64"/>
      <c r="BF26" s="64"/>
      <c r="BG26" s="64"/>
      <c r="BH26" s="64"/>
      <c r="BI26" s="64"/>
      <c r="BJ26" s="64"/>
      <c r="BK26" s="64"/>
      <c r="BL26" s="64"/>
      <c r="BM26" s="64"/>
      <c r="BN26" s="64"/>
      <c r="BO26" s="64"/>
      <c r="BP26" s="64"/>
      <c r="BQ26" s="64"/>
      <c r="BR26" s="64"/>
      <c r="BS26" s="64"/>
      <c r="BT26" s="64"/>
      <c r="BU26" s="64"/>
      <c r="BV26" s="64"/>
      <c r="BW26" s="64"/>
      <c r="BX26" s="64"/>
      <c r="BY26" s="64"/>
      <c r="BZ26" s="64"/>
      <c r="CA26" s="64"/>
      <c r="CB26" s="64"/>
      <c r="CC26" s="64"/>
      <c r="CD26" s="64"/>
      <c r="CE26" s="64"/>
      <c r="CF26" s="64"/>
      <c r="CG26" s="64"/>
      <c r="CH26" s="64"/>
      <c r="CI26" s="64"/>
      <c r="CJ26" s="64"/>
      <c r="CK26" s="64"/>
      <c r="CL26" s="64"/>
      <c r="CM26" s="64"/>
      <c r="CN26" s="64"/>
      <c r="CO26" s="64"/>
      <c r="CP26" s="64"/>
      <c r="CQ26" s="64"/>
      <c r="CR26" s="64"/>
      <c r="CS26" s="64"/>
      <c r="CT26" s="64"/>
      <c r="CU26" s="64"/>
      <c r="CV26" s="64"/>
      <c r="CW26" s="64"/>
      <c r="CX26" s="64"/>
      <c r="CY26" s="64"/>
      <c r="CZ26" s="64"/>
      <c r="DA26" s="64"/>
      <c r="DB26" s="64"/>
    </row>
    <row r="27" spans="1:106" s="59" customFormat="1">
      <c r="A27" s="63"/>
      <c r="B27" s="63" t="s">
        <v>540</v>
      </c>
      <c r="C27" s="852">
        <f ca="1">SUM(E27:AI27)</f>
        <v>0</v>
      </c>
      <c r="D27" s="325"/>
      <c r="E27" s="853">
        <f ca="1">IF(E17&lt;=$D$11,$E$11/$D$11,0)*E19</f>
        <v>0</v>
      </c>
      <c r="F27" s="853">
        <f t="shared" ref="F27:AI27" ca="1" si="7">IF(F17&lt;=$D$11,$E$11/$D$11,0)+IF(F17=$D$11+1,(1-$E$19)*E27,0)</f>
        <v>0</v>
      </c>
      <c r="G27" s="853">
        <f t="shared" ca="1" si="7"/>
        <v>0</v>
      </c>
      <c r="H27" s="853">
        <f t="shared" ca="1" si="7"/>
        <v>0</v>
      </c>
      <c r="I27" s="853">
        <f t="shared" ca="1" si="7"/>
        <v>0</v>
      </c>
      <c r="J27" s="853">
        <f t="shared" ca="1" si="7"/>
        <v>0</v>
      </c>
      <c r="K27" s="853">
        <f t="shared" ca="1" si="7"/>
        <v>0</v>
      </c>
      <c r="L27" s="853">
        <f t="shared" ca="1" si="7"/>
        <v>0</v>
      </c>
      <c r="M27" s="853">
        <f t="shared" ca="1" si="7"/>
        <v>0</v>
      </c>
      <c r="N27" s="853">
        <f t="shared" ca="1" si="7"/>
        <v>0</v>
      </c>
      <c r="O27" s="853">
        <f t="shared" ca="1" si="7"/>
        <v>0</v>
      </c>
      <c r="P27" s="853">
        <f t="shared" si="7"/>
        <v>0</v>
      </c>
      <c r="Q27" s="853">
        <f t="shared" si="7"/>
        <v>0</v>
      </c>
      <c r="R27" s="853">
        <f t="shared" si="7"/>
        <v>0</v>
      </c>
      <c r="S27" s="853">
        <f t="shared" si="7"/>
        <v>0</v>
      </c>
      <c r="T27" s="853">
        <f t="shared" si="7"/>
        <v>0</v>
      </c>
      <c r="U27" s="853">
        <f t="shared" si="7"/>
        <v>0</v>
      </c>
      <c r="V27" s="853">
        <f t="shared" si="7"/>
        <v>0</v>
      </c>
      <c r="W27" s="853">
        <f t="shared" si="7"/>
        <v>0</v>
      </c>
      <c r="X27" s="853">
        <f t="shared" si="7"/>
        <v>0</v>
      </c>
      <c r="Y27" s="853">
        <f t="shared" si="7"/>
        <v>0</v>
      </c>
      <c r="Z27" s="853">
        <f t="shared" si="7"/>
        <v>0</v>
      </c>
      <c r="AA27" s="853">
        <f t="shared" si="7"/>
        <v>0</v>
      </c>
      <c r="AB27" s="853">
        <f t="shared" si="7"/>
        <v>0</v>
      </c>
      <c r="AC27" s="853">
        <f t="shared" si="7"/>
        <v>0</v>
      </c>
      <c r="AD27" s="853">
        <f t="shared" si="7"/>
        <v>0</v>
      </c>
      <c r="AE27" s="853">
        <f t="shared" si="7"/>
        <v>0</v>
      </c>
      <c r="AF27" s="853">
        <f t="shared" si="7"/>
        <v>0</v>
      </c>
      <c r="AG27" s="853">
        <f t="shared" si="7"/>
        <v>0</v>
      </c>
      <c r="AH27" s="853">
        <f t="shared" si="7"/>
        <v>0</v>
      </c>
      <c r="AI27" s="853">
        <f t="shared" si="7"/>
        <v>0</v>
      </c>
      <c r="AJ27" s="854"/>
      <c r="AK27" s="854"/>
      <c r="AL27" s="63"/>
      <c r="AM27" s="325"/>
      <c r="AN27" s="853"/>
      <c r="AO27" s="853"/>
      <c r="AP27" s="853"/>
      <c r="AQ27" s="853"/>
      <c r="AR27" s="853"/>
      <c r="AS27" s="853"/>
      <c r="AT27" s="853"/>
      <c r="AU27" s="853"/>
      <c r="AV27" s="853"/>
      <c r="AW27" s="853"/>
      <c r="AX27" s="853"/>
      <c r="AY27" s="853"/>
      <c r="AZ27" s="853"/>
      <c r="BA27" s="853"/>
      <c r="BB27" s="853"/>
      <c r="BC27" s="853"/>
      <c r="BD27" s="853"/>
      <c r="BE27" s="853"/>
      <c r="BF27" s="853"/>
      <c r="BG27" s="853"/>
      <c r="BH27" s="853"/>
      <c r="BI27" s="853"/>
      <c r="BJ27" s="853"/>
      <c r="BK27" s="853"/>
      <c r="BL27" s="853"/>
      <c r="BM27" s="853"/>
      <c r="BN27" s="853"/>
      <c r="BO27" s="853"/>
      <c r="BP27" s="853"/>
      <c r="BQ27" s="85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3"/>
      <c r="CV27" s="63"/>
      <c r="CW27" s="63"/>
      <c r="CX27" s="63"/>
      <c r="CY27" s="63"/>
      <c r="CZ27" s="63"/>
      <c r="DA27" s="63"/>
      <c r="DB27" s="63"/>
    </row>
    <row r="28" spans="1:106" s="59" customFormat="1">
      <c r="A28" s="63"/>
      <c r="B28" s="63" t="s">
        <v>584</v>
      </c>
      <c r="C28" s="852">
        <f ca="1">SUM(E28:AI28)</f>
        <v>3866.9734455936828</v>
      </c>
      <c r="D28" s="325"/>
      <c r="E28" s="853">
        <f ca="1">IF(E17&lt;=$D$12,$E$12/$D$12,0)*E19</f>
        <v>214.23510293547861</v>
      </c>
      <c r="F28" s="853">
        <f t="shared" ref="F28:AI28" ca="1" si="8">IF(F17&lt;=$D$12,$E$12/$D$12,0)+IF(F17=$D$12+1,(1-$E$19)*E28,0)</f>
        <v>214.83185809685878</v>
      </c>
      <c r="G28" s="853">
        <f t="shared" ca="1" si="8"/>
        <v>214.83185809685878</v>
      </c>
      <c r="H28" s="853">
        <f t="shared" ca="1" si="8"/>
        <v>214.83185809685878</v>
      </c>
      <c r="I28" s="853">
        <f t="shared" ca="1" si="8"/>
        <v>214.83185809685878</v>
      </c>
      <c r="J28" s="853">
        <f t="shared" ca="1" si="8"/>
        <v>214.83185809685878</v>
      </c>
      <c r="K28" s="853">
        <f t="shared" ca="1" si="8"/>
        <v>214.83185809685878</v>
      </c>
      <c r="L28" s="853">
        <f t="shared" ca="1" si="8"/>
        <v>214.83185809685878</v>
      </c>
      <c r="M28" s="853">
        <f t="shared" ca="1" si="8"/>
        <v>214.83185809685878</v>
      </c>
      <c r="N28" s="853">
        <f t="shared" ca="1" si="8"/>
        <v>214.83185809685878</v>
      </c>
      <c r="O28" s="853">
        <f t="shared" ca="1" si="8"/>
        <v>214.83185809685878</v>
      </c>
      <c r="P28" s="853">
        <f t="shared" ca="1" si="8"/>
        <v>214.83185809685878</v>
      </c>
      <c r="Q28" s="853">
        <f t="shared" ca="1" si="8"/>
        <v>214.83185809685878</v>
      </c>
      <c r="R28" s="853">
        <f t="shared" ca="1" si="8"/>
        <v>214.83185809685878</v>
      </c>
      <c r="S28" s="853">
        <f t="shared" ca="1" si="8"/>
        <v>214.83185809685878</v>
      </c>
      <c r="T28" s="853">
        <f t="shared" ca="1" si="8"/>
        <v>214.83185809685878</v>
      </c>
      <c r="U28" s="853">
        <f t="shared" ca="1" si="8"/>
        <v>214.83185809685878</v>
      </c>
      <c r="V28" s="853">
        <f t="shared" ca="1" si="8"/>
        <v>214.83185809685878</v>
      </c>
      <c r="W28" s="853">
        <f t="shared" ca="1" si="8"/>
        <v>0.59675516138016116</v>
      </c>
      <c r="X28" s="853">
        <f t="shared" si="8"/>
        <v>0</v>
      </c>
      <c r="Y28" s="853">
        <f t="shared" si="8"/>
        <v>0</v>
      </c>
      <c r="Z28" s="853">
        <f t="shared" si="8"/>
        <v>0</v>
      </c>
      <c r="AA28" s="853">
        <f t="shared" si="8"/>
        <v>0</v>
      </c>
      <c r="AB28" s="853">
        <f t="shared" si="8"/>
        <v>0</v>
      </c>
      <c r="AC28" s="853">
        <f t="shared" si="8"/>
        <v>0</v>
      </c>
      <c r="AD28" s="853">
        <f t="shared" si="8"/>
        <v>0</v>
      </c>
      <c r="AE28" s="853">
        <f t="shared" si="8"/>
        <v>0</v>
      </c>
      <c r="AF28" s="853">
        <f t="shared" si="8"/>
        <v>0</v>
      </c>
      <c r="AG28" s="853">
        <f t="shared" si="8"/>
        <v>0</v>
      </c>
      <c r="AH28" s="853">
        <f t="shared" si="8"/>
        <v>0</v>
      </c>
      <c r="AI28" s="853">
        <f t="shared" si="8"/>
        <v>0</v>
      </c>
      <c r="AJ28" s="854"/>
      <c r="AK28" s="854"/>
      <c r="AL28" s="63"/>
      <c r="AM28" s="325"/>
      <c r="AN28" s="853"/>
      <c r="AO28" s="853"/>
      <c r="AP28" s="853"/>
      <c r="AQ28" s="853"/>
      <c r="AR28" s="853"/>
      <c r="AS28" s="853"/>
      <c r="AT28" s="853"/>
      <c r="AU28" s="853"/>
      <c r="AV28" s="853"/>
      <c r="AW28" s="853"/>
      <c r="AX28" s="853"/>
      <c r="AY28" s="853"/>
      <c r="AZ28" s="853"/>
      <c r="BA28" s="853"/>
      <c r="BB28" s="853"/>
      <c r="BC28" s="853"/>
      <c r="BD28" s="853"/>
      <c r="BE28" s="853"/>
      <c r="BF28" s="853"/>
      <c r="BG28" s="853"/>
      <c r="BH28" s="853"/>
      <c r="BI28" s="853"/>
      <c r="BJ28" s="853"/>
      <c r="BK28" s="853"/>
      <c r="BL28" s="853"/>
      <c r="BM28" s="853"/>
      <c r="BN28" s="853"/>
      <c r="BO28" s="853"/>
      <c r="BP28" s="853"/>
      <c r="BQ28" s="853"/>
      <c r="BR28" s="63"/>
      <c r="BS28" s="63"/>
      <c r="BT28" s="63"/>
      <c r="BU28" s="63"/>
      <c r="BV28" s="63"/>
      <c r="BW28" s="63"/>
      <c r="BX28" s="63"/>
      <c r="BY28" s="63"/>
      <c r="BZ28" s="63"/>
      <c r="CA28" s="63"/>
      <c r="CB28" s="63"/>
      <c r="CC28" s="63"/>
      <c r="CD28" s="63"/>
      <c r="CE28" s="63"/>
      <c r="CF28" s="63"/>
      <c r="CG28" s="63"/>
      <c r="CH28" s="63"/>
      <c r="CI28" s="63"/>
      <c r="CJ28" s="63"/>
      <c r="CK28" s="63"/>
      <c r="CL28" s="63"/>
      <c r="CM28" s="63"/>
      <c r="CN28" s="63"/>
      <c r="CO28" s="63"/>
      <c r="CP28" s="63"/>
      <c r="CQ28" s="63"/>
      <c r="CR28" s="63"/>
      <c r="CS28" s="63"/>
      <c r="CT28" s="63"/>
      <c r="CU28" s="63"/>
      <c r="CV28" s="63"/>
      <c r="CW28" s="63"/>
      <c r="CX28" s="63"/>
      <c r="CY28" s="63"/>
      <c r="CZ28" s="63"/>
      <c r="DA28" s="63"/>
      <c r="DB28" s="63"/>
    </row>
    <row r="29" spans="1:106" s="59" customFormat="1">
      <c r="A29" s="64"/>
      <c r="B29" s="855" t="s">
        <v>585</v>
      </c>
      <c r="C29" s="852">
        <f ca="1">SUM(E29:AI29)</f>
        <v>2577.9822970624541</v>
      </c>
      <c r="D29" s="561"/>
      <c r="E29" s="856">
        <f ca="1">IF(E17&lt;=$D$13,$E$13/$D$13,0)*E19</f>
        <v>128.54106176128718</v>
      </c>
      <c r="F29" s="856">
        <f t="shared" ref="F29:AI29" ca="1" si="9">IF(F17&lt;=$D$13,$E$13/$D$13,0)+IF(F17=$D$13+1,(1-$E$19)*E29,0)</f>
        <v>128.89911485811527</v>
      </c>
      <c r="G29" s="856">
        <f t="shared" ca="1" si="9"/>
        <v>128.89911485811527</v>
      </c>
      <c r="H29" s="856">
        <f t="shared" ca="1" si="9"/>
        <v>128.89911485811527</v>
      </c>
      <c r="I29" s="856">
        <f t="shared" ca="1" si="9"/>
        <v>128.89911485811527</v>
      </c>
      <c r="J29" s="856">
        <f t="shared" ca="1" si="9"/>
        <v>128.89911485811527</v>
      </c>
      <c r="K29" s="856">
        <f t="shared" ca="1" si="9"/>
        <v>128.89911485811527</v>
      </c>
      <c r="L29" s="856">
        <f t="shared" ca="1" si="9"/>
        <v>128.89911485811527</v>
      </c>
      <c r="M29" s="856">
        <f t="shared" ca="1" si="9"/>
        <v>128.89911485811527</v>
      </c>
      <c r="N29" s="856">
        <f t="shared" ca="1" si="9"/>
        <v>128.89911485811527</v>
      </c>
      <c r="O29" s="856">
        <f t="shared" ca="1" si="9"/>
        <v>128.89911485811527</v>
      </c>
      <c r="P29" s="856">
        <f t="shared" ca="1" si="9"/>
        <v>128.89911485811527</v>
      </c>
      <c r="Q29" s="856">
        <f t="shared" ca="1" si="9"/>
        <v>128.89911485811527</v>
      </c>
      <c r="R29" s="856">
        <f t="shared" ca="1" si="9"/>
        <v>128.89911485811527</v>
      </c>
      <c r="S29" s="856">
        <f t="shared" ca="1" si="9"/>
        <v>128.89911485811527</v>
      </c>
      <c r="T29" s="856">
        <f t="shared" ca="1" si="9"/>
        <v>128.89911485811527</v>
      </c>
      <c r="U29" s="856">
        <f t="shared" ca="1" si="9"/>
        <v>128.89911485811527</v>
      </c>
      <c r="V29" s="856">
        <f t="shared" ca="1" si="9"/>
        <v>128.89911485811527</v>
      </c>
      <c r="W29" s="856">
        <f t="shared" ca="1" si="9"/>
        <v>128.89911485811527</v>
      </c>
      <c r="X29" s="856">
        <f t="shared" ca="1" si="9"/>
        <v>128.89911485811527</v>
      </c>
      <c r="Y29" s="856">
        <f t="shared" ca="1" si="9"/>
        <v>0.35805309682809672</v>
      </c>
      <c r="Z29" s="856">
        <f t="shared" si="9"/>
        <v>0</v>
      </c>
      <c r="AA29" s="856">
        <f t="shared" si="9"/>
        <v>0</v>
      </c>
      <c r="AB29" s="856">
        <f t="shared" si="9"/>
        <v>0</v>
      </c>
      <c r="AC29" s="856">
        <f t="shared" si="9"/>
        <v>0</v>
      </c>
      <c r="AD29" s="856">
        <f t="shared" si="9"/>
        <v>0</v>
      </c>
      <c r="AE29" s="856">
        <f t="shared" si="9"/>
        <v>0</v>
      </c>
      <c r="AF29" s="856">
        <f t="shared" si="9"/>
        <v>0</v>
      </c>
      <c r="AG29" s="856">
        <f t="shared" si="9"/>
        <v>0</v>
      </c>
      <c r="AH29" s="856">
        <f t="shared" si="9"/>
        <v>0</v>
      </c>
      <c r="AI29" s="856">
        <f t="shared" si="9"/>
        <v>0</v>
      </c>
      <c r="AJ29" s="648"/>
      <c r="AK29" s="648"/>
      <c r="AL29" s="64"/>
      <c r="AM29" s="561"/>
      <c r="AO29" s="856"/>
      <c r="AP29" s="856"/>
      <c r="AQ29" s="856"/>
      <c r="AR29" s="856"/>
      <c r="AS29" s="856"/>
      <c r="AT29" s="856"/>
      <c r="AU29" s="856"/>
      <c r="AV29" s="856"/>
      <c r="AW29" s="856"/>
      <c r="AX29" s="856"/>
      <c r="AY29" s="856"/>
      <c r="AZ29" s="856"/>
      <c r="BA29" s="856"/>
      <c r="BB29" s="856"/>
      <c r="BC29" s="856"/>
      <c r="BD29" s="856"/>
      <c r="BE29" s="856"/>
      <c r="BF29" s="856"/>
      <c r="BG29" s="856"/>
      <c r="BH29" s="856"/>
      <c r="BI29" s="856"/>
      <c r="BJ29" s="856"/>
      <c r="BK29" s="856"/>
      <c r="BL29" s="856"/>
      <c r="BM29" s="856"/>
      <c r="BN29" s="856"/>
      <c r="BO29" s="856"/>
      <c r="BP29" s="856"/>
      <c r="BQ29" s="856"/>
      <c r="BR29" s="64"/>
      <c r="BS29" s="64"/>
      <c r="BT29" s="64"/>
      <c r="BU29" s="64"/>
      <c r="BV29" s="64"/>
      <c r="BW29" s="64"/>
      <c r="BX29" s="64"/>
      <c r="BY29" s="64"/>
      <c r="BZ29" s="64"/>
      <c r="CA29" s="64"/>
      <c r="CB29" s="64"/>
      <c r="CC29" s="64"/>
      <c r="CD29" s="64"/>
      <c r="CE29" s="64"/>
      <c r="CF29" s="64"/>
      <c r="CG29" s="64"/>
      <c r="CH29" s="64"/>
      <c r="CI29" s="64"/>
      <c r="CJ29" s="64"/>
      <c r="CK29" s="64"/>
      <c r="CL29" s="64"/>
      <c r="CM29" s="64"/>
      <c r="CN29" s="64"/>
      <c r="CO29" s="64"/>
      <c r="CP29" s="64"/>
      <c r="CQ29" s="64"/>
      <c r="CR29" s="64"/>
      <c r="CS29" s="64"/>
      <c r="CT29" s="64"/>
      <c r="CU29" s="64"/>
      <c r="CV29" s="64"/>
      <c r="CW29" s="64"/>
      <c r="CX29" s="64"/>
      <c r="CY29" s="64"/>
      <c r="CZ29" s="64"/>
      <c r="DA29" s="64"/>
      <c r="DB29" s="64"/>
    </row>
    <row r="30" spans="1:106" s="59" customFormat="1" ht="13.5" thickBot="1">
      <c r="A30" s="64"/>
      <c r="B30" s="857" t="s">
        <v>51</v>
      </c>
      <c r="C30" s="858">
        <f ca="1">SUM(E30:AI30)</f>
        <v>6444.9557426561341</v>
      </c>
      <c r="D30" s="324"/>
      <c r="E30" s="859">
        <f t="shared" ref="E30:AI30" ca="1" si="10">SUM(E27:E29)</f>
        <v>342.77616469676582</v>
      </c>
      <c r="F30" s="859">
        <f t="shared" ca="1" si="10"/>
        <v>343.73097295497405</v>
      </c>
      <c r="G30" s="859">
        <f t="shared" ca="1" si="10"/>
        <v>343.73097295497405</v>
      </c>
      <c r="H30" s="859">
        <f t="shared" ca="1" si="10"/>
        <v>343.73097295497405</v>
      </c>
      <c r="I30" s="859">
        <f t="shared" ca="1" si="10"/>
        <v>343.73097295497405</v>
      </c>
      <c r="J30" s="859">
        <f t="shared" ca="1" si="10"/>
        <v>343.73097295497405</v>
      </c>
      <c r="K30" s="859">
        <f t="shared" ca="1" si="10"/>
        <v>343.73097295497405</v>
      </c>
      <c r="L30" s="859">
        <f t="shared" ca="1" si="10"/>
        <v>343.73097295497405</v>
      </c>
      <c r="M30" s="859">
        <f t="shared" ca="1" si="10"/>
        <v>343.73097295497405</v>
      </c>
      <c r="N30" s="859">
        <f t="shared" ca="1" si="10"/>
        <v>343.73097295497405</v>
      </c>
      <c r="O30" s="859">
        <f t="shared" ca="1" si="10"/>
        <v>343.73097295497405</v>
      </c>
      <c r="P30" s="859">
        <f t="shared" ca="1" si="10"/>
        <v>343.73097295497405</v>
      </c>
      <c r="Q30" s="859">
        <f t="shared" ca="1" si="10"/>
        <v>343.73097295497405</v>
      </c>
      <c r="R30" s="859">
        <f t="shared" ca="1" si="10"/>
        <v>343.73097295497405</v>
      </c>
      <c r="S30" s="859">
        <f t="shared" ca="1" si="10"/>
        <v>343.73097295497405</v>
      </c>
      <c r="T30" s="859">
        <f t="shared" ca="1" si="10"/>
        <v>343.73097295497405</v>
      </c>
      <c r="U30" s="859">
        <f t="shared" ca="1" si="10"/>
        <v>343.73097295497405</v>
      </c>
      <c r="V30" s="859">
        <f t="shared" ca="1" si="10"/>
        <v>343.73097295497405</v>
      </c>
      <c r="W30" s="859">
        <f t="shared" ca="1" si="10"/>
        <v>129.49587001949544</v>
      </c>
      <c r="X30" s="859">
        <f t="shared" ca="1" si="10"/>
        <v>128.89911485811527</v>
      </c>
      <c r="Y30" s="859">
        <f t="shared" ca="1" si="10"/>
        <v>0.35805309682809672</v>
      </c>
      <c r="Z30" s="859">
        <f t="shared" si="10"/>
        <v>0</v>
      </c>
      <c r="AA30" s="859">
        <f t="shared" si="10"/>
        <v>0</v>
      </c>
      <c r="AB30" s="859">
        <f t="shared" si="10"/>
        <v>0</v>
      </c>
      <c r="AC30" s="859">
        <f t="shared" si="10"/>
        <v>0</v>
      </c>
      <c r="AD30" s="859">
        <f t="shared" si="10"/>
        <v>0</v>
      </c>
      <c r="AE30" s="859">
        <f t="shared" si="10"/>
        <v>0</v>
      </c>
      <c r="AF30" s="859">
        <f t="shared" si="10"/>
        <v>0</v>
      </c>
      <c r="AG30" s="859">
        <f t="shared" si="10"/>
        <v>0</v>
      </c>
      <c r="AH30" s="859">
        <f t="shared" si="10"/>
        <v>0</v>
      </c>
      <c r="AI30" s="859">
        <f t="shared" si="10"/>
        <v>0</v>
      </c>
      <c r="AJ30" s="648"/>
      <c r="AK30" s="648"/>
      <c r="AL30" s="64"/>
      <c r="AM30" s="324"/>
      <c r="AN30" s="856"/>
      <c r="AO30" s="856"/>
      <c r="AP30" s="856"/>
      <c r="AQ30" s="856"/>
      <c r="AR30" s="856"/>
      <c r="AS30" s="856"/>
      <c r="AT30" s="856"/>
      <c r="AU30" s="856"/>
      <c r="AV30" s="856"/>
      <c r="AW30" s="856"/>
      <c r="AX30" s="856"/>
      <c r="AY30" s="856"/>
      <c r="AZ30" s="856"/>
      <c r="BA30" s="856"/>
      <c r="BB30" s="856"/>
      <c r="BC30" s="856"/>
      <c r="BD30" s="856"/>
      <c r="BE30" s="856"/>
      <c r="BF30" s="856"/>
      <c r="BG30" s="856"/>
      <c r="BH30" s="856"/>
      <c r="BI30" s="856"/>
      <c r="BJ30" s="856"/>
      <c r="BK30" s="856"/>
      <c r="BL30" s="856"/>
      <c r="BM30" s="856"/>
      <c r="BN30" s="856"/>
      <c r="BO30" s="856"/>
      <c r="BP30" s="856"/>
      <c r="BQ30" s="856"/>
      <c r="BR30" s="64"/>
      <c r="BS30" s="64"/>
      <c r="BT30" s="64"/>
      <c r="BU30" s="64"/>
      <c r="BV30" s="64"/>
      <c r="BW30" s="64"/>
      <c r="BX30" s="64"/>
      <c r="BY30" s="64"/>
      <c r="BZ30" s="64"/>
      <c r="CA30" s="64"/>
      <c r="CB30" s="64"/>
      <c r="CC30" s="64"/>
      <c r="CD30" s="64"/>
      <c r="CE30" s="64"/>
      <c r="CF30" s="64"/>
      <c r="CG30" s="64"/>
      <c r="CH30" s="64"/>
      <c r="CI30" s="64"/>
      <c r="CJ30" s="64"/>
      <c r="CK30" s="64"/>
      <c r="CL30" s="64"/>
      <c r="CM30" s="64"/>
      <c r="CN30" s="64"/>
      <c r="CO30" s="64"/>
      <c r="CP30" s="64"/>
      <c r="CQ30" s="64"/>
      <c r="CR30" s="64"/>
      <c r="CS30" s="64"/>
      <c r="CT30" s="64"/>
      <c r="CU30" s="64"/>
      <c r="CV30" s="64"/>
      <c r="CW30" s="64"/>
      <c r="CX30" s="64"/>
      <c r="CY30" s="64"/>
      <c r="CZ30" s="64"/>
      <c r="DA30" s="64"/>
      <c r="DB30" s="64"/>
    </row>
    <row r="31" spans="1:106" s="59" customFormat="1" ht="14.25" thickTop="1" thickBot="1">
      <c r="A31" s="64"/>
      <c r="B31" s="860" t="s">
        <v>555</v>
      </c>
      <c r="C31" s="861">
        <f ca="1">C24+C30</f>
        <v>128899.11485312278</v>
      </c>
      <c r="D31" s="324"/>
      <c r="E31" s="853"/>
      <c r="F31" s="853"/>
      <c r="G31" s="853"/>
      <c r="H31" s="853"/>
      <c r="I31" s="853"/>
      <c r="J31" s="853"/>
      <c r="K31" s="853"/>
      <c r="L31" s="853"/>
      <c r="M31" s="853"/>
      <c r="N31" s="853"/>
      <c r="O31" s="853"/>
      <c r="P31" s="853"/>
      <c r="Q31" s="853"/>
      <c r="R31" s="853"/>
      <c r="S31" s="853"/>
      <c r="T31" s="853"/>
      <c r="U31" s="853"/>
      <c r="V31" s="853"/>
      <c r="W31" s="853"/>
      <c r="X31" s="853"/>
      <c r="Y31" s="853"/>
      <c r="Z31" s="853"/>
      <c r="AA31" s="853"/>
      <c r="AB31" s="853"/>
      <c r="AC31" s="853"/>
      <c r="AD31" s="853"/>
      <c r="AE31" s="853"/>
      <c r="AF31" s="853"/>
      <c r="AG31" s="853"/>
      <c r="AH31" s="853"/>
      <c r="AI31" s="64"/>
      <c r="AJ31" s="648"/>
      <c r="AK31" s="648"/>
      <c r="AL31" s="64"/>
      <c r="AM31" s="324"/>
      <c r="AN31" s="853"/>
      <c r="AO31" s="853"/>
      <c r="AP31" s="853"/>
      <c r="AQ31" s="853"/>
      <c r="AR31" s="853"/>
      <c r="AS31" s="853"/>
      <c r="AT31" s="853"/>
      <c r="AU31" s="853"/>
      <c r="AV31" s="853"/>
      <c r="AW31" s="853"/>
      <c r="AX31" s="853"/>
      <c r="AY31" s="853"/>
      <c r="AZ31" s="853"/>
      <c r="BA31" s="853"/>
      <c r="BB31" s="853"/>
      <c r="BC31" s="853"/>
      <c r="BD31" s="853"/>
      <c r="BE31" s="853"/>
      <c r="BF31" s="853"/>
      <c r="BG31" s="853"/>
      <c r="BH31" s="853"/>
      <c r="BI31" s="853"/>
      <c r="BJ31" s="853"/>
      <c r="BK31" s="853"/>
      <c r="BL31" s="853"/>
      <c r="BM31" s="853"/>
      <c r="BN31" s="853"/>
      <c r="BO31" s="853"/>
      <c r="BP31" s="853"/>
      <c r="BQ31" s="853"/>
      <c r="BR31" s="64"/>
      <c r="BS31" s="64"/>
      <c r="BT31" s="64"/>
      <c r="BU31" s="64"/>
      <c r="BV31" s="64"/>
      <c r="BW31" s="64"/>
      <c r="BX31" s="64"/>
      <c r="BY31" s="64"/>
      <c r="BZ31" s="64"/>
      <c r="CA31" s="64"/>
      <c r="CB31" s="64"/>
      <c r="CC31" s="64"/>
      <c r="CD31" s="64"/>
      <c r="CE31" s="64"/>
      <c r="CF31" s="64"/>
      <c r="CG31" s="64"/>
      <c r="CH31" s="64"/>
      <c r="CI31" s="64"/>
      <c r="CJ31" s="64"/>
      <c r="CK31" s="64"/>
      <c r="CL31" s="64"/>
      <c r="CM31" s="64"/>
      <c r="CN31" s="64"/>
      <c r="CO31" s="64"/>
      <c r="CP31" s="64"/>
      <c r="CQ31" s="64"/>
      <c r="CR31" s="64"/>
      <c r="CS31" s="64"/>
      <c r="CT31" s="64"/>
      <c r="CU31" s="64"/>
      <c r="CV31" s="64"/>
      <c r="CW31" s="64"/>
      <c r="CX31" s="64"/>
      <c r="CY31" s="64"/>
      <c r="CZ31" s="64"/>
      <c r="DA31" s="64"/>
      <c r="DB31" s="64"/>
    </row>
    <row r="32" spans="1:106" s="59" customFormat="1">
      <c r="A32" s="64"/>
      <c r="B32" s="64"/>
      <c r="D32" s="324"/>
      <c r="E32" s="853"/>
      <c r="F32" s="853"/>
      <c r="G32" s="853"/>
      <c r="H32" s="853"/>
      <c r="I32" s="853"/>
      <c r="J32" s="853"/>
      <c r="K32" s="853"/>
      <c r="L32" s="853"/>
      <c r="M32" s="853"/>
      <c r="N32" s="853"/>
      <c r="O32" s="853"/>
      <c r="P32" s="853"/>
      <c r="Q32" s="853"/>
      <c r="R32" s="853"/>
      <c r="S32" s="853"/>
      <c r="T32" s="853"/>
      <c r="U32" s="853"/>
      <c r="V32" s="853"/>
      <c r="W32" s="853"/>
      <c r="X32" s="853"/>
      <c r="Y32" s="853"/>
      <c r="Z32" s="853"/>
      <c r="AA32" s="853"/>
      <c r="AB32" s="853"/>
      <c r="AC32" s="853"/>
      <c r="AD32" s="853"/>
      <c r="AE32" s="853"/>
      <c r="AF32" s="853"/>
      <c r="AG32" s="853"/>
      <c r="AH32" s="853"/>
      <c r="AI32" s="64"/>
      <c r="AJ32" s="648"/>
      <c r="AK32" s="648"/>
      <c r="AL32" s="64"/>
      <c r="AM32" s="324"/>
      <c r="AN32" s="853"/>
      <c r="AO32" s="853"/>
      <c r="AP32" s="853"/>
      <c r="AQ32" s="853"/>
      <c r="AR32" s="853"/>
      <c r="AS32" s="853"/>
      <c r="AT32" s="853"/>
      <c r="AU32" s="853"/>
      <c r="AV32" s="853"/>
      <c r="AW32" s="853"/>
      <c r="AX32" s="853"/>
      <c r="AY32" s="853"/>
      <c r="AZ32" s="853"/>
      <c r="BA32" s="853"/>
      <c r="BB32" s="853"/>
      <c r="BC32" s="853"/>
      <c r="BD32" s="853"/>
      <c r="BE32" s="853"/>
      <c r="BF32" s="853"/>
      <c r="BG32" s="853"/>
      <c r="BH32" s="853"/>
      <c r="BI32" s="853"/>
      <c r="BJ32" s="853"/>
      <c r="BK32" s="853"/>
      <c r="BL32" s="853"/>
      <c r="BM32" s="853"/>
      <c r="BN32" s="853"/>
      <c r="BO32" s="853"/>
      <c r="BP32" s="853"/>
      <c r="BQ32" s="853"/>
      <c r="BR32" s="64"/>
      <c r="BS32" s="64"/>
      <c r="BT32" s="64"/>
      <c r="BU32" s="64"/>
      <c r="BV32" s="64"/>
      <c r="BW32" s="64"/>
      <c r="BX32" s="64"/>
      <c r="BY32" s="64"/>
      <c r="BZ32" s="64"/>
      <c r="CA32" s="64"/>
      <c r="CB32" s="64"/>
      <c r="CC32" s="64"/>
      <c r="CD32" s="64"/>
      <c r="CE32" s="64"/>
      <c r="CF32" s="64"/>
      <c r="CG32" s="64"/>
      <c r="CH32" s="64"/>
      <c r="CI32" s="64"/>
      <c r="CJ32" s="64"/>
      <c r="CK32" s="64"/>
      <c r="CL32" s="64"/>
      <c r="CM32" s="64"/>
      <c r="CN32" s="64"/>
      <c r="CO32" s="64"/>
      <c r="CP32" s="64"/>
      <c r="CQ32" s="64"/>
      <c r="CR32" s="64"/>
      <c r="CS32" s="64"/>
      <c r="CT32" s="64"/>
      <c r="CU32" s="64"/>
      <c r="CV32" s="64"/>
      <c r="CW32" s="64"/>
      <c r="CX32" s="64"/>
      <c r="CY32" s="64"/>
      <c r="CZ32" s="64"/>
      <c r="DA32" s="64"/>
      <c r="DB32" s="64"/>
    </row>
    <row r="33" spans="1:106" s="332" customFormat="1">
      <c r="B33" s="863" t="s">
        <v>303</v>
      </c>
      <c r="D33" s="646"/>
      <c r="AM33" s="646"/>
      <c r="AN33" s="647" t="s">
        <v>558</v>
      </c>
    </row>
    <row r="34" spans="1:106" s="235" customFormat="1">
      <c r="A34" s="202"/>
      <c r="B34" s="202"/>
      <c r="C34" s="59"/>
      <c r="D34" s="324"/>
      <c r="E34" s="202"/>
      <c r="F34" s="202"/>
      <c r="G34" s="202"/>
      <c r="H34" s="202"/>
      <c r="I34" s="202"/>
      <c r="J34" s="202"/>
      <c r="K34" s="202"/>
      <c r="L34" s="202"/>
      <c r="M34" s="202"/>
      <c r="N34" s="202"/>
      <c r="O34" s="202"/>
      <c r="P34" s="202"/>
      <c r="Q34" s="202"/>
      <c r="R34" s="202"/>
      <c r="S34" s="202"/>
      <c r="T34" s="202"/>
      <c r="U34" s="202"/>
      <c r="V34" s="202"/>
      <c r="W34" s="202"/>
      <c r="X34" s="202"/>
      <c r="Y34" s="202"/>
      <c r="Z34" s="202"/>
      <c r="AA34" s="202"/>
      <c r="AB34" s="202"/>
      <c r="AC34" s="202"/>
      <c r="AD34" s="202"/>
      <c r="AE34" s="202"/>
      <c r="AF34" s="202"/>
      <c r="AG34" s="202"/>
      <c r="AH34" s="202"/>
      <c r="AI34" s="202"/>
      <c r="AJ34" s="864"/>
      <c r="AK34" s="864"/>
      <c r="AL34" s="202"/>
      <c r="AM34" s="324"/>
      <c r="AN34" s="202"/>
      <c r="AO34" s="202"/>
      <c r="AP34" s="202"/>
      <c r="AQ34" s="202"/>
      <c r="AR34" s="202"/>
      <c r="AS34" s="202"/>
      <c r="AT34" s="202"/>
      <c r="AU34" s="202"/>
      <c r="AV34" s="202"/>
      <c r="AW34" s="202"/>
      <c r="AX34" s="202"/>
      <c r="AY34" s="202"/>
      <c r="AZ34" s="202"/>
      <c r="BA34" s="202"/>
      <c r="BB34" s="202"/>
      <c r="BC34" s="202"/>
      <c r="BD34" s="202"/>
      <c r="BE34" s="202"/>
      <c r="BF34" s="202"/>
      <c r="BG34" s="202"/>
      <c r="BH34" s="202"/>
      <c r="BI34" s="202"/>
      <c r="BJ34" s="202"/>
      <c r="BK34" s="202"/>
      <c r="BL34" s="202"/>
      <c r="BM34" s="202"/>
      <c r="BN34" s="202"/>
      <c r="BO34" s="202"/>
      <c r="BP34" s="202"/>
      <c r="BQ34" s="202"/>
      <c r="BR34" s="202"/>
      <c r="BS34" s="202"/>
      <c r="BT34" s="202"/>
      <c r="BU34" s="202"/>
      <c r="BV34" s="202"/>
      <c r="BW34" s="202"/>
      <c r="BX34" s="202"/>
      <c r="BY34" s="202"/>
      <c r="BZ34" s="202"/>
      <c r="CA34" s="202"/>
      <c r="CB34" s="202"/>
      <c r="CC34" s="202"/>
      <c r="CD34" s="202"/>
      <c r="CE34" s="202"/>
      <c r="CF34" s="202"/>
      <c r="CG34" s="202"/>
      <c r="CH34" s="202"/>
      <c r="CI34" s="202"/>
      <c r="CJ34" s="202"/>
      <c r="CK34" s="202"/>
      <c r="CL34" s="202"/>
      <c r="CM34" s="202"/>
      <c r="CN34" s="202"/>
      <c r="CO34" s="202"/>
      <c r="CP34" s="202"/>
      <c r="CQ34" s="202"/>
      <c r="CR34" s="202"/>
      <c r="CS34" s="202"/>
      <c r="CT34" s="202"/>
      <c r="CU34" s="202"/>
      <c r="CV34" s="202"/>
      <c r="CW34" s="202"/>
      <c r="CX34" s="202"/>
      <c r="CY34" s="202"/>
      <c r="CZ34" s="202"/>
      <c r="DA34" s="202"/>
      <c r="DB34" s="202"/>
    </row>
    <row r="35" spans="1:106" s="491" customFormat="1">
      <c r="A35" s="492"/>
      <c r="B35" s="865" t="s">
        <v>548</v>
      </c>
      <c r="C35" s="59"/>
      <c r="D35" s="325"/>
      <c r="E35" s="431">
        <f>CashFlow!E13</f>
        <v>10990.1020025</v>
      </c>
      <c r="F35" s="431">
        <f>CashFlow!F13</f>
        <v>11020.715099999999</v>
      </c>
      <c r="G35" s="431">
        <f>CashFlow!G13</f>
        <v>11020.715099999999</v>
      </c>
      <c r="H35" s="431">
        <f>CashFlow!H13</f>
        <v>11020.715099999999</v>
      </c>
      <c r="I35" s="431">
        <f>CashFlow!I13</f>
        <v>11020.715099999999</v>
      </c>
      <c r="J35" s="431">
        <f>CashFlow!J13</f>
        <v>11020.715099999999</v>
      </c>
      <c r="K35" s="431">
        <f>CashFlow!K13</f>
        <v>11020.715099999999</v>
      </c>
      <c r="L35" s="431">
        <f>CashFlow!L13</f>
        <v>11020.715099999999</v>
      </c>
      <c r="M35" s="431">
        <f>CashFlow!M13</f>
        <v>11020.715099999999</v>
      </c>
      <c r="N35" s="431">
        <f>CashFlow!N13</f>
        <v>11020.715099999999</v>
      </c>
      <c r="O35" s="431">
        <f>CashFlow!O13</f>
        <v>11020.715099999999</v>
      </c>
      <c r="P35" s="431">
        <f>CashFlow!P13</f>
        <v>11020.715099999999</v>
      </c>
      <c r="Q35" s="431">
        <f>CashFlow!Q13</f>
        <v>11020.715099999999</v>
      </c>
      <c r="R35" s="431">
        <f>CashFlow!R13</f>
        <v>11020.715099999999</v>
      </c>
      <c r="S35" s="431">
        <f>CashFlow!S13</f>
        <v>11020.715099999999</v>
      </c>
      <c r="T35" s="431">
        <f>CashFlow!T13</f>
        <v>11020.715099999999</v>
      </c>
      <c r="U35" s="431">
        <f>CashFlow!U13</f>
        <v>11020.715099999999</v>
      </c>
      <c r="V35" s="431">
        <f>CashFlow!V13</f>
        <v>11020.715099999999</v>
      </c>
      <c r="W35" s="431">
        <f>CashFlow!W13</f>
        <v>11020.715099999999</v>
      </c>
      <c r="X35" s="431">
        <f>CashFlow!X13</f>
        <v>11020.715099999999</v>
      </c>
      <c r="Y35" s="431">
        <f>CashFlow!Y13</f>
        <v>30.613097499999892</v>
      </c>
      <c r="Z35" s="431">
        <f>CashFlow!Z13</f>
        <v>0</v>
      </c>
      <c r="AA35" s="431">
        <f>CashFlow!AA13</f>
        <v>0</v>
      </c>
      <c r="AB35" s="431">
        <f>CashFlow!AB13</f>
        <v>0</v>
      </c>
      <c r="AC35" s="431">
        <f>CashFlow!AC13</f>
        <v>0</v>
      </c>
      <c r="AD35" s="431">
        <f>CashFlow!AD13</f>
        <v>0</v>
      </c>
      <c r="AE35" s="431">
        <f>CashFlow!AE13</f>
        <v>0</v>
      </c>
      <c r="AF35" s="431">
        <f>CashFlow!AF13</f>
        <v>0</v>
      </c>
      <c r="AG35" s="431">
        <f>CashFlow!AG13</f>
        <v>0</v>
      </c>
      <c r="AH35" s="431">
        <f>CashFlow!AH13</f>
        <v>0</v>
      </c>
      <c r="AI35" s="431">
        <f>CashFlow!AI13</f>
        <v>0</v>
      </c>
      <c r="AJ35" s="644"/>
      <c r="AK35" s="644"/>
      <c r="AL35" s="431"/>
      <c r="AM35" s="325"/>
      <c r="AN35" s="1204">
        <f t="shared" ref="AN35:AW41" si="11">E35/E$35</f>
        <v>1</v>
      </c>
      <c r="AO35" s="1204">
        <f t="shared" si="11"/>
        <v>1</v>
      </c>
      <c r="AP35" s="1204">
        <f t="shared" si="11"/>
        <v>1</v>
      </c>
      <c r="AQ35" s="1204">
        <f t="shared" si="11"/>
        <v>1</v>
      </c>
      <c r="AR35" s="1204">
        <f t="shared" si="11"/>
        <v>1</v>
      </c>
      <c r="AS35" s="1204">
        <f t="shared" si="11"/>
        <v>1</v>
      </c>
      <c r="AT35" s="1204">
        <f t="shared" si="11"/>
        <v>1</v>
      </c>
      <c r="AU35" s="1204">
        <f t="shared" si="11"/>
        <v>1</v>
      </c>
      <c r="AV35" s="1204">
        <f t="shared" si="11"/>
        <v>1</v>
      </c>
      <c r="AW35" s="1204">
        <f t="shared" si="11"/>
        <v>1</v>
      </c>
      <c r="AX35" s="1204">
        <f t="shared" ref="AX35:BG41" si="12">O35/O$35</f>
        <v>1</v>
      </c>
      <c r="AY35" s="1204">
        <f t="shared" si="12"/>
        <v>1</v>
      </c>
      <c r="AZ35" s="1204">
        <f t="shared" si="12"/>
        <v>1</v>
      </c>
      <c r="BA35" s="1204">
        <f t="shared" si="12"/>
        <v>1</v>
      </c>
      <c r="BB35" s="1204">
        <f t="shared" si="12"/>
        <v>1</v>
      </c>
      <c r="BC35" s="1204">
        <f t="shared" si="12"/>
        <v>1</v>
      </c>
      <c r="BD35" s="1204">
        <f t="shared" si="12"/>
        <v>1</v>
      </c>
      <c r="BE35" s="1204">
        <f t="shared" si="12"/>
        <v>1</v>
      </c>
      <c r="BF35" s="1204">
        <f t="shared" si="12"/>
        <v>1</v>
      </c>
      <c r="BG35" s="1204">
        <f t="shared" si="12"/>
        <v>1</v>
      </c>
      <c r="BH35" s="1204">
        <f t="shared" ref="BH35:BQ41" si="13">Y35/Y$35</f>
        <v>1</v>
      </c>
      <c r="BI35" s="1204" t="e">
        <f t="shared" si="13"/>
        <v>#DIV/0!</v>
      </c>
      <c r="BJ35" s="1204" t="e">
        <f t="shared" si="13"/>
        <v>#DIV/0!</v>
      </c>
      <c r="BK35" s="1204" t="e">
        <f t="shared" si="13"/>
        <v>#DIV/0!</v>
      </c>
      <c r="BL35" s="1204" t="e">
        <f t="shared" si="13"/>
        <v>#DIV/0!</v>
      </c>
      <c r="BM35" s="1204" t="e">
        <f t="shared" si="13"/>
        <v>#DIV/0!</v>
      </c>
      <c r="BN35" s="1204" t="e">
        <f t="shared" si="13"/>
        <v>#DIV/0!</v>
      </c>
      <c r="BO35" s="1204" t="e">
        <f t="shared" si="13"/>
        <v>#DIV/0!</v>
      </c>
      <c r="BP35" s="1204" t="e">
        <f t="shared" si="13"/>
        <v>#DIV/0!</v>
      </c>
      <c r="BQ35" s="1204" t="e">
        <f t="shared" si="13"/>
        <v>#DIV/0!</v>
      </c>
      <c r="BR35" s="1204" t="e">
        <f t="shared" ref="BR35:BR41" si="14">AI35/AI$35</f>
        <v>#DIV/0!</v>
      </c>
      <c r="BS35" s="492"/>
      <c r="BT35" s="492"/>
      <c r="BU35" s="492"/>
      <c r="BV35" s="492"/>
      <c r="BW35" s="492"/>
      <c r="BX35" s="492"/>
      <c r="BY35" s="492"/>
      <c r="BZ35" s="492"/>
      <c r="CA35" s="492"/>
      <c r="CB35" s="492"/>
      <c r="CC35" s="492"/>
      <c r="CD35" s="492"/>
      <c r="CE35" s="492"/>
      <c r="CF35" s="492"/>
      <c r="CG35" s="492"/>
      <c r="CH35" s="492"/>
      <c r="CI35" s="492"/>
      <c r="CJ35" s="492"/>
      <c r="CK35" s="492"/>
      <c r="CL35" s="492"/>
      <c r="CM35" s="492"/>
      <c r="CN35" s="492"/>
      <c r="CO35" s="492"/>
      <c r="CP35" s="492"/>
      <c r="CQ35" s="492"/>
      <c r="CR35" s="492"/>
      <c r="CS35" s="492"/>
      <c r="CT35" s="492"/>
      <c r="CU35" s="492"/>
      <c r="CV35" s="492"/>
      <c r="CW35" s="492"/>
      <c r="CX35" s="492"/>
      <c r="CY35" s="492"/>
      <c r="CZ35" s="492"/>
      <c r="DA35" s="492"/>
      <c r="DB35" s="492"/>
    </row>
    <row r="36" spans="1:106" s="235" customFormat="1">
      <c r="A36" s="202"/>
      <c r="B36" s="323" t="s">
        <v>474</v>
      </c>
      <c r="C36" s="59"/>
      <c r="D36" s="325"/>
      <c r="E36" s="435">
        <f>CashFlow!E28</f>
        <v>1697.5024939418195</v>
      </c>
      <c r="F36" s="435">
        <f>CashFlow!F28</f>
        <v>3592.8375606949194</v>
      </c>
      <c r="G36" s="435">
        <f>CashFlow!G28</f>
        <v>3615.9190289057965</v>
      </c>
      <c r="H36" s="435">
        <f>CashFlow!H28</f>
        <v>3629.8227255890542</v>
      </c>
      <c r="I36" s="435">
        <f>CashFlow!I28</f>
        <v>3635.9504562682837</v>
      </c>
      <c r="J36" s="435">
        <f>CashFlow!J28</f>
        <v>4444.6828730269772</v>
      </c>
      <c r="K36" s="435">
        <f>CashFlow!K28</f>
        <v>4848.2721589706352</v>
      </c>
      <c r="L36" s="435">
        <f>CashFlow!L28</f>
        <v>4827.6584524113023</v>
      </c>
      <c r="M36" s="435">
        <f>CashFlow!M28</f>
        <v>4806.6038942116256</v>
      </c>
      <c r="N36" s="435">
        <f>CashFlow!N28</f>
        <v>4709.0323768563849</v>
      </c>
      <c r="O36" s="435">
        <f>CashFlow!O28</f>
        <v>4597.7609473747025</v>
      </c>
      <c r="P36" s="435">
        <f>CashFlow!P28</f>
        <v>4475.0892878550167</v>
      </c>
      <c r="Q36" s="435">
        <f>CashFlow!Q28</f>
        <v>4340.5175745509514</v>
      </c>
      <c r="R36" s="435">
        <f>CashFlow!R28</f>
        <v>4424.0148789462755</v>
      </c>
      <c r="S36" s="435">
        <f>CashFlow!S28</f>
        <v>4522.5895204173039</v>
      </c>
      <c r="T36" s="435">
        <f>CashFlow!T28</f>
        <v>4731.3164960039257</v>
      </c>
      <c r="U36" s="435">
        <f>CashFlow!U28</f>
        <v>4796.1805084435027</v>
      </c>
      <c r="V36" s="435">
        <f>CashFlow!V28</f>
        <v>4862.5861888549571</v>
      </c>
      <c r="W36" s="435">
        <f>CashFlow!W28</f>
        <v>4813.4819550932334</v>
      </c>
      <c r="X36" s="435">
        <f>CashFlow!X28</f>
        <v>4880.1554790794326</v>
      </c>
      <c r="Y36" s="435">
        <f>CashFlow!Y28</f>
        <v>12.629538129187866</v>
      </c>
      <c r="Z36" s="435">
        <f>CashFlow!Z28</f>
        <v>0</v>
      </c>
      <c r="AA36" s="435">
        <f>CashFlow!AA28</f>
        <v>0</v>
      </c>
      <c r="AB36" s="435">
        <f>CashFlow!AB28</f>
        <v>0</v>
      </c>
      <c r="AC36" s="435">
        <f>CashFlow!AC28</f>
        <v>0</v>
      </c>
      <c r="AD36" s="435">
        <f>CashFlow!AD28</f>
        <v>0</v>
      </c>
      <c r="AE36" s="435">
        <f>CashFlow!AE28</f>
        <v>0</v>
      </c>
      <c r="AF36" s="435">
        <f>CashFlow!AF28</f>
        <v>0</v>
      </c>
      <c r="AG36" s="435">
        <f>CashFlow!AG28</f>
        <v>0</v>
      </c>
      <c r="AH36" s="435">
        <f>CashFlow!AH28</f>
        <v>0</v>
      </c>
      <c r="AI36" s="435">
        <f>CashFlow!AI28</f>
        <v>0</v>
      </c>
      <c r="AJ36" s="645"/>
      <c r="AK36" s="645"/>
      <c r="AL36" s="324"/>
      <c r="AM36" s="325"/>
      <c r="AN36" s="1207">
        <f t="shared" si="11"/>
        <v>0.15445739207476655</v>
      </c>
      <c r="AO36" s="1207">
        <f t="shared" si="11"/>
        <v>0.32600766176188689</v>
      </c>
      <c r="AP36" s="1207">
        <f t="shared" si="11"/>
        <v>0.32810203295299745</v>
      </c>
      <c r="AQ36" s="1207">
        <f t="shared" si="11"/>
        <v>0.32936362955150289</v>
      </c>
      <c r="AR36" s="1207">
        <f t="shared" si="11"/>
        <v>0.3299196488863308</v>
      </c>
      <c r="AS36" s="1207">
        <f t="shared" si="11"/>
        <v>0.4033025836070272</v>
      </c>
      <c r="AT36" s="1207">
        <f t="shared" si="11"/>
        <v>0.4399235544135095</v>
      </c>
      <c r="AU36" s="1207">
        <f t="shared" si="11"/>
        <v>0.43805310350607851</v>
      </c>
      <c r="AV36" s="1207">
        <f t="shared" si="11"/>
        <v>0.43614265050837092</v>
      </c>
      <c r="AW36" s="1207">
        <f t="shared" si="11"/>
        <v>0.42728918533211924</v>
      </c>
      <c r="AX36" s="1207">
        <f t="shared" si="12"/>
        <v>0.41719261460399271</v>
      </c>
      <c r="AY36" s="1207">
        <f t="shared" si="12"/>
        <v>0.40606160736838365</v>
      </c>
      <c r="AZ36" s="1207">
        <f t="shared" si="12"/>
        <v>0.39385081051146598</v>
      </c>
      <c r="BA36" s="1207">
        <f t="shared" si="12"/>
        <v>0.40142720674689031</v>
      </c>
      <c r="BB36" s="1207">
        <f t="shared" si="12"/>
        <v>0.41037169361335762</v>
      </c>
      <c r="BC36" s="1207">
        <f t="shared" si="12"/>
        <v>0.42931120649366267</v>
      </c>
      <c r="BD36" s="1207">
        <f t="shared" si="12"/>
        <v>0.43519685110483464</v>
      </c>
      <c r="BE36" s="1207">
        <f t="shared" si="12"/>
        <v>0.44122238391363167</v>
      </c>
      <c r="BF36" s="1207">
        <f t="shared" si="12"/>
        <v>0.4367667534653204</v>
      </c>
      <c r="BG36" s="1207">
        <f t="shared" si="12"/>
        <v>0.44281658992159528</v>
      </c>
      <c r="BH36" s="1207">
        <f t="shared" si="13"/>
        <v>0.41255342191974892</v>
      </c>
      <c r="BI36" s="1207" t="e">
        <f t="shared" si="13"/>
        <v>#DIV/0!</v>
      </c>
      <c r="BJ36" s="1207" t="e">
        <f t="shared" si="13"/>
        <v>#DIV/0!</v>
      </c>
      <c r="BK36" s="1207" t="e">
        <f t="shared" si="13"/>
        <v>#DIV/0!</v>
      </c>
      <c r="BL36" s="1207" t="e">
        <f t="shared" si="13"/>
        <v>#DIV/0!</v>
      </c>
      <c r="BM36" s="1207" t="e">
        <f t="shared" si="13"/>
        <v>#DIV/0!</v>
      </c>
      <c r="BN36" s="1207" t="e">
        <f t="shared" si="13"/>
        <v>#DIV/0!</v>
      </c>
      <c r="BO36" s="1207" t="e">
        <f t="shared" si="13"/>
        <v>#DIV/0!</v>
      </c>
      <c r="BP36" s="1207" t="e">
        <f t="shared" si="13"/>
        <v>#DIV/0!</v>
      </c>
      <c r="BQ36" s="1207" t="e">
        <f t="shared" si="13"/>
        <v>#DIV/0!</v>
      </c>
      <c r="BR36" s="1204" t="e">
        <f t="shared" si="14"/>
        <v>#DIV/0!</v>
      </c>
      <c r="BS36" s="202"/>
      <c r="BT36" s="202"/>
      <c r="BU36" s="202"/>
      <c r="BV36" s="202"/>
      <c r="BW36" s="202"/>
      <c r="BX36" s="202"/>
      <c r="BY36" s="202"/>
      <c r="BZ36" s="202"/>
      <c r="CA36" s="202"/>
      <c r="CB36" s="202"/>
      <c r="CC36" s="202"/>
      <c r="CD36" s="202"/>
      <c r="CE36" s="202"/>
      <c r="CF36" s="202"/>
      <c r="CG36" s="202"/>
      <c r="CH36" s="202"/>
      <c r="CI36" s="202"/>
      <c r="CJ36" s="202"/>
      <c r="CK36" s="202"/>
      <c r="CL36" s="202"/>
      <c r="CM36" s="202"/>
      <c r="CN36" s="202"/>
      <c r="CO36" s="202"/>
      <c r="CP36" s="202"/>
      <c r="CQ36" s="202"/>
      <c r="CR36" s="202"/>
      <c r="CS36" s="202"/>
      <c r="CT36" s="202"/>
      <c r="CU36" s="202"/>
      <c r="CV36" s="202"/>
      <c r="CW36" s="202"/>
      <c r="CX36" s="202"/>
      <c r="CY36" s="202"/>
      <c r="CZ36" s="202"/>
      <c r="DA36" s="202"/>
      <c r="DB36" s="202"/>
    </row>
    <row r="37" spans="1:106" s="235" customFormat="1">
      <c r="B37" s="325" t="s">
        <v>534</v>
      </c>
      <c r="C37" s="59"/>
      <c r="D37" s="325"/>
      <c r="E37" s="325">
        <f>CashFlow!E37+CashFlow!E40+CashFlow!E52</f>
        <v>40.6155123910955</v>
      </c>
      <c r="F37" s="325">
        <f>CashFlow!F37+CashFlow!F40+CashFlow!F52</f>
        <v>41.13324214132782</v>
      </c>
      <c r="G37" s="325">
        <f>CashFlow!G37+CashFlow!G40+CashFlow!G52</f>
        <v>41.245228375108049</v>
      </c>
      <c r="H37" s="325">
        <f>CashFlow!H37+CashFlow!H40+CashFlow!H52</f>
        <v>41.408108103726327</v>
      </c>
      <c r="I37" s="325">
        <f>CashFlow!I37+CashFlow!I40+CashFlow!I52</f>
        <v>43.250079550583152</v>
      </c>
      <c r="J37" s="325">
        <f>CashFlow!J37+CashFlow!J40+CashFlow!J52</f>
        <v>41.294990166463471</v>
      </c>
      <c r="K37" s="325">
        <f>CashFlow!K37+CashFlow!K40+CashFlow!K52</f>
        <v>41.611127917664817</v>
      </c>
      <c r="L37" s="325">
        <f>CashFlow!L37+CashFlow!L40+CashFlow!L52</f>
        <v>41.935901974516938</v>
      </c>
      <c r="M37" s="325">
        <f>CashFlow!M37+CashFlow!M40+CashFlow!M52</f>
        <v>42.674924613462956</v>
      </c>
      <c r="N37" s="325">
        <f>CashFlow!N37+CashFlow!N40+CashFlow!N52</f>
        <v>43.492708272689619</v>
      </c>
      <c r="O37" s="325">
        <f>CashFlow!O37+CashFlow!O40+CashFlow!O52</f>
        <v>44.377109957419883</v>
      </c>
      <c r="P37" s="325">
        <f>CashFlow!P37+CashFlow!P40+CashFlow!P52</f>
        <v>45.327516146379594</v>
      </c>
      <c r="Q37" s="325">
        <f>CashFlow!Q37+CashFlow!Q40+CashFlow!Q52</f>
        <v>45.118534448613133</v>
      </c>
      <c r="R37" s="325">
        <f>CashFlow!R37+CashFlow!R40+CashFlow!R52</f>
        <v>44.833330237103276</v>
      </c>
      <c r="S37" s="325">
        <f>CashFlow!S37+CashFlow!S40+CashFlow!S52</f>
        <v>43.967917060145567</v>
      </c>
      <c r="T37" s="325">
        <f>CashFlow!T37+CashFlow!T40+CashFlow!T52</f>
        <v>43.877300225014189</v>
      </c>
      <c r="U37" s="325">
        <f>CashFlow!U37+CashFlow!U40+CashFlow!U52</f>
        <v>36.722126505877604</v>
      </c>
      <c r="V37" s="325">
        <f>CashFlow!V37+CashFlow!V40+CashFlow!V52</f>
        <v>0</v>
      </c>
      <c r="W37" s="325">
        <f>CashFlow!W37+CashFlow!W40+CashFlow!W52</f>
        <v>0</v>
      </c>
      <c r="X37" s="325">
        <f>CashFlow!X37+CashFlow!X40+CashFlow!X52</f>
        <v>0</v>
      </c>
      <c r="Y37" s="325">
        <f>CashFlow!Y37+CashFlow!Y40+CashFlow!Y52</f>
        <v>0</v>
      </c>
      <c r="Z37" s="325">
        <f>CashFlow!Z37+CashFlow!Z40+CashFlow!Z52</f>
        <v>0</v>
      </c>
      <c r="AA37" s="325">
        <f>CashFlow!AA37+CashFlow!AA40+CashFlow!AA52</f>
        <v>0</v>
      </c>
      <c r="AB37" s="325">
        <f>CashFlow!AB37+CashFlow!AB40+CashFlow!AB52</f>
        <v>0</v>
      </c>
      <c r="AC37" s="325">
        <f>CashFlow!AC37+CashFlow!AC40+CashFlow!AC52</f>
        <v>0</v>
      </c>
      <c r="AD37" s="325">
        <f>CashFlow!AD37+CashFlow!AD40+CashFlow!AD52</f>
        <v>0</v>
      </c>
      <c r="AE37" s="325">
        <f>CashFlow!AE37+CashFlow!AE40+CashFlow!AE52</f>
        <v>0</v>
      </c>
      <c r="AF37" s="325">
        <f>CashFlow!AF37+CashFlow!AF40+CashFlow!AF52</f>
        <v>0</v>
      </c>
      <c r="AG37" s="325">
        <f>CashFlow!AG37+CashFlow!AG40+CashFlow!AG52</f>
        <v>0</v>
      </c>
      <c r="AH37" s="325">
        <f>CashFlow!AH37+CashFlow!AH40+CashFlow!AH52</f>
        <v>0</v>
      </c>
      <c r="AI37" s="325">
        <f>CashFlow!AI37+CashFlow!AI40+CashFlow!AI52</f>
        <v>0</v>
      </c>
      <c r="AJ37" s="646"/>
      <c r="AK37" s="646"/>
      <c r="AL37" s="325"/>
      <c r="AM37" s="325"/>
      <c r="AN37" s="1201">
        <f t="shared" si="11"/>
        <v>3.6956447157502621E-3</v>
      </c>
      <c r="AO37" s="1201">
        <f t="shared" si="11"/>
        <v>3.7323569086118399E-3</v>
      </c>
      <c r="AP37" s="1201">
        <f t="shared" si="11"/>
        <v>3.7425183394050403E-3</v>
      </c>
      <c r="AQ37" s="1201">
        <f t="shared" si="11"/>
        <v>3.7572977550001567E-3</v>
      </c>
      <c r="AR37" s="1201">
        <f t="shared" si="11"/>
        <v>3.9244349534617003E-3</v>
      </c>
      <c r="AS37" s="1201">
        <f t="shared" si="11"/>
        <v>3.747033635454697E-3</v>
      </c>
      <c r="AT37" s="1201">
        <f t="shared" si="11"/>
        <v>3.775719410228182E-3</v>
      </c>
      <c r="AU37" s="1201">
        <f t="shared" si="11"/>
        <v>3.8051888279479196E-3</v>
      </c>
      <c r="AV37" s="1201">
        <f t="shared" si="11"/>
        <v>3.8722464219643022E-3</v>
      </c>
      <c r="AW37" s="1201">
        <f t="shared" si="11"/>
        <v>3.9464506502567718E-3</v>
      </c>
      <c r="AX37" s="1201">
        <f t="shared" si="12"/>
        <v>4.0266996791723511E-3</v>
      </c>
      <c r="AY37" s="1201">
        <f t="shared" si="12"/>
        <v>4.1129378388866612E-3</v>
      </c>
      <c r="AZ37" s="1201">
        <f t="shared" si="12"/>
        <v>4.0939752129708108E-3</v>
      </c>
      <c r="BA37" s="1201">
        <f t="shared" si="12"/>
        <v>4.0680962923270994E-3</v>
      </c>
      <c r="BB37" s="1201">
        <f t="shared" si="12"/>
        <v>3.9895702466844069E-3</v>
      </c>
      <c r="BC37" s="1201">
        <f t="shared" si="12"/>
        <v>3.9813478369488189E-3</v>
      </c>
      <c r="BD37" s="1201">
        <f t="shared" si="12"/>
        <v>3.3321001561756737E-3</v>
      </c>
      <c r="BE37" s="1201">
        <f t="shared" si="12"/>
        <v>0</v>
      </c>
      <c r="BF37" s="1201">
        <f t="shared" si="12"/>
        <v>0</v>
      </c>
      <c r="BG37" s="1201">
        <f t="shared" si="12"/>
        <v>0</v>
      </c>
      <c r="BH37" s="1201">
        <f t="shared" si="13"/>
        <v>0</v>
      </c>
      <c r="BI37" s="1201" t="e">
        <f t="shared" si="13"/>
        <v>#DIV/0!</v>
      </c>
      <c r="BJ37" s="1201" t="e">
        <f t="shared" si="13"/>
        <v>#DIV/0!</v>
      </c>
      <c r="BK37" s="1201" t="e">
        <f t="shared" si="13"/>
        <v>#DIV/0!</v>
      </c>
      <c r="BL37" s="1201" t="e">
        <f t="shared" si="13"/>
        <v>#DIV/0!</v>
      </c>
      <c r="BM37" s="1201" t="e">
        <f t="shared" si="13"/>
        <v>#DIV/0!</v>
      </c>
      <c r="BN37" s="1201" t="e">
        <f t="shared" si="13"/>
        <v>#DIV/0!</v>
      </c>
      <c r="BO37" s="1201" t="e">
        <f t="shared" si="13"/>
        <v>#DIV/0!</v>
      </c>
      <c r="BP37" s="1201" t="e">
        <f t="shared" si="13"/>
        <v>#DIV/0!</v>
      </c>
      <c r="BQ37" s="1201" t="e">
        <f t="shared" si="13"/>
        <v>#DIV/0!</v>
      </c>
      <c r="BR37" s="1204" t="e">
        <f t="shared" si="14"/>
        <v>#DIV/0!</v>
      </c>
    </row>
    <row r="38" spans="1:106" s="235" customFormat="1">
      <c r="B38" s="325" t="s">
        <v>260</v>
      </c>
      <c r="C38" s="59"/>
      <c r="D38" s="325"/>
      <c r="E38" s="325">
        <f>CashFlow!E41</f>
        <v>249.30555555555557</v>
      </c>
      <c r="F38" s="325">
        <f>CashFlow!F41</f>
        <v>256.5</v>
      </c>
      <c r="G38" s="325">
        <f>CashFlow!G41</f>
        <v>262.91249999999997</v>
      </c>
      <c r="H38" s="325">
        <f>CashFlow!H41</f>
        <v>269.48531249999996</v>
      </c>
      <c r="I38" s="325">
        <f>CashFlow!I41</f>
        <v>276.22244531249993</v>
      </c>
      <c r="J38" s="325">
        <f>CashFlow!J41</f>
        <v>283.12800644531239</v>
      </c>
      <c r="K38" s="325">
        <f>CashFlow!K41</f>
        <v>290.20620660644516</v>
      </c>
      <c r="L38" s="325">
        <f>CashFlow!L41</f>
        <v>297.46136177160628</v>
      </c>
      <c r="M38" s="325">
        <f>CashFlow!M41</f>
        <v>304.89789581589639</v>
      </c>
      <c r="N38" s="325">
        <f>CashFlow!N41</f>
        <v>312.52034321129378</v>
      </c>
      <c r="O38" s="325">
        <f>CashFlow!O41</f>
        <v>320.33335179157609</v>
      </c>
      <c r="P38" s="325">
        <f>CashFlow!P41</f>
        <v>328.34168558636549</v>
      </c>
      <c r="Q38" s="325">
        <f>CashFlow!Q41</f>
        <v>336.55022772602462</v>
      </c>
      <c r="R38" s="325">
        <f>CashFlow!R41</f>
        <v>344.96398341917518</v>
      </c>
      <c r="S38" s="325">
        <f>CashFlow!S41</f>
        <v>353.58808300465455</v>
      </c>
      <c r="T38" s="325">
        <f>CashFlow!T41</f>
        <v>362.4277850797709</v>
      </c>
      <c r="U38" s="325">
        <f>CashFlow!U41</f>
        <v>371.48847970676513</v>
      </c>
      <c r="V38" s="325">
        <f>CashFlow!V41</f>
        <v>380.77569169943422</v>
      </c>
      <c r="W38" s="325">
        <f>CashFlow!W41</f>
        <v>390.29508399192002</v>
      </c>
      <c r="X38" s="325">
        <f>CashFlow!X41</f>
        <v>400.05246109171799</v>
      </c>
      <c r="Y38" s="325">
        <f>CashFlow!Y41</f>
        <v>1.1390382572750262</v>
      </c>
      <c r="Z38" s="325">
        <f>CashFlow!Z41</f>
        <v>0</v>
      </c>
      <c r="AA38" s="325">
        <f>CashFlow!AA41</f>
        <v>0</v>
      </c>
      <c r="AB38" s="325">
        <f>CashFlow!AB41</f>
        <v>0</v>
      </c>
      <c r="AC38" s="325">
        <f>CashFlow!AC41</f>
        <v>0</v>
      </c>
      <c r="AD38" s="325">
        <f>CashFlow!AD41</f>
        <v>0</v>
      </c>
      <c r="AE38" s="325">
        <f>CashFlow!AE41</f>
        <v>0</v>
      </c>
      <c r="AF38" s="325">
        <f>CashFlow!AF41</f>
        <v>0</v>
      </c>
      <c r="AG38" s="325">
        <f>CashFlow!AG41</f>
        <v>0</v>
      </c>
      <c r="AH38" s="325">
        <f>CashFlow!AH41</f>
        <v>0</v>
      </c>
      <c r="AI38" s="325">
        <f>CashFlow!AI41</f>
        <v>0</v>
      </c>
      <c r="AJ38" s="646"/>
      <c r="AK38" s="646"/>
      <c r="AL38" s="325"/>
      <c r="AM38" s="325"/>
      <c r="AN38" s="1201">
        <f t="shared" si="11"/>
        <v>2.2684553382565895E-2</v>
      </c>
      <c r="AO38" s="1201">
        <f t="shared" si="11"/>
        <v>2.3274351770512607E-2</v>
      </c>
      <c r="AP38" s="1201">
        <f t="shared" si="11"/>
        <v>2.3856210564775417E-2</v>
      </c>
      <c r="AQ38" s="1201">
        <f t="shared" si="11"/>
        <v>2.4452615828894804E-2</v>
      </c>
      <c r="AR38" s="1201">
        <f t="shared" si="11"/>
        <v>2.506393122461717E-2</v>
      </c>
      <c r="AS38" s="1201">
        <f t="shared" si="11"/>
        <v>2.5690529505232595E-2</v>
      </c>
      <c r="AT38" s="1201">
        <f t="shared" si="11"/>
        <v>2.6332792742863407E-2</v>
      </c>
      <c r="AU38" s="1201">
        <f t="shared" si="11"/>
        <v>2.6991112561434993E-2</v>
      </c>
      <c r="AV38" s="1201">
        <f t="shared" si="11"/>
        <v>2.7665890375470861E-2</v>
      </c>
      <c r="AW38" s="1201">
        <f t="shared" si="11"/>
        <v>2.8357537634857634E-2</v>
      </c>
      <c r="AX38" s="1201">
        <f t="shared" si="12"/>
        <v>2.906647607572907E-2</v>
      </c>
      <c r="AY38" s="1201">
        <f t="shared" si="12"/>
        <v>2.9793137977622296E-2</v>
      </c>
      <c r="AZ38" s="1201">
        <f t="shared" si="12"/>
        <v>3.0537966427062854E-2</v>
      </c>
      <c r="BA38" s="1201">
        <f t="shared" si="12"/>
        <v>3.1301415587739419E-2</v>
      </c>
      <c r="BB38" s="1201">
        <f t="shared" si="12"/>
        <v>3.2083950977432905E-2</v>
      </c>
      <c r="BC38" s="1201">
        <f t="shared" si="12"/>
        <v>3.2886049751868728E-2</v>
      </c>
      <c r="BD38" s="1201">
        <f t="shared" si="12"/>
        <v>3.370820099566544E-2</v>
      </c>
      <c r="BE38" s="1201">
        <f t="shared" si="12"/>
        <v>3.4550906020557069E-2</v>
      </c>
      <c r="BF38" s="1201">
        <f t="shared" si="12"/>
        <v>3.5414678671070995E-2</v>
      </c>
      <c r="BG38" s="1201">
        <f t="shared" si="12"/>
        <v>3.6300045637847764E-2</v>
      </c>
      <c r="BH38" s="1201">
        <f t="shared" si="13"/>
        <v>3.7207546778793954E-2</v>
      </c>
      <c r="BI38" s="1201" t="e">
        <f t="shared" si="13"/>
        <v>#DIV/0!</v>
      </c>
      <c r="BJ38" s="1201" t="e">
        <f t="shared" si="13"/>
        <v>#DIV/0!</v>
      </c>
      <c r="BK38" s="1201" t="e">
        <f t="shared" si="13"/>
        <v>#DIV/0!</v>
      </c>
      <c r="BL38" s="1201" t="e">
        <f t="shared" si="13"/>
        <v>#DIV/0!</v>
      </c>
      <c r="BM38" s="1201" t="e">
        <f t="shared" si="13"/>
        <v>#DIV/0!</v>
      </c>
      <c r="BN38" s="1201" t="e">
        <f t="shared" si="13"/>
        <v>#DIV/0!</v>
      </c>
      <c r="BO38" s="1201" t="e">
        <f t="shared" si="13"/>
        <v>#DIV/0!</v>
      </c>
      <c r="BP38" s="1201" t="e">
        <f t="shared" si="13"/>
        <v>#DIV/0!</v>
      </c>
      <c r="BQ38" s="1201" t="e">
        <f t="shared" si="13"/>
        <v>#DIV/0!</v>
      </c>
      <c r="BR38" s="1204" t="e">
        <f t="shared" si="14"/>
        <v>#DIV/0!</v>
      </c>
    </row>
    <row r="39" spans="1:106" s="235" customFormat="1" ht="14.25" customHeight="1">
      <c r="B39" s="561" t="s">
        <v>306</v>
      </c>
      <c r="C39" s="59"/>
      <c r="D39" s="325"/>
      <c r="E39" s="561">
        <f>CashFlow!E29</f>
        <v>1286.4166666666667</v>
      </c>
      <c r="F39" s="561">
        <f>CashFlow!F29</f>
        <v>1204</v>
      </c>
      <c r="G39" s="561">
        <f>CashFlow!G29</f>
        <v>1118</v>
      </c>
      <c r="H39" s="561">
        <f>CashFlow!H29</f>
        <v>1118</v>
      </c>
      <c r="I39" s="561">
        <f>CashFlow!I29</f>
        <v>1118</v>
      </c>
      <c r="J39" s="561">
        <f>CashFlow!J29</f>
        <v>0</v>
      </c>
      <c r="K39" s="561">
        <f>CashFlow!K29</f>
        <v>0</v>
      </c>
      <c r="L39" s="561">
        <f>CashFlow!L29</f>
        <v>0</v>
      </c>
      <c r="M39" s="561">
        <f>CashFlow!M29</f>
        <v>0</v>
      </c>
      <c r="N39" s="561">
        <f>CashFlow!N29</f>
        <v>0</v>
      </c>
      <c r="O39" s="561">
        <f>CashFlow!O29</f>
        <v>0</v>
      </c>
      <c r="P39" s="561">
        <f>CashFlow!P29</f>
        <v>0</v>
      </c>
      <c r="Q39" s="561">
        <f>CashFlow!Q29</f>
        <v>0</v>
      </c>
      <c r="R39" s="561">
        <f>CashFlow!R29</f>
        <v>0</v>
      </c>
      <c r="S39" s="561">
        <f>CashFlow!S29</f>
        <v>0</v>
      </c>
      <c r="T39" s="561">
        <f>CashFlow!T29</f>
        <v>0</v>
      </c>
      <c r="U39" s="561">
        <f>CashFlow!U29</f>
        <v>0</v>
      </c>
      <c r="V39" s="561">
        <f>CashFlow!V29</f>
        <v>0</v>
      </c>
      <c r="W39" s="561">
        <f>CashFlow!W29</f>
        <v>0</v>
      </c>
      <c r="X39" s="561">
        <f>CashFlow!X29</f>
        <v>0</v>
      </c>
      <c r="Y39" s="561">
        <f>CashFlow!Y29</f>
        <v>0</v>
      </c>
      <c r="Z39" s="561">
        <f>CashFlow!Z29</f>
        <v>0</v>
      </c>
      <c r="AA39" s="561">
        <f>CashFlow!AA29</f>
        <v>0</v>
      </c>
      <c r="AB39" s="561">
        <f>CashFlow!AB29</f>
        <v>0</v>
      </c>
      <c r="AC39" s="561">
        <f>CashFlow!AC29</f>
        <v>0</v>
      </c>
      <c r="AD39" s="561">
        <f>CashFlow!AD29</f>
        <v>0</v>
      </c>
      <c r="AE39" s="561">
        <f>CashFlow!AE29</f>
        <v>0</v>
      </c>
      <c r="AF39" s="561">
        <f>CashFlow!AF29</f>
        <v>0</v>
      </c>
      <c r="AG39" s="561">
        <f>CashFlow!AG29</f>
        <v>0</v>
      </c>
      <c r="AH39" s="561">
        <f>CashFlow!AH29</f>
        <v>0</v>
      </c>
      <c r="AI39" s="561">
        <f>CashFlow!AI29</f>
        <v>0</v>
      </c>
      <c r="AJ39" s="646"/>
      <c r="AK39" s="646"/>
      <c r="AL39" s="325"/>
      <c r="AM39" s="325"/>
      <c r="AN39" s="1208">
        <f t="shared" si="11"/>
        <v>0.11705229545404001</v>
      </c>
      <c r="AO39" s="1208">
        <f t="shared" si="11"/>
        <v>0.10924880909043734</v>
      </c>
      <c r="AP39" s="1208">
        <f t="shared" si="11"/>
        <v>0.10144532272683467</v>
      </c>
      <c r="AQ39" s="1208">
        <f t="shared" si="11"/>
        <v>0.10144532272683467</v>
      </c>
      <c r="AR39" s="1208">
        <f t="shared" si="11"/>
        <v>0.10144532272683467</v>
      </c>
      <c r="AS39" s="1208">
        <f t="shared" si="11"/>
        <v>0</v>
      </c>
      <c r="AT39" s="1208">
        <f t="shared" si="11"/>
        <v>0</v>
      </c>
      <c r="AU39" s="1208">
        <f t="shared" si="11"/>
        <v>0</v>
      </c>
      <c r="AV39" s="1208">
        <f t="shared" si="11"/>
        <v>0</v>
      </c>
      <c r="AW39" s="1208">
        <f t="shared" si="11"/>
        <v>0</v>
      </c>
      <c r="AX39" s="1208">
        <f t="shared" si="12"/>
        <v>0</v>
      </c>
      <c r="AY39" s="1208">
        <f t="shared" si="12"/>
        <v>0</v>
      </c>
      <c r="AZ39" s="1208">
        <f t="shared" si="12"/>
        <v>0</v>
      </c>
      <c r="BA39" s="1208">
        <f t="shared" si="12"/>
        <v>0</v>
      </c>
      <c r="BB39" s="1208">
        <f t="shared" si="12"/>
        <v>0</v>
      </c>
      <c r="BC39" s="1208">
        <f t="shared" si="12"/>
        <v>0</v>
      </c>
      <c r="BD39" s="1208">
        <f t="shared" si="12"/>
        <v>0</v>
      </c>
      <c r="BE39" s="1208">
        <f t="shared" si="12"/>
        <v>0</v>
      </c>
      <c r="BF39" s="1208">
        <f t="shared" si="12"/>
        <v>0</v>
      </c>
      <c r="BG39" s="1208">
        <f t="shared" si="12"/>
        <v>0</v>
      </c>
      <c r="BH39" s="1208">
        <f t="shared" si="13"/>
        <v>0</v>
      </c>
      <c r="BI39" s="1208" t="e">
        <f t="shared" si="13"/>
        <v>#DIV/0!</v>
      </c>
      <c r="BJ39" s="1208" t="e">
        <f t="shared" si="13"/>
        <v>#DIV/0!</v>
      </c>
      <c r="BK39" s="1208" t="e">
        <f t="shared" si="13"/>
        <v>#DIV/0!</v>
      </c>
      <c r="BL39" s="1208" t="e">
        <f t="shared" si="13"/>
        <v>#DIV/0!</v>
      </c>
      <c r="BM39" s="1208" t="e">
        <f t="shared" si="13"/>
        <v>#DIV/0!</v>
      </c>
      <c r="BN39" s="1208" t="e">
        <f t="shared" si="13"/>
        <v>#DIV/0!</v>
      </c>
      <c r="BO39" s="1208" t="e">
        <f t="shared" si="13"/>
        <v>#DIV/0!</v>
      </c>
      <c r="BP39" s="1208" t="e">
        <f t="shared" si="13"/>
        <v>#DIV/0!</v>
      </c>
      <c r="BQ39" s="1208" t="e">
        <f t="shared" si="13"/>
        <v>#DIV/0!</v>
      </c>
      <c r="BR39" s="1204" t="e">
        <f t="shared" si="14"/>
        <v>#DIV/0!</v>
      </c>
    </row>
    <row r="40" spans="1:106" s="235" customFormat="1" ht="14.25" customHeight="1" thickBot="1">
      <c r="B40" s="562" t="s">
        <v>551</v>
      </c>
      <c r="C40" s="325"/>
      <c r="D40" s="325"/>
      <c r="E40" s="562">
        <f t="shared" ref="E40:AI40" si="15">SUM(E36:E39)</f>
        <v>3273.8402285551374</v>
      </c>
      <c r="F40" s="562">
        <f t="shared" si="15"/>
        <v>5094.4708028362475</v>
      </c>
      <c r="G40" s="562">
        <f t="shared" si="15"/>
        <v>5038.0767572809045</v>
      </c>
      <c r="H40" s="562">
        <f t="shared" si="15"/>
        <v>5058.7161461927808</v>
      </c>
      <c r="I40" s="562">
        <f t="shared" si="15"/>
        <v>5073.4229811313671</v>
      </c>
      <c r="J40" s="562">
        <f t="shared" si="15"/>
        <v>4769.1058696387527</v>
      </c>
      <c r="K40" s="562">
        <f t="shared" si="15"/>
        <v>5180.0894934947455</v>
      </c>
      <c r="L40" s="562">
        <f t="shared" si="15"/>
        <v>5167.0557161574252</v>
      </c>
      <c r="M40" s="562">
        <f t="shared" si="15"/>
        <v>5154.1767146409857</v>
      </c>
      <c r="N40" s="562">
        <f t="shared" si="15"/>
        <v>5065.0454283403687</v>
      </c>
      <c r="O40" s="562">
        <f t="shared" si="15"/>
        <v>4962.4714091236983</v>
      </c>
      <c r="P40" s="562">
        <f t="shared" si="15"/>
        <v>4848.7584895877617</v>
      </c>
      <c r="Q40" s="562">
        <f t="shared" si="15"/>
        <v>4722.1863367255892</v>
      </c>
      <c r="R40" s="562">
        <f t="shared" si="15"/>
        <v>4813.8121926025533</v>
      </c>
      <c r="S40" s="562">
        <f t="shared" si="15"/>
        <v>4920.1455204821041</v>
      </c>
      <c r="T40" s="562">
        <f t="shared" si="15"/>
        <v>5137.621581308711</v>
      </c>
      <c r="U40" s="562">
        <f t="shared" si="15"/>
        <v>5204.3911146561459</v>
      </c>
      <c r="V40" s="562">
        <f t="shared" si="15"/>
        <v>5243.3618805543911</v>
      </c>
      <c r="W40" s="562">
        <f t="shared" si="15"/>
        <v>5203.7770390851538</v>
      </c>
      <c r="X40" s="562">
        <f t="shared" si="15"/>
        <v>5280.2079401711508</v>
      </c>
      <c r="Y40" s="562">
        <f t="shared" si="15"/>
        <v>13.768576386462891</v>
      </c>
      <c r="Z40" s="562">
        <f t="shared" si="15"/>
        <v>0</v>
      </c>
      <c r="AA40" s="562">
        <f t="shared" si="15"/>
        <v>0</v>
      </c>
      <c r="AB40" s="562">
        <f t="shared" si="15"/>
        <v>0</v>
      </c>
      <c r="AC40" s="562">
        <f t="shared" si="15"/>
        <v>0</v>
      </c>
      <c r="AD40" s="562">
        <f t="shared" si="15"/>
        <v>0</v>
      </c>
      <c r="AE40" s="562">
        <f t="shared" si="15"/>
        <v>0</v>
      </c>
      <c r="AF40" s="562">
        <f t="shared" si="15"/>
        <v>0</v>
      </c>
      <c r="AG40" s="562">
        <f t="shared" si="15"/>
        <v>0</v>
      </c>
      <c r="AH40" s="562">
        <f t="shared" si="15"/>
        <v>0</v>
      </c>
      <c r="AI40" s="562">
        <f t="shared" si="15"/>
        <v>0</v>
      </c>
      <c r="AJ40" s="646"/>
      <c r="AK40" s="646"/>
      <c r="AL40" s="325"/>
      <c r="AM40" s="325"/>
      <c r="AN40" s="1209">
        <f t="shared" si="11"/>
        <v>0.29788988562712271</v>
      </c>
      <c r="AO40" s="1209">
        <f t="shared" si="11"/>
        <v>0.46226317953144869</v>
      </c>
      <c r="AP40" s="1209">
        <f t="shared" si="11"/>
        <v>0.45714608458401257</v>
      </c>
      <c r="AQ40" s="1209">
        <f t="shared" si="11"/>
        <v>0.45901886586223256</v>
      </c>
      <c r="AR40" s="1209">
        <f t="shared" si="11"/>
        <v>0.46035333779124438</v>
      </c>
      <c r="AS40" s="1209">
        <f t="shared" si="11"/>
        <v>0.43274014674771449</v>
      </c>
      <c r="AT40" s="1209">
        <f t="shared" si="11"/>
        <v>0.47003206656660107</v>
      </c>
      <c r="AU40" s="1209">
        <f t="shared" si="11"/>
        <v>0.4688494048954614</v>
      </c>
      <c r="AV40" s="1209">
        <f t="shared" si="11"/>
        <v>0.46768078730580614</v>
      </c>
      <c r="AW40" s="1209">
        <f t="shared" si="11"/>
        <v>0.45959317361723367</v>
      </c>
      <c r="AX40" s="1209">
        <f t="shared" si="12"/>
        <v>0.4502857903588941</v>
      </c>
      <c r="AY40" s="1209">
        <f t="shared" si="12"/>
        <v>0.4399676831848926</v>
      </c>
      <c r="AZ40" s="1209">
        <f t="shared" si="12"/>
        <v>0.42848275215149961</v>
      </c>
      <c r="BA40" s="1209">
        <f t="shared" si="12"/>
        <v>0.43679671862695674</v>
      </c>
      <c r="BB40" s="1209">
        <f t="shared" si="12"/>
        <v>0.44644521483747496</v>
      </c>
      <c r="BC40" s="1209">
        <f t="shared" si="12"/>
        <v>0.46617860408248019</v>
      </c>
      <c r="BD40" s="1209">
        <f t="shared" si="12"/>
        <v>0.47223715225667579</v>
      </c>
      <c r="BE40" s="1209">
        <f t="shared" si="12"/>
        <v>0.47577328993418871</v>
      </c>
      <c r="BF40" s="1209">
        <f t="shared" si="12"/>
        <v>0.47218143213639141</v>
      </c>
      <c r="BG40" s="1209">
        <f t="shared" si="12"/>
        <v>0.47911663555944306</v>
      </c>
      <c r="BH40" s="1209">
        <f t="shared" si="13"/>
        <v>0.44976096869854282</v>
      </c>
      <c r="BI40" s="1209" t="e">
        <f t="shared" si="13"/>
        <v>#DIV/0!</v>
      </c>
      <c r="BJ40" s="1209" t="e">
        <f t="shared" si="13"/>
        <v>#DIV/0!</v>
      </c>
      <c r="BK40" s="1209" t="e">
        <f t="shared" si="13"/>
        <v>#DIV/0!</v>
      </c>
      <c r="BL40" s="1209" t="e">
        <f t="shared" si="13"/>
        <v>#DIV/0!</v>
      </c>
      <c r="BM40" s="1209" t="e">
        <f t="shared" si="13"/>
        <v>#DIV/0!</v>
      </c>
      <c r="BN40" s="1209" t="e">
        <f t="shared" si="13"/>
        <v>#DIV/0!</v>
      </c>
      <c r="BO40" s="1209" t="e">
        <f t="shared" si="13"/>
        <v>#DIV/0!</v>
      </c>
      <c r="BP40" s="1209" t="e">
        <f t="shared" si="13"/>
        <v>#DIV/0!</v>
      </c>
      <c r="BQ40" s="1209" t="e">
        <f t="shared" si="13"/>
        <v>#DIV/0!</v>
      </c>
      <c r="BR40" s="1204" t="e">
        <f t="shared" si="14"/>
        <v>#DIV/0!</v>
      </c>
    </row>
    <row r="41" spans="1:106" s="491" customFormat="1" ht="13.5" thickTop="1">
      <c r="B41" s="428" t="s">
        <v>262</v>
      </c>
      <c r="C41" s="325"/>
      <c r="D41" s="428"/>
      <c r="E41" s="428">
        <f t="shared" ref="E41:AI41" si="16">E35-E40</f>
        <v>7716.2617739448624</v>
      </c>
      <c r="F41" s="428">
        <f t="shared" si="16"/>
        <v>5926.244297163752</v>
      </c>
      <c r="G41" s="428">
        <f t="shared" si="16"/>
        <v>5982.6383427190949</v>
      </c>
      <c r="H41" s="428">
        <f t="shared" si="16"/>
        <v>5961.9989538072186</v>
      </c>
      <c r="I41" s="428">
        <f t="shared" si="16"/>
        <v>5947.2921188686323</v>
      </c>
      <c r="J41" s="428">
        <f t="shared" si="16"/>
        <v>6251.6092303612468</v>
      </c>
      <c r="K41" s="428">
        <f t="shared" si="16"/>
        <v>5840.6256065052539</v>
      </c>
      <c r="L41" s="428">
        <f t="shared" si="16"/>
        <v>5853.6593838425742</v>
      </c>
      <c r="M41" s="428">
        <f t="shared" si="16"/>
        <v>5866.5383853590138</v>
      </c>
      <c r="N41" s="428">
        <f t="shared" si="16"/>
        <v>5955.6696716596307</v>
      </c>
      <c r="O41" s="428">
        <f t="shared" si="16"/>
        <v>6058.2436908763011</v>
      </c>
      <c r="P41" s="428">
        <f t="shared" si="16"/>
        <v>6171.9566104122378</v>
      </c>
      <c r="Q41" s="428">
        <f t="shared" si="16"/>
        <v>6298.5287632744103</v>
      </c>
      <c r="R41" s="428">
        <f t="shared" si="16"/>
        <v>6206.9029073974461</v>
      </c>
      <c r="S41" s="428">
        <f t="shared" si="16"/>
        <v>6100.5695795178954</v>
      </c>
      <c r="T41" s="428">
        <f t="shared" si="16"/>
        <v>5883.0935186912884</v>
      </c>
      <c r="U41" s="428">
        <f t="shared" si="16"/>
        <v>5816.3239853438536</v>
      </c>
      <c r="V41" s="428">
        <f t="shared" si="16"/>
        <v>5777.3532194456084</v>
      </c>
      <c r="W41" s="428">
        <f t="shared" si="16"/>
        <v>5816.9380609148457</v>
      </c>
      <c r="X41" s="428">
        <f t="shared" si="16"/>
        <v>5740.5071598288487</v>
      </c>
      <c r="Y41" s="428">
        <f t="shared" si="16"/>
        <v>16.844521113536999</v>
      </c>
      <c r="Z41" s="428">
        <f t="shared" si="16"/>
        <v>0</v>
      </c>
      <c r="AA41" s="428">
        <f t="shared" si="16"/>
        <v>0</v>
      </c>
      <c r="AB41" s="428">
        <f t="shared" si="16"/>
        <v>0</v>
      </c>
      <c r="AC41" s="428">
        <f t="shared" si="16"/>
        <v>0</v>
      </c>
      <c r="AD41" s="428">
        <f t="shared" si="16"/>
        <v>0</v>
      </c>
      <c r="AE41" s="428">
        <f t="shared" si="16"/>
        <v>0</v>
      </c>
      <c r="AF41" s="428">
        <f t="shared" si="16"/>
        <v>0</v>
      </c>
      <c r="AG41" s="428">
        <f t="shared" si="16"/>
        <v>0</v>
      </c>
      <c r="AH41" s="428">
        <f t="shared" si="16"/>
        <v>0</v>
      </c>
      <c r="AI41" s="428">
        <f t="shared" si="16"/>
        <v>0</v>
      </c>
      <c r="AJ41" s="647"/>
      <c r="AK41" s="647"/>
      <c r="AL41" s="428"/>
      <c r="AM41" s="428"/>
      <c r="AN41" s="1210">
        <f t="shared" si="11"/>
        <v>0.70211011437287729</v>
      </c>
      <c r="AO41" s="1210">
        <f t="shared" si="11"/>
        <v>0.53773682046855131</v>
      </c>
      <c r="AP41" s="1210">
        <f t="shared" si="11"/>
        <v>0.54285391541598738</v>
      </c>
      <c r="AQ41" s="1210">
        <f t="shared" si="11"/>
        <v>0.54098113413776738</v>
      </c>
      <c r="AR41" s="1210">
        <f t="shared" si="11"/>
        <v>0.53964666220875568</v>
      </c>
      <c r="AS41" s="1210">
        <f t="shared" si="11"/>
        <v>0.56725985325228556</v>
      </c>
      <c r="AT41" s="1210">
        <f t="shared" si="11"/>
        <v>0.52996793343339887</v>
      </c>
      <c r="AU41" s="1210">
        <f t="shared" si="11"/>
        <v>0.53115059510453855</v>
      </c>
      <c r="AV41" s="1210">
        <f t="shared" si="11"/>
        <v>0.53231921269419391</v>
      </c>
      <c r="AW41" s="1210">
        <f t="shared" si="11"/>
        <v>0.54040682638276627</v>
      </c>
      <c r="AX41" s="1210">
        <f t="shared" si="12"/>
        <v>0.54971420964110596</v>
      </c>
      <c r="AY41" s="1210">
        <f t="shared" si="12"/>
        <v>0.56003231681510746</v>
      </c>
      <c r="AZ41" s="1210">
        <f t="shared" si="12"/>
        <v>0.57151724784850033</v>
      </c>
      <c r="BA41" s="1210">
        <f t="shared" si="12"/>
        <v>0.56320328137304321</v>
      </c>
      <c r="BB41" s="1210">
        <f t="shared" si="12"/>
        <v>0.55355478516252499</v>
      </c>
      <c r="BC41" s="1210">
        <f t="shared" si="12"/>
        <v>0.53382139591751976</v>
      </c>
      <c r="BD41" s="1210">
        <f t="shared" si="12"/>
        <v>0.52776284774332416</v>
      </c>
      <c r="BE41" s="1210">
        <f t="shared" si="12"/>
        <v>0.52422671006581134</v>
      </c>
      <c r="BF41" s="1210">
        <f t="shared" si="12"/>
        <v>0.52781856786360859</v>
      </c>
      <c r="BG41" s="1210">
        <f t="shared" si="12"/>
        <v>0.52088336444055694</v>
      </c>
      <c r="BH41" s="1210">
        <f t="shared" si="13"/>
        <v>0.55023903130145713</v>
      </c>
      <c r="BI41" s="1210" t="e">
        <f t="shared" si="13"/>
        <v>#DIV/0!</v>
      </c>
      <c r="BJ41" s="1210" t="e">
        <f t="shared" si="13"/>
        <v>#DIV/0!</v>
      </c>
      <c r="BK41" s="1210" t="e">
        <f t="shared" si="13"/>
        <v>#DIV/0!</v>
      </c>
      <c r="BL41" s="1210" t="e">
        <f t="shared" si="13"/>
        <v>#DIV/0!</v>
      </c>
      <c r="BM41" s="1210" t="e">
        <f t="shared" si="13"/>
        <v>#DIV/0!</v>
      </c>
      <c r="BN41" s="1210" t="e">
        <f t="shared" si="13"/>
        <v>#DIV/0!</v>
      </c>
      <c r="BO41" s="1210" t="e">
        <f t="shared" si="13"/>
        <v>#DIV/0!</v>
      </c>
      <c r="BP41" s="1210" t="e">
        <f t="shared" si="13"/>
        <v>#DIV/0!</v>
      </c>
      <c r="BQ41" s="1210" t="e">
        <f t="shared" si="13"/>
        <v>#DIV/0!</v>
      </c>
      <c r="BR41" s="1204" t="e">
        <f t="shared" si="14"/>
        <v>#DIV/0!</v>
      </c>
    </row>
    <row r="42" spans="1:106" s="235" customFormat="1" ht="13.7" customHeight="1">
      <c r="B42" s="325"/>
      <c r="C42" s="325"/>
      <c r="D42" s="325"/>
      <c r="E42" s="325"/>
      <c r="F42" s="325"/>
      <c r="G42" s="325"/>
      <c r="H42" s="325"/>
      <c r="I42" s="325"/>
      <c r="J42" s="325"/>
      <c r="K42" s="325"/>
      <c r="L42" s="325"/>
      <c r="M42" s="325"/>
      <c r="N42" s="325"/>
      <c r="O42" s="325"/>
      <c r="P42" s="325"/>
      <c r="Q42" s="325"/>
      <c r="R42" s="325"/>
      <c r="S42" s="325"/>
      <c r="T42" s="325"/>
      <c r="U42" s="325"/>
      <c r="V42" s="325"/>
      <c r="W42" s="325"/>
      <c r="X42" s="325"/>
      <c r="Y42" s="325"/>
      <c r="Z42" s="325"/>
      <c r="AA42" s="325"/>
      <c r="AB42" s="325"/>
      <c r="AC42" s="325"/>
      <c r="AD42" s="325"/>
      <c r="AE42" s="325"/>
      <c r="AF42" s="325"/>
      <c r="AG42" s="325"/>
      <c r="AH42" s="325"/>
      <c r="AI42" s="325"/>
      <c r="AJ42" s="646"/>
      <c r="AK42" s="646"/>
      <c r="AL42" s="325"/>
      <c r="AM42" s="325"/>
      <c r="AN42" s="1201"/>
      <c r="AO42" s="1201"/>
      <c r="AP42" s="1201"/>
      <c r="AQ42" s="1201"/>
      <c r="AR42" s="1201"/>
      <c r="AS42" s="1201"/>
      <c r="AT42" s="1201"/>
      <c r="AU42" s="1201"/>
      <c r="AV42" s="1201"/>
      <c r="AW42" s="1201"/>
      <c r="AX42" s="1201"/>
      <c r="AY42" s="1201"/>
      <c r="AZ42" s="1201"/>
      <c r="BA42" s="1201"/>
      <c r="BB42" s="1201"/>
      <c r="BC42" s="1201"/>
      <c r="BD42" s="1201"/>
      <c r="BE42" s="1201"/>
      <c r="BF42" s="1201"/>
      <c r="BG42" s="1201"/>
      <c r="BH42" s="1201"/>
      <c r="BI42" s="1201"/>
      <c r="BJ42" s="1201"/>
      <c r="BK42" s="1201"/>
      <c r="BL42" s="1201"/>
      <c r="BM42" s="1201"/>
      <c r="BN42" s="1201"/>
      <c r="BO42" s="1201"/>
      <c r="BP42" s="1201"/>
      <c r="BQ42" s="1201"/>
      <c r="BR42" s="1204"/>
    </row>
    <row r="43" spans="1:106" s="235" customFormat="1">
      <c r="A43" s="202"/>
      <c r="B43" s="323" t="s">
        <v>475</v>
      </c>
      <c r="C43" s="853"/>
      <c r="D43" s="325">
        <f ca="1">SUM(E43:AH43)</f>
        <v>122454.15911046657</v>
      </c>
      <c r="E43" s="324">
        <f t="shared" ref="E43:AH43" ca="1" si="17">E23</f>
        <v>24490.831823041899</v>
      </c>
      <c r="F43" s="324">
        <f t="shared" ca="1" si="17"/>
        <v>39185.330916867038</v>
      </c>
      <c r="G43" s="324">
        <f t="shared" ca="1" si="17"/>
        <v>23511.198550120222</v>
      </c>
      <c r="H43" s="324">
        <f t="shared" ca="1" si="17"/>
        <v>14106.719130072133</v>
      </c>
      <c r="I43" s="324">
        <f t="shared" ca="1" si="17"/>
        <v>14106.719130072133</v>
      </c>
      <c r="J43" s="324">
        <f t="shared" ca="1" si="17"/>
        <v>7053.3595650360667</v>
      </c>
      <c r="K43" s="324">
        <f t="shared" ca="1" si="17"/>
        <v>0</v>
      </c>
      <c r="L43" s="324">
        <f t="shared" ca="1" si="17"/>
        <v>0</v>
      </c>
      <c r="M43" s="324">
        <f t="shared" ca="1" si="17"/>
        <v>0</v>
      </c>
      <c r="N43" s="324">
        <f t="shared" ca="1" si="17"/>
        <v>0</v>
      </c>
      <c r="O43" s="324">
        <f t="shared" ca="1" si="17"/>
        <v>0</v>
      </c>
      <c r="P43" s="324">
        <f t="shared" ca="1" si="17"/>
        <v>0</v>
      </c>
      <c r="Q43" s="324">
        <f t="shared" ca="1" si="17"/>
        <v>0</v>
      </c>
      <c r="R43" s="324">
        <f t="shared" ca="1" si="17"/>
        <v>0</v>
      </c>
      <c r="S43" s="324">
        <f t="shared" ca="1" si="17"/>
        <v>0</v>
      </c>
      <c r="T43" s="324">
        <f t="shared" ca="1" si="17"/>
        <v>0</v>
      </c>
      <c r="U43" s="324">
        <f t="shared" ca="1" si="17"/>
        <v>0</v>
      </c>
      <c r="V43" s="324">
        <f t="shared" ca="1" si="17"/>
        <v>0</v>
      </c>
      <c r="W43" s="324">
        <f t="shared" ca="1" si="17"/>
        <v>0</v>
      </c>
      <c r="X43" s="324">
        <f t="shared" ca="1" si="17"/>
        <v>0</v>
      </c>
      <c r="Y43" s="324">
        <f t="shared" ca="1" si="17"/>
        <v>0</v>
      </c>
      <c r="Z43" s="324">
        <f t="shared" ca="1" si="17"/>
        <v>0</v>
      </c>
      <c r="AA43" s="324">
        <f t="shared" ca="1" si="17"/>
        <v>0</v>
      </c>
      <c r="AB43" s="324">
        <f t="shared" ca="1" si="17"/>
        <v>0</v>
      </c>
      <c r="AC43" s="324">
        <f t="shared" ca="1" si="17"/>
        <v>0</v>
      </c>
      <c r="AD43" s="324">
        <f t="shared" ca="1" si="17"/>
        <v>0</v>
      </c>
      <c r="AE43" s="324">
        <f t="shared" ca="1" si="17"/>
        <v>0</v>
      </c>
      <c r="AF43" s="324">
        <f t="shared" ca="1" si="17"/>
        <v>0</v>
      </c>
      <c r="AG43" s="324">
        <f t="shared" ca="1" si="17"/>
        <v>0</v>
      </c>
      <c r="AH43" s="324">
        <f t="shared" ca="1" si="17"/>
        <v>0</v>
      </c>
      <c r="AI43" s="324">
        <f ca="1">AI23</f>
        <v>0</v>
      </c>
      <c r="AJ43" s="645"/>
      <c r="AK43" s="645"/>
      <c r="AL43" s="324"/>
      <c r="AM43" s="325"/>
      <c r="AN43" s="1087">
        <f t="shared" ref="AN43:AW46" ca="1" si="18">E43/E$35</f>
        <v>2.2284444509678609</v>
      </c>
      <c r="AO43" s="1087">
        <f t="shared" ca="1" si="18"/>
        <v>3.5556069239887202</v>
      </c>
      <c r="AP43" s="1087">
        <f t="shared" ca="1" si="18"/>
        <v>2.1333641543932318</v>
      </c>
      <c r="AQ43" s="1087">
        <f t="shared" ca="1" si="18"/>
        <v>1.2800184926359393</v>
      </c>
      <c r="AR43" s="1087">
        <f t="shared" ca="1" si="18"/>
        <v>1.2800184926359393</v>
      </c>
      <c r="AS43" s="1087">
        <f t="shared" ca="1" si="18"/>
        <v>0.64000924631796963</v>
      </c>
      <c r="AT43" s="1087">
        <f t="shared" ca="1" si="18"/>
        <v>0</v>
      </c>
      <c r="AU43" s="1087">
        <f t="shared" ca="1" si="18"/>
        <v>0</v>
      </c>
      <c r="AV43" s="1087">
        <f t="shared" ca="1" si="18"/>
        <v>0</v>
      </c>
      <c r="AW43" s="1087">
        <f t="shared" ca="1" si="18"/>
        <v>0</v>
      </c>
      <c r="AX43" s="1087">
        <f t="shared" ref="AX43:BG46" ca="1" si="19">O43/O$35</f>
        <v>0</v>
      </c>
      <c r="AY43" s="1087">
        <f t="shared" ca="1" si="19"/>
        <v>0</v>
      </c>
      <c r="AZ43" s="1087">
        <f t="shared" ca="1" si="19"/>
        <v>0</v>
      </c>
      <c r="BA43" s="1087">
        <f t="shared" ca="1" si="19"/>
        <v>0</v>
      </c>
      <c r="BB43" s="1087">
        <f t="shared" ca="1" si="19"/>
        <v>0</v>
      </c>
      <c r="BC43" s="1087">
        <f t="shared" ca="1" si="19"/>
        <v>0</v>
      </c>
      <c r="BD43" s="1087">
        <f t="shared" ca="1" si="19"/>
        <v>0</v>
      </c>
      <c r="BE43" s="1087">
        <f t="shared" ca="1" si="19"/>
        <v>0</v>
      </c>
      <c r="BF43" s="1087">
        <f t="shared" ca="1" si="19"/>
        <v>0</v>
      </c>
      <c r="BG43" s="1087">
        <f t="shared" ca="1" si="19"/>
        <v>0</v>
      </c>
      <c r="BH43" s="1087">
        <f t="shared" ref="BH43:BQ46" ca="1" si="20">Y43/Y$35</f>
        <v>0</v>
      </c>
      <c r="BI43" s="1087" t="e">
        <f t="shared" ca="1" si="20"/>
        <v>#DIV/0!</v>
      </c>
      <c r="BJ43" s="1087" t="e">
        <f t="shared" ca="1" si="20"/>
        <v>#DIV/0!</v>
      </c>
      <c r="BK43" s="1087" t="e">
        <f t="shared" ca="1" si="20"/>
        <v>#DIV/0!</v>
      </c>
      <c r="BL43" s="1087" t="e">
        <f t="shared" ca="1" si="20"/>
        <v>#DIV/0!</v>
      </c>
      <c r="BM43" s="1087" t="e">
        <f t="shared" ca="1" si="20"/>
        <v>#DIV/0!</v>
      </c>
      <c r="BN43" s="1087" t="e">
        <f t="shared" ca="1" si="20"/>
        <v>#DIV/0!</v>
      </c>
      <c r="BO43" s="1087" t="e">
        <f t="shared" ca="1" si="20"/>
        <v>#DIV/0!</v>
      </c>
      <c r="BP43" s="1087" t="e">
        <f t="shared" ca="1" si="20"/>
        <v>#DIV/0!</v>
      </c>
      <c r="BQ43" s="1087" t="e">
        <f t="shared" ca="1" si="20"/>
        <v>#DIV/0!</v>
      </c>
      <c r="BR43" s="1204" t="e">
        <f ca="1">AI43/AI$35</f>
        <v>#DIV/0!</v>
      </c>
      <c r="BS43" s="202"/>
      <c r="BT43" s="202"/>
      <c r="BU43" s="202"/>
      <c r="BV43" s="202"/>
      <c r="BW43" s="202"/>
      <c r="BX43" s="202"/>
      <c r="BY43" s="202"/>
      <c r="BZ43" s="202"/>
      <c r="CA43" s="202"/>
      <c r="CB43" s="202"/>
      <c r="CC43" s="202"/>
      <c r="CD43" s="202"/>
      <c r="CE43" s="202"/>
      <c r="CF43" s="202"/>
      <c r="CG43" s="202"/>
      <c r="CH43" s="202"/>
      <c r="CI43" s="202"/>
      <c r="CJ43" s="202"/>
      <c r="CK43" s="202"/>
      <c r="CL43" s="202"/>
      <c r="CM43" s="202"/>
      <c r="CN43" s="202"/>
      <c r="CO43" s="202"/>
      <c r="CP43" s="202"/>
      <c r="CQ43" s="202"/>
      <c r="CR43" s="202"/>
      <c r="CS43" s="202"/>
      <c r="CT43" s="202"/>
      <c r="CU43" s="202"/>
      <c r="CV43" s="202"/>
      <c r="CW43" s="202"/>
      <c r="CX43" s="202"/>
      <c r="CY43" s="202"/>
      <c r="CZ43" s="202"/>
      <c r="DA43" s="202"/>
      <c r="DB43" s="202"/>
    </row>
    <row r="44" spans="1:106" s="235" customFormat="1">
      <c r="A44" s="202"/>
      <c r="B44" s="323" t="s">
        <v>476</v>
      </c>
      <c r="C44" s="853"/>
      <c r="D44" s="325">
        <f ca="1">SUM(E44:AH44)</f>
        <v>6444.9557426561341</v>
      </c>
      <c r="E44" s="435">
        <f t="shared" ref="E44:AH44" ca="1" si="21">E30</f>
        <v>342.77616469676582</v>
      </c>
      <c r="F44" s="435">
        <f t="shared" ca="1" si="21"/>
        <v>343.73097295497405</v>
      </c>
      <c r="G44" s="435">
        <f t="shared" ca="1" si="21"/>
        <v>343.73097295497405</v>
      </c>
      <c r="H44" s="435">
        <f t="shared" ca="1" si="21"/>
        <v>343.73097295497405</v>
      </c>
      <c r="I44" s="435">
        <f t="shared" ca="1" si="21"/>
        <v>343.73097295497405</v>
      </c>
      <c r="J44" s="435">
        <f t="shared" ca="1" si="21"/>
        <v>343.73097295497405</v>
      </c>
      <c r="K44" s="435">
        <f t="shared" ca="1" si="21"/>
        <v>343.73097295497405</v>
      </c>
      <c r="L44" s="435">
        <f t="shared" ca="1" si="21"/>
        <v>343.73097295497405</v>
      </c>
      <c r="M44" s="435">
        <f t="shared" ca="1" si="21"/>
        <v>343.73097295497405</v>
      </c>
      <c r="N44" s="435">
        <f t="shared" ca="1" si="21"/>
        <v>343.73097295497405</v>
      </c>
      <c r="O44" s="435">
        <f t="shared" ca="1" si="21"/>
        <v>343.73097295497405</v>
      </c>
      <c r="P44" s="435">
        <f t="shared" ca="1" si="21"/>
        <v>343.73097295497405</v>
      </c>
      <c r="Q44" s="435">
        <f t="shared" ca="1" si="21"/>
        <v>343.73097295497405</v>
      </c>
      <c r="R44" s="435">
        <f t="shared" ca="1" si="21"/>
        <v>343.73097295497405</v>
      </c>
      <c r="S44" s="435">
        <f t="shared" ca="1" si="21"/>
        <v>343.73097295497405</v>
      </c>
      <c r="T44" s="435">
        <f t="shared" ca="1" si="21"/>
        <v>343.73097295497405</v>
      </c>
      <c r="U44" s="435">
        <f t="shared" ca="1" si="21"/>
        <v>343.73097295497405</v>
      </c>
      <c r="V44" s="435">
        <f t="shared" ca="1" si="21"/>
        <v>343.73097295497405</v>
      </c>
      <c r="W44" s="435">
        <f t="shared" ca="1" si="21"/>
        <v>129.49587001949544</v>
      </c>
      <c r="X44" s="435">
        <f t="shared" ca="1" si="21"/>
        <v>128.89911485811527</v>
      </c>
      <c r="Y44" s="435">
        <f t="shared" ca="1" si="21"/>
        <v>0.35805309682809672</v>
      </c>
      <c r="Z44" s="435">
        <f t="shared" si="21"/>
        <v>0</v>
      </c>
      <c r="AA44" s="435">
        <f t="shared" si="21"/>
        <v>0</v>
      </c>
      <c r="AB44" s="435">
        <f t="shared" si="21"/>
        <v>0</v>
      </c>
      <c r="AC44" s="435">
        <f t="shared" si="21"/>
        <v>0</v>
      </c>
      <c r="AD44" s="435">
        <f t="shared" si="21"/>
        <v>0</v>
      </c>
      <c r="AE44" s="435">
        <f t="shared" si="21"/>
        <v>0</v>
      </c>
      <c r="AF44" s="435">
        <f t="shared" si="21"/>
        <v>0</v>
      </c>
      <c r="AG44" s="435">
        <f t="shared" si="21"/>
        <v>0</v>
      </c>
      <c r="AH44" s="435">
        <f t="shared" si="21"/>
        <v>0</v>
      </c>
      <c r="AI44" s="435">
        <f>AI30</f>
        <v>0</v>
      </c>
      <c r="AJ44" s="645"/>
      <c r="AK44" s="645"/>
      <c r="AL44" s="324"/>
      <c r="AM44" s="325"/>
      <c r="AN44" s="1207">
        <f t="shared" ca="1" si="18"/>
        <v>3.118953442095369E-2</v>
      </c>
      <c r="AO44" s="1207">
        <f t="shared" ca="1" si="18"/>
        <v>3.1189534420953686E-2</v>
      </c>
      <c r="AP44" s="1207">
        <f t="shared" ca="1" si="18"/>
        <v>3.1189534420953686E-2</v>
      </c>
      <c r="AQ44" s="1207">
        <f t="shared" ca="1" si="18"/>
        <v>3.1189534420953686E-2</v>
      </c>
      <c r="AR44" s="1207">
        <f t="shared" ca="1" si="18"/>
        <v>3.1189534420953686E-2</v>
      </c>
      <c r="AS44" s="1207">
        <f t="shared" ca="1" si="18"/>
        <v>3.1189534420953686E-2</v>
      </c>
      <c r="AT44" s="1207">
        <f t="shared" ca="1" si="18"/>
        <v>3.1189534420953686E-2</v>
      </c>
      <c r="AU44" s="1207">
        <f t="shared" ca="1" si="18"/>
        <v>3.1189534420953686E-2</v>
      </c>
      <c r="AV44" s="1207">
        <f t="shared" ca="1" si="18"/>
        <v>3.1189534420953686E-2</v>
      </c>
      <c r="AW44" s="1207">
        <f t="shared" ca="1" si="18"/>
        <v>3.1189534420953686E-2</v>
      </c>
      <c r="AX44" s="1207">
        <f t="shared" ca="1" si="19"/>
        <v>3.1189534420953686E-2</v>
      </c>
      <c r="AY44" s="1207">
        <f t="shared" ca="1" si="19"/>
        <v>3.1189534420953686E-2</v>
      </c>
      <c r="AZ44" s="1207">
        <f t="shared" ca="1" si="19"/>
        <v>3.1189534420953686E-2</v>
      </c>
      <c r="BA44" s="1207">
        <f t="shared" ca="1" si="19"/>
        <v>3.1189534420953686E-2</v>
      </c>
      <c r="BB44" s="1207">
        <f t="shared" ca="1" si="19"/>
        <v>3.1189534420953686E-2</v>
      </c>
      <c r="BC44" s="1207">
        <f t="shared" ca="1" si="19"/>
        <v>3.1189534420953686E-2</v>
      </c>
      <c r="BD44" s="1207">
        <f t="shared" ca="1" si="19"/>
        <v>3.1189534420953686E-2</v>
      </c>
      <c r="BE44" s="1207">
        <f t="shared" ca="1" si="19"/>
        <v>3.1189534420953686E-2</v>
      </c>
      <c r="BF44" s="1207">
        <f t="shared" ca="1" si="19"/>
        <v>1.1750223905116234E-2</v>
      </c>
      <c r="BG44" s="1207">
        <f t="shared" ca="1" si="19"/>
        <v>1.1696075407857633E-2</v>
      </c>
      <c r="BH44" s="1207">
        <f t="shared" ca="1" si="20"/>
        <v>1.1696075407857633E-2</v>
      </c>
      <c r="BI44" s="1207" t="e">
        <f t="shared" si="20"/>
        <v>#DIV/0!</v>
      </c>
      <c r="BJ44" s="1207" t="e">
        <f t="shared" si="20"/>
        <v>#DIV/0!</v>
      </c>
      <c r="BK44" s="1207" t="e">
        <f t="shared" si="20"/>
        <v>#DIV/0!</v>
      </c>
      <c r="BL44" s="1207" t="e">
        <f t="shared" si="20"/>
        <v>#DIV/0!</v>
      </c>
      <c r="BM44" s="1207" t="e">
        <f t="shared" si="20"/>
        <v>#DIV/0!</v>
      </c>
      <c r="BN44" s="1207" t="e">
        <f t="shared" si="20"/>
        <v>#DIV/0!</v>
      </c>
      <c r="BO44" s="1207" t="e">
        <f t="shared" si="20"/>
        <v>#DIV/0!</v>
      </c>
      <c r="BP44" s="1207" t="e">
        <f t="shared" si="20"/>
        <v>#DIV/0!</v>
      </c>
      <c r="BQ44" s="1207" t="e">
        <f t="shared" si="20"/>
        <v>#DIV/0!</v>
      </c>
      <c r="BR44" s="1204" t="e">
        <f>AI44/AI$35</f>
        <v>#DIV/0!</v>
      </c>
      <c r="BS44" s="202"/>
      <c r="BT44" s="202"/>
      <c r="BU44" s="202"/>
      <c r="BV44" s="202"/>
      <c r="BW44" s="202"/>
      <c r="BX44" s="202"/>
      <c r="BY44" s="202"/>
      <c r="BZ44" s="202"/>
      <c r="CA44" s="202"/>
      <c r="CB44" s="202"/>
      <c r="CC44" s="202"/>
      <c r="CD44" s="202"/>
      <c r="CE44" s="202"/>
      <c r="CF44" s="202"/>
      <c r="CG44" s="202"/>
      <c r="CH44" s="202"/>
      <c r="CI44" s="202"/>
      <c r="CJ44" s="202"/>
      <c r="CK44" s="202"/>
      <c r="CL44" s="202"/>
      <c r="CM44" s="202"/>
      <c r="CN44" s="202"/>
      <c r="CO44" s="202"/>
      <c r="CP44" s="202"/>
      <c r="CQ44" s="202"/>
      <c r="CR44" s="202"/>
      <c r="CS44" s="202"/>
      <c r="CT44" s="202"/>
      <c r="CU44" s="202"/>
      <c r="CV44" s="202"/>
      <c r="CW44" s="202"/>
      <c r="CX44" s="202"/>
      <c r="CY44" s="202"/>
      <c r="CZ44" s="202"/>
      <c r="DA44" s="202"/>
      <c r="DB44" s="202"/>
    </row>
    <row r="45" spans="1:106" s="235" customFormat="1" ht="13.5" thickBot="1">
      <c r="A45" s="202"/>
      <c r="B45" s="866" t="s">
        <v>477</v>
      </c>
      <c r="C45" s="325"/>
      <c r="D45" s="867">
        <f ca="1">SUM(D43:D44)</f>
        <v>128899.11485312271</v>
      </c>
      <c r="E45" s="588">
        <f t="shared" ref="E45:AI45" ca="1" si="22">SUM(E43:E44)</f>
        <v>24833.607987738666</v>
      </c>
      <c r="F45" s="588">
        <f t="shared" ca="1" si="22"/>
        <v>39529.061889822013</v>
      </c>
      <c r="G45" s="588">
        <f t="shared" ca="1" si="22"/>
        <v>23854.929523075196</v>
      </c>
      <c r="H45" s="588">
        <f t="shared" ca="1" si="22"/>
        <v>14450.450103027108</v>
      </c>
      <c r="I45" s="588">
        <f t="shared" ca="1" si="22"/>
        <v>14450.450103027108</v>
      </c>
      <c r="J45" s="588">
        <f t="shared" ca="1" si="22"/>
        <v>7397.0905379910409</v>
      </c>
      <c r="K45" s="588">
        <f t="shared" ca="1" si="22"/>
        <v>343.73097295497405</v>
      </c>
      <c r="L45" s="588">
        <f t="shared" ca="1" si="22"/>
        <v>343.73097295497405</v>
      </c>
      <c r="M45" s="588">
        <f t="shared" ca="1" si="22"/>
        <v>343.73097295497405</v>
      </c>
      <c r="N45" s="588">
        <f t="shared" ca="1" si="22"/>
        <v>343.73097295497405</v>
      </c>
      <c r="O45" s="588">
        <f t="shared" ca="1" si="22"/>
        <v>343.73097295497405</v>
      </c>
      <c r="P45" s="588">
        <f t="shared" ca="1" si="22"/>
        <v>343.73097295497405</v>
      </c>
      <c r="Q45" s="588">
        <f t="shared" ca="1" si="22"/>
        <v>343.73097295497405</v>
      </c>
      <c r="R45" s="588">
        <f t="shared" ca="1" si="22"/>
        <v>343.73097295497405</v>
      </c>
      <c r="S45" s="588">
        <f t="shared" ca="1" si="22"/>
        <v>343.73097295497405</v>
      </c>
      <c r="T45" s="588">
        <f t="shared" ca="1" si="22"/>
        <v>343.73097295497405</v>
      </c>
      <c r="U45" s="588">
        <f t="shared" ca="1" si="22"/>
        <v>343.73097295497405</v>
      </c>
      <c r="V45" s="588">
        <f t="shared" ca="1" si="22"/>
        <v>343.73097295497405</v>
      </c>
      <c r="W45" s="588">
        <f t="shared" ca="1" si="22"/>
        <v>129.49587001949544</v>
      </c>
      <c r="X45" s="588">
        <f t="shared" ca="1" si="22"/>
        <v>128.89911485811527</v>
      </c>
      <c r="Y45" s="588">
        <f t="shared" ca="1" si="22"/>
        <v>0.35805309682809672</v>
      </c>
      <c r="Z45" s="588">
        <f t="shared" ca="1" si="22"/>
        <v>0</v>
      </c>
      <c r="AA45" s="588">
        <f t="shared" ca="1" si="22"/>
        <v>0</v>
      </c>
      <c r="AB45" s="588">
        <f t="shared" ca="1" si="22"/>
        <v>0</v>
      </c>
      <c r="AC45" s="588">
        <f t="shared" ca="1" si="22"/>
        <v>0</v>
      </c>
      <c r="AD45" s="588">
        <f t="shared" ca="1" si="22"/>
        <v>0</v>
      </c>
      <c r="AE45" s="588">
        <f t="shared" ca="1" si="22"/>
        <v>0</v>
      </c>
      <c r="AF45" s="588">
        <f t="shared" ca="1" si="22"/>
        <v>0</v>
      </c>
      <c r="AG45" s="588">
        <f t="shared" ca="1" si="22"/>
        <v>0</v>
      </c>
      <c r="AH45" s="588">
        <f t="shared" ca="1" si="22"/>
        <v>0</v>
      </c>
      <c r="AI45" s="588">
        <f t="shared" ca="1" si="22"/>
        <v>0</v>
      </c>
      <c r="AJ45" s="645"/>
      <c r="AK45" s="645"/>
      <c r="AL45" s="324"/>
      <c r="AM45" s="865"/>
      <c r="AN45" s="1211">
        <f t="shared" ca="1" si="18"/>
        <v>2.2596339853888145</v>
      </c>
      <c r="AO45" s="1211">
        <f t="shared" ca="1" si="18"/>
        <v>3.5867964584096739</v>
      </c>
      <c r="AP45" s="1211">
        <f t="shared" ca="1" si="18"/>
        <v>2.1645536888141859</v>
      </c>
      <c r="AQ45" s="1211">
        <f t="shared" ca="1" si="18"/>
        <v>1.3112080270568929</v>
      </c>
      <c r="AR45" s="1211">
        <f t="shared" ca="1" si="18"/>
        <v>1.3112080270568929</v>
      </c>
      <c r="AS45" s="1211">
        <f t="shared" ca="1" si="18"/>
        <v>0.67119878073892336</v>
      </c>
      <c r="AT45" s="1211">
        <f t="shared" ca="1" si="18"/>
        <v>3.1189534420953686E-2</v>
      </c>
      <c r="AU45" s="1211">
        <f t="shared" ca="1" si="18"/>
        <v>3.1189534420953686E-2</v>
      </c>
      <c r="AV45" s="1211">
        <f t="shared" ca="1" si="18"/>
        <v>3.1189534420953686E-2</v>
      </c>
      <c r="AW45" s="1211">
        <f t="shared" ca="1" si="18"/>
        <v>3.1189534420953686E-2</v>
      </c>
      <c r="AX45" s="1211">
        <f t="shared" ca="1" si="19"/>
        <v>3.1189534420953686E-2</v>
      </c>
      <c r="AY45" s="1211">
        <f t="shared" ca="1" si="19"/>
        <v>3.1189534420953686E-2</v>
      </c>
      <c r="AZ45" s="1211">
        <f t="shared" ca="1" si="19"/>
        <v>3.1189534420953686E-2</v>
      </c>
      <c r="BA45" s="1211">
        <f t="shared" ca="1" si="19"/>
        <v>3.1189534420953686E-2</v>
      </c>
      <c r="BB45" s="1211">
        <f t="shared" ca="1" si="19"/>
        <v>3.1189534420953686E-2</v>
      </c>
      <c r="BC45" s="1211">
        <f t="shared" ca="1" si="19"/>
        <v>3.1189534420953686E-2</v>
      </c>
      <c r="BD45" s="1211">
        <f t="shared" ca="1" si="19"/>
        <v>3.1189534420953686E-2</v>
      </c>
      <c r="BE45" s="1211">
        <f t="shared" ca="1" si="19"/>
        <v>3.1189534420953686E-2</v>
      </c>
      <c r="BF45" s="1211">
        <f t="shared" ca="1" si="19"/>
        <v>1.1750223905116234E-2</v>
      </c>
      <c r="BG45" s="1211">
        <f t="shared" ca="1" si="19"/>
        <v>1.1696075407857633E-2</v>
      </c>
      <c r="BH45" s="1211">
        <f t="shared" ca="1" si="20"/>
        <v>1.1696075407857633E-2</v>
      </c>
      <c r="BI45" s="1211" t="e">
        <f t="shared" ca="1" si="20"/>
        <v>#DIV/0!</v>
      </c>
      <c r="BJ45" s="1211" t="e">
        <f t="shared" ca="1" si="20"/>
        <v>#DIV/0!</v>
      </c>
      <c r="BK45" s="1211" t="e">
        <f t="shared" ca="1" si="20"/>
        <v>#DIV/0!</v>
      </c>
      <c r="BL45" s="1211" t="e">
        <f t="shared" ca="1" si="20"/>
        <v>#DIV/0!</v>
      </c>
      <c r="BM45" s="1211" t="e">
        <f t="shared" ca="1" si="20"/>
        <v>#DIV/0!</v>
      </c>
      <c r="BN45" s="1211" t="e">
        <f t="shared" ca="1" si="20"/>
        <v>#DIV/0!</v>
      </c>
      <c r="BO45" s="1211" t="e">
        <f t="shared" ca="1" si="20"/>
        <v>#DIV/0!</v>
      </c>
      <c r="BP45" s="1211" t="e">
        <f t="shared" ca="1" si="20"/>
        <v>#DIV/0!</v>
      </c>
      <c r="BQ45" s="1211" t="e">
        <f t="shared" ca="1" si="20"/>
        <v>#DIV/0!</v>
      </c>
      <c r="BR45" s="1204" t="e">
        <f ca="1">AI45/AI$35</f>
        <v>#DIV/0!</v>
      </c>
      <c r="BS45" s="202"/>
      <c r="BT45" s="202"/>
      <c r="BU45" s="202"/>
      <c r="BV45" s="202"/>
      <c r="BW45" s="202"/>
      <c r="BX45" s="202"/>
      <c r="BY45" s="202"/>
      <c r="BZ45" s="202"/>
      <c r="CA45" s="202"/>
      <c r="CB45" s="202"/>
      <c r="CC45" s="202"/>
      <c r="CD45" s="202"/>
      <c r="CE45" s="202"/>
      <c r="CF45" s="202"/>
      <c r="CG45" s="202"/>
      <c r="CH45" s="202"/>
      <c r="CI45" s="202"/>
      <c r="CJ45" s="202"/>
      <c r="CK45" s="202"/>
      <c r="CL45" s="202"/>
      <c r="CM45" s="202"/>
      <c r="CN45" s="202"/>
      <c r="CO45" s="202"/>
      <c r="CP45" s="202"/>
      <c r="CQ45" s="202"/>
      <c r="CR45" s="202"/>
      <c r="CS45" s="202"/>
      <c r="CT45" s="202"/>
      <c r="CU45" s="202"/>
      <c r="CV45" s="202"/>
      <c r="CW45" s="202"/>
      <c r="CX45" s="202"/>
      <c r="CY45" s="202"/>
      <c r="CZ45" s="202"/>
      <c r="DA45" s="202"/>
      <c r="DB45" s="202"/>
    </row>
    <row r="46" spans="1:106" s="491" customFormat="1" ht="13.5" thickTop="1">
      <c r="A46" s="492"/>
      <c r="B46" s="868" t="s">
        <v>542</v>
      </c>
      <c r="C46" s="500"/>
      <c r="D46" s="428"/>
      <c r="E46" s="470">
        <f t="shared" ref="E46:AI46" ca="1" si="23">E41-E45</f>
        <v>-17117.346213793804</v>
      </c>
      <c r="F46" s="470">
        <f t="shared" ca="1" si="23"/>
        <v>-33602.817592658263</v>
      </c>
      <c r="G46" s="470">
        <f t="shared" ca="1" si="23"/>
        <v>-17872.2911803561</v>
      </c>
      <c r="H46" s="470">
        <f t="shared" ca="1" si="23"/>
        <v>-8488.451149219889</v>
      </c>
      <c r="I46" s="470">
        <f t="shared" ca="1" si="23"/>
        <v>-8503.1579841584753</v>
      </c>
      <c r="J46" s="470">
        <f t="shared" ca="1" si="23"/>
        <v>-1145.4813076297942</v>
      </c>
      <c r="K46" s="470">
        <f t="shared" ca="1" si="23"/>
        <v>5496.8946335502797</v>
      </c>
      <c r="L46" s="470">
        <f t="shared" ca="1" si="23"/>
        <v>5509.9284108876</v>
      </c>
      <c r="M46" s="470">
        <f t="shared" ca="1" si="23"/>
        <v>5522.8074124040395</v>
      </c>
      <c r="N46" s="470">
        <f t="shared" ca="1" si="23"/>
        <v>5611.9386987046564</v>
      </c>
      <c r="O46" s="470">
        <f t="shared" ca="1" si="23"/>
        <v>5714.5127179213268</v>
      </c>
      <c r="P46" s="470">
        <f t="shared" ca="1" si="23"/>
        <v>5828.2256374572635</v>
      </c>
      <c r="Q46" s="470">
        <f t="shared" ca="1" si="23"/>
        <v>5954.797790319436</v>
      </c>
      <c r="R46" s="470">
        <f t="shared" ca="1" si="23"/>
        <v>5863.1719344424719</v>
      </c>
      <c r="S46" s="470">
        <f t="shared" ca="1" si="23"/>
        <v>5756.8386065629211</v>
      </c>
      <c r="T46" s="470">
        <f t="shared" ca="1" si="23"/>
        <v>5539.3625457363141</v>
      </c>
      <c r="U46" s="470">
        <f t="shared" ca="1" si="23"/>
        <v>5472.5930123888793</v>
      </c>
      <c r="V46" s="470">
        <f t="shared" ca="1" si="23"/>
        <v>5433.6222464906341</v>
      </c>
      <c r="W46" s="470">
        <f t="shared" ca="1" si="23"/>
        <v>5687.44219089535</v>
      </c>
      <c r="X46" s="470">
        <f t="shared" ca="1" si="23"/>
        <v>5611.6080449707333</v>
      </c>
      <c r="Y46" s="470">
        <f t="shared" ca="1" si="23"/>
        <v>16.486468016708901</v>
      </c>
      <c r="Z46" s="470">
        <f t="shared" ca="1" si="23"/>
        <v>0</v>
      </c>
      <c r="AA46" s="470">
        <f t="shared" ca="1" si="23"/>
        <v>0</v>
      </c>
      <c r="AB46" s="470">
        <f t="shared" ca="1" si="23"/>
        <v>0</v>
      </c>
      <c r="AC46" s="470">
        <f t="shared" ca="1" si="23"/>
        <v>0</v>
      </c>
      <c r="AD46" s="470">
        <f t="shared" ca="1" si="23"/>
        <v>0</v>
      </c>
      <c r="AE46" s="470">
        <f t="shared" ca="1" si="23"/>
        <v>0</v>
      </c>
      <c r="AF46" s="470">
        <f t="shared" ca="1" si="23"/>
        <v>0</v>
      </c>
      <c r="AG46" s="470">
        <f t="shared" ca="1" si="23"/>
        <v>0</v>
      </c>
      <c r="AH46" s="470">
        <f t="shared" ca="1" si="23"/>
        <v>0</v>
      </c>
      <c r="AI46" s="470">
        <f t="shared" ca="1" si="23"/>
        <v>0</v>
      </c>
      <c r="AJ46" s="644"/>
      <c r="AK46" s="644"/>
      <c r="AL46" s="431"/>
      <c r="AM46" s="428"/>
      <c r="AN46" s="543">
        <f t="shared" ca="1" si="18"/>
        <v>-1.5575238710159374</v>
      </c>
      <c r="AO46" s="543">
        <f t="shared" ca="1" si="18"/>
        <v>-3.0490596379411228</v>
      </c>
      <c r="AP46" s="543">
        <f t="shared" ca="1" si="18"/>
        <v>-1.6216997733981982</v>
      </c>
      <c r="AQ46" s="543">
        <f t="shared" ca="1" si="18"/>
        <v>-0.77022689291912549</v>
      </c>
      <c r="AR46" s="543">
        <f t="shared" ca="1" si="18"/>
        <v>-0.77156136484813731</v>
      </c>
      <c r="AS46" s="543">
        <f t="shared" ca="1" si="18"/>
        <v>-0.1039389274866378</v>
      </c>
      <c r="AT46" s="543">
        <f t="shared" ca="1" si="18"/>
        <v>0.49877839901244519</v>
      </c>
      <c r="AU46" s="543">
        <f t="shared" ca="1" si="18"/>
        <v>0.49996106068358487</v>
      </c>
      <c r="AV46" s="543">
        <f t="shared" ca="1" si="18"/>
        <v>0.50112967827324018</v>
      </c>
      <c r="AW46" s="543">
        <f t="shared" ca="1" si="18"/>
        <v>0.50921729196181265</v>
      </c>
      <c r="AX46" s="543">
        <f t="shared" ca="1" si="19"/>
        <v>0.51852467522015222</v>
      </c>
      <c r="AY46" s="543">
        <f t="shared" ca="1" si="19"/>
        <v>0.52884278239415372</v>
      </c>
      <c r="AZ46" s="543">
        <f t="shared" ca="1" si="19"/>
        <v>0.54032771342754671</v>
      </c>
      <c r="BA46" s="543">
        <f t="shared" ca="1" si="19"/>
        <v>0.53201374695208958</v>
      </c>
      <c r="BB46" s="543">
        <f t="shared" ca="1" si="19"/>
        <v>0.52236525074157136</v>
      </c>
      <c r="BC46" s="543">
        <f t="shared" ca="1" si="19"/>
        <v>0.50263186149656613</v>
      </c>
      <c r="BD46" s="543">
        <f t="shared" ca="1" si="19"/>
        <v>0.49657331332237048</v>
      </c>
      <c r="BE46" s="543">
        <f t="shared" ca="1" si="19"/>
        <v>0.49303717564485761</v>
      </c>
      <c r="BF46" s="543">
        <f t="shared" ca="1" si="19"/>
        <v>0.51606834395849233</v>
      </c>
      <c r="BG46" s="543">
        <f t="shared" ca="1" si="19"/>
        <v>0.50918728903269928</v>
      </c>
      <c r="BH46" s="543">
        <f t="shared" ca="1" si="20"/>
        <v>0.53854295589359946</v>
      </c>
      <c r="BI46" s="543" t="e">
        <f t="shared" ca="1" si="20"/>
        <v>#DIV/0!</v>
      </c>
      <c r="BJ46" s="543" t="e">
        <f t="shared" ca="1" si="20"/>
        <v>#DIV/0!</v>
      </c>
      <c r="BK46" s="543" t="e">
        <f t="shared" ca="1" si="20"/>
        <v>#DIV/0!</v>
      </c>
      <c r="BL46" s="543" t="e">
        <f t="shared" ca="1" si="20"/>
        <v>#DIV/0!</v>
      </c>
      <c r="BM46" s="543" t="e">
        <f t="shared" ca="1" si="20"/>
        <v>#DIV/0!</v>
      </c>
      <c r="BN46" s="543" t="e">
        <f t="shared" ca="1" si="20"/>
        <v>#DIV/0!</v>
      </c>
      <c r="BO46" s="543" t="e">
        <f t="shared" ca="1" si="20"/>
        <v>#DIV/0!</v>
      </c>
      <c r="BP46" s="543" t="e">
        <f t="shared" ca="1" si="20"/>
        <v>#DIV/0!</v>
      </c>
      <c r="BQ46" s="543" t="e">
        <f t="shared" ca="1" si="20"/>
        <v>#DIV/0!</v>
      </c>
      <c r="BR46" s="1204" t="e">
        <f ca="1">AI46/AI$35</f>
        <v>#DIV/0!</v>
      </c>
      <c r="BS46" s="492"/>
      <c r="BT46" s="492"/>
      <c r="BU46" s="492"/>
      <c r="BV46" s="492"/>
      <c r="BW46" s="492"/>
      <c r="BX46" s="492"/>
      <c r="BY46" s="492"/>
      <c r="BZ46" s="492"/>
      <c r="CA46" s="492"/>
      <c r="CB46" s="492"/>
      <c r="CC46" s="492"/>
      <c r="CD46" s="492"/>
      <c r="CE46" s="492"/>
      <c r="CF46" s="492"/>
      <c r="CG46" s="492"/>
      <c r="CH46" s="492"/>
      <c r="CI46" s="492"/>
      <c r="CJ46" s="492"/>
      <c r="CK46" s="492"/>
      <c r="CL46" s="492"/>
      <c r="CM46" s="492"/>
      <c r="CN46" s="492"/>
      <c r="CO46" s="492"/>
      <c r="CP46" s="492"/>
      <c r="CQ46" s="492"/>
      <c r="CR46" s="492"/>
      <c r="CS46" s="492"/>
      <c r="CT46" s="492"/>
      <c r="CU46" s="492"/>
      <c r="CV46" s="492"/>
      <c r="CW46" s="492"/>
      <c r="CX46" s="492"/>
      <c r="CY46" s="492"/>
      <c r="CZ46" s="492"/>
      <c r="DA46" s="492"/>
      <c r="DB46" s="492"/>
    </row>
    <row r="47" spans="1:106" s="235" customFormat="1">
      <c r="A47" s="202"/>
      <c r="B47" s="323"/>
      <c r="C47" s="325"/>
      <c r="D47" s="325"/>
      <c r="E47" s="324"/>
      <c r="F47" s="324"/>
      <c r="G47" s="324"/>
      <c r="H47" s="324"/>
      <c r="I47" s="324"/>
      <c r="J47" s="324"/>
      <c r="K47" s="324"/>
      <c r="L47" s="324"/>
      <c r="M47" s="324"/>
      <c r="N47" s="324"/>
      <c r="O47" s="324"/>
      <c r="P47" s="324"/>
      <c r="Q47" s="324"/>
      <c r="R47" s="324"/>
      <c r="S47" s="324"/>
      <c r="T47" s="324"/>
      <c r="U47" s="324"/>
      <c r="V47" s="324"/>
      <c r="W47" s="324"/>
      <c r="X47" s="324"/>
      <c r="Y47" s="324"/>
      <c r="Z47" s="324"/>
      <c r="AA47" s="324"/>
      <c r="AB47" s="324"/>
      <c r="AC47" s="324"/>
      <c r="AD47" s="324"/>
      <c r="AE47" s="324"/>
      <c r="AF47" s="324"/>
      <c r="AG47" s="324"/>
      <c r="AH47" s="324"/>
      <c r="AI47" s="324"/>
      <c r="AJ47" s="645"/>
      <c r="AK47" s="645"/>
      <c r="AL47" s="324"/>
      <c r="AM47" s="325"/>
      <c r="AN47" s="1087"/>
      <c r="AO47" s="1087"/>
      <c r="AP47" s="1087"/>
      <c r="AQ47" s="1087"/>
      <c r="AR47" s="1087"/>
      <c r="AS47" s="1087"/>
      <c r="AT47" s="1087"/>
      <c r="AU47" s="1087"/>
      <c r="AV47" s="1087"/>
      <c r="AW47" s="1087"/>
      <c r="AX47" s="1087"/>
      <c r="AY47" s="1087"/>
      <c r="AZ47" s="1087"/>
      <c r="BA47" s="1087"/>
      <c r="BB47" s="1087"/>
      <c r="BC47" s="1087"/>
      <c r="BD47" s="1087"/>
      <c r="BE47" s="1087"/>
      <c r="BF47" s="1087"/>
      <c r="BG47" s="1087"/>
      <c r="BH47" s="1087"/>
      <c r="BI47" s="1087"/>
      <c r="BJ47" s="1087"/>
      <c r="BK47" s="1087"/>
      <c r="BL47" s="1087"/>
      <c r="BM47" s="1087"/>
      <c r="BN47" s="1087"/>
      <c r="BO47" s="1087"/>
      <c r="BP47" s="1087"/>
      <c r="BQ47" s="1087"/>
      <c r="BR47" s="1204"/>
      <c r="BS47" s="202"/>
      <c r="BT47" s="202"/>
      <c r="BU47" s="202"/>
      <c r="BV47" s="202"/>
      <c r="BW47" s="202"/>
      <c r="BX47" s="202"/>
      <c r="BY47" s="202"/>
      <c r="BZ47" s="202"/>
      <c r="CA47" s="202"/>
      <c r="CB47" s="202"/>
      <c r="CC47" s="202"/>
      <c r="CD47" s="202"/>
      <c r="CE47" s="202"/>
      <c r="CF47" s="202"/>
      <c r="CG47" s="202"/>
      <c r="CH47" s="202"/>
      <c r="CI47" s="202"/>
      <c r="CJ47" s="202"/>
      <c r="CK47" s="202"/>
      <c r="CL47" s="202"/>
      <c r="CM47" s="202"/>
      <c r="CN47" s="202"/>
      <c r="CO47" s="202"/>
      <c r="CP47" s="202"/>
      <c r="CQ47" s="202"/>
      <c r="CR47" s="202"/>
      <c r="CS47" s="202"/>
      <c r="CT47" s="202"/>
      <c r="CU47" s="202"/>
      <c r="CV47" s="202"/>
      <c r="CW47" s="202"/>
      <c r="CX47" s="202"/>
      <c r="CY47" s="202"/>
      <c r="CZ47" s="202"/>
      <c r="DA47" s="202"/>
      <c r="DB47" s="202"/>
    </row>
    <row r="48" spans="1:106" s="235" customFormat="1">
      <c r="A48" s="202"/>
      <c r="B48" s="323" t="s">
        <v>385</v>
      </c>
      <c r="C48" s="325"/>
      <c r="D48" s="325"/>
      <c r="E48" s="324">
        <f>SrDebt!E122</f>
        <v>3647.4391780684955</v>
      </c>
      <c r="F48" s="324">
        <f>SrDebt!F122</f>
        <v>3501.7919323124306</v>
      </c>
      <c r="G48" s="324">
        <f>SrDebt!G122</f>
        <v>3421.5036127609756</v>
      </c>
      <c r="H48" s="324">
        <f>SrDebt!H122</f>
        <v>3310.9744499185717</v>
      </c>
      <c r="I48" s="324">
        <f>SrDebt!I122</f>
        <v>3200.6554985769753</v>
      </c>
      <c r="J48" s="324">
        <f>SrDebt!J122</f>
        <v>3075.1139920557252</v>
      </c>
      <c r="K48" s="324">
        <f>SrDebt!K122</f>
        <v>2937.2205048026381</v>
      </c>
      <c r="L48" s="324">
        <f>SrDebt!L122</f>
        <v>2789.4708736427183</v>
      </c>
      <c r="M48" s="324">
        <f>SrDebt!M122</f>
        <v>2634.8656934600317</v>
      </c>
      <c r="N48" s="324">
        <f>SrDebt!N122</f>
        <v>2462.9718859667623</v>
      </c>
      <c r="O48" s="324">
        <f>SrDebt!O122</f>
        <v>2274.6973399833641</v>
      </c>
      <c r="P48" s="324">
        <f>SrDebt!P122</f>
        <v>2047.654411103787</v>
      </c>
      <c r="Q48" s="324">
        <f>SrDebt!Q122</f>
        <v>1807.4866043508746</v>
      </c>
      <c r="R48" s="324">
        <f>SrDebt!R122</f>
        <v>1536.0831557882163</v>
      </c>
      <c r="S48" s="324">
        <f>SrDebt!S122</f>
        <v>1245.272139487553</v>
      </c>
      <c r="T48" s="324">
        <f>SrDebt!T122</f>
        <v>924.13628437959096</v>
      </c>
      <c r="U48" s="324">
        <f>SrDebt!U122</f>
        <v>584.06076804614349</v>
      </c>
      <c r="V48" s="324">
        <f>SrDebt!V122</f>
        <v>211.56733620350326</v>
      </c>
      <c r="W48" s="324">
        <f>SrDebt!W122</f>
        <v>0</v>
      </c>
      <c r="X48" s="324">
        <f>SrDebt!X122</f>
        <v>0</v>
      </c>
      <c r="Y48" s="324">
        <f>SrDebt!Y122</f>
        <v>0</v>
      </c>
      <c r="Z48" s="324">
        <f>SrDebt!Z122</f>
        <v>0</v>
      </c>
      <c r="AA48" s="324">
        <f>SrDebt!AA122</f>
        <v>0</v>
      </c>
      <c r="AB48" s="324">
        <f>SrDebt!AB122</f>
        <v>0</v>
      </c>
      <c r="AC48" s="324">
        <f>SrDebt!AC122</f>
        <v>0</v>
      </c>
      <c r="AD48" s="324">
        <f>SrDebt!AD122</f>
        <v>0</v>
      </c>
      <c r="AE48" s="324">
        <f>SrDebt!AE122</f>
        <v>0</v>
      </c>
      <c r="AF48" s="324">
        <f>SrDebt!AF122</f>
        <v>0</v>
      </c>
      <c r="AG48" s="324">
        <f>SrDebt!AG122</f>
        <v>0</v>
      </c>
      <c r="AH48" s="324">
        <f>SrDebt!AH122</f>
        <v>0</v>
      </c>
      <c r="AI48" s="324">
        <f>SrDebt!AI122</f>
        <v>0</v>
      </c>
      <c r="AJ48" s="645"/>
      <c r="AK48" s="645"/>
      <c r="AL48" s="324"/>
      <c r="AM48" s="325"/>
      <c r="AN48" s="1087">
        <f t="shared" ref="AN48:AW52" si="24">E48/E$35</f>
        <v>0.3318840150199503</v>
      </c>
      <c r="AO48" s="1087">
        <f t="shared" si="24"/>
        <v>0.31774634409271962</v>
      </c>
      <c r="AP48" s="1087">
        <f t="shared" si="24"/>
        <v>0.31046112540927362</v>
      </c>
      <c r="AQ48" s="1087">
        <f t="shared" si="24"/>
        <v>0.30043190662995833</v>
      </c>
      <c r="AR48" s="1087">
        <f t="shared" si="24"/>
        <v>0.29042176206668979</v>
      </c>
      <c r="AS48" s="1087">
        <f t="shared" si="24"/>
        <v>0.27903035004105364</v>
      </c>
      <c r="AT48" s="1087">
        <f t="shared" si="24"/>
        <v>0.26651814135025031</v>
      </c>
      <c r="AU48" s="1087">
        <f t="shared" si="24"/>
        <v>0.25311160376904385</v>
      </c>
      <c r="AV48" s="1087">
        <f t="shared" si="24"/>
        <v>0.23908300591674236</v>
      </c>
      <c r="AW48" s="1087">
        <f t="shared" si="24"/>
        <v>0.22348566890788807</v>
      </c>
      <c r="AX48" s="1087">
        <f t="shared" ref="AX48:BG52" si="25">O48/O$35</f>
        <v>0.20640197295213306</v>
      </c>
      <c r="AY48" s="1087">
        <f t="shared" si="25"/>
        <v>0.18580050319092153</v>
      </c>
      <c r="AZ48" s="1087">
        <f t="shared" si="25"/>
        <v>0.16400810545868069</v>
      </c>
      <c r="BA48" s="1087">
        <f t="shared" si="25"/>
        <v>0.13938144139015229</v>
      </c>
      <c r="BB48" s="1087">
        <f t="shared" si="25"/>
        <v>0.11299376929610974</v>
      </c>
      <c r="BC48" s="1087">
        <f t="shared" si="25"/>
        <v>8.3854475503099699E-2</v>
      </c>
      <c r="BD48" s="1087">
        <f t="shared" si="25"/>
        <v>5.2996630685620709E-2</v>
      </c>
      <c r="BE48" s="1087">
        <f t="shared" si="25"/>
        <v>1.9197242128462542E-2</v>
      </c>
      <c r="BF48" s="1087">
        <f t="shared" si="25"/>
        <v>0</v>
      </c>
      <c r="BG48" s="1087">
        <f t="shared" si="25"/>
        <v>0</v>
      </c>
      <c r="BH48" s="1087">
        <f t="shared" ref="BH48:BQ52" si="26">Y48/Y$35</f>
        <v>0</v>
      </c>
      <c r="BI48" s="1087" t="e">
        <f t="shared" si="26"/>
        <v>#DIV/0!</v>
      </c>
      <c r="BJ48" s="1087" t="e">
        <f t="shared" si="26"/>
        <v>#DIV/0!</v>
      </c>
      <c r="BK48" s="1087" t="e">
        <f t="shared" si="26"/>
        <v>#DIV/0!</v>
      </c>
      <c r="BL48" s="1087" t="e">
        <f t="shared" si="26"/>
        <v>#DIV/0!</v>
      </c>
      <c r="BM48" s="1087" t="e">
        <f t="shared" si="26"/>
        <v>#DIV/0!</v>
      </c>
      <c r="BN48" s="1087" t="e">
        <f t="shared" si="26"/>
        <v>#DIV/0!</v>
      </c>
      <c r="BO48" s="1087" t="e">
        <f t="shared" si="26"/>
        <v>#DIV/0!</v>
      </c>
      <c r="BP48" s="1087" t="e">
        <f t="shared" si="26"/>
        <v>#DIV/0!</v>
      </c>
      <c r="BQ48" s="1087" t="e">
        <f t="shared" si="26"/>
        <v>#DIV/0!</v>
      </c>
      <c r="BR48" s="1204" t="e">
        <f>AI48/AI$35</f>
        <v>#DIV/0!</v>
      </c>
      <c r="BS48" s="202"/>
      <c r="BT48" s="202"/>
      <c r="BU48" s="202"/>
      <c r="BV48" s="202"/>
      <c r="BW48" s="202"/>
      <c r="BX48" s="202"/>
      <c r="BY48" s="202"/>
      <c r="BZ48" s="202"/>
      <c r="CA48" s="202"/>
      <c r="CB48" s="202"/>
      <c r="CC48" s="202"/>
      <c r="CD48" s="202"/>
      <c r="CE48" s="202"/>
      <c r="CF48" s="202"/>
      <c r="CG48" s="202"/>
      <c r="CH48" s="202"/>
      <c r="CI48" s="202"/>
      <c r="CJ48" s="202"/>
      <c r="CK48" s="202"/>
      <c r="CL48" s="202"/>
      <c r="CM48" s="202"/>
      <c r="CN48" s="202"/>
      <c r="CO48" s="202"/>
      <c r="CP48" s="202"/>
      <c r="CQ48" s="202"/>
      <c r="CR48" s="202"/>
      <c r="CS48" s="202"/>
      <c r="CT48" s="202"/>
      <c r="CU48" s="202"/>
      <c r="CV48" s="202"/>
      <c r="CW48" s="202"/>
      <c r="CX48" s="202"/>
      <c r="CY48" s="202"/>
      <c r="CZ48" s="202"/>
      <c r="DA48" s="202"/>
      <c r="DB48" s="202"/>
    </row>
    <row r="49" spans="1:106" s="235" customFormat="1">
      <c r="A49" s="202"/>
      <c r="B49" s="323" t="s">
        <v>386</v>
      </c>
      <c r="C49" s="325"/>
      <c r="D49" s="325"/>
      <c r="E49" s="324">
        <f>JrDebt!E69</f>
        <v>0</v>
      </c>
      <c r="F49" s="324">
        <f>JrDebt!F69</f>
        <v>0</v>
      </c>
      <c r="G49" s="324">
        <f>JrDebt!G69</f>
        <v>0</v>
      </c>
      <c r="H49" s="324">
        <f>JrDebt!H69</f>
        <v>0</v>
      </c>
      <c r="I49" s="324">
        <f>JrDebt!I69</f>
        <v>0</v>
      </c>
      <c r="J49" s="324">
        <f>JrDebt!J69</f>
        <v>0</v>
      </c>
      <c r="K49" s="324">
        <f>JrDebt!K69</f>
        <v>0</v>
      </c>
      <c r="L49" s="324">
        <f>JrDebt!L69</f>
        <v>0</v>
      </c>
      <c r="M49" s="324">
        <f>JrDebt!M69</f>
        <v>0</v>
      </c>
      <c r="N49" s="324">
        <f>JrDebt!N69</f>
        <v>0</v>
      </c>
      <c r="O49" s="324">
        <f>JrDebt!O69</f>
        <v>0</v>
      </c>
      <c r="P49" s="324">
        <f>JrDebt!P69</f>
        <v>0</v>
      </c>
      <c r="Q49" s="324">
        <f>JrDebt!Q69</f>
        <v>0</v>
      </c>
      <c r="R49" s="324">
        <f>JrDebt!R69</f>
        <v>0</v>
      </c>
      <c r="S49" s="324">
        <f>JrDebt!S69</f>
        <v>0</v>
      </c>
      <c r="T49" s="324">
        <f>JrDebt!T69</f>
        <v>0</v>
      </c>
      <c r="U49" s="324">
        <f>JrDebt!U69</f>
        <v>0</v>
      </c>
      <c r="V49" s="324">
        <f>JrDebt!V69</f>
        <v>0</v>
      </c>
      <c r="W49" s="324">
        <f>JrDebt!W69</f>
        <v>0</v>
      </c>
      <c r="X49" s="324">
        <f>JrDebt!X69</f>
        <v>0</v>
      </c>
      <c r="Y49" s="324">
        <f>JrDebt!Y69</f>
        <v>0</v>
      </c>
      <c r="Z49" s="324">
        <f>JrDebt!Z69</f>
        <v>0</v>
      </c>
      <c r="AA49" s="324">
        <f>JrDebt!AA69</f>
        <v>0</v>
      </c>
      <c r="AB49" s="324">
        <f>JrDebt!AB69</f>
        <v>0</v>
      </c>
      <c r="AC49" s="324">
        <f>JrDebt!AC69</f>
        <v>0</v>
      </c>
      <c r="AD49" s="324">
        <f>JrDebt!AD69</f>
        <v>0</v>
      </c>
      <c r="AE49" s="324">
        <f>JrDebt!AE69</f>
        <v>0</v>
      </c>
      <c r="AF49" s="324">
        <f>JrDebt!AF69</f>
        <v>0</v>
      </c>
      <c r="AG49" s="324">
        <f>JrDebt!AG69</f>
        <v>0</v>
      </c>
      <c r="AH49" s="324">
        <f>JrDebt!AH69</f>
        <v>0</v>
      </c>
      <c r="AI49" s="324">
        <f>JrDebt!AI69</f>
        <v>0</v>
      </c>
      <c r="AJ49" s="645"/>
      <c r="AK49" s="645"/>
      <c r="AL49" s="324"/>
      <c r="AM49" s="325"/>
      <c r="AN49" s="1087">
        <f t="shared" si="24"/>
        <v>0</v>
      </c>
      <c r="AO49" s="1087">
        <f t="shared" si="24"/>
        <v>0</v>
      </c>
      <c r="AP49" s="1087">
        <f t="shared" si="24"/>
        <v>0</v>
      </c>
      <c r="AQ49" s="1087">
        <f t="shared" si="24"/>
        <v>0</v>
      </c>
      <c r="AR49" s="1087">
        <f t="shared" si="24"/>
        <v>0</v>
      </c>
      <c r="AS49" s="1087">
        <f t="shared" si="24"/>
        <v>0</v>
      </c>
      <c r="AT49" s="1087">
        <f t="shared" si="24"/>
        <v>0</v>
      </c>
      <c r="AU49" s="1087">
        <f t="shared" si="24"/>
        <v>0</v>
      </c>
      <c r="AV49" s="1087">
        <f t="shared" si="24"/>
        <v>0</v>
      </c>
      <c r="AW49" s="1087">
        <f t="shared" si="24"/>
        <v>0</v>
      </c>
      <c r="AX49" s="1087">
        <f t="shared" si="25"/>
        <v>0</v>
      </c>
      <c r="AY49" s="1087">
        <f t="shared" si="25"/>
        <v>0</v>
      </c>
      <c r="AZ49" s="1087">
        <f t="shared" si="25"/>
        <v>0</v>
      </c>
      <c r="BA49" s="1087">
        <f t="shared" si="25"/>
        <v>0</v>
      </c>
      <c r="BB49" s="1087">
        <f t="shared" si="25"/>
        <v>0</v>
      </c>
      <c r="BC49" s="1087">
        <f t="shared" si="25"/>
        <v>0</v>
      </c>
      <c r="BD49" s="1087">
        <f t="shared" si="25"/>
        <v>0</v>
      </c>
      <c r="BE49" s="1087">
        <f t="shared" si="25"/>
        <v>0</v>
      </c>
      <c r="BF49" s="1087">
        <f t="shared" si="25"/>
        <v>0</v>
      </c>
      <c r="BG49" s="1087">
        <f t="shared" si="25"/>
        <v>0</v>
      </c>
      <c r="BH49" s="1087">
        <f t="shared" si="26"/>
        <v>0</v>
      </c>
      <c r="BI49" s="1087" t="e">
        <f t="shared" si="26"/>
        <v>#DIV/0!</v>
      </c>
      <c r="BJ49" s="1087" t="e">
        <f t="shared" si="26"/>
        <v>#DIV/0!</v>
      </c>
      <c r="BK49" s="1087" t="e">
        <f t="shared" si="26"/>
        <v>#DIV/0!</v>
      </c>
      <c r="BL49" s="1087" t="e">
        <f t="shared" si="26"/>
        <v>#DIV/0!</v>
      </c>
      <c r="BM49" s="1087" t="e">
        <f t="shared" si="26"/>
        <v>#DIV/0!</v>
      </c>
      <c r="BN49" s="1087" t="e">
        <f t="shared" si="26"/>
        <v>#DIV/0!</v>
      </c>
      <c r="BO49" s="1087" t="e">
        <f t="shared" si="26"/>
        <v>#DIV/0!</v>
      </c>
      <c r="BP49" s="1087" t="e">
        <f t="shared" si="26"/>
        <v>#DIV/0!</v>
      </c>
      <c r="BQ49" s="1087" t="e">
        <f t="shared" si="26"/>
        <v>#DIV/0!</v>
      </c>
      <c r="BR49" s="1204" t="e">
        <f>AI49/AI$35</f>
        <v>#DIV/0!</v>
      </c>
      <c r="BS49" s="202"/>
      <c r="BT49" s="202"/>
      <c r="BU49" s="202"/>
      <c r="BV49" s="202"/>
      <c r="BW49" s="202"/>
      <c r="BX49" s="202"/>
      <c r="BY49" s="202"/>
      <c r="BZ49" s="202"/>
      <c r="CA49" s="202"/>
      <c r="CB49" s="202"/>
      <c r="CC49" s="202"/>
      <c r="CD49" s="202"/>
      <c r="CE49" s="202"/>
      <c r="CF49" s="202"/>
      <c r="CG49" s="202"/>
      <c r="CH49" s="202"/>
      <c r="CI49" s="202"/>
      <c r="CJ49" s="202"/>
      <c r="CK49" s="202"/>
      <c r="CL49" s="202"/>
      <c r="CM49" s="202"/>
      <c r="CN49" s="202"/>
      <c r="CO49" s="202"/>
      <c r="CP49" s="202"/>
      <c r="CQ49" s="202"/>
      <c r="CR49" s="202"/>
      <c r="CS49" s="202"/>
      <c r="CT49" s="202"/>
      <c r="CU49" s="202"/>
      <c r="CV49" s="202"/>
      <c r="CW49" s="202"/>
      <c r="CX49" s="202"/>
      <c r="CY49" s="202"/>
      <c r="CZ49" s="202"/>
      <c r="DA49" s="202"/>
      <c r="DB49" s="202"/>
    </row>
    <row r="50" spans="1:106" s="235" customFormat="1">
      <c r="A50" s="202"/>
      <c r="B50" s="323" t="s">
        <v>717</v>
      </c>
      <c r="C50" s="325"/>
      <c r="D50" s="325"/>
      <c r="E50" s="324">
        <f>Revolver!D9</f>
        <v>0</v>
      </c>
      <c r="F50" s="324">
        <f>Revolver!E9</f>
        <v>0</v>
      </c>
      <c r="G50" s="324">
        <f>Revolver!F9</f>
        <v>0</v>
      </c>
      <c r="H50" s="324">
        <f>Revolver!G9</f>
        <v>0</v>
      </c>
      <c r="I50" s="324">
        <f>Revolver!H9</f>
        <v>0</v>
      </c>
      <c r="J50" s="324">
        <f>Revolver!I9</f>
        <v>0</v>
      </c>
      <c r="K50" s="324">
        <f>Revolver!J9</f>
        <v>0</v>
      </c>
      <c r="L50" s="324">
        <f>Revolver!K9</f>
        <v>0</v>
      </c>
      <c r="M50" s="324">
        <f>Revolver!L9</f>
        <v>0</v>
      </c>
      <c r="N50" s="324">
        <f>Revolver!M9</f>
        <v>0</v>
      </c>
      <c r="O50" s="324">
        <f>Revolver!N9</f>
        <v>0</v>
      </c>
      <c r="P50" s="324">
        <f>Revolver!O9</f>
        <v>0</v>
      </c>
      <c r="Q50" s="324">
        <f>Revolver!P9</f>
        <v>0</v>
      </c>
      <c r="R50" s="324">
        <f>Revolver!Q9</f>
        <v>0</v>
      </c>
      <c r="S50" s="324">
        <f>Revolver!R9</f>
        <v>0</v>
      </c>
      <c r="T50" s="324">
        <f>Revolver!S9</f>
        <v>0</v>
      </c>
      <c r="U50" s="324">
        <f>Revolver!T9</f>
        <v>0</v>
      </c>
      <c r="V50" s="324">
        <f>Revolver!U9</f>
        <v>0</v>
      </c>
      <c r="W50" s="324">
        <f>Revolver!V9</f>
        <v>0</v>
      </c>
      <c r="X50" s="324">
        <f>Revolver!W9</f>
        <v>0</v>
      </c>
      <c r="Y50" s="324">
        <f>Revolver!X9</f>
        <v>0</v>
      </c>
      <c r="Z50" s="324">
        <f>Revolver!Y9</f>
        <v>0</v>
      </c>
      <c r="AA50" s="324">
        <f>Revolver!Z9</f>
        <v>0</v>
      </c>
      <c r="AB50" s="324">
        <f>Revolver!AA9</f>
        <v>0</v>
      </c>
      <c r="AC50" s="324">
        <f>Revolver!AB9</f>
        <v>0</v>
      </c>
      <c r="AD50" s="324">
        <f>Revolver!AC9</f>
        <v>0</v>
      </c>
      <c r="AE50" s="324">
        <f>Revolver!AD9</f>
        <v>0</v>
      </c>
      <c r="AF50" s="324">
        <f>Revolver!AE9</f>
        <v>0</v>
      </c>
      <c r="AG50" s="324">
        <f>Revolver!AF9</f>
        <v>0</v>
      </c>
      <c r="AH50" s="324">
        <f>Revolver!AG9</f>
        <v>0</v>
      </c>
      <c r="AI50" s="324">
        <f>Revolver!AH9</f>
        <v>0</v>
      </c>
      <c r="AJ50" s="645"/>
      <c r="AK50" s="645"/>
      <c r="AL50" s="324"/>
      <c r="AM50" s="325"/>
      <c r="AN50" s="1087"/>
      <c r="AO50" s="1087"/>
      <c r="AP50" s="1087"/>
      <c r="AQ50" s="1087"/>
      <c r="AR50" s="1087"/>
      <c r="AS50" s="1087"/>
      <c r="AT50" s="1087"/>
      <c r="AU50" s="1087"/>
      <c r="AV50" s="1087"/>
      <c r="AW50" s="1087"/>
      <c r="AX50" s="1087"/>
      <c r="AY50" s="1087"/>
      <c r="AZ50" s="1087"/>
      <c r="BA50" s="1087"/>
      <c r="BB50" s="1087"/>
      <c r="BC50" s="1087"/>
      <c r="BD50" s="1087"/>
      <c r="BE50" s="1087"/>
      <c r="BF50" s="1087"/>
      <c r="BG50" s="1087"/>
      <c r="BH50" s="1087"/>
      <c r="BI50" s="1087"/>
      <c r="BJ50" s="1087"/>
      <c r="BK50" s="1087"/>
      <c r="BL50" s="1087"/>
      <c r="BM50" s="1087"/>
      <c r="BN50" s="1087"/>
      <c r="BO50" s="1087"/>
      <c r="BP50" s="1087"/>
      <c r="BQ50" s="1087"/>
      <c r="BR50" s="1204"/>
      <c r="BS50" s="202"/>
      <c r="BT50" s="202"/>
      <c r="BU50" s="202"/>
      <c r="BV50" s="202"/>
      <c r="BW50" s="202"/>
      <c r="BX50" s="202"/>
      <c r="BY50" s="202"/>
      <c r="BZ50" s="202"/>
      <c r="CA50" s="202"/>
      <c r="CB50" s="202"/>
      <c r="CC50" s="202"/>
      <c r="CD50" s="202"/>
      <c r="CE50" s="202"/>
      <c r="CF50" s="202"/>
      <c r="CG50" s="202"/>
      <c r="CH50" s="202"/>
      <c r="CI50" s="202"/>
      <c r="CJ50" s="202"/>
      <c r="CK50" s="202"/>
      <c r="CL50" s="202"/>
      <c r="CM50" s="202"/>
      <c r="CN50" s="202"/>
      <c r="CO50" s="202"/>
      <c r="CP50" s="202"/>
      <c r="CQ50" s="202"/>
      <c r="CR50" s="202"/>
      <c r="CS50" s="202"/>
      <c r="CT50" s="202"/>
      <c r="CU50" s="202"/>
      <c r="CV50" s="202"/>
      <c r="CW50" s="202"/>
      <c r="CX50" s="202"/>
      <c r="CY50" s="202"/>
      <c r="CZ50" s="202"/>
      <c r="DA50" s="202"/>
      <c r="DB50" s="202"/>
    </row>
    <row r="51" spans="1:106" s="235" customFormat="1" ht="13.7" customHeight="1" thickBot="1">
      <c r="B51" s="562" t="s">
        <v>541</v>
      </c>
      <c r="C51" s="325"/>
      <c r="D51" s="325"/>
      <c r="E51" s="562">
        <f>SUM(E48:E50)</f>
        <v>3647.4391780684955</v>
      </c>
      <c r="F51" s="562">
        <f t="shared" ref="F51:AI51" si="27">SUM(F48:F50)</f>
        <v>3501.7919323124306</v>
      </c>
      <c r="G51" s="562">
        <f t="shared" si="27"/>
        <v>3421.5036127609756</v>
      </c>
      <c r="H51" s="562">
        <f t="shared" si="27"/>
        <v>3310.9744499185717</v>
      </c>
      <c r="I51" s="562">
        <f t="shared" si="27"/>
        <v>3200.6554985769753</v>
      </c>
      <c r="J51" s="562">
        <f t="shared" si="27"/>
        <v>3075.1139920557252</v>
      </c>
      <c r="K51" s="562">
        <f t="shared" si="27"/>
        <v>2937.2205048026381</v>
      </c>
      <c r="L51" s="562">
        <f t="shared" si="27"/>
        <v>2789.4708736427183</v>
      </c>
      <c r="M51" s="562">
        <f t="shared" si="27"/>
        <v>2634.8656934600317</v>
      </c>
      <c r="N51" s="562">
        <f t="shared" si="27"/>
        <v>2462.9718859667623</v>
      </c>
      <c r="O51" s="562">
        <f t="shared" si="27"/>
        <v>2274.6973399833641</v>
      </c>
      <c r="P51" s="562">
        <f t="shared" si="27"/>
        <v>2047.654411103787</v>
      </c>
      <c r="Q51" s="562">
        <f t="shared" si="27"/>
        <v>1807.4866043508746</v>
      </c>
      <c r="R51" s="562">
        <f t="shared" si="27"/>
        <v>1536.0831557882163</v>
      </c>
      <c r="S51" s="562">
        <f t="shared" si="27"/>
        <v>1245.272139487553</v>
      </c>
      <c r="T51" s="562">
        <f t="shared" si="27"/>
        <v>924.13628437959096</v>
      </c>
      <c r="U51" s="562">
        <f t="shared" si="27"/>
        <v>584.06076804614349</v>
      </c>
      <c r="V51" s="562">
        <f t="shared" si="27"/>
        <v>211.56733620350326</v>
      </c>
      <c r="W51" s="562">
        <f t="shared" si="27"/>
        <v>0</v>
      </c>
      <c r="X51" s="562">
        <f t="shared" si="27"/>
        <v>0</v>
      </c>
      <c r="Y51" s="562">
        <f t="shared" si="27"/>
        <v>0</v>
      </c>
      <c r="Z51" s="562">
        <f t="shared" si="27"/>
        <v>0</v>
      </c>
      <c r="AA51" s="562">
        <f t="shared" si="27"/>
        <v>0</v>
      </c>
      <c r="AB51" s="562">
        <f t="shared" si="27"/>
        <v>0</v>
      </c>
      <c r="AC51" s="562">
        <f t="shared" si="27"/>
        <v>0</v>
      </c>
      <c r="AD51" s="562">
        <f t="shared" si="27"/>
        <v>0</v>
      </c>
      <c r="AE51" s="562">
        <f t="shared" si="27"/>
        <v>0</v>
      </c>
      <c r="AF51" s="562">
        <f t="shared" si="27"/>
        <v>0</v>
      </c>
      <c r="AG51" s="562">
        <f t="shared" si="27"/>
        <v>0</v>
      </c>
      <c r="AH51" s="562">
        <f t="shared" si="27"/>
        <v>0</v>
      </c>
      <c r="AI51" s="562">
        <f t="shared" si="27"/>
        <v>0</v>
      </c>
      <c r="AJ51" s="646"/>
      <c r="AK51" s="646"/>
      <c r="AL51" s="325"/>
      <c r="AM51" s="325"/>
      <c r="AN51" s="1209">
        <f t="shared" si="24"/>
        <v>0.3318840150199503</v>
      </c>
      <c r="AO51" s="1209">
        <f t="shared" si="24"/>
        <v>0.31774634409271962</v>
      </c>
      <c r="AP51" s="1209">
        <f t="shared" si="24"/>
        <v>0.31046112540927362</v>
      </c>
      <c r="AQ51" s="1209">
        <f t="shared" si="24"/>
        <v>0.30043190662995833</v>
      </c>
      <c r="AR51" s="1209">
        <f t="shared" si="24"/>
        <v>0.29042176206668979</v>
      </c>
      <c r="AS51" s="1209">
        <f t="shared" si="24"/>
        <v>0.27903035004105364</v>
      </c>
      <c r="AT51" s="1209">
        <f t="shared" si="24"/>
        <v>0.26651814135025031</v>
      </c>
      <c r="AU51" s="1209">
        <f t="shared" si="24"/>
        <v>0.25311160376904385</v>
      </c>
      <c r="AV51" s="1209">
        <f t="shared" si="24"/>
        <v>0.23908300591674236</v>
      </c>
      <c r="AW51" s="1209">
        <f t="shared" si="24"/>
        <v>0.22348566890788807</v>
      </c>
      <c r="AX51" s="1209">
        <f t="shared" si="25"/>
        <v>0.20640197295213306</v>
      </c>
      <c r="AY51" s="1209">
        <f t="shared" si="25"/>
        <v>0.18580050319092153</v>
      </c>
      <c r="AZ51" s="1209">
        <f t="shared" si="25"/>
        <v>0.16400810545868069</v>
      </c>
      <c r="BA51" s="1209">
        <f t="shared" si="25"/>
        <v>0.13938144139015229</v>
      </c>
      <c r="BB51" s="1209">
        <f t="shared" si="25"/>
        <v>0.11299376929610974</v>
      </c>
      <c r="BC51" s="1209">
        <f t="shared" si="25"/>
        <v>8.3854475503099699E-2</v>
      </c>
      <c r="BD51" s="1209">
        <f t="shared" si="25"/>
        <v>5.2996630685620709E-2</v>
      </c>
      <c r="BE51" s="1209">
        <f t="shared" si="25"/>
        <v>1.9197242128462542E-2</v>
      </c>
      <c r="BF51" s="1209">
        <f t="shared" si="25"/>
        <v>0</v>
      </c>
      <c r="BG51" s="1209">
        <f t="shared" si="25"/>
        <v>0</v>
      </c>
      <c r="BH51" s="1209">
        <f t="shared" si="26"/>
        <v>0</v>
      </c>
      <c r="BI51" s="1209" t="e">
        <f t="shared" si="26"/>
        <v>#DIV/0!</v>
      </c>
      <c r="BJ51" s="1209" t="e">
        <f t="shared" si="26"/>
        <v>#DIV/0!</v>
      </c>
      <c r="BK51" s="1209" t="e">
        <f t="shared" si="26"/>
        <v>#DIV/0!</v>
      </c>
      <c r="BL51" s="1209" t="e">
        <f t="shared" si="26"/>
        <v>#DIV/0!</v>
      </c>
      <c r="BM51" s="1209" t="e">
        <f t="shared" si="26"/>
        <v>#DIV/0!</v>
      </c>
      <c r="BN51" s="1209" t="e">
        <f t="shared" si="26"/>
        <v>#DIV/0!</v>
      </c>
      <c r="BO51" s="1209" t="e">
        <f t="shared" si="26"/>
        <v>#DIV/0!</v>
      </c>
      <c r="BP51" s="1209" t="e">
        <f t="shared" si="26"/>
        <v>#DIV/0!</v>
      </c>
      <c r="BQ51" s="1209" t="e">
        <f t="shared" si="26"/>
        <v>#DIV/0!</v>
      </c>
      <c r="BR51" s="1204" t="e">
        <f>AI51/AI$35</f>
        <v>#DIV/0!</v>
      </c>
    </row>
    <row r="52" spans="1:106" s="871" customFormat="1" ht="14.25" thickTop="1" thickBot="1">
      <c r="A52" s="869"/>
      <c r="B52" s="870" t="s">
        <v>510</v>
      </c>
      <c r="C52" s="59"/>
      <c r="D52" s="325"/>
      <c r="E52" s="586">
        <f t="shared" ref="E52:AI52" ca="1" si="28">E46-E51</f>
        <v>-20764.7853918623</v>
      </c>
      <c r="F52" s="586">
        <f t="shared" ca="1" si="28"/>
        <v>-37104.609524970692</v>
      </c>
      <c r="G52" s="586">
        <f t="shared" ca="1" si="28"/>
        <v>-21293.794793117075</v>
      </c>
      <c r="H52" s="586">
        <f t="shared" ca="1" si="28"/>
        <v>-11799.42559913846</v>
      </c>
      <c r="I52" s="586">
        <f t="shared" ca="1" si="28"/>
        <v>-11703.813482735452</v>
      </c>
      <c r="J52" s="586">
        <f t="shared" ca="1" si="28"/>
        <v>-4220.5952996855194</v>
      </c>
      <c r="K52" s="586">
        <f t="shared" ca="1" si="28"/>
        <v>2559.6741287476416</v>
      </c>
      <c r="L52" s="586">
        <f t="shared" ca="1" si="28"/>
        <v>2720.4575372448817</v>
      </c>
      <c r="M52" s="586">
        <f t="shared" ca="1" si="28"/>
        <v>2887.9417189440078</v>
      </c>
      <c r="N52" s="586">
        <f t="shared" ca="1" si="28"/>
        <v>3148.9668127378941</v>
      </c>
      <c r="O52" s="586">
        <f t="shared" ca="1" si="28"/>
        <v>3439.8153779379627</v>
      </c>
      <c r="P52" s="586">
        <f t="shared" ca="1" si="28"/>
        <v>3780.5712263534765</v>
      </c>
      <c r="Q52" s="586">
        <f t="shared" ca="1" si="28"/>
        <v>4147.3111859685614</v>
      </c>
      <c r="R52" s="586">
        <f t="shared" ca="1" si="28"/>
        <v>4327.0887786542553</v>
      </c>
      <c r="S52" s="586">
        <f t="shared" ca="1" si="28"/>
        <v>4511.5664670753686</v>
      </c>
      <c r="T52" s="586">
        <f t="shared" ca="1" si="28"/>
        <v>4615.2262613567236</v>
      </c>
      <c r="U52" s="586">
        <f t="shared" ca="1" si="28"/>
        <v>4888.5322443427358</v>
      </c>
      <c r="V52" s="586">
        <f t="shared" ca="1" si="28"/>
        <v>5222.054910287131</v>
      </c>
      <c r="W52" s="586">
        <f t="shared" ca="1" si="28"/>
        <v>5687.44219089535</v>
      </c>
      <c r="X52" s="586">
        <f t="shared" ca="1" si="28"/>
        <v>5611.6080449707333</v>
      </c>
      <c r="Y52" s="586">
        <f t="shared" ca="1" si="28"/>
        <v>16.486468016708901</v>
      </c>
      <c r="Z52" s="586">
        <f t="shared" ca="1" si="28"/>
        <v>0</v>
      </c>
      <c r="AA52" s="586">
        <f t="shared" ca="1" si="28"/>
        <v>0</v>
      </c>
      <c r="AB52" s="586">
        <f t="shared" ca="1" si="28"/>
        <v>0</v>
      </c>
      <c r="AC52" s="586">
        <f t="shared" ca="1" si="28"/>
        <v>0</v>
      </c>
      <c r="AD52" s="586">
        <f t="shared" ca="1" si="28"/>
        <v>0</v>
      </c>
      <c r="AE52" s="586">
        <f t="shared" ca="1" si="28"/>
        <v>0</v>
      </c>
      <c r="AF52" s="586">
        <f t="shared" ca="1" si="28"/>
        <v>0</v>
      </c>
      <c r="AG52" s="586">
        <f t="shared" ca="1" si="28"/>
        <v>0</v>
      </c>
      <c r="AH52" s="586">
        <f t="shared" ca="1" si="28"/>
        <v>0</v>
      </c>
      <c r="AI52" s="586">
        <f t="shared" ca="1" si="28"/>
        <v>0</v>
      </c>
      <c r="AJ52" s="644"/>
      <c r="AK52" s="644"/>
      <c r="AL52" s="431"/>
      <c r="AM52" s="325"/>
      <c r="AN52" s="1212">
        <f t="shared" ca="1" si="24"/>
        <v>-1.8894078860358876</v>
      </c>
      <c r="AO52" s="1212">
        <f t="shared" ca="1" si="24"/>
        <v>-3.3668059820338421</v>
      </c>
      <c r="AP52" s="1212">
        <f t="shared" ca="1" si="24"/>
        <v>-1.9321608988074717</v>
      </c>
      <c r="AQ52" s="1212">
        <f t="shared" ca="1" si="24"/>
        <v>-1.0706587995490837</v>
      </c>
      <c r="AR52" s="1212">
        <f t="shared" ca="1" si="24"/>
        <v>-1.0619831269148272</v>
      </c>
      <c r="AS52" s="1212">
        <f t="shared" ca="1" si="24"/>
        <v>-0.38296927752769144</v>
      </c>
      <c r="AT52" s="1212">
        <f t="shared" ca="1" si="24"/>
        <v>0.23226025766219488</v>
      </c>
      <c r="AU52" s="1212">
        <f t="shared" ca="1" si="24"/>
        <v>0.24684945691454105</v>
      </c>
      <c r="AV52" s="1212">
        <f t="shared" ca="1" si="24"/>
        <v>0.26204667235649781</v>
      </c>
      <c r="AW52" s="1212">
        <f t="shared" ca="1" si="24"/>
        <v>0.28573162305392452</v>
      </c>
      <c r="AX52" s="1212">
        <f t="shared" ca="1" si="25"/>
        <v>0.31212270226801914</v>
      </c>
      <c r="AY52" s="1212">
        <f t="shared" ca="1" si="25"/>
        <v>0.34304227920323216</v>
      </c>
      <c r="AZ52" s="1212">
        <f t="shared" ca="1" si="25"/>
        <v>0.37631960796886599</v>
      </c>
      <c r="BA52" s="1212">
        <f t="shared" ca="1" si="25"/>
        <v>0.39263230556193723</v>
      </c>
      <c r="BB52" s="1212">
        <f t="shared" ca="1" si="25"/>
        <v>0.40937148144546165</v>
      </c>
      <c r="BC52" s="1212">
        <f t="shared" ca="1" si="25"/>
        <v>0.41877738599346642</v>
      </c>
      <c r="BD52" s="1212">
        <f t="shared" ca="1" si="25"/>
        <v>0.44357668263674976</v>
      </c>
      <c r="BE52" s="1212">
        <f t="shared" ca="1" si="25"/>
        <v>0.47383993351639508</v>
      </c>
      <c r="BF52" s="1212">
        <f t="shared" ca="1" si="25"/>
        <v>0.51606834395849233</v>
      </c>
      <c r="BG52" s="1212">
        <f t="shared" ca="1" si="25"/>
        <v>0.50918728903269928</v>
      </c>
      <c r="BH52" s="1212">
        <f t="shared" ca="1" si="26"/>
        <v>0.53854295589359946</v>
      </c>
      <c r="BI52" s="1212" t="e">
        <f t="shared" ca="1" si="26"/>
        <v>#DIV/0!</v>
      </c>
      <c r="BJ52" s="1212" t="e">
        <f t="shared" ca="1" si="26"/>
        <v>#DIV/0!</v>
      </c>
      <c r="BK52" s="1212" t="e">
        <f t="shared" ca="1" si="26"/>
        <v>#DIV/0!</v>
      </c>
      <c r="BL52" s="1212" t="e">
        <f t="shared" ca="1" si="26"/>
        <v>#DIV/0!</v>
      </c>
      <c r="BM52" s="1212" t="e">
        <f t="shared" ca="1" si="26"/>
        <v>#DIV/0!</v>
      </c>
      <c r="BN52" s="1212" t="e">
        <f t="shared" ca="1" si="26"/>
        <v>#DIV/0!</v>
      </c>
      <c r="BO52" s="1212" t="e">
        <f t="shared" ca="1" si="26"/>
        <v>#DIV/0!</v>
      </c>
      <c r="BP52" s="1212" t="e">
        <f t="shared" ca="1" si="26"/>
        <v>#DIV/0!</v>
      </c>
      <c r="BQ52" s="1212" t="e">
        <f t="shared" ca="1" si="26"/>
        <v>#DIV/0!</v>
      </c>
      <c r="BR52" s="1204" t="e">
        <f ca="1">AI52/AI$35</f>
        <v>#DIV/0!</v>
      </c>
      <c r="BS52" s="869"/>
      <c r="BT52" s="869"/>
      <c r="BU52" s="869"/>
      <c r="BV52" s="869"/>
      <c r="BW52" s="869"/>
      <c r="BX52" s="869"/>
      <c r="BY52" s="869"/>
      <c r="BZ52" s="869"/>
      <c r="CA52" s="869"/>
      <c r="CB52" s="869"/>
      <c r="CC52" s="869"/>
      <c r="CD52" s="869"/>
      <c r="CE52" s="869"/>
      <c r="CF52" s="869"/>
      <c r="CG52" s="869"/>
      <c r="CH52" s="869"/>
      <c r="CI52" s="869"/>
      <c r="CJ52" s="869"/>
      <c r="CK52" s="869"/>
      <c r="CL52" s="869"/>
      <c r="CM52" s="869"/>
      <c r="CN52" s="869"/>
      <c r="CO52" s="869"/>
      <c r="CP52" s="869"/>
      <c r="CQ52" s="869"/>
      <c r="CR52" s="869"/>
      <c r="CS52" s="869"/>
      <c r="CT52" s="869"/>
      <c r="CU52" s="869"/>
      <c r="CV52" s="869"/>
      <c r="CW52" s="869"/>
      <c r="CX52" s="869"/>
      <c r="CY52" s="869"/>
      <c r="CZ52" s="869"/>
      <c r="DA52" s="869"/>
      <c r="DB52" s="869"/>
    </row>
    <row r="53" spans="1:106" s="871" customFormat="1">
      <c r="A53" s="869"/>
      <c r="B53" s="868"/>
      <c r="C53" s="59"/>
      <c r="D53" s="325"/>
      <c r="E53" s="470"/>
      <c r="F53" s="470"/>
      <c r="G53" s="470"/>
      <c r="H53" s="470"/>
      <c r="I53" s="470"/>
      <c r="J53" s="470"/>
      <c r="K53" s="470"/>
      <c r="L53" s="470"/>
      <c r="M53" s="470"/>
      <c r="N53" s="470"/>
      <c r="O53" s="470"/>
      <c r="P53" s="470"/>
      <c r="Q53" s="470"/>
      <c r="R53" s="470"/>
      <c r="S53" s="470"/>
      <c r="T53" s="470"/>
      <c r="U53" s="470"/>
      <c r="V53" s="470"/>
      <c r="W53" s="470"/>
      <c r="X53" s="470"/>
      <c r="Y53" s="470"/>
      <c r="Z53" s="470"/>
      <c r="AA53" s="470"/>
      <c r="AB53" s="470"/>
      <c r="AC53" s="470"/>
      <c r="AD53" s="470"/>
      <c r="AE53" s="470"/>
      <c r="AF53" s="470"/>
      <c r="AG53" s="470"/>
      <c r="AH53" s="470"/>
      <c r="AI53" s="470"/>
      <c r="AJ53" s="644"/>
      <c r="AK53" s="644"/>
      <c r="AL53" s="431"/>
      <c r="AM53" s="325"/>
      <c r="AN53" s="470"/>
      <c r="AO53" s="470"/>
      <c r="AP53" s="470"/>
      <c r="AQ53" s="470"/>
      <c r="AR53" s="470"/>
      <c r="AS53" s="470"/>
      <c r="AT53" s="470"/>
      <c r="AU53" s="470"/>
      <c r="AV53" s="470"/>
      <c r="AW53" s="470"/>
      <c r="AX53" s="470"/>
      <c r="AY53" s="470"/>
      <c r="AZ53" s="470"/>
      <c r="BA53" s="470"/>
      <c r="BB53" s="470"/>
      <c r="BC53" s="470"/>
      <c r="BD53" s="470"/>
      <c r="BE53" s="470"/>
      <c r="BF53" s="470"/>
      <c r="BG53" s="470"/>
      <c r="BH53" s="470"/>
      <c r="BI53" s="470"/>
      <c r="BJ53" s="470"/>
      <c r="BK53" s="470"/>
      <c r="BL53" s="470"/>
      <c r="BM53" s="470"/>
      <c r="BN53" s="470"/>
      <c r="BO53" s="470"/>
      <c r="BP53" s="470"/>
      <c r="BQ53" s="470"/>
      <c r="BR53" s="431"/>
      <c r="BS53" s="869"/>
      <c r="BT53" s="869"/>
      <c r="BU53" s="869"/>
      <c r="BV53" s="869"/>
      <c r="BW53" s="869"/>
      <c r="BX53" s="869"/>
      <c r="BY53" s="869"/>
      <c r="BZ53" s="869"/>
      <c r="CA53" s="869"/>
      <c r="CB53" s="869"/>
      <c r="CC53" s="869"/>
      <c r="CD53" s="869"/>
      <c r="CE53" s="869"/>
      <c r="CF53" s="869"/>
      <c r="CG53" s="869"/>
      <c r="CH53" s="869"/>
      <c r="CI53" s="869"/>
      <c r="CJ53" s="869"/>
      <c r="CK53" s="869"/>
      <c r="CL53" s="869"/>
      <c r="CM53" s="869"/>
      <c r="CN53" s="869"/>
      <c r="CO53" s="869"/>
      <c r="CP53" s="869"/>
      <c r="CQ53" s="869"/>
      <c r="CR53" s="869"/>
      <c r="CS53" s="869"/>
      <c r="CT53" s="869"/>
      <c r="CU53" s="869"/>
      <c r="CV53" s="869"/>
      <c r="CW53" s="869"/>
      <c r="CX53" s="869"/>
      <c r="CY53" s="869"/>
      <c r="CZ53" s="869"/>
      <c r="DA53" s="869"/>
      <c r="DB53" s="869"/>
    </row>
    <row r="54" spans="1:106" s="332" customFormat="1">
      <c r="A54" s="648"/>
      <c r="B54" s="644" t="s">
        <v>502</v>
      </c>
      <c r="D54" s="645"/>
      <c r="E54" s="648"/>
      <c r="F54" s="648"/>
      <c r="G54" s="648"/>
      <c r="H54" s="648"/>
      <c r="I54" s="648"/>
      <c r="J54" s="648"/>
      <c r="K54" s="648"/>
      <c r="L54" s="648"/>
      <c r="M54" s="648"/>
      <c r="N54" s="648"/>
      <c r="O54" s="648"/>
      <c r="P54" s="648"/>
      <c r="Q54" s="648"/>
      <c r="R54" s="648"/>
      <c r="S54" s="648"/>
      <c r="T54" s="648"/>
      <c r="U54" s="648"/>
      <c r="V54" s="648"/>
      <c r="W54" s="648"/>
      <c r="X54" s="648"/>
      <c r="Y54" s="648"/>
      <c r="Z54" s="648"/>
      <c r="AA54" s="648"/>
      <c r="AB54" s="648"/>
      <c r="AC54" s="648"/>
      <c r="AD54" s="648"/>
      <c r="AE54" s="648"/>
      <c r="AF54" s="648"/>
      <c r="AG54" s="648"/>
      <c r="AH54" s="648"/>
      <c r="AI54" s="648"/>
      <c r="AJ54" s="648"/>
      <c r="AK54" s="648"/>
      <c r="AM54" s="644" t="s">
        <v>603</v>
      </c>
      <c r="AO54" s="648"/>
      <c r="AP54" s="648"/>
      <c r="AQ54" s="648"/>
      <c r="AR54" s="648"/>
      <c r="AS54" s="648"/>
      <c r="AT54" s="648"/>
      <c r="AU54" s="648"/>
      <c r="AV54" s="648"/>
      <c r="AW54" s="648"/>
      <c r="AX54" s="648"/>
      <c r="AY54" s="648"/>
      <c r="AZ54" s="648"/>
      <c r="BA54" s="648"/>
      <c r="BB54" s="648"/>
      <c r="BC54" s="648"/>
      <c r="BD54" s="648"/>
      <c r="BE54" s="648"/>
      <c r="BF54" s="648"/>
      <c r="BG54" s="648"/>
      <c r="BH54" s="648"/>
      <c r="BI54" s="648"/>
      <c r="BJ54" s="648"/>
      <c r="BK54" s="648"/>
      <c r="BL54" s="648"/>
      <c r="BM54" s="648"/>
      <c r="BN54" s="648"/>
      <c r="BO54" s="648"/>
      <c r="BP54" s="648"/>
      <c r="BQ54" s="648"/>
      <c r="BR54" s="648"/>
      <c r="BS54" s="648"/>
      <c r="BT54" s="648"/>
      <c r="BU54" s="648"/>
      <c r="BV54" s="648"/>
      <c r="BW54" s="648"/>
      <c r="BX54" s="648"/>
      <c r="BY54" s="648"/>
      <c r="BZ54" s="648"/>
      <c r="CA54" s="648"/>
      <c r="CB54" s="648"/>
      <c r="CC54" s="648"/>
      <c r="CD54" s="648"/>
      <c r="CE54" s="648"/>
      <c r="CF54" s="648"/>
      <c r="CG54" s="648"/>
      <c r="CH54" s="648"/>
      <c r="CI54" s="648"/>
      <c r="CJ54" s="648"/>
      <c r="CK54" s="648"/>
      <c r="CL54" s="648"/>
      <c r="CM54" s="648"/>
      <c r="CN54" s="648"/>
      <c r="CO54" s="648"/>
      <c r="CP54" s="648"/>
      <c r="CQ54" s="648"/>
      <c r="CR54" s="648"/>
      <c r="CS54" s="648"/>
      <c r="CT54" s="648"/>
      <c r="CU54" s="648"/>
      <c r="CV54" s="648"/>
      <c r="CW54" s="648"/>
      <c r="CX54" s="648"/>
      <c r="CY54" s="648"/>
      <c r="CZ54" s="648"/>
      <c r="DA54" s="648"/>
      <c r="DB54" s="648"/>
    </row>
    <row r="55" spans="1:106" s="177" customFormat="1">
      <c r="A55" s="184"/>
      <c r="B55" s="184"/>
      <c r="C55" s="59"/>
      <c r="D55" s="352"/>
      <c r="E55" s="184"/>
      <c r="F55" s="184"/>
      <c r="G55" s="184"/>
      <c r="H55" s="184"/>
      <c r="I55" s="184"/>
      <c r="J55" s="184"/>
      <c r="K55" s="184"/>
      <c r="L55" s="184"/>
      <c r="M55" s="184"/>
      <c r="N55" s="184"/>
      <c r="O55" s="184"/>
      <c r="P55" s="184"/>
      <c r="Q55" s="184"/>
      <c r="R55" s="184"/>
      <c r="S55" s="184"/>
      <c r="T55" s="184"/>
      <c r="U55" s="184"/>
      <c r="V55" s="184"/>
      <c r="W55" s="184"/>
      <c r="X55" s="184"/>
      <c r="Y55" s="184"/>
      <c r="Z55" s="184"/>
      <c r="AA55" s="184"/>
      <c r="AB55" s="184"/>
      <c r="AC55" s="184"/>
      <c r="AD55" s="184"/>
      <c r="AE55" s="184"/>
      <c r="AF55" s="184"/>
      <c r="AG55" s="184"/>
      <c r="AH55" s="184"/>
      <c r="AI55" s="184"/>
      <c r="AJ55" s="648"/>
      <c r="AK55" s="648"/>
      <c r="AM55" s="352"/>
      <c r="AN55" s="184"/>
      <c r="AO55" s="184"/>
      <c r="AP55" s="184"/>
      <c r="AQ55" s="184"/>
      <c r="AR55" s="184"/>
      <c r="AS55" s="184"/>
      <c r="AT55" s="184"/>
      <c r="AU55" s="184"/>
      <c r="AV55" s="184"/>
      <c r="AW55" s="184"/>
      <c r="AX55" s="184"/>
      <c r="AY55" s="184"/>
      <c r="AZ55" s="184"/>
      <c r="BA55" s="184"/>
      <c r="BB55" s="184"/>
      <c r="BC55" s="184"/>
      <c r="BD55" s="184"/>
      <c r="BE55" s="184"/>
      <c r="BF55" s="184"/>
      <c r="BG55" s="184"/>
      <c r="BH55" s="184"/>
      <c r="BI55" s="184"/>
      <c r="BJ55" s="184"/>
      <c r="BK55" s="184"/>
      <c r="BL55" s="184"/>
      <c r="BM55" s="184"/>
      <c r="BN55" s="184"/>
      <c r="BO55" s="184"/>
      <c r="BP55" s="184"/>
      <c r="BQ55" s="184"/>
      <c r="BR55" s="184"/>
      <c r="BS55" s="184"/>
      <c r="BT55" s="184"/>
      <c r="BU55" s="184"/>
      <c r="BV55" s="184"/>
      <c r="BW55" s="184"/>
      <c r="BX55" s="184"/>
      <c r="BY55" s="184"/>
      <c r="BZ55" s="184"/>
      <c r="CA55" s="184"/>
      <c r="CB55" s="184"/>
      <c r="CC55" s="184"/>
      <c r="CD55" s="184"/>
      <c r="CE55" s="184"/>
      <c r="CF55" s="184"/>
      <c r="CG55" s="184"/>
      <c r="CH55" s="184"/>
      <c r="CI55" s="184"/>
      <c r="CJ55" s="184"/>
      <c r="CK55" s="184"/>
      <c r="CL55" s="184"/>
      <c r="CM55" s="184"/>
      <c r="CN55" s="184"/>
      <c r="CO55" s="184"/>
      <c r="CP55" s="184"/>
      <c r="CQ55" s="184"/>
      <c r="CR55" s="184"/>
      <c r="CS55" s="184"/>
      <c r="CT55" s="184"/>
      <c r="CU55" s="184"/>
      <c r="CV55" s="184"/>
      <c r="CW55" s="184"/>
      <c r="CX55" s="184"/>
      <c r="CY55" s="184"/>
      <c r="CZ55" s="184"/>
      <c r="DA55" s="184"/>
      <c r="DB55" s="184"/>
    </row>
    <row r="56" spans="1:106" s="59" customFormat="1">
      <c r="A56" s="64"/>
      <c r="B56" s="441" t="s">
        <v>354</v>
      </c>
      <c r="D56" s="496" t="s">
        <v>298</v>
      </c>
      <c r="E56" s="64"/>
      <c r="F56" s="64"/>
      <c r="G56" s="64"/>
      <c r="H56" s="64"/>
      <c r="I56" s="64"/>
      <c r="J56" s="64"/>
      <c r="K56" s="64"/>
      <c r="L56" s="64"/>
      <c r="M56" s="64"/>
      <c r="N56" s="64"/>
      <c r="O56" s="64"/>
      <c r="P56" s="64"/>
      <c r="Q56" s="64"/>
      <c r="R56" s="64"/>
      <c r="S56" s="64"/>
      <c r="T56" s="64"/>
      <c r="U56" s="64"/>
      <c r="V56" s="64"/>
      <c r="W56" s="64"/>
      <c r="X56" s="64"/>
      <c r="Y56" s="64"/>
      <c r="Z56" s="64"/>
      <c r="AA56" s="64"/>
      <c r="AB56" s="64"/>
      <c r="AC56" s="64"/>
      <c r="AD56" s="64"/>
      <c r="AE56" s="64"/>
      <c r="AF56" s="64"/>
      <c r="AG56" s="64"/>
      <c r="AH56" s="64"/>
      <c r="AI56" s="64"/>
      <c r="AJ56" s="648"/>
      <c r="AK56" s="648"/>
      <c r="AM56" s="1198"/>
      <c r="AN56" s="430"/>
      <c r="AO56" s="430"/>
      <c r="AP56" s="430"/>
      <c r="AQ56" s="430"/>
      <c r="AR56" s="430"/>
      <c r="AS56" s="430"/>
      <c r="AT56" s="430"/>
      <c r="AU56" s="430"/>
      <c r="AV56" s="430"/>
      <c r="AW56" s="430"/>
      <c r="AX56" s="430"/>
      <c r="AY56" s="430"/>
      <c r="AZ56" s="430"/>
      <c r="BA56" s="430"/>
      <c r="BB56" s="430"/>
      <c r="BC56" s="430"/>
      <c r="BD56" s="430"/>
      <c r="BE56" s="430"/>
      <c r="BF56" s="430"/>
      <c r="BG56" s="430"/>
      <c r="BH56" s="430"/>
      <c r="BI56" s="430"/>
      <c r="BJ56" s="430"/>
      <c r="BK56" s="430"/>
      <c r="BL56" s="430"/>
      <c r="BM56" s="430"/>
      <c r="BN56" s="430"/>
      <c r="BO56" s="430"/>
      <c r="BP56" s="430"/>
      <c r="BQ56" s="430"/>
      <c r="BR56" s="430"/>
    </row>
    <row r="57" spans="1:106" s="59" customFormat="1">
      <c r="A57" s="64"/>
      <c r="B57" s="64" t="s">
        <v>299</v>
      </c>
      <c r="D57" s="324">
        <f ca="1">Srcs_Uses!E12-Srcs_Uses!E24</f>
        <v>130911.67486033839</v>
      </c>
      <c r="E57" s="64">
        <f t="shared" ref="E57:AH57" ca="1" si="29">D57-E45</f>
        <v>106078.06687259972</v>
      </c>
      <c r="F57" s="64">
        <f t="shared" ca="1" si="29"/>
        <v>66549.004982777711</v>
      </c>
      <c r="G57" s="64">
        <f t="shared" ca="1" si="29"/>
        <v>42694.075459702515</v>
      </c>
      <c r="H57" s="64">
        <f t="shared" ca="1" si="29"/>
        <v>28243.625356675409</v>
      </c>
      <c r="I57" s="64">
        <f t="shared" ca="1" si="29"/>
        <v>13793.175253648302</v>
      </c>
      <c r="J57" s="64">
        <f t="shared" ca="1" si="29"/>
        <v>6396.0847156572609</v>
      </c>
      <c r="K57" s="64">
        <f t="shared" ca="1" si="29"/>
        <v>6052.3537427022866</v>
      </c>
      <c r="L57" s="64">
        <f t="shared" ca="1" si="29"/>
        <v>5708.6227697473123</v>
      </c>
      <c r="M57" s="64">
        <f t="shared" ca="1" si="29"/>
        <v>5364.891796792338</v>
      </c>
      <c r="N57" s="64">
        <f t="shared" ca="1" si="29"/>
        <v>5021.1608238373638</v>
      </c>
      <c r="O57" s="64">
        <f t="shared" ca="1" si="29"/>
        <v>4677.4298508823895</v>
      </c>
      <c r="P57" s="64">
        <f t="shared" ca="1" si="29"/>
        <v>4333.6988779274152</v>
      </c>
      <c r="Q57" s="64">
        <f t="shared" ca="1" si="29"/>
        <v>3989.9679049724409</v>
      </c>
      <c r="R57" s="64">
        <f t="shared" ca="1" si="29"/>
        <v>3646.2369320174666</v>
      </c>
      <c r="S57" s="64">
        <f t="shared" ca="1" si="29"/>
        <v>3302.5059590624924</v>
      </c>
      <c r="T57" s="64">
        <f t="shared" ca="1" si="29"/>
        <v>2958.7749861075181</v>
      </c>
      <c r="U57" s="64">
        <f t="shared" ca="1" si="29"/>
        <v>2615.0440131525438</v>
      </c>
      <c r="V57" s="64">
        <f t="shared" ca="1" si="29"/>
        <v>2271.3130401975695</v>
      </c>
      <c r="W57" s="64">
        <f t="shared" ca="1" si="29"/>
        <v>2141.8171701780739</v>
      </c>
      <c r="X57" s="64">
        <f t="shared" ca="1" si="29"/>
        <v>2012.9180553199585</v>
      </c>
      <c r="Y57" s="64">
        <f t="shared" ca="1" si="29"/>
        <v>2012.5600022231304</v>
      </c>
      <c r="Z57" s="64">
        <f t="shared" ca="1" si="29"/>
        <v>2012.5600022231304</v>
      </c>
      <c r="AA57" s="64">
        <f t="shared" ca="1" si="29"/>
        <v>2012.5600022231304</v>
      </c>
      <c r="AB57" s="64">
        <f t="shared" ca="1" si="29"/>
        <v>2012.5600022231304</v>
      </c>
      <c r="AC57" s="64">
        <f t="shared" ca="1" si="29"/>
        <v>2012.5600022231304</v>
      </c>
      <c r="AD57" s="64">
        <f t="shared" ca="1" si="29"/>
        <v>2012.5600022231304</v>
      </c>
      <c r="AE57" s="64">
        <f t="shared" ca="1" si="29"/>
        <v>2012.5600022231304</v>
      </c>
      <c r="AF57" s="64">
        <f t="shared" ca="1" si="29"/>
        <v>2012.5600022231304</v>
      </c>
      <c r="AG57" s="64">
        <f t="shared" ca="1" si="29"/>
        <v>2012.5600022231304</v>
      </c>
      <c r="AH57" s="64">
        <f t="shared" ca="1" si="29"/>
        <v>2012.5600022231304</v>
      </c>
      <c r="AI57" s="64">
        <f ca="1">AH57-AI45</f>
        <v>2012.5600022231304</v>
      </c>
      <c r="AJ57" s="648"/>
      <c r="AK57" s="648"/>
      <c r="AM57" s="1087">
        <f t="shared" ref="AM57:AV59" ca="1" si="30">D57/D$59</f>
        <v>0.9946813229083048</v>
      </c>
      <c r="AN57" s="430">
        <f t="shared" ca="1" si="30"/>
        <v>0.9934443465635131</v>
      </c>
      <c r="AO57" s="430">
        <f t="shared" ca="1" si="30"/>
        <v>0.98959092401850179</v>
      </c>
      <c r="AP57" s="430">
        <f t="shared" ca="1" si="30"/>
        <v>0.98386876558551739</v>
      </c>
      <c r="AQ57" s="430">
        <f t="shared" ca="1" si="30"/>
        <v>0.97581505442624994</v>
      </c>
      <c r="AR57" s="430">
        <f t="shared" ca="1" si="30"/>
        <v>0.95170140482384269</v>
      </c>
      <c r="AS57" s="430">
        <f t="shared" ca="1" si="30"/>
        <v>0.90135405192184703</v>
      </c>
      <c r="AT57" s="430">
        <f t="shared" ca="1" si="30"/>
        <v>0.89633244479189911</v>
      </c>
      <c r="AU57" s="430">
        <f t="shared" ca="1" si="30"/>
        <v>0.8907721628279982</v>
      </c>
      <c r="AV57" s="430">
        <f t="shared" ca="1" si="30"/>
        <v>0.88458161698082904</v>
      </c>
      <c r="AW57" s="430">
        <f t="shared" ref="AW57:BF59" ca="1" si="31">N57/N$59</f>
        <v>0.8776472072882745</v>
      </c>
      <c r="AX57" s="430">
        <f t="shared" ca="1" si="31"/>
        <v>0.86982628807191664</v>
      </c>
      <c r="AY57" s="430">
        <f t="shared" ca="1" si="31"/>
        <v>0.86093725086357331</v>
      </c>
      <c r="AZ57" s="430">
        <f t="shared" ca="1" si="31"/>
        <v>0.85074524635703419</v>
      </c>
      <c r="BA57" s="430">
        <f t="shared" ca="1" si="31"/>
        <v>0.83894113110917157</v>
      </c>
      <c r="BB57" s="430">
        <f t="shared" ca="1" si="31"/>
        <v>0.82510956603099195</v>
      </c>
      <c r="BC57" s="430">
        <f t="shared" ca="1" si="31"/>
        <v>0.80867913257028678</v>
      </c>
      <c r="BD57" s="430">
        <f t="shared" ca="1" si="31"/>
        <v>0.78884141471257652</v>
      </c>
      <c r="BE57" s="430">
        <f t="shared" ca="1" si="31"/>
        <v>0.76441391586827456</v>
      </c>
      <c r="BF57" s="430">
        <f t="shared" ca="1" si="31"/>
        <v>0.75367873374653094</v>
      </c>
      <c r="BG57" s="430">
        <f t="shared" ref="BG57:BP59" ca="1" si="32">X57/X$59</f>
        <v>0.99999999748013146</v>
      </c>
      <c r="BH57" s="430">
        <f t="shared" ca="1" si="32"/>
        <v>0.99999999747967627</v>
      </c>
      <c r="BI57" s="430">
        <f t="shared" ca="1" si="32"/>
        <v>0.99999999747967627</v>
      </c>
      <c r="BJ57" s="430">
        <f t="shared" ca="1" si="32"/>
        <v>0.99999999747967627</v>
      </c>
      <c r="BK57" s="430">
        <f t="shared" ca="1" si="32"/>
        <v>0.99999999747967627</v>
      </c>
      <c r="BL57" s="430">
        <f t="shared" ca="1" si="32"/>
        <v>0.99999999747967627</v>
      </c>
      <c r="BM57" s="430">
        <f t="shared" ca="1" si="32"/>
        <v>0.99999999747967627</v>
      </c>
      <c r="BN57" s="430">
        <f t="shared" ca="1" si="32"/>
        <v>0.99999999747967627</v>
      </c>
      <c r="BO57" s="430">
        <f t="shared" ca="1" si="32"/>
        <v>0.99999999747967627</v>
      </c>
      <c r="BP57" s="430">
        <f t="shared" ca="1" si="32"/>
        <v>0.99999999747967627</v>
      </c>
      <c r="BQ57" s="430">
        <f t="shared" ref="BQ57:BR59" ca="1" si="33">AH57/AH$59</f>
        <v>0.99999999747967627</v>
      </c>
      <c r="BR57" s="430">
        <f t="shared" ca="1" si="33"/>
        <v>0.99999999747967627</v>
      </c>
    </row>
    <row r="58" spans="1:106" s="59" customFormat="1">
      <c r="A58" s="64"/>
      <c r="B58" s="64" t="s">
        <v>17</v>
      </c>
      <c r="D58" s="324">
        <f>Srcs_Uses!E24</f>
        <v>700</v>
      </c>
      <c r="E58" s="64">
        <f>CashFlow!E67</f>
        <v>700</v>
      </c>
      <c r="F58" s="64">
        <f>CashFlow!F67</f>
        <v>700</v>
      </c>
      <c r="G58" s="64">
        <f>CashFlow!G67</f>
        <v>700</v>
      </c>
      <c r="H58" s="64">
        <f>CashFlow!H67</f>
        <v>700</v>
      </c>
      <c r="I58" s="64">
        <f>CashFlow!I67</f>
        <v>700</v>
      </c>
      <c r="J58" s="64">
        <f>CashFlow!J67</f>
        <v>700</v>
      </c>
      <c r="K58" s="64">
        <f>CashFlow!K67</f>
        <v>700</v>
      </c>
      <c r="L58" s="64">
        <f>CashFlow!L67</f>
        <v>700</v>
      </c>
      <c r="M58" s="64">
        <f>CashFlow!M67</f>
        <v>700</v>
      </c>
      <c r="N58" s="64">
        <f>CashFlow!N67</f>
        <v>700</v>
      </c>
      <c r="O58" s="64">
        <f>CashFlow!O67</f>
        <v>700</v>
      </c>
      <c r="P58" s="64">
        <f>CashFlow!P67</f>
        <v>700</v>
      </c>
      <c r="Q58" s="64">
        <f>CashFlow!Q67</f>
        <v>700</v>
      </c>
      <c r="R58" s="64">
        <f>CashFlow!R67</f>
        <v>700</v>
      </c>
      <c r="S58" s="64">
        <f>CashFlow!S67</f>
        <v>700</v>
      </c>
      <c r="T58" s="64">
        <f>CashFlow!T67</f>
        <v>700</v>
      </c>
      <c r="U58" s="64">
        <f>CashFlow!U67</f>
        <v>700</v>
      </c>
      <c r="V58" s="64">
        <f>CashFlow!V67</f>
        <v>700</v>
      </c>
      <c r="W58" s="64">
        <f>CashFlow!W67</f>
        <v>700</v>
      </c>
      <c r="X58" s="64">
        <f>CashFlow!X67</f>
        <v>0</v>
      </c>
      <c r="Y58" s="64">
        <f>CashFlow!Y67</f>
        <v>0</v>
      </c>
      <c r="Z58" s="64">
        <f>CashFlow!Z67</f>
        <v>0</v>
      </c>
      <c r="AA58" s="64">
        <f>CashFlow!AA67</f>
        <v>0</v>
      </c>
      <c r="AB58" s="64">
        <f>CashFlow!AB67</f>
        <v>0</v>
      </c>
      <c r="AC58" s="64">
        <f>CashFlow!AC67</f>
        <v>0</v>
      </c>
      <c r="AD58" s="64">
        <f>CashFlow!AD67</f>
        <v>0</v>
      </c>
      <c r="AE58" s="64">
        <f>CashFlow!AE67</f>
        <v>0</v>
      </c>
      <c r="AF58" s="64">
        <f>CashFlow!AF67</f>
        <v>0</v>
      </c>
      <c r="AG58" s="64">
        <f>CashFlow!AG67</f>
        <v>0</v>
      </c>
      <c r="AH58" s="64">
        <f>CashFlow!AH67</f>
        <v>0</v>
      </c>
      <c r="AI58" s="64">
        <f>CashFlow!AI67</f>
        <v>0</v>
      </c>
      <c r="AJ58" s="648"/>
      <c r="AK58" s="648"/>
      <c r="AM58" s="1087">
        <f t="shared" ca="1" si="30"/>
        <v>5.3186770910893036E-3</v>
      </c>
      <c r="AN58" s="430">
        <f t="shared" ca="1" si="30"/>
        <v>6.5556534267319491E-3</v>
      </c>
      <c r="AO58" s="430">
        <f t="shared" ca="1" si="30"/>
        <v>1.0409075943242418E-2</v>
      </c>
      <c r="AP58" s="430">
        <f t="shared" ca="1" si="30"/>
        <v>1.6131234333904485E-2</v>
      </c>
      <c r="AQ58" s="430">
        <f t="shared" ca="1" si="30"/>
        <v>2.4184945433604915E-2</v>
      </c>
      <c r="AR58" s="430">
        <f t="shared" ca="1" si="30"/>
        <v>4.8298594857662087E-2</v>
      </c>
      <c r="AS58" s="430">
        <f t="shared" ca="1" si="30"/>
        <v>9.8645947387277041E-2</v>
      </c>
      <c r="AT58" s="430">
        <f t="shared" ca="1" si="30"/>
        <v>0.10366755448008397</v>
      </c>
      <c r="AU58" s="430">
        <f t="shared" ca="1" si="30"/>
        <v>0.10922783640285962</v>
      </c>
      <c r="AV58" s="430">
        <f t="shared" ca="1" si="30"/>
        <v>0.11541838220424194</v>
      </c>
      <c r="AW58" s="430">
        <f t="shared" ca="1" si="31"/>
        <v>0.12235279184550794</v>
      </c>
      <c r="AX58" s="430">
        <f t="shared" ca="1" si="31"/>
        <v>0.13017371100402025</v>
      </c>
      <c r="AY58" s="430">
        <f t="shared" ca="1" si="31"/>
        <v>0.13906274814661804</v>
      </c>
      <c r="AZ58" s="430">
        <f t="shared" ca="1" si="31"/>
        <v>0.14925475257777476</v>
      </c>
      <c r="BA58" s="430">
        <f t="shared" ca="1" si="31"/>
        <v>0.16105886773833131</v>
      </c>
      <c r="BB58" s="430">
        <f t="shared" ca="1" si="31"/>
        <v>0.17489043271420937</v>
      </c>
      <c r="BC58" s="430">
        <f t="shared" ca="1" si="31"/>
        <v>0.19132086605339113</v>
      </c>
      <c r="BD58" s="430">
        <f t="shared" ca="1" si="31"/>
        <v>0.21115858376437682</v>
      </c>
      <c r="BE58" s="430">
        <f t="shared" ca="1" si="31"/>
        <v>0.23558608242800719</v>
      </c>
      <c r="BF58" s="430">
        <f t="shared" ca="1" si="31"/>
        <v>0.2463212644703508</v>
      </c>
      <c r="BG58" s="430">
        <f t="shared" ca="1" si="32"/>
        <v>0</v>
      </c>
      <c r="BH58" s="430">
        <f t="shared" ca="1" si="32"/>
        <v>0</v>
      </c>
      <c r="BI58" s="430">
        <f t="shared" ca="1" si="32"/>
        <v>0</v>
      </c>
      <c r="BJ58" s="430">
        <f t="shared" ca="1" si="32"/>
        <v>0</v>
      </c>
      <c r="BK58" s="430">
        <f t="shared" ca="1" si="32"/>
        <v>0</v>
      </c>
      <c r="BL58" s="430">
        <f t="shared" ca="1" si="32"/>
        <v>0</v>
      </c>
      <c r="BM58" s="430">
        <f t="shared" ca="1" si="32"/>
        <v>0</v>
      </c>
      <c r="BN58" s="430">
        <f t="shared" ca="1" si="32"/>
        <v>0</v>
      </c>
      <c r="BO58" s="430">
        <f t="shared" ca="1" si="32"/>
        <v>0</v>
      </c>
      <c r="BP58" s="430">
        <f t="shared" ca="1" si="32"/>
        <v>0</v>
      </c>
      <c r="BQ58" s="430">
        <f t="shared" ca="1" si="33"/>
        <v>0</v>
      </c>
      <c r="BR58" s="430">
        <f t="shared" ca="1" si="33"/>
        <v>0</v>
      </c>
    </row>
    <row r="59" spans="1:106" s="875" customFormat="1" ht="13.5" thickBot="1">
      <c r="A59" s="872"/>
      <c r="B59" s="872" t="s">
        <v>355</v>
      </c>
      <c r="C59" s="59"/>
      <c r="D59" s="873">
        <f t="shared" ref="D59:AI59" ca="1" si="34">SUM(D57:D58)</f>
        <v>131611.67486033839</v>
      </c>
      <c r="E59" s="873">
        <f t="shared" ca="1" si="34"/>
        <v>106778.06687259972</v>
      </c>
      <c r="F59" s="873">
        <f t="shared" ca="1" si="34"/>
        <v>67249.004982777711</v>
      </c>
      <c r="G59" s="873">
        <f t="shared" ca="1" si="34"/>
        <v>43394.075459702515</v>
      </c>
      <c r="H59" s="873">
        <f t="shared" ca="1" si="34"/>
        <v>28943.625356675409</v>
      </c>
      <c r="I59" s="873">
        <f t="shared" ca="1" si="34"/>
        <v>14493.175253648302</v>
      </c>
      <c r="J59" s="873">
        <f t="shared" ca="1" si="34"/>
        <v>7096.0847156572609</v>
      </c>
      <c r="K59" s="873">
        <f t="shared" ca="1" si="34"/>
        <v>6752.3537427022866</v>
      </c>
      <c r="L59" s="873">
        <f t="shared" ca="1" si="34"/>
        <v>6408.6227697473123</v>
      </c>
      <c r="M59" s="873">
        <f t="shared" ca="1" si="34"/>
        <v>6064.891796792338</v>
      </c>
      <c r="N59" s="873">
        <f t="shared" ca="1" si="34"/>
        <v>5721.1608238373638</v>
      </c>
      <c r="O59" s="873">
        <f t="shared" ca="1" si="34"/>
        <v>5377.4298508823895</v>
      </c>
      <c r="P59" s="873">
        <f t="shared" ca="1" si="34"/>
        <v>5033.6988779274152</v>
      </c>
      <c r="Q59" s="873">
        <f t="shared" ca="1" si="34"/>
        <v>4689.9679049724409</v>
      </c>
      <c r="R59" s="873">
        <f t="shared" ca="1" si="34"/>
        <v>4346.2369320174666</v>
      </c>
      <c r="S59" s="873">
        <f t="shared" ca="1" si="34"/>
        <v>4002.5059590624924</v>
      </c>
      <c r="T59" s="873">
        <f t="shared" ca="1" si="34"/>
        <v>3658.7749861075181</v>
      </c>
      <c r="U59" s="873">
        <f t="shared" ca="1" si="34"/>
        <v>3315.0440131525438</v>
      </c>
      <c r="V59" s="873">
        <f t="shared" ca="1" si="34"/>
        <v>2971.3130401975695</v>
      </c>
      <c r="W59" s="873">
        <f t="shared" ca="1" si="34"/>
        <v>2841.8171701780739</v>
      </c>
      <c r="X59" s="873">
        <f t="shared" ca="1" si="34"/>
        <v>2012.9180553199585</v>
      </c>
      <c r="Y59" s="873">
        <f t="shared" ca="1" si="34"/>
        <v>2012.5600022231304</v>
      </c>
      <c r="Z59" s="873">
        <f t="shared" ca="1" si="34"/>
        <v>2012.5600022231304</v>
      </c>
      <c r="AA59" s="873">
        <f t="shared" ca="1" si="34"/>
        <v>2012.5600022231304</v>
      </c>
      <c r="AB59" s="873">
        <f t="shared" ca="1" si="34"/>
        <v>2012.5600022231304</v>
      </c>
      <c r="AC59" s="873">
        <f t="shared" ca="1" si="34"/>
        <v>2012.5600022231304</v>
      </c>
      <c r="AD59" s="873">
        <f t="shared" ca="1" si="34"/>
        <v>2012.5600022231304</v>
      </c>
      <c r="AE59" s="873">
        <f t="shared" ca="1" si="34"/>
        <v>2012.5600022231304</v>
      </c>
      <c r="AF59" s="873">
        <f t="shared" ca="1" si="34"/>
        <v>2012.5600022231304</v>
      </c>
      <c r="AG59" s="873">
        <f t="shared" ca="1" si="34"/>
        <v>2012.5600022231304</v>
      </c>
      <c r="AH59" s="873">
        <f t="shared" ca="1" si="34"/>
        <v>2012.5600022231304</v>
      </c>
      <c r="AI59" s="873">
        <f t="shared" ca="1" si="34"/>
        <v>2012.5600022231304</v>
      </c>
      <c r="AJ59" s="874"/>
      <c r="AK59" s="874"/>
      <c r="AM59" s="1199">
        <f t="shared" ca="1" si="30"/>
        <v>1</v>
      </c>
      <c r="AN59" s="1199">
        <f t="shared" ca="1" si="30"/>
        <v>1</v>
      </c>
      <c r="AO59" s="1199">
        <f t="shared" ca="1" si="30"/>
        <v>1</v>
      </c>
      <c r="AP59" s="1199">
        <f t="shared" ca="1" si="30"/>
        <v>1</v>
      </c>
      <c r="AQ59" s="1199">
        <f t="shared" ca="1" si="30"/>
        <v>1</v>
      </c>
      <c r="AR59" s="1199">
        <f t="shared" ca="1" si="30"/>
        <v>1</v>
      </c>
      <c r="AS59" s="1199">
        <f t="shared" ca="1" si="30"/>
        <v>1</v>
      </c>
      <c r="AT59" s="1199">
        <f t="shared" ca="1" si="30"/>
        <v>1</v>
      </c>
      <c r="AU59" s="1199">
        <f t="shared" ca="1" si="30"/>
        <v>1</v>
      </c>
      <c r="AV59" s="1199">
        <f t="shared" ca="1" si="30"/>
        <v>1</v>
      </c>
      <c r="AW59" s="1199">
        <f t="shared" ca="1" si="31"/>
        <v>1</v>
      </c>
      <c r="AX59" s="1199">
        <f t="shared" ca="1" si="31"/>
        <v>1</v>
      </c>
      <c r="AY59" s="1199">
        <f t="shared" ca="1" si="31"/>
        <v>1</v>
      </c>
      <c r="AZ59" s="1199">
        <f t="shared" ca="1" si="31"/>
        <v>1</v>
      </c>
      <c r="BA59" s="1199">
        <f t="shared" ca="1" si="31"/>
        <v>1</v>
      </c>
      <c r="BB59" s="1199">
        <f t="shared" ca="1" si="31"/>
        <v>1</v>
      </c>
      <c r="BC59" s="1199">
        <f t="shared" ca="1" si="31"/>
        <v>1</v>
      </c>
      <c r="BD59" s="1199">
        <f t="shared" ca="1" si="31"/>
        <v>1</v>
      </c>
      <c r="BE59" s="1199">
        <f t="shared" ca="1" si="31"/>
        <v>1</v>
      </c>
      <c r="BF59" s="1199">
        <f t="shared" ca="1" si="31"/>
        <v>1</v>
      </c>
      <c r="BG59" s="1199">
        <f t="shared" ca="1" si="32"/>
        <v>1</v>
      </c>
      <c r="BH59" s="1199">
        <f t="shared" ca="1" si="32"/>
        <v>1</v>
      </c>
      <c r="BI59" s="1199">
        <f t="shared" ca="1" si="32"/>
        <v>1</v>
      </c>
      <c r="BJ59" s="1199">
        <f t="shared" ca="1" si="32"/>
        <v>1</v>
      </c>
      <c r="BK59" s="1199">
        <f t="shared" ca="1" si="32"/>
        <v>1</v>
      </c>
      <c r="BL59" s="1199">
        <f t="shared" ca="1" si="32"/>
        <v>1</v>
      </c>
      <c r="BM59" s="1199">
        <f t="shared" ca="1" si="32"/>
        <v>1</v>
      </c>
      <c r="BN59" s="1199">
        <f t="shared" ca="1" si="32"/>
        <v>1</v>
      </c>
      <c r="BO59" s="1199">
        <f t="shared" ca="1" si="32"/>
        <v>1</v>
      </c>
      <c r="BP59" s="1199">
        <f t="shared" ca="1" si="32"/>
        <v>1</v>
      </c>
      <c r="BQ59" s="1199">
        <f t="shared" ca="1" si="33"/>
        <v>1</v>
      </c>
      <c r="BR59" s="430">
        <f t="shared" ca="1" si="33"/>
        <v>1</v>
      </c>
    </row>
    <row r="60" spans="1:106" s="59" customFormat="1">
      <c r="A60" s="64"/>
      <c r="B60" s="64"/>
      <c r="D60" s="324"/>
      <c r="E60" s="64"/>
      <c r="F60" s="64"/>
      <c r="G60" s="64"/>
      <c r="H60" s="64"/>
      <c r="I60" s="64"/>
      <c r="J60" s="64"/>
      <c r="K60" s="64"/>
      <c r="L60" s="64"/>
      <c r="M60" s="64"/>
      <c r="N60" s="64"/>
      <c r="O60" s="64"/>
      <c r="P60" s="64"/>
      <c r="Q60" s="64"/>
      <c r="R60" s="64"/>
      <c r="S60" s="64"/>
      <c r="T60" s="64"/>
      <c r="U60" s="64"/>
      <c r="V60" s="64"/>
      <c r="W60" s="64"/>
      <c r="X60" s="64"/>
      <c r="Y60" s="64"/>
      <c r="Z60" s="64"/>
      <c r="AA60" s="64"/>
      <c r="AB60" s="64"/>
      <c r="AC60" s="64"/>
      <c r="AD60" s="64"/>
      <c r="AE60" s="64"/>
      <c r="AF60" s="64"/>
      <c r="AG60" s="64"/>
      <c r="AH60" s="64"/>
      <c r="AI60" s="64"/>
      <c r="AJ60" s="648"/>
      <c r="AK60" s="648"/>
      <c r="AM60" s="1087"/>
      <c r="AN60" s="430"/>
      <c r="AO60" s="430"/>
      <c r="AP60" s="430"/>
      <c r="AQ60" s="430"/>
      <c r="AR60" s="430"/>
      <c r="AS60" s="430"/>
      <c r="AT60" s="430"/>
      <c r="AU60" s="430"/>
      <c r="AV60" s="430"/>
      <c r="AW60" s="430"/>
      <c r="AX60" s="430"/>
      <c r="AY60" s="430"/>
      <c r="AZ60" s="430"/>
      <c r="BA60" s="430"/>
      <c r="BB60" s="430"/>
      <c r="BC60" s="430"/>
      <c r="BD60" s="430"/>
      <c r="BE60" s="430"/>
      <c r="BF60" s="430"/>
      <c r="BG60" s="430"/>
      <c r="BH60" s="430"/>
      <c r="BI60" s="430"/>
      <c r="BJ60" s="430"/>
      <c r="BK60" s="430"/>
      <c r="BL60" s="430"/>
      <c r="BM60" s="430"/>
      <c r="BN60" s="430"/>
      <c r="BO60" s="430"/>
      <c r="BP60" s="430"/>
      <c r="BQ60" s="430"/>
      <c r="BR60" s="430"/>
    </row>
    <row r="61" spans="1:106" s="59" customFormat="1">
      <c r="A61" s="64"/>
      <c r="B61" s="428" t="s">
        <v>333</v>
      </c>
      <c r="D61" s="324"/>
      <c r="E61" s="64"/>
      <c r="F61" s="64"/>
      <c r="G61" s="64"/>
      <c r="H61" s="64"/>
      <c r="I61" s="64"/>
      <c r="J61" s="64"/>
      <c r="K61" s="64"/>
      <c r="L61" s="64"/>
      <c r="M61" s="64"/>
      <c r="N61" s="64"/>
      <c r="O61" s="64"/>
      <c r="P61" s="64"/>
      <c r="Q61" s="64"/>
      <c r="R61" s="64"/>
      <c r="S61" s="64"/>
      <c r="T61" s="64"/>
      <c r="U61" s="64"/>
      <c r="V61" s="64"/>
      <c r="W61" s="64"/>
      <c r="X61" s="64"/>
      <c r="Y61" s="64"/>
      <c r="Z61" s="64"/>
      <c r="AA61" s="64"/>
      <c r="AB61" s="64"/>
      <c r="AC61" s="64"/>
      <c r="AD61" s="64"/>
      <c r="AE61" s="64"/>
      <c r="AF61" s="64"/>
      <c r="AG61" s="64"/>
      <c r="AH61" s="64"/>
      <c r="AI61" s="64"/>
      <c r="AJ61" s="648"/>
      <c r="AK61" s="648"/>
      <c r="AM61" s="1087"/>
      <c r="AN61" s="430"/>
      <c r="AO61" s="430"/>
      <c r="AP61" s="430"/>
      <c r="AQ61" s="430"/>
      <c r="AR61" s="430"/>
      <c r="AS61" s="430"/>
      <c r="AT61" s="430"/>
      <c r="AU61" s="430"/>
      <c r="AV61" s="430"/>
      <c r="AW61" s="430"/>
      <c r="AX61" s="430"/>
      <c r="AY61" s="430"/>
      <c r="AZ61" s="430"/>
      <c r="BA61" s="430"/>
      <c r="BB61" s="430"/>
      <c r="BC61" s="430"/>
      <c r="BD61" s="430"/>
      <c r="BE61" s="430"/>
      <c r="BF61" s="430"/>
      <c r="BG61" s="430"/>
      <c r="BH61" s="430"/>
      <c r="BI61" s="430"/>
      <c r="BJ61" s="430"/>
      <c r="BK61" s="430"/>
      <c r="BL61" s="430"/>
      <c r="BM61" s="430"/>
      <c r="BN61" s="430"/>
      <c r="BO61" s="430"/>
      <c r="BP61" s="430"/>
      <c r="BQ61" s="430"/>
      <c r="BR61" s="430"/>
    </row>
    <row r="62" spans="1:106" s="59" customFormat="1">
      <c r="A62" s="64"/>
      <c r="B62" s="324" t="s">
        <v>330</v>
      </c>
      <c r="D62" s="324"/>
      <c r="E62" s="64">
        <f>CashFlow!E36+CashFlow!E51</f>
        <v>5731.0509932941468</v>
      </c>
      <c r="F62" s="64">
        <f>CashFlow!F36+CashFlow!F51</f>
        <v>4445.7516521460675</v>
      </c>
      <c r="G62" s="64">
        <f>CashFlow!G36+CashFlow!G51</f>
        <v>4490.5410355103768</v>
      </c>
      <c r="H62" s="64">
        <f>CashFlow!H36+CashFlow!H51</f>
        <v>4480.6252520977405</v>
      </c>
      <c r="I62" s="64">
        <f>CashFlow!I36+CashFlow!I51</f>
        <v>4476.8740859655936</v>
      </c>
      <c r="J62" s="64">
        <f>CashFlow!J36+CashFlow!J51</f>
        <v>4696.365104016556</v>
      </c>
      <c r="K62" s="64">
        <f>CashFlow!K36+CashFlow!K51</f>
        <v>4408.9287152324023</v>
      </c>
      <c r="L62" s="64">
        <f>CashFlow!L36+CashFlow!L51</f>
        <v>4423.6536660518468</v>
      </c>
      <c r="M62" s="64">
        <f>CashFlow!M36+CashFlow!M51</f>
        <v>4438.8444555578772</v>
      </c>
      <c r="N62" s="64">
        <f>CashFlow!N36+CashFlow!N51</f>
        <v>4508.5655788912363</v>
      </c>
      <c r="O62" s="64">
        <f>CashFlow!O36+CashFlow!O51</f>
        <v>4588.0677908821963</v>
      </c>
      <c r="P62" s="64">
        <f>CashFlow!P36+CashFlow!P51</f>
        <v>4675.7140160426543</v>
      </c>
      <c r="Q62" s="64">
        <f>CashFlow!Q36+CashFlow!Q51</f>
        <v>4771.403991780282</v>
      </c>
      <c r="R62" s="64">
        <f>CashFlow!R36+CashFlow!R51</f>
        <v>4711.7331447179959</v>
      </c>
      <c r="S62" s="64">
        <f>CashFlow!S36+CashFlow!S51</f>
        <v>4641.104130305921</v>
      </c>
      <c r="T62" s="64">
        <f>CashFlow!T36+CashFlow!T51</f>
        <v>4492.2988758455303</v>
      </c>
      <c r="U62" s="64">
        <f>CashFlow!U36+CashFlow!U51</f>
        <v>4445.9643795236661</v>
      </c>
      <c r="V62" s="64">
        <f>CashFlow!V36+CashFlow!V51</f>
        <v>3456.8326590434999</v>
      </c>
      <c r="W62" s="64">
        <f>CashFlow!W36+CashFlow!W51</f>
        <v>0</v>
      </c>
      <c r="X62" s="64">
        <f>CashFlow!X36+CashFlow!X51</f>
        <v>0</v>
      </c>
      <c r="Y62" s="64">
        <f>CashFlow!Y36+CashFlow!Y51</f>
        <v>0</v>
      </c>
      <c r="Z62" s="64">
        <f>CashFlow!Z36+CashFlow!Z51</f>
        <v>0</v>
      </c>
      <c r="AA62" s="64">
        <f>CashFlow!AA36+CashFlow!AA51</f>
        <v>0</v>
      </c>
      <c r="AB62" s="64">
        <f>CashFlow!AB36+CashFlow!AB51</f>
        <v>0</v>
      </c>
      <c r="AC62" s="64">
        <f>CashFlow!AC36+CashFlow!AC51</f>
        <v>0</v>
      </c>
      <c r="AD62" s="64">
        <f>CashFlow!AD36+CashFlow!AD51</f>
        <v>0</v>
      </c>
      <c r="AE62" s="64">
        <f>CashFlow!AE36+CashFlow!AE51</f>
        <v>0</v>
      </c>
      <c r="AF62" s="64">
        <f>CashFlow!AF36+CashFlow!AF51</f>
        <v>0</v>
      </c>
      <c r="AG62" s="64">
        <f>CashFlow!AG36+CashFlow!AG51</f>
        <v>0</v>
      </c>
      <c r="AH62" s="64">
        <f>CashFlow!AH36+CashFlow!AH51</f>
        <v>0</v>
      </c>
      <c r="AI62" s="64">
        <f>CashFlow!AI36+CashFlow!AI51</f>
        <v>0</v>
      </c>
      <c r="AJ62" s="648"/>
      <c r="AK62" s="648"/>
      <c r="AM62" s="1087">
        <f t="shared" ref="AM62:AV66" ca="1" si="35">D62/D$59</f>
        <v>0</v>
      </c>
      <c r="AN62" s="1087">
        <f t="shared" ref="AN62:BQ62" ca="1" si="36">E62/E$59</f>
        <v>5.3672548690472589E-2</v>
      </c>
      <c r="AO62" s="1087">
        <f t="shared" ca="1" si="36"/>
        <v>6.6108809391077425E-2</v>
      </c>
      <c r="AP62" s="1087">
        <f t="shared" ca="1" si="36"/>
        <v>0.10348281390809844</v>
      </c>
      <c r="AQ62" s="1087">
        <f t="shared" ca="1" si="36"/>
        <v>0.15480525320800395</v>
      </c>
      <c r="AR62" s="1087">
        <f t="shared" ca="1" si="36"/>
        <v>0.30889532539383668</v>
      </c>
      <c r="AS62" s="1087">
        <f t="shared" ca="1" si="36"/>
        <v>0.66182483611761167</v>
      </c>
      <c r="AT62" s="1087">
        <f t="shared" ca="1" si="36"/>
        <v>0.65294694016844446</v>
      </c>
      <c r="AU62" s="1087">
        <f t="shared" ca="1" si="36"/>
        <v>0.69026588472865735</v>
      </c>
      <c r="AV62" s="1087">
        <f t="shared" ca="1" si="36"/>
        <v>0.73189178047752457</v>
      </c>
      <c r="AW62" s="1087">
        <f t="shared" ca="1" si="36"/>
        <v>0.78805083753391125</v>
      </c>
      <c r="AX62" s="1087">
        <f t="shared" ca="1" si="36"/>
        <v>0.85320830175577911</v>
      </c>
      <c r="AY62" s="1087">
        <f t="shared" ca="1" si="36"/>
        <v>0.92888234466020381</v>
      </c>
      <c r="AZ62" s="1087">
        <f t="shared" ca="1" si="36"/>
        <v>1.0173638900005051</v>
      </c>
      <c r="BA62" s="1087">
        <f t="shared" ca="1" si="36"/>
        <v>1.0840948660686269</v>
      </c>
      <c r="BB62" s="1087">
        <f t="shared" ca="1" si="36"/>
        <v>1.1595495866277254</v>
      </c>
      <c r="BC62" s="1087">
        <f t="shared" ca="1" si="36"/>
        <v>1.2278150181147867</v>
      </c>
      <c r="BD62" s="1087">
        <f t="shared" ca="1" si="36"/>
        <v>1.3411479189670361</v>
      </c>
      <c r="BE62" s="1087">
        <f t="shared" ca="1" si="36"/>
        <v>1.1634023787724659</v>
      </c>
      <c r="BF62" s="1087">
        <f t="shared" ca="1" si="36"/>
        <v>0</v>
      </c>
      <c r="BG62" s="1087">
        <f t="shared" ca="1" si="36"/>
        <v>0</v>
      </c>
      <c r="BH62" s="1087">
        <f t="shared" ca="1" si="36"/>
        <v>0</v>
      </c>
      <c r="BI62" s="1087">
        <f t="shared" ca="1" si="36"/>
        <v>0</v>
      </c>
      <c r="BJ62" s="1087">
        <f t="shared" ca="1" si="36"/>
        <v>0</v>
      </c>
      <c r="BK62" s="1087">
        <f t="shared" ca="1" si="36"/>
        <v>0</v>
      </c>
      <c r="BL62" s="1087">
        <f t="shared" ca="1" si="36"/>
        <v>0</v>
      </c>
      <c r="BM62" s="1087">
        <f t="shared" ca="1" si="36"/>
        <v>0</v>
      </c>
      <c r="BN62" s="1087">
        <f t="shared" ca="1" si="36"/>
        <v>0</v>
      </c>
      <c r="BO62" s="1087">
        <f t="shared" ca="1" si="36"/>
        <v>0</v>
      </c>
      <c r="BP62" s="1087">
        <f t="shared" ca="1" si="36"/>
        <v>0</v>
      </c>
      <c r="BQ62" s="1087">
        <f t="shared" ca="1" si="36"/>
        <v>0</v>
      </c>
      <c r="BR62" s="430"/>
    </row>
    <row r="63" spans="1:106" s="59" customFormat="1">
      <c r="A63" s="64"/>
      <c r="B63" s="64" t="s">
        <v>331</v>
      </c>
      <c r="D63" s="324">
        <f>Srcs_Uses!E8</f>
        <v>40271.353865997226</v>
      </c>
      <c r="E63" s="64">
        <f>SrDebt!E124-CashFlow!E36</f>
        <v>32456.691057477434</v>
      </c>
      <c r="F63" s="64">
        <f>SrDebt!F124-CashFlow!F36</f>
        <v>32798.030678791882</v>
      </c>
      <c r="G63" s="64">
        <f>SrDebt!G124-CashFlow!G36</f>
        <v>31684.203872678165</v>
      </c>
      <c r="H63" s="64">
        <f>SrDebt!H124-CashFlow!H36</f>
        <v>30524.468853911636</v>
      </c>
      <c r="I63" s="64">
        <f>SrDebt!I124-CashFlow!I36</f>
        <v>29252.001432655161</v>
      </c>
      <c r="J63" s="64">
        <f>SrDebt!J124-CashFlow!J36</f>
        <v>27411.259302643368</v>
      </c>
      <c r="K63" s="64">
        <f>SrDebt!K124-CashFlow!K36</f>
        <v>26226.987480997759</v>
      </c>
      <c r="L63" s="64">
        <f>SrDebt!L124-CashFlow!L36</f>
        <v>24578.079737769189</v>
      </c>
      <c r="M63" s="64">
        <f>SrDebt!M124-CashFlow!M36</f>
        <v>22758.910186165311</v>
      </c>
      <c r="N63" s="64">
        <f>SrDebt!N124-CashFlow!N36</f>
        <v>20643.595369907478</v>
      </c>
      <c r="O63" s="64">
        <f>SrDebt!O124-CashFlow!O36</f>
        <v>18250.722707017689</v>
      </c>
      <c r="P63" s="64">
        <f>SrDebt!P124-CashFlow!P36</f>
        <v>15535.016876918366</v>
      </c>
      <c r="Q63" s="64">
        <f>SrDebt!Q124-CashFlow!Q36</f>
        <v>12475.40951375133</v>
      </c>
      <c r="R63" s="64">
        <f>SrDebt!R124-CashFlow!R36</f>
        <v>9359.4303718838382</v>
      </c>
      <c r="S63" s="64">
        <f>SrDebt!S124-CashFlow!S36</f>
        <v>6034.2273954775446</v>
      </c>
      <c r="T63" s="64">
        <f>SrDebt!T124-CashFlow!T36</f>
        <v>2614.8700584719954</v>
      </c>
      <c r="U63" s="64">
        <f>SrDebt!U124-CashFlow!U36</f>
        <v>-1200.699056683663</v>
      </c>
      <c r="V63" s="64">
        <f>SrDebt!V124-CashFlow!V36</f>
        <v>-3456.8326590434935</v>
      </c>
      <c r="W63" s="64">
        <f>SrDebt!W124-CashFlow!W36</f>
        <v>6.3664629124104977E-12</v>
      </c>
      <c r="X63" s="64">
        <f>SrDebt!X124-CashFlow!X36</f>
        <v>6.3664629124104977E-12</v>
      </c>
      <c r="Y63" s="64">
        <f>SrDebt!Y124-CashFlow!Y36</f>
        <v>6.3664629124104977E-12</v>
      </c>
      <c r="Z63" s="64">
        <f>SrDebt!Z124-CashFlow!Z36</f>
        <v>6.3664629124104977E-12</v>
      </c>
      <c r="AA63" s="64">
        <f>SrDebt!AA124-CashFlow!AA36</f>
        <v>6.3664629124104977E-12</v>
      </c>
      <c r="AB63" s="64">
        <f>SrDebt!AB124-CashFlow!AB36</f>
        <v>6.3664629124104977E-12</v>
      </c>
      <c r="AC63" s="64">
        <f>SrDebt!AC124-CashFlow!AC36</f>
        <v>6.3664629124104977E-12</v>
      </c>
      <c r="AD63" s="64">
        <f>SrDebt!AD124-CashFlow!AD36</f>
        <v>6.3664629124104977E-12</v>
      </c>
      <c r="AE63" s="64">
        <f>SrDebt!AE124-CashFlow!AE36</f>
        <v>6.3664629124104977E-12</v>
      </c>
      <c r="AF63" s="64">
        <f>SrDebt!AF124-CashFlow!AF36</f>
        <v>6.3664629124104977E-12</v>
      </c>
      <c r="AG63" s="64">
        <f>SrDebt!AG124-CashFlow!AG36</f>
        <v>6.3664629124104977E-12</v>
      </c>
      <c r="AH63" s="64">
        <f>SrDebt!AH124-CashFlow!AH36</f>
        <v>6.3664629124104977E-12</v>
      </c>
      <c r="AI63" s="64">
        <f>SrDebt!AI124-CashFlow!AI36</f>
        <v>6.3664629124104977E-12</v>
      </c>
      <c r="AJ63" s="648"/>
      <c r="AK63" s="648"/>
      <c r="AM63" s="1087">
        <f t="shared" ca="1" si="35"/>
        <v>0.30598618176337128</v>
      </c>
      <c r="AN63" s="430">
        <f t="shared" ca="1" si="35"/>
        <v>0.30396402564772534</v>
      </c>
      <c r="AO63" s="430">
        <f t="shared" ca="1" si="35"/>
        <v>0.48771027448199966</v>
      </c>
      <c r="AP63" s="430">
        <f t="shared" ca="1" si="35"/>
        <v>0.73015045342079909</v>
      </c>
      <c r="AQ63" s="430">
        <f t="shared" ca="1" si="35"/>
        <v>1.054618019607265</v>
      </c>
      <c r="AR63" s="430">
        <f t="shared" ca="1" si="35"/>
        <v>2.0183293806022036</v>
      </c>
      <c r="AS63" s="430">
        <f t="shared" ca="1" si="35"/>
        <v>3.8628709212224299</v>
      </c>
      <c r="AT63" s="430">
        <f t="shared" ca="1" si="35"/>
        <v>3.8841252221631595</v>
      </c>
      <c r="AU63" s="430">
        <f t="shared" ca="1" si="35"/>
        <v>3.835157821083341</v>
      </c>
      <c r="AV63" s="430">
        <f t="shared" ca="1" si="35"/>
        <v>3.7525665665135652</v>
      </c>
      <c r="AW63" s="430">
        <f t="shared" ref="AW63:BF66" ca="1" si="37">N63/N$59</f>
        <v>3.6082878991786784</v>
      </c>
      <c r="AX63" s="430">
        <f t="shared" ca="1" si="37"/>
        <v>3.3939490078188381</v>
      </c>
      <c r="AY63" s="430">
        <f t="shared" ca="1" si="37"/>
        <v>3.0862030593524068</v>
      </c>
      <c r="AZ63" s="430">
        <f t="shared" ca="1" si="37"/>
        <v>2.6600202318068185</v>
      </c>
      <c r="BA63" s="430">
        <f t="shared" ca="1" si="37"/>
        <v>2.1534560858695091</v>
      </c>
      <c r="BB63" s="430">
        <f t="shared" ca="1" si="37"/>
        <v>1.5076123451646135</v>
      </c>
      <c r="BC63" s="430">
        <f t="shared" ca="1" si="37"/>
        <v>0.7146845784178415</v>
      </c>
      <c r="BD63" s="430">
        <f t="shared" ca="1" si="37"/>
        <v>-0.36219701817527938</v>
      </c>
      <c r="BE63" s="430">
        <f t="shared" ca="1" si="37"/>
        <v>-1.1634023787724637</v>
      </c>
      <c r="BF63" s="430">
        <f t="shared" ca="1" si="37"/>
        <v>2.240278853692605E-15</v>
      </c>
      <c r="BG63" s="430">
        <f t="shared" ref="BG63:BP66" ca="1" si="38">X63/X$59</f>
        <v>3.1628028252737453E-15</v>
      </c>
      <c r="BH63" s="430">
        <f t="shared" ca="1" si="38"/>
        <v>3.1633655172406904E-15</v>
      </c>
      <c r="BI63" s="430">
        <f t="shared" ca="1" si="38"/>
        <v>3.1633655172406904E-15</v>
      </c>
      <c r="BJ63" s="430">
        <f t="shared" ca="1" si="38"/>
        <v>3.1633655172406904E-15</v>
      </c>
      <c r="BK63" s="430">
        <f t="shared" ca="1" si="38"/>
        <v>3.1633655172406904E-15</v>
      </c>
      <c r="BL63" s="430">
        <f t="shared" ca="1" si="38"/>
        <v>3.1633655172406904E-15</v>
      </c>
      <c r="BM63" s="430">
        <f t="shared" ca="1" si="38"/>
        <v>3.1633655172406904E-15</v>
      </c>
      <c r="BN63" s="430">
        <f t="shared" ca="1" si="38"/>
        <v>3.1633655172406904E-15</v>
      </c>
      <c r="BO63" s="430">
        <f t="shared" ca="1" si="38"/>
        <v>3.1633655172406904E-15</v>
      </c>
      <c r="BP63" s="430">
        <f t="shared" ca="1" si="38"/>
        <v>3.1633655172406904E-15</v>
      </c>
      <c r="BQ63" s="430">
        <f t="shared" ref="BQ63:BR66" ca="1" si="39">AH63/AH$59</f>
        <v>3.1633655172406904E-15</v>
      </c>
      <c r="BR63" s="430">
        <f t="shared" ca="1" si="39"/>
        <v>3.1633655172406904E-15</v>
      </c>
    </row>
    <row r="64" spans="1:106" s="59" customFormat="1">
      <c r="A64" s="64"/>
      <c r="B64" s="64" t="s">
        <v>332</v>
      </c>
      <c r="D64" s="324">
        <f>Srcs_Uses!E9</f>
        <v>0</v>
      </c>
      <c r="E64" s="64">
        <f>JrDebt!E71-CashFlow!E51</f>
        <v>0</v>
      </c>
      <c r="F64" s="64">
        <f>JrDebt!F71-CashFlow!F51</f>
        <v>0</v>
      </c>
      <c r="G64" s="64">
        <f>JrDebt!G71-CashFlow!G51</f>
        <v>0</v>
      </c>
      <c r="H64" s="64">
        <f>JrDebt!H71-CashFlow!H51</f>
        <v>0</v>
      </c>
      <c r="I64" s="64">
        <f>JrDebt!I71-CashFlow!I51</f>
        <v>0</v>
      </c>
      <c r="J64" s="64">
        <f>JrDebt!J71-CashFlow!J51</f>
        <v>0</v>
      </c>
      <c r="K64" s="64">
        <f>JrDebt!K71-CashFlow!K51</f>
        <v>0</v>
      </c>
      <c r="L64" s="64">
        <f>JrDebt!L71-CashFlow!L51</f>
        <v>0</v>
      </c>
      <c r="M64" s="64">
        <f>JrDebt!M71-CashFlow!M51</f>
        <v>0</v>
      </c>
      <c r="N64" s="64">
        <f>JrDebt!N71-CashFlow!N51</f>
        <v>0</v>
      </c>
      <c r="O64" s="64">
        <f>JrDebt!O71-CashFlow!O51</f>
        <v>0</v>
      </c>
      <c r="P64" s="64">
        <f>JrDebt!P71-CashFlow!P51</f>
        <v>0</v>
      </c>
      <c r="Q64" s="64">
        <f>JrDebt!Q71-CashFlow!Q51</f>
        <v>0</v>
      </c>
      <c r="R64" s="64">
        <f>JrDebt!R71-CashFlow!R51</f>
        <v>0</v>
      </c>
      <c r="S64" s="64">
        <f>JrDebt!S71-CashFlow!S51</f>
        <v>0</v>
      </c>
      <c r="T64" s="64">
        <f>JrDebt!T71-CashFlow!T51</f>
        <v>0</v>
      </c>
      <c r="U64" s="64">
        <f>JrDebt!U71-CashFlow!U51</f>
        <v>0</v>
      </c>
      <c r="V64" s="64">
        <f>JrDebt!V71-CashFlow!V51</f>
        <v>0</v>
      </c>
      <c r="W64" s="64">
        <f>JrDebt!W71-CashFlow!W51</f>
        <v>0</v>
      </c>
      <c r="X64" s="64">
        <f>JrDebt!X71-CashFlow!X51</f>
        <v>0</v>
      </c>
      <c r="Y64" s="64">
        <f>JrDebt!Y71-CashFlow!Y51</f>
        <v>0</v>
      </c>
      <c r="Z64" s="64">
        <f>JrDebt!Z71-CashFlow!Z51</f>
        <v>0</v>
      </c>
      <c r="AA64" s="64">
        <f>JrDebt!AA71-CashFlow!AA51</f>
        <v>0</v>
      </c>
      <c r="AB64" s="64">
        <f>JrDebt!AB71-CashFlow!AB51</f>
        <v>0</v>
      </c>
      <c r="AC64" s="64">
        <f>JrDebt!AC71-CashFlow!AC51</f>
        <v>0</v>
      </c>
      <c r="AD64" s="64">
        <f>JrDebt!AD71-CashFlow!AD51</f>
        <v>0</v>
      </c>
      <c r="AE64" s="64">
        <f>JrDebt!AE71-CashFlow!AE51</f>
        <v>0</v>
      </c>
      <c r="AF64" s="64">
        <f>JrDebt!AF71-CashFlow!AF51</f>
        <v>0</v>
      </c>
      <c r="AG64" s="64">
        <f>JrDebt!AG71-CashFlow!AG51</f>
        <v>0</v>
      </c>
      <c r="AH64" s="64">
        <f>JrDebt!AH71-CashFlow!AH51</f>
        <v>0</v>
      </c>
      <c r="AI64" s="64">
        <f>JrDebt!AI71-CashFlow!AI51</f>
        <v>0</v>
      </c>
      <c r="AJ64" s="648"/>
      <c r="AK64" s="648"/>
      <c r="AM64" s="1087">
        <f t="shared" ca="1" si="35"/>
        <v>0</v>
      </c>
      <c r="AN64" s="430">
        <f t="shared" ca="1" si="35"/>
        <v>0</v>
      </c>
      <c r="AO64" s="430">
        <f t="shared" ca="1" si="35"/>
        <v>0</v>
      </c>
      <c r="AP64" s="430">
        <f t="shared" ca="1" si="35"/>
        <v>0</v>
      </c>
      <c r="AQ64" s="430">
        <f t="shared" ca="1" si="35"/>
        <v>0</v>
      </c>
      <c r="AR64" s="430">
        <f t="shared" ca="1" si="35"/>
        <v>0</v>
      </c>
      <c r="AS64" s="430">
        <f t="shared" ca="1" si="35"/>
        <v>0</v>
      </c>
      <c r="AT64" s="430">
        <f t="shared" ca="1" si="35"/>
        <v>0</v>
      </c>
      <c r="AU64" s="430">
        <f t="shared" ca="1" si="35"/>
        <v>0</v>
      </c>
      <c r="AV64" s="430">
        <f t="shared" ca="1" si="35"/>
        <v>0</v>
      </c>
      <c r="AW64" s="430">
        <f t="shared" ca="1" si="37"/>
        <v>0</v>
      </c>
      <c r="AX64" s="430">
        <f t="shared" ca="1" si="37"/>
        <v>0</v>
      </c>
      <c r="AY64" s="430">
        <f t="shared" ca="1" si="37"/>
        <v>0</v>
      </c>
      <c r="AZ64" s="430">
        <f t="shared" ca="1" si="37"/>
        <v>0</v>
      </c>
      <c r="BA64" s="430">
        <f t="shared" ca="1" si="37"/>
        <v>0</v>
      </c>
      <c r="BB64" s="430">
        <f t="shared" ca="1" si="37"/>
        <v>0</v>
      </c>
      <c r="BC64" s="430">
        <f t="shared" ca="1" si="37"/>
        <v>0</v>
      </c>
      <c r="BD64" s="430">
        <f t="shared" ca="1" si="37"/>
        <v>0</v>
      </c>
      <c r="BE64" s="430">
        <f t="shared" ca="1" si="37"/>
        <v>0</v>
      </c>
      <c r="BF64" s="430">
        <f t="shared" ca="1" si="37"/>
        <v>0</v>
      </c>
      <c r="BG64" s="430">
        <f t="shared" ca="1" si="38"/>
        <v>0</v>
      </c>
      <c r="BH64" s="430">
        <f t="shared" ca="1" si="38"/>
        <v>0</v>
      </c>
      <c r="BI64" s="430">
        <f t="shared" ca="1" si="38"/>
        <v>0</v>
      </c>
      <c r="BJ64" s="430">
        <f t="shared" ca="1" si="38"/>
        <v>0</v>
      </c>
      <c r="BK64" s="430">
        <f t="shared" ca="1" si="38"/>
        <v>0</v>
      </c>
      <c r="BL64" s="430">
        <f t="shared" ca="1" si="38"/>
        <v>0</v>
      </c>
      <c r="BM64" s="430">
        <f t="shared" ca="1" si="38"/>
        <v>0</v>
      </c>
      <c r="BN64" s="430">
        <f t="shared" ca="1" si="38"/>
        <v>0</v>
      </c>
      <c r="BO64" s="430">
        <f t="shared" ca="1" si="38"/>
        <v>0</v>
      </c>
      <c r="BP64" s="430">
        <f t="shared" ca="1" si="38"/>
        <v>0</v>
      </c>
      <c r="BQ64" s="430">
        <f t="shared" ca="1" si="39"/>
        <v>0</v>
      </c>
      <c r="BR64" s="430">
        <f t="shared" ca="1" si="39"/>
        <v>0</v>
      </c>
    </row>
    <row r="65" spans="1:106" s="59" customFormat="1">
      <c r="A65" s="64"/>
      <c r="B65" s="64" t="s">
        <v>718</v>
      </c>
      <c r="D65" s="324"/>
      <c r="E65" s="324">
        <f>Revolver!D11</f>
        <v>0</v>
      </c>
      <c r="F65" s="324">
        <f>Revolver!E11</f>
        <v>0</v>
      </c>
      <c r="G65" s="324">
        <f>Revolver!F11</f>
        <v>0</v>
      </c>
      <c r="H65" s="324">
        <f>Revolver!G11</f>
        <v>0</v>
      </c>
      <c r="I65" s="324">
        <f>Revolver!H11</f>
        <v>0</v>
      </c>
      <c r="J65" s="324">
        <f>Revolver!I11</f>
        <v>0</v>
      </c>
      <c r="K65" s="324">
        <f>Revolver!J11</f>
        <v>0</v>
      </c>
      <c r="L65" s="324">
        <f>Revolver!K11</f>
        <v>0</v>
      </c>
      <c r="M65" s="324">
        <f>Revolver!L11</f>
        <v>0</v>
      </c>
      <c r="N65" s="324">
        <f>Revolver!M11</f>
        <v>0</v>
      </c>
      <c r="O65" s="324">
        <f>Revolver!N11</f>
        <v>0</v>
      </c>
      <c r="P65" s="324">
        <f>Revolver!O11</f>
        <v>0</v>
      </c>
      <c r="Q65" s="324">
        <f>Revolver!P11</f>
        <v>0</v>
      </c>
      <c r="R65" s="324">
        <f>Revolver!Q11</f>
        <v>0</v>
      </c>
      <c r="S65" s="324">
        <f>Revolver!R11</f>
        <v>0</v>
      </c>
      <c r="T65" s="324">
        <f>Revolver!S11</f>
        <v>0</v>
      </c>
      <c r="U65" s="324">
        <f>Revolver!T11</f>
        <v>0</v>
      </c>
      <c r="V65" s="324">
        <f>Revolver!U11</f>
        <v>0</v>
      </c>
      <c r="W65" s="324">
        <f>Revolver!V11</f>
        <v>0</v>
      </c>
      <c r="X65" s="324">
        <f>Revolver!W11</f>
        <v>0</v>
      </c>
      <c r="Y65" s="324">
        <f>Revolver!X11</f>
        <v>0</v>
      </c>
      <c r="Z65" s="324">
        <f>Revolver!Y11</f>
        <v>0</v>
      </c>
      <c r="AA65" s="324">
        <f>Revolver!Z11</f>
        <v>0</v>
      </c>
      <c r="AB65" s="324">
        <f>Revolver!AA11</f>
        <v>0</v>
      </c>
      <c r="AC65" s="324">
        <f>Revolver!AB11</f>
        <v>0</v>
      </c>
      <c r="AD65" s="324">
        <f>Revolver!AC11</f>
        <v>0</v>
      </c>
      <c r="AE65" s="324">
        <f>Revolver!AD11</f>
        <v>0</v>
      </c>
      <c r="AF65" s="324">
        <f>Revolver!AE11</f>
        <v>0</v>
      </c>
      <c r="AG65" s="324">
        <f>Revolver!AF11</f>
        <v>0</v>
      </c>
      <c r="AH65" s="324">
        <f>Revolver!AG11</f>
        <v>0</v>
      </c>
      <c r="AI65" s="324">
        <f>Revolver!AH11</f>
        <v>0</v>
      </c>
      <c r="AJ65" s="648"/>
      <c r="AK65" s="648"/>
      <c r="AM65" s="1087">
        <f t="shared" ref="AM65:BR65" ca="1" si="40">D65/D$59</f>
        <v>0</v>
      </c>
      <c r="AN65" s="430">
        <f t="shared" ca="1" si="40"/>
        <v>0</v>
      </c>
      <c r="AO65" s="430">
        <f t="shared" ca="1" si="40"/>
        <v>0</v>
      </c>
      <c r="AP65" s="430">
        <f t="shared" ca="1" si="40"/>
        <v>0</v>
      </c>
      <c r="AQ65" s="430">
        <f t="shared" ca="1" si="40"/>
        <v>0</v>
      </c>
      <c r="AR65" s="430">
        <f t="shared" ca="1" si="40"/>
        <v>0</v>
      </c>
      <c r="AS65" s="430">
        <f t="shared" ca="1" si="40"/>
        <v>0</v>
      </c>
      <c r="AT65" s="430">
        <f t="shared" ca="1" si="40"/>
        <v>0</v>
      </c>
      <c r="AU65" s="430">
        <f t="shared" ca="1" si="40"/>
        <v>0</v>
      </c>
      <c r="AV65" s="430">
        <f t="shared" ca="1" si="40"/>
        <v>0</v>
      </c>
      <c r="AW65" s="430">
        <f t="shared" ca="1" si="40"/>
        <v>0</v>
      </c>
      <c r="AX65" s="430">
        <f t="shared" ca="1" si="40"/>
        <v>0</v>
      </c>
      <c r="AY65" s="430">
        <f t="shared" ca="1" si="40"/>
        <v>0</v>
      </c>
      <c r="AZ65" s="430">
        <f t="shared" ca="1" si="40"/>
        <v>0</v>
      </c>
      <c r="BA65" s="430">
        <f t="shared" ca="1" si="40"/>
        <v>0</v>
      </c>
      <c r="BB65" s="430">
        <f t="shared" ca="1" si="40"/>
        <v>0</v>
      </c>
      <c r="BC65" s="430">
        <f t="shared" ca="1" si="40"/>
        <v>0</v>
      </c>
      <c r="BD65" s="430">
        <f t="shared" ca="1" si="40"/>
        <v>0</v>
      </c>
      <c r="BE65" s="430">
        <f t="shared" ca="1" si="40"/>
        <v>0</v>
      </c>
      <c r="BF65" s="430">
        <f t="shared" ca="1" si="40"/>
        <v>0</v>
      </c>
      <c r="BG65" s="430">
        <f t="shared" ca="1" si="40"/>
        <v>0</v>
      </c>
      <c r="BH65" s="430">
        <f t="shared" ca="1" si="40"/>
        <v>0</v>
      </c>
      <c r="BI65" s="430">
        <f t="shared" ca="1" si="40"/>
        <v>0</v>
      </c>
      <c r="BJ65" s="430">
        <f t="shared" ca="1" si="40"/>
        <v>0</v>
      </c>
      <c r="BK65" s="430">
        <f t="shared" ca="1" si="40"/>
        <v>0</v>
      </c>
      <c r="BL65" s="430">
        <f t="shared" ca="1" si="40"/>
        <v>0</v>
      </c>
      <c r="BM65" s="430">
        <f t="shared" ca="1" si="40"/>
        <v>0</v>
      </c>
      <c r="BN65" s="430">
        <f t="shared" ca="1" si="40"/>
        <v>0</v>
      </c>
      <c r="BO65" s="430">
        <f t="shared" ca="1" si="40"/>
        <v>0</v>
      </c>
      <c r="BP65" s="430">
        <f t="shared" ca="1" si="40"/>
        <v>0</v>
      </c>
      <c r="BQ65" s="430">
        <f t="shared" ca="1" si="40"/>
        <v>0</v>
      </c>
      <c r="BR65" s="430">
        <f t="shared" ca="1" si="40"/>
        <v>0</v>
      </c>
    </row>
    <row r="66" spans="1:106" s="428" customFormat="1" ht="13.5" thickBot="1">
      <c r="B66" s="428" t="s">
        <v>451</v>
      </c>
      <c r="C66" s="59"/>
      <c r="D66" s="851">
        <f>SUM(D62:D64)</f>
        <v>40271.353865997226</v>
      </c>
      <c r="E66" s="851">
        <f>SUM(E62:E65)</f>
        <v>38187.74205077158</v>
      </c>
      <c r="F66" s="851">
        <f>SUM(F62:F65)</f>
        <v>37243.782330937946</v>
      </c>
      <c r="G66" s="851">
        <f t="shared" ref="G66:AI66" si="41">SUM(G62:G65)</f>
        <v>36174.744908188542</v>
      </c>
      <c r="H66" s="851">
        <f t="shared" si="41"/>
        <v>35005.094106009376</v>
      </c>
      <c r="I66" s="851">
        <f t="shared" si="41"/>
        <v>33728.875518620756</v>
      </c>
      <c r="J66" s="851">
        <f t="shared" si="41"/>
        <v>32107.624406659925</v>
      </c>
      <c r="K66" s="851">
        <f t="shared" si="41"/>
        <v>30635.916196230162</v>
      </c>
      <c r="L66" s="851">
        <f t="shared" si="41"/>
        <v>29001.733403821036</v>
      </c>
      <c r="M66" s="851">
        <f t="shared" si="41"/>
        <v>27197.754641723186</v>
      </c>
      <c r="N66" s="851">
        <f t="shared" si="41"/>
        <v>25152.160948798715</v>
      </c>
      <c r="O66" s="851">
        <f t="shared" si="41"/>
        <v>22838.790497899885</v>
      </c>
      <c r="P66" s="851">
        <f t="shared" si="41"/>
        <v>20210.730892961019</v>
      </c>
      <c r="Q66" s="851">
        <f t="shared" si="41"/>
        <v>17246.813505531612</v>
      </c>
      <c r="R66" s="851">
        <f t="shared" si="41"/>
        <v>14071.163516601835</v>
      </c>
      <c r="S66" s="851">
        <f t="shared" si="41"/>
        <v>10675.331525783466</v>
      </c>
      <c r="T66" s="851">
        <f t="shared" si="41"/>
        <v>7107.1689343175258</v>
      </c>
      <c r="U66" s="851">
        <f t="shared" si="41"/>
        <v>3245.2653228400031</v>
      </c>
      <c r="V66" s="851">
        <f t="shared" si="41"/>
        <v>6.3664629124104977E-12</v>
      </c>
      <c r="W66" s="851">
        <f t="shared" si="41"/>
        <v>6.3664629124104977E-12</v>
      </c>
      <c r="X66" s="851">
        <f t="shared" si="41"/>
        <v>6.3664629124104977E-12</v>
      </c>
      <c r="Y66" s="851">
        <f t="shared" si="41"/>
        <v>6.3664629124104977E-12</v>
      </c>
      <c r="Z66" s="851">
        <f t="shared" si="41"/>
        <v>6.3664629124104977E-12</v>
      </c>
      <c r="AA66" s="851">
        <f t="shared" si="41"/>
        <v>6.3664629124104977E-12</v>
      </c>
      <c r="AB66" s="851">
        <f t="shared" si="41"/>
        <v>6.3664629124104977E-12</v>
      </c>
      <c r="AC66" s="851">
        <f t="shared" si="41"/>
        <v>6.3664629124104977E-12</v>
      </c>
      <c r="AD66" s="851">
        <f t="shared" si="41"/>
        <v>6.3664629124104977E-12</v>
      </c>
      <c r="AE66" s="851">
        <f t="shared" si="41"/>
        <v>6.3664629124104977E-12</v>
      </c>
      <c r="AF66" s="851">
        <f t="shared" si="41"/>
        <v>6.3664629124104977E-12</v>
      </c>
      <c r="AG66" s="851">
        <f t="shared" si="41"/>
        <v>6.3664629124104977E-12</v>
      </c>
      <c r="AH66" s="851">
        <f t="shared" si="41"/>
        <v>6.3664629124104977E-12</v>
      </c>
      <c r="AI66" s="851">
        <f t="shared" si="41"/>
        <v>6.3664629124104977E-12</v>
      </c>
      <c r="AJ66" s="647"/>
      <c r="AK66" s="647"/>
      <c r="AM66" s="1200">
        <f t="shared" ca="1" si="35"/>
        <v>0.30598618176337128</v>
      </c>
      <c r="AN66" s="1200">
        <f t="shared" ca="1" si="35"/>
        <v>0.3576365743381979</v>
      </c>
      <c r="AO66" s="1200">
        <f t="shared" ca="1" si="35"/>
        <v>0.5538190838730771</v>
      </c>
      <c r="AP66" s="1200">
        <f t="shared" ca="1" si="35"/>
        <v>0.83363326732889764</v>
      </c>
      <c r="AQ66" s="1200">
        <f t="shared" ca="1" si="35"/>
        <v>1.2094232728152687</v>
      </c>
      <c r="AR66" s="1200">
        <f t="shared" ca="1" si="35"/>
        <v>2.3272247059960405</v>
      </c>
      <c r="AS66" s="1200">
        <f t="shared" ca="1" si="35"/>
        <v>4.5246957573400417</v>
      </c>
      <c r="AT66" s="1200">
        <f t="shared" ca="1" si="35"/>
        <v>4.5370721623316044</v>
      </c>
      <c r="AU66" s="1200">
        <f t="shared" ca="1" si="35"/>
        <v>4.5254237058119982</v>
      </c>
      <c r="AV66" s="1200">
        <f t="shared" ca="1" si="35"/>
        <v>4.4844583469910893</v>
      </c>
      <c r="AW66" s="1200">
        <f t="shared" ca="1" si="37"/>
        <v>4.3963387367125897</v>
      </c>
      <c r="AX66" s="1200">
        <f t="shared" ca="1" si="37"/>
        <v>4.2471573095746171</v>
      </c>
      <c r="AY66" s="1200">
        <f t="shared" ca="1" si="37"/>
        <v>4.01508540401261</v>
      </c>
      <c r="AZ66" s="1200">
        <f t="shared" ca="1" si="37"/>
        <v>3.6773841218073233</v>
      </c>
      <c r="BA66" s="1200">
        <f t="shared" ca="1" si="37"/>
        <v>3.2375509519381365</v>
      </c>
      <c r="BB66" s="1200">
        <f t="shared" ca="1" si="37"/>
        <v>2.667161931792339</v>
      </c>
      <c r="BC66" s="1200">
        <f t="shared" ca="1" si="37"/>
        <v>1.9424995965326282</v>
      </c>
      <c r="BD66" s="1200">
        <f t="shared" ca="1" si="37"/>
        <v>0.97895090079175673</v>
      </c>
      <c r="BE66" s="1200">
        <f t="shared" ca="1" si="37"/>
        <v>2.1426429414475889E-15</v>
      </c>
      <c r="BF66" s="1200">
        <f t="shared" ca="1" si="37"/>
        <v>2.240278853692605E-15</v>
      </c>
      <c r="BG66" s="1200">
        <f t="shared" ca="1" si="38"/>
        <v>3.1628028252737453E-15</v>
      </c>
      <c r="BH66" s="1200">
        <f t="shared" ca="1" si="38"/>
        <v>3.1633655172406904E-15</v>
      </c>
      <c r="BI66" s="1200">
        <f t="shared" ca="1" si="38"/>
        <v>3.1633655172406904E-15</v>
      </c>
      <c r="BJ66" s="1200">
        <f t="shared" ca="1" si="38"/>
        <v>3.1633655172406904E-15</v>
      </c>
      <c r="BK66" s="1200">
        <f t="shared" ca="1" si="38"/>
        <v>3.1633655172406904E-15</v>
      </c>
      <c r="BL66" s="1200">
        <f t="shared" ca="1" si="38"/>
        <v>3.1633655172406904E-15</v>
      </c>
      <c r="BM66" s="1200">
        <f t="shared" ca="1" si="38"/>
        <v>3.1633655172406904E-15</v>
      </c>
      <c r="BN66" s="1200">
        <f t="shared" ca="1" si="38"/>
        <v>3.1633655172406904E-15</v>
      </c>
      <c r="BO66" s="1200">
        <f t="shared" ca="1" si="38"/>
        <v>3.1633655172406904E-15</v>
      </c>
      <c r="BP66" s="1200">
        <f t="shared" ca="1" si="38"/>
        <v>3.1633655172406904E-15</v>
      </c>
      <c r="BQ66" s="1200">
        <f t="shared" ca="1" si="39"/>
        <v>3.1633655172406904E-15</v>
      </c>
      <c r="BR66" s="430">
        <f t="shared" ca="1" si="39"/>
        <v>3.1633655172406904E-15</v>
      </c>
    </row>
    <row r="67" spans="1:106" s="59" customFormat="1" ht="13.5" thickTop="1">
      <c r="D67" s="325"/>
      <c r="AJ67" s="332"/>
      <c r="AK67" s="332"/>
      <c r="AM67" s="1201"/>
      <c r="AN67" s="1202"/>
      <c r="AO67" s="1202"/>
      <c r="AP67" s="1202"/>
      <c r="AQ67" s="1202"/>
      <c r="AR67" s="1202"/>
      <c r="AS67" s="1202"/>
      <c r="AT67" s="1202"/>
      <c r="AU67" s="1202"/>
      <c r="AV67" s="1202"/>
      <c r="AW67" s="1202"/>
      <c r="AX67" s="1202"/>
      <c r="AY67" s="1202"/>
      <c r="AZ67" s="1202"/>
      <c r="BA67" s="1202"/>
      <c r="BB67" s="1202"/>
      <c r="BC67" s="1202"/>
      <c r="BD67" s="1202"/>
      <c r="BE67" s="1202"/>
      <c r="BF67" s="1202"/>
      <c r="BG67" s="1202"/>
      <c r="BH67" s="1202"/>
      <c r="BI67" s="1202"/>
      <c r="BJ67" s="1202"/>
      <c r="BK67" s="1202"/>
      <c r="BL67" s="1202"/>
      <c r="BM67" s="1202"/>
      <c r="BN67" s="1202"/>
      <c r="BO67" s="1202"/>
      <c r="BP67" s="1202"/>
      <c r="BQ67" s="1202"/>
      <c r="BR67" s="430"/>
    </row>
    <row r="68" spans="1:106" s="59" customFormat="1">
      <c r="B68" s="59" t="s">
        <v>547</v>
      </c>
      <c r="D68" s="325"/>
      <c r="E68" s="59">
        <f t="shared" ref="E68:AI68" ca="1" si="42">D73</f>
        <v>91340.320985448721</v>
      </c>
      <c r="F68" s="59">
        <f t="shared" ca="1" si="42"/>
        <v>68590.324816932349</v>
      </c>
      <c r="G68" s="59">
        <f t="shared" ca="1" si="42"/>
        <v>30005.222656430655</v>
      </c>
      <c r="H68" s="59">
        <f t="shared" ca="1" si="42"/>
        <v>7219.3305636755576</v>
      </c>
      <c r="I68" s="59">
        <f t="shared" ca="1" si="42"/>
        <v>-6061.4687384327945</v>
      </c>
      <c r="J68" s="59">
        <f t="shared" ca="1" si="42"/>
        <v>-19235.70026517626</v>
      </c>
      <c r="K68" s="59">
        <f t="shared" ca="1" si="42"/>
        <v>-25011.539709452034</v>
      </c>
      <c r="L68" s="59">
        <f t="shared" ca="1" si="42"/>
        <v>-23883.562477651314</v>
      </c>
      <c r="M68" s="59">
        <f t="shared" ca="1" si="42"/>
        <v>-22593.110645995694</v>
      </c>
      <c r="N68" s="59">
        <f t="shared" ca="1" si="42"/>
        <v>-21132.862828360474</v>
      </c>
      <c r="O68" s="59">
        <f t="shared" ca="1" si="42"/>
        <v>-19431.000086179669</v>
      </c>
      <c r="P68" s="59">
        <f t="shared" ca="1" si="42"/>
        <v>-17461.360610726653</v>
      </c>
      <c r="Q68" s="59">
        <f t="shared" ca="1" si="42"/>
        <v>-15177.032009407107</v>
      </c>
      <c r="R68" s="59">
        <f t="shared" ca="1" si="42"/>
        <v>-12556.845649147199</v>
      </c>
      <c r="S68" s="59">
        <f t="shared" ca="1" si="42"/>
        <v>-9724.9266496852888</v>
      </c>
      <c r="T68" s="59">
        <f t="shared" ca="1" si="42"/>
        <v>-6672.8255968118256</v>
      </c>
      <c r="U68" s="59">
        <f t="shared" ca="1" si="42"/>
        <v>-3448.3938930164886</v>
      </c>
      <c r="V68" s="59">
        <f t="shared" ca="1" si="42"/>
        <v>69.778808774726258</v>
      </c>
      <c r="W68" s="59">
        <f t="shared" ca="1" si="42"/>
        <v>2971.3131521712694</v>
      </c>
      <c r="X68" s="59">
        <f t="shared" ca="1" si="42"/>
        <v>2841.8171971447673</v>
      </c>
      <c r="Y68" s="59">
        <f t="shared" ca="1" si="42"/>
        <v>2012.917921287064</v>
      </c>
      <c r="Z68" s="59">
        <f t="shared" ca="1" si="42"/>
        <v>2012.5598199681349</v>
      </c>
      <c r="AA68" s="59">
        <f t="shared" ca="1" si="42"/>
        <v>2012.5599197139134</v>
      </c>
      <c r="AB68" s="59">
        <f t="shared" ca="1" si="42"/>
        <v>2012.5601773276135</v>
      </c>
      <c r="AC68" s="59">
        <f t="shared" ca="1" si="42"/>
        <v>2012.5603559872725</v>
      </c>
      <c r="AD68" s="59">
        <f t="shared" ca="1" si="42"/>
        <v>2012.5603386933758</v>
      </c>
      <c r="AE68" s="59">
        <f t="shared" ca="1" si="42"/>
        <v>2012.5601058268173</v>
      </c>
      <c r="AF68" s="59">
        <f t="shared" ca="1" si="42"/>
        <v>2012.5596286612983</v>
      </c>
      <c r="AG68" s="59">
        <f t="shared" ca="1" si="42"/>
        <v>2012.5594871932221</v>
      </c>
      <c r="AH68" s="59">
        <f t="shared" ca="1" si="42"/>
        <v>2012.5597680931096</v>
      </c>
      <c r="AI68" s="59">
        <f t="shared" ca="1" si="42"/>
        <v>2012.5605545255012</v>
      </c>
      <c r="AJ68" s="332"/>
      <c r="AK68" s="332"/>
      <c r="AM68" s="1201">
        <f t="shared" ref="AM68:BR68" ca="1" si="43">D68/D$59</f>
        <v>0</v>
      </c>
      <c r="AN68" s="1202">
        <f t="shared" ca="1" si="43"/>
        <v>0.85542212610413459</v>
      </c>
      <c r="AO68" s="1202">
        <f t="shared" ca="1" si="43"/>
        <v>1.0199455714548957</v>
      </c>
      <c r="AP68" s="1202">
        <f t="shared" ca="1" si="43"/>
        <v>0.69145896850123501</v>
      </c>
      <c r="AQ68" s="1202">
        <f t="shared" ca="1" si="43"/>
        <v>0.24942730824874115</v>
      </c>
      <c r="AR68" s="1202">
        <f t="shared" ca="1" si="43"/>
        <v>-0.41822917561884643</v>
      </c>
      <c r="AS68" s="1202">
        <f t="shared" ca="1" si="43"/>
        <v>-2.7107483966099455</v>
      </c>
      <c r="AT68" s="1202">
        <f t="shared" ca="1" si="43"/>
        <v>-3.7041216533543806</v>
      </c>
      <c r="AU68" s="1202">
        <f t="shared" ca="1" si="43"/>
        <v>-3.7267855100469625</v>
      </c>
      <c r="AV68" s="1202">
        <f t="shared" ca="1" si="43"/>
        <v>-3.725228974067595</v>
      </c>
      <c r="AW68" s="1202">
        <f t="shared" ca="1" si="43"/>
        <v>-3.6938068128254424</v>
      </c>
      <c r="AX68" s="1202">
        <f t="shared" ca="1" si="43"/>
        <v>-3.6134362743925355</v>
      </c>
      <c r="AY68" s="1202">
        <f t="shared" ca="1" si="43"/>
        <v>-3.4688925647289071</v>
      </c>
      <c r="AZ68" s="1202">
        <f t="shared" ca="1" si="43"/>
        <v>-3.2360630854884902</v>
      </c>
      <c r="BA68" s="1202">
        <f t="shared" ca="1" si="43"/>
        <v>-2.8891304927820571</v>
      </c>
      <c r="BB68" s="1202">
        <f t="shared" ca="1" si="43"/>
        <v>-2.4297094743022343</v>
      </c>
      <c r="BC68" s="1202">
        <f t="shared" ca="1" si="43"/>
        <v>-1.8237868199462255</v>
      </c>
      <c r="BD68" s="1202">
        <f t="shared" ca="1" si="43"/>
        <v>-1.0402256740287232</v>
      </c>
      <c r="BE68" s="1202">
        <f t="shared" ca="1" si="43"/>
        <v>2.3484166033911562E-2</v>
      </c>
      <c r="BF68" s="1202">
        <f t="shared" ca="1" si="43"/>
        <v>1.0455680201218156</v>
      </c>
      <c r="BG68" s="1202">
        <f t="shared" ca="1" si="43"/>
        <v>1.4117898091450389</v>
      </c>
      <c r="BH68" s="1202">
        <f t="shared" ca="1" si="43"/>
        <v>1.0001778426797403</v>
      </c>
      <c r="BI68" s="1202">
        <f t="shared" ca="1" si="43"/>
        <v>0.99999990944121153</v>
      </c>
      <c r="BJ68" s="1202">
        <f t="shared" ca="1" si="43"/>
        <v>0.99999995900285366</v>
      </c>
      <c r="BK68" s="1202">
        <f t="shared" ca="1" si="43"/>
        <v>1.0000000870058448</v>
      </c>
      <c r="BL68" s="1202">
        <f t="shared" ca="1" si="43"/>
        <v>1.0000001757781838</v>
      </c>
      <c r="BM68" s="1202">
        <f t="shared" ca="1" si="43"/>
        <v>1.0000001671851995</v>
      </c>
      <c r="BN68" s="1202">
        <f t="shared" ca="1" si="43"/>
        <v>1.0000000514785581</v>
      </c>
      <c r="BO68" s="1202">
        <f t="shared" ca="1" si="43"/>
        <v>0.99999981438474794</v>
      </c>
      <c r="BP68" s="1202">
        <f t="shared" ca="1" si="43"/>
        <v>0.99999974409214754</v>
      </c>
      <c r="BQ68" s="1202">
        <f t="shared" ca="1" si="43"/>
        <v>0.99999988366556991</v>
      </c>
      <c r="BR68" s="430">
        <f t="shared" ca="1" si="43"/>
        <v>1.0000002744277787</v>
      </c>
    </row>
    <row r="69" spans="1:106" s="59" customFormat="1">
      <c r="B69" s="59" t="s">
        <v>391</v>
      </c>
      <c r="D69" s="325">
        <f ca="1">Srcs_Uses!J6</f>
        <v>91340.32098712548</v>
      </c>
      <c r="AJ69" s="332"/>
      <c r="AK69" s="332"/>
      <c r="AM69" s="1201">
        <f ca="1">D69/D$59</f>
        <v>0.69401381818180319</v>
      </c>
      <c r="AN69" s="1202"/>
      <c r="AO69" s="1202"/>
      <c r="AP69" s="1202"/>
      <c r="AQ69" s="1202"/>
      <c r="AR69" s="1202"/>
      <c r="AS69" s="1202"/>
      <c r="AT69" s="1202"/>
      <c r="AU69" s="1202"/>
      <c r="AV69" s="1202"/>
      <c r="AW69" s="1202"/>
      <c r="AX69" s="1202"/>
      <c r="AY69" s="1202"/>
      <c r="AZ69" s="1202"/>
      <c r="BA69" s="1202"/>
      <c r="BB69" s="1202"/>
      <c r="BC69" s="1202"/>
      <c r="BD69" s="1202"/>
      <c r="BE69" s="1202"/>
      <c r="BF69" s="1202"/>
      <c r="BG69" s="1202"/>
      <c r="BH69" s="1202"/>
      <c r="BI69" s="1202"/>
      <c r="BJ69" s="1202"/>
      <c r="BK69" s="1202"/>
      <c r="BL69" s="1202"/>
      <c r="BM69" s="1202"/>
      <c r="BN69" s="1202"/>
      <c r="BO69" s="1202"/>
      <c r="BP69" s="1202"/>
      <c r="BQ69" s="1202"/>
      <c r="BR69" s="430"/>
    </row>
    <row r="70" spans="1:106" s="59" customFormat="1">
      <c r="B70" s="59" t="s">
        <v>127</v>
      </c>
      <c r="D70" s="325"/>
      <c r="E70" s="59">
        <f>Basis!D10+Basis!D28</f>
        <v>0</v>
      </c>
      <c r="F70" s="59">
        <f>Basis!E10+Basis!E28</f>
        <v>0</v>
      </c>
      <c r="G70" s="59">
        <f>Basis!F10+Basis!F28</f>
        <v>0</v>
      </c>
      <c r="H70" s="59">
        <f>Basis!G10+Basis!G28</f>
        <v>0</v>
      </c>
      <c r="I70" s="59">
        <f>Basis!H10+Basis!H28</f>
        <v>0</v>
      </c>
      <c r="J70" s="59">
        <f>Basis!I10+Basis!I28</f>
        <v>0</v>
      </c>
      <c r="K70" s="59">
        <f>Basis!J10+Basis!J28</f>
        <v>0</v>
      </c>
      <c r="L70" s="59">
        <f>Basis!K10+Basis!K28</f>
        <v>0</v>
      </c>
      <c r="M70" s="59">
        <f>Basis!L10+Basis!L28</f>
        <v>0</v>
      </c>
      <c r="N70" s="59">
        <f>Basis!M10+Basis!M28</f>
        <v>0</v>
      </c>
      <c r="O70" s="59">
        <f>Basis!N10+Basis!N28</f>
        <v>0</v>
      </c>
      <c r="P70" s="59">
        <f>Basis!O10+Basis!O28</f>
        <v>0</v>
      </c>
      <c r="Q70" s="59">
        <f>Basis!P10+Basis!P28</f>
        <v>0</v>
      </c>
      <c r="R70" s="59">
        <f>Basis!Q10+Basis!Q28</f>
        <v>0</v>
      </c>
      <c r="S70" s="59">
        <f>Basis!R10+Basis!R28</f>
        <v>0</v>
      </c>
      <c r="T70" s="59">
        <f>Basis!S10+Basis!S28</f>
        <v>0</v>
      </c>
      <c r="U70" s="59">
        <f>Basis!T10+Basis!T28</f>
        <v>0</v>
      </c>
      <c r="V70" s="59">
        <f>Basis!U10+Basis!U28</f>
        <v>0</v>
      </c>
      <c r="W70" s="59">
        <f>Basis!V10+Basis!V28</f>
        <v>0</v>
      </c>
      <c r="X70" s="59">
        <f>Basis!W10+Basis!W28</f>
        <v>0</v>
      </c>
      <c r="Y70" s="59">
        <f>Basis!X10+Basis!X28</f>
        <v>0</v>
      </c>
      <c r="Z70" s="59">
        <f>Basis!Y10+Basis!Y28</f>
        <v>0</v>
      </c>
      <c r="AA70" s="59">
        <f>Basis!Z10+Basis!Z28</f>
        <v>0</v>
      </c>
      <c r="AB70" s="59">
        <f>Basis!AA10+Basis!AA28</f>
        <v>0</v>
      </c>
      <c r="AC70" s="59">
        <f>Basis!AB10+Basis!AB28</f>
        <v>0</v>
      </c>
      <c r="AD70" s="59">
        <f>Basis!AC10+Basis!AC28</f>
        <v>0</v>
      </c>
      <c r="AE70" s="59">
        <f>Basis!AD10+Basis!AD28</f>
        <v>0</v>
      </c>
      <c r="AF70" s="59">
        <f>Basis!AE10+Basis!AE28</f>
        <v>0</v>
      </c>
      <c r="AG70" s="59">
        <f>Basis!AF10+Basis!AF28</f>
        <v>0</v>
      </c>
      <c r="AH70" s="59">
        <f>Basis!AG10+Basis!AG28</f>
        <v>0</v>
      </c>
      <c r="AI70" s="59">
        <f>Basis!AH10+Basis!AH28</f>
        <v>0</v>
      </c>
      <c r="AJ70" s="332"/>
      <c r="AK70" s="332"/>
      <c r="AM70" s="1201">
        <f ca="1">D70/D$59</f>
        <v>0</v>
      </c>
      <c r="AN70" s="1202">
        <f t="shared" ref="AN70:AW73" ca="1" si="44">E70/E$59</f>
        <v>0</v>
      </c>
      <c r="AO70" s="1202">
        <f t="shared" ca="1" si="44"/>
        <v>0</v>
      </c>
      <c r="AP70" s="1202">
        <f t="shared" ca="1" si="44"/>
        <v>0</v>
      </c>
      <c r="AQ70" s="1202">
        <f t="shared" ca="1" si="44"/>
        <v>0</v>
      </c>
      <c r="AR70" s="1202">
        <f t="shared" ca="1" si="44"/>
        <v>0</v>
      </c>
      <c r="AS70" s="1202">
        <f t="shared" ca="1" si="44"/>
        <v>0</v>
      </c>
      <c r="AT70" s="1202">
        <f t="shared" ca="1" si="44"/>
        <v>0</v>
      </c>
      <c r="AU70" s="1202">
        <f t="shared" ca="1" si="44"/>
        <v>0</v>
      </c>
      <c r="AV70" s="1202">
        <f t="shared" ca="1" si="44"/>
        <v>0</v>
      </c>
      <c r="AW70" s="1202">
        <f t="shared" ca="1" si="44"/>
        <v>0</v>
      </c>
      <c r="AX70" s="1202">
        <f t="shared" ref="AX70:BG73" ca="1" si="45">O70/O$59</f>
        <v>0</v>
      </c>
      <c r="AY70" s="1202">
        <f t="shared" ca="1" si="45"/>
        <v>0</v>
      </c>
      <c r="AZ70" s="1202">
        <f t="shared" ca="1" si="45"/>
        <v>0</v>
      </c>
      <c r="BA70" s="1202">
        <f t="shared" ca="1" si="45"/>
        <v>0</v>
      </c>
      <c r="BB70" s="1202">
        <f t="shared" ca="1" si="45"/>
        <v>0</v>
      </c>
      <c r="BC70" s="1202">
        <f t="shared" ca="1" si="45"/>
        <v>0</v>
      </c>
      <c r="BD70" s="1202">
        <f t="shared" ca="1" si="45"/>
        <v>0</v>
      </c>
      <c r="BE70" s="1202">
        <f t="shared" ca="1" si="45"/>
        <v>0</v>
      </c>
      <c r="BF70" s="1202">
        <f t="shared" ca="1" si="45"/>
        <v>0</v>
      </c>
      <c r="BG70" s="1202">
        <f t="shared" ca="1" si="45"/>
        <v>0</v>
      </c>
      <c r="BH70" s="1202">
        <f t="shared" ref="BH70:BQ73" ca="1" si="46">Y70/Y$59</f>
        <v>0</v>
      </c>
      <c r="BI70" s="1202">
        <f t="shared" ca="1" si="46"/>
        <v>0</v>
      </c>
      <c r="BJ70" s="1202">
        <f t="shared" ca="1" si="46"/>
        <v>0</v>
      </c>
      <c r="BK70" s="1202">
        <f t="shared" ca="1" si="46"/>
        <v>0</v>
      </c>
      <c r="BL70" s="1202">
        <f t="shared" ca="1" si="46"/>
        <v>0</v>
      </c>
      <c r="BM70" s="1202">
        <f t="shared" ca="1" si="46"/>
        <v>0</v>
      </c>
      <c r="BN70" s="1202">
        <f t="shared" ca="1" si="46"/>
        <v>0</v>
      </c>
      <c r="BO70" s="1202">
        <f t="shared" ca="1" si="46"/>
        <v>0</v>
      </c>
      <c r="BP70" s="1202">
        <f t="shared" ca="1" si="46"/>
        <v>0</v>
      </c>
      <c r="BQ70" s="1202">
        <f t="shared" ca="1" si="46"/>
        <v>0</v>
      </c>
      <c r="BR70" s="430">
        <f ca="1">AI70/AI$59</f>
        <v>0</v>
      </c>
    </row>
    <row r="71" spans="1:106" s="59" customFormat="1">
      <c r="B71" s="317" t="s">
        <v>501</v>
      </c>
      <c r="D71" s="325"/>
      <c r="E71" s="59">
        <f t="shared" ref="E71:AH71" ca="1" si="47">E52</f>
        <v>-20764.7853918623</v>
      </c>
      <c r="F71" s="59">
        <f t="shared" ca="1" si="47"/>
        <v>-37104.609524970692</v>
      </c>
      <c r="G71" s="59">
        <f t="shared" ca="1" si="47"/>
        <v>-21293.794793117075</v>
      </c>
      <c r="H71" s="59">
        <f t="shared" ca="1" si="47"/>
        <v>-11799.42559913846</v>
      </c>
      <c r="I71" s="59">
        <f t="shared" ca="1" si="47"/>
        <v>-11703.813482735452</v>
      </c>
      <c r="J71" s="59">
        <f t="shared" ca="1" si="47"/>
        <v>-4220.5952996855194</v>
      </c>
      <c r="K71" s="59">
        <f t="shared" ca="1" si="47"/>
        <v>2559.6741287476416</v>
      </c>
      <c r="L71" s="59">
        <f t="shared" ca="1" si="47"/>
        <v>2720.4575372448817</v>
      </c>
      <c r="M71" s="59">
        <f t="shared" ca="1" si="47"/>
        <v>2887.9417189440078</v>
      </c>
      <c r="N71" s="59">
        <f t="shared" ca="1" si="47"/>
        <v>3148.9668127378941</v>
      </c>
      <c r="O71" s="59">
        <f t="shared" ca="1" si="47"/>
        <v>3439.8153779379627</v>
      </c>
      <c r="P71" s="59">
        <f t="shared" ca="1" si="47"/>
        <v>3780.5712263534765</v>
      </c>
      <c r="Q71" s="59">
        <f t="shared" ca="1" si="47"/>
        <v>4147.3111859685614</v>
      </c>
      <c r="R71" s="59">
        <f t="shared" ca="1" si="47"/>
        <v>4327.0887786542553</v>
      </c>
      <c r="S71" s="59">
        <f t="shared" ca="1" si="47"/>
        <v>4511.5664670753686</v>
      </c>
      <c r="T71" s="59">
        <f t="shared" ca="1" si="47"/>
        <v>4615.2262613567236</v>
      </c>
      <c r="U71" s="59">
        <f t="shared" ca="1" si="47"/>
        <v>4888.5322443427358</v>
      </c>
      <c r="V71" s="59">
        <f t="shared" ca="1" si="47"/>
        <v>5222.054910287131</v>
      </c>
      <c r="W71" s="59">
        <f t="shared" ca="1" si="47"/>
        <v>5687.44219089535</v>
      </c>
      <c r="X71" s="59">
        <f t="shared" ca="1" si="47"/>
        <v>5611.6080449707333</v>
      </c>
      <c r="Y71" s="59">
        <f t="shared" ca="1" si="47"/>
        <v>16.486468016708901</v>
      </c>
      <c r="Z71" s="59">
        <f t="shared" ca="1" si="47"/>
        <v>0</v>
      </c>
      <c r="AA71" s="59">
        <f t="shared" ca="1" si="47"/>
        <v>0</v>
      </c>
      <c r="AB71" s="59">
        <f t="shared" ca="1" si="47"/>
        <v>0</v>
      </c>
      <c r="AC71" s="59">
        <f t="shared" ca="1" si="47"/>
        <v>0</v>
      </c>
      <c r="AD71" s="59">
        <f t="shared" ca="1" si="47"/>
        <v>0</v>
      </c>
      <c r="AE71" s="59">
        <f t="shared" ca="1" si="47"/>
        <v>0</v>
      </c>
      <c r="AF71" s="59">
        <f t="shared" ca="1" si="47"/>
        <v>0</v>
      </c>
      <c r="AG71" s="59">
        <f t="shared" ca="1" si="47"/>
        <v>0</v>
      </c>
      <c r="AH71" s="59">
        <f t="shared" ca="1" si="47"/>
        <v>0</v>
      </c>
      <c r="AI71" s="59">
        <f ca="1">AI52</f>
        <v>0</v>
      </c>
      <c r="AJ71" s="332"/>
      <c r="AK71" s="332"/>
      <c r="AM71" s="1201">
        <f ca="1">D71/D$59</f>
        <v>0</v>
      </c>
      <c r="AN71" s="1202">
        <f t="shared" ca="1" si="44"/>
        <v>-0.19446676644406216</v>
      </c>
      <c r="AO71" s="1202">
        <f t="shared" ca="1" si="44"/>
        <v>-0.55174956914935891</v>
      </c>
      <c r="AP71" s="1202">
        <f t="shared" ca="1" si="44"/>
        <v>-0.49070741956217845</v>
      </c>
      <c r="AQ71" s="1202">
        <f t="shared" ca="1" si="44"/>
        <v>-0.40766923471862521</v>
      </c>
      <c r="AR71" s="1202">
        <f t="shared" ca="1" si="44"/>
        <v>-0.80753963696045861</v>
      </c>
      <c r="AS71" s="1202">
        <f t="shared" ca="1" si="44"/>
        <v>-0.59477803166201282</v>
      </c>
      <c r="AT71" s="1202">
        <f t="shared" ca="1" si="44"/>
        <v>0.37907879626627233</v>
      </c>
      <c r="AU71" s="1202">
        <f t="shared" ca="1" si="44"/>
        <v>0.42449955863951522</v>
      </c>
      <c r="AV71" s="1202">
        <f t="shared" ca="1" si="44"/>
        <v>0.47617365910326909</v>
      </c>
      <c r="AW71" s="1202">
        <f t="shared" ca="1" si="44"/>
        <v>0.55040697328724664</v>
      </c>
      <c r="AX71" s="1202">
        <f t="shared" ca="1" si="45"/>
        <v>0.63967647618378864</v>
      </c>
      <c r="AY71" s="1202">
        <f t="shared" ca="1" si="45"/>
        <v>0.75105232117303289</v>
      </c>
      <c r="AZ71" s="1202">
        <f t="shared" ca="1" si="45"/>
        <v>0.88429415083447815</v>
      </c>
      <c r="BA71" s="1202">
        <f t="shared" ca="1" si="45"/>
        <v>0.99559431442355284</v>
      </c>
      <c r="BB71" s="1202">
        <f t="shared" ca="1" si="45"/>
        <v>1.1271854466225737</v>
      </c>
      <c r="BC71" s="1202">
        <f t="shared" ca="1" si="45"/>
        <v>1.2614129808148575</v>
      </c>
      <c r="BD71" s="1202">
        <f t="shared" ca="1" si="45"/>
        <v>1.474650781391537</v>
      </c>
      <c r="BE71" s="1202">
        <f t="shared" ca="1" si="45"/>
        <v>1.7574906580492455</v>
      </c>
      <c r="BF71" s="1202">
        <f t="shared" ca="1" si="45"/>
        <v>2.0013399350877186</v>
      </c>
      <c r="BG71" s="1202">
        <f t="shared" ca="1" si="45"/>
        <v>2.7877975609289041</v>
      </c>
      <c r="BH71" s="1202">
        <f t="shared" ca="1" si="46"/>
        <v>8.1917895608068746E-3</v>
      </c>
      <c r="BI71" s="1202">
        <f t="shared" ca="1" si="46"/>
        <v>0</v>
      </c>
      <c r="BJ71" s="1202">
        <f t="shared" ca="1" si="46"/>
        <v>0</v>
      </c>
      <c r="BK71" s="1202">
        <f t="shared" ca="1" si="46"/>
        <v>0</v>
      </c>
      <c r="BL71" s="1202">
        <f t="shared" ca="1" si="46"/>
        <v>0</v>
      </c>
      <c r="BM71" s="1202">
        <f t="shared" ca="1" si="46"/>
        <v>0</v>
      </c>
      <c r="BN71" s="1202">
        <f t="shared" ca="1" si="46"/>
        <v>0</v>
      </c>
      <c r="BO71" s="1202">
        <f t="shared" ca="1" si="46"/>
        <v>0</v>
      </c>
      <c r="BP71" s="1202">
        <f t="shared" ca="1" si="46"/>
        <v>0</v>
      </c>
      <c r="BQ71" s="1202">
        <f t="shared" ca="1" si="46"/>
        <v>0</v>
      </c>
      <c r="BR71" s="430">
        <f ca="1">AI71/AI$59</f>
        <v>0</v>
      </c>
    </row>
    <row r="72" spans="1:106" s="59" customFormat="1">
      <c r="B72" s="317" t="s">
        <v>546</v>
      </c>
      <c r="D72" s="325"/>
      <c r="E72" s="59">
        <f>-CashFlow!E66</f>
        <v>-1985.2107806507152</v>
      </c>
      <c r="F72" s="59">
        <f>-CashFlow!F66</f>
        <v>-1480.4926450176845</v>
      </c>
      <c r="G72" s="59">
        <f>-CashFlow!G66</f>
        <v>-1492.0973072087177</v>
      </c>
      <c r="H72" s="59">
        <f>-CashFlow!H66</f>
        <v>-1481.3737017094782</v>
      </c>
      <c r="I72" s="59">
        <f>-CashFlow!I66</f>
        <v>-1470.4180329030396</v>
      </c>
      <c r="J72" s="59">
        <f>-CashFlow!J66</f>
        <v>-1555.2441263446904</v>
      </c>
      <c r="K72" s="59">
        <f>-CashFlow!K66</f>
        <v>-1431.6968912728516</v>
      </c>
      <c r="L72" s="59">
        <f>-CashFlow!L66</f>
        <v>-1430.0057177907274</v>
      </c>
      <c r="M72" s="59">
        <f>-CashFlow!M66</f>
        <v>-1427.6939298011375</v>
      </c>
      <c r="N72" s="59">
        <f>-CashFlow!N66</f>
        <v>-1447.1040927683948</v>
      </c>
      <c r="O72" s="59">
        <f>-CashFlow!O66</f>
        <v>-1470.1758999941048</v>
      </c>
      <c r="P72" s="59">
        <f>-CashFlow!P66</f>
        <v>-1496.2425943695835</v>
      </c>
      <c r="Q72" s="59">
        <f>-CashFlow!Q66</f>
        <v>-1527.1247714941283</v>
      </c>
      <c r="R72" s="59">
        <f>-CashFlow!R66</f>
        <v>-1495.1697626794498</v>
      </c>
      <c r="S72" s="59">
        <f>-CashFlow!S66</f>
        <v>-1459.4654492119744</v>
      </c>
      <c r="T72" s="59">
        <f>-CashFlow!T66</f>
        <v>-1390.7946428457581</v>
      </c>
      <c r="U72" s="59">
        <f>-CashFlow!U66</f>
        <v>-1370.3596058201879</v>
      </c>
      <c r="V72" s="59">
        <f>-CashFlow!V66</f>
        <v>-2320.5205604021085</v>
      </c>
      <c r="W72" s="59">
        <f>-CashFlow!W66</f>
        <v>-5816.9380609148457</v>
      </c>
      <c r="X72" s="59">
        <f>-CashFlow!X66</f>
        <v>-6440.5071598288487</v>
      </c>
      <c r="Y72" s="59">
        <f>-CashFlow!Y66</f>
        <v>-16.844521113536999</v>
      </c>
      <c r="Z72" s="59">
        <f>-CashFlow!Z66</f>
        <v>0</v>
      </c>
      <c r="AA72" s="59">
        <f>-CashFlow!AA66</f>
        <v>0</v>
      </c>
      <c r="AB72" s="59">
        <f>-CashFlow!AB66</f>
        <v>0</v>
      </c>
      <c r="AC72" s="59">
        <f>-CashFlow!AC66</f>
        <v>0</v>
      </c>
      <c r="AD72" s="59">
        <f>-CashFlow!AD66</f>
        <v>0</v>
      </c>
      <c r="AE72" s="59">
        <f>-CashFlow!AE66</f>
        <v>0</v>
      </c>
      <c r="AF72" s="59">
        <f>-CashFlow!AF66</f>
        <v>0</v>
      </c>
      <c r="AG72" s="59">
        <f>-CashFlow!AG66</f>
        <v>0</v>
      </c>
      <c r="AH72" s="59">
        <f>-CashFlow!AH66</f>
        <v>0</v>
      </c>
      <c r="AI72" s="59">
        <f>-CashFlow!AI66</f>
        <v>0</v>
      </c>
      <c r="AJ72" s="332"/>
      <c r="AK72" s="332"/>
      <c r="AM72" s="1201">
        <f ca="1">D72/D$59</f>
        <v>0</v>
      </c>
      <c r="AN72" s="1202">
        <f t="shared" ca="1" si="44"/>
        <v>-1.8591934081550032E-2</v>
      </c>
      <c r="AO72" s="1202">
        <f t="shared" ca="1" si="44"/>
        <v>-2.2015086251414941E-2</v>
      </c>
      <c r="AP72" s="1202">
        <f t="shared" ca="1" si="44"/>
        <v>-3.4384816162158799E-2</v>
      </c>
      <c r="AQ72" s="1202">
        <f t="shared" ca="1" si="44"/>
        <v>-5.1181345925202897E-2</v>
      </c>
      <c r="AR72" s="1202">
        <f t="shared" ca="1" si="44"/>
        <v>-0.10145589266457658</v>
      </c>
      <c r="AS72" s="1202">
        <f t="shared" ca="1" si="44"/>
        <v>-0.21916932909680448</v>
      </c>
      <c r="AT72" s="1202">
        <f t="shared" ca="1" si="44"/>
        <v>-0.21202930797578262</v>
      </c>
      <c r="AU72" s="1202">
        <f t="shared" ca="1" si="44"/>
        <v>-0.22313775816876666</v>
      </c>
      <c r="AV72" s="1202">
        <f t="shared" ca="1" si="44"/>
        <v>-0.2354030339924994</v>
      </c>
      <c r="AW72" s="1202">
        <f t="shared" ca="1" si="44"/>
        <v>-0.25293889427806299</v>
      </c>
      <c r="AX72" s="1202">
        <f t="shared" ca="1" si="45"/>
        <v>-0.27339750415393366</v>
      </c>
      <c r="AY72" s="1202">
        <f t="shared" ca="1" si="45"/>
        <v>-0.29724515324715833</v>
      </c>
      <c r="AZ72" s="1202">
        <f t="shared" ca="1" si="45"/>
        <v>-0.32561518595362371</v>
      </c>
      <c r="BA72" s="1202">
        <f t="shared" ca="1" si="45"/>
        <v>-0.34401478475896424</v>
      </c>
      <c r="BB72" s="1202">
        <f t="shared" ca="1" si="45"/>
        <v>-0.36463792037771886</v>
      </c>
      <c r="BC72" s="1202">
        <f t="shared" ca="1" si="45"/>
        <v>-0.38012576562555728</v>
      </c>
      <c r="BD72" s="1202">
        <f t="shared" ca="1" si="45"/>
        <v>-0.41337599150516313</v>
      </c>
      <c r="BE72" s="1202">
        <f t="shared" ca="1" si="45"/>
        <v>-0.78097478421452748</v>
      </c>
      <c r="BF72" s="1202">
        <f t="shared" ca="1" si="45"/>
        <v>-2.0469079158073864</v>
      </c>
      <c r="BG72" s="1202">
        <f t="shared" ca="1" si="45"/>
        <v>-3.1995873566771267</v>
      </c>
      <c r="BH72" s="1202">
        <f t="shared" ca="1" si="46"/>
        <v>-8.3696988387576363E-3</v>
      </c>
      <c r="BI72" s="1202">
        <f t="shared" ca="1" si="46"/>
        <v>0</v>
      </c>
      <c r="BJ72" s="1202">
        <f t="shared" ca="1" si="46"/>
        <v>0</v>
      </c>
      <c r="BK72" s="1202">
        <f t="shared" ca="1" si="46"/>
        <v>0</v>
      </c>
      <c r="BL72" s="1202">
        <f t="shared" ca="1" si="46"/>
        <v>0</v>
      </c>
      <c r="BM72" s="1202">
        <f t="shared" ca="1" si="46"/>
        <v>0</v>
      </c>
      <c r="BN72" s="1202">
        <f t="shared" ca="1" si="46"/>
        <v>0</v>
      </c>
      <c r="BO72" s="1202">
        <f t="shared" ca="1" si="46"/>
        <v>0</v>
      </c>
      <c r="BP72" s="1202">
        <f t="shared" ca="1" si="46"/>
        <v>0</v>
      </c>
      <c r="BQ72" s="1202">
        <f t="shared" ca="1" si="46"/>
        <v>0</v>
      </c>
      <c r="BR72" s="430">
        <f ca="1">AI72/AI$59</f>
        <v>0</v>
      </c>
    </row>
    <row r="73" spans="1:106" s="428" customFormat="1" ht="13.5" thickBot="1">
      <c r="B73" s="428" t="s">
        <v>453</v>
      </c>
      <c r="C73" s="59"/>
      <c r="D73" s="851">
        <f t="shared" ref="D73:AI73" ca="1" si="48">SUM(D68:D72)</f>
        <v>91340.32098712548</v>
      </c>
      <c r="E73" s="851">
        <f t="shared" ca="1" si="48"/>
        <v>68590.324812935709</v>
      </c>
      <c r="F73" s="851">
        <f t="shared" ca="1" si="48"/>
        <v>30005.22264694397</v>
      </c>
      <c r="G73" s="851">
        <f t="shared" ca="1" si="48"/>
        <v>7219.3305561048619</v>
      </c>
      <c r="H73" s="851">
        <f t="shared" ca="1" si="48"/>
        <v>-6061.4687371723803</v>
      </c>
      <c r="I73" s="851">
        <f t="shared" ca="1" si="48"/>
        <v>-19235.700254071286</v>
      </c>
      <c r="J73" s="851">
        <f t="shared" ca="1" si="48"/>
        <v>-25011.539691206468</v>
      </c>
      <c r="K73" s="851">
        <f t="shared" ca="1" si="48"/>
        <v>-23883.562471977242</v>
      </c>
      <c r="L73" s="851">
        <f t="shared" ca="1" si="48"/>
        <v>-22593.110658197162</v>
      </c>
      <c r="M73" s="851">
        <f t="shared" ca="1" si="48"/>
        <v>-21132.862856852826</v>
      </c>
      <c r="N73" s="851">
        <f t="shared" ca="1" si="48"/>
        <v>-19431.000108390974</v>
      </c>
      <c r="O73" s="851">
        <f t="shared" ca="1" si="48"/>
        <v>-17461.360608235809</v>
      </c>
      <c r="P73" s="851">
        <f t="shared" ca="1" si="48"/>
        <v>-15177.03197874276</v>
      </c>
      <c r="Q73" s="851">
        <f t="shared" ca="1" si="48"/>
        <v>-12556.845594932674</v>
      </c>
      <c r="R73" s="851">
        <f t="shared" ca="1" si="48"/>
        <v>-9724.9266331723938</v>
      </c>
      <c r="S73" s="851">
        <f t="shared" ca="1" si="48"/>
        <v>-6672.8256318218946</v>
      </c>
      <c r="T73" s="851">
        <f t="shared" ca="1" si="48"/>
        <v>-3448.39397830086</v>
      </c>
      <c r="U73" s="851">
        <f t="shared" ca="1" si="48"/>
        <v>69.778745506059295</v>
      </c>
      <c r="V73" s="851">
        <f t="shared" ca="1" si="48"/>
        <v>2971.3131586597483</v>
      </c>
      <c r="W73" s="851">
        <f t="shared" ca="1" si="48"/>
        <v>2841.8172821517737</v>
      </c>
      <c r="X73" s="851">
        <f t="shared" ca="1" si="48"/>
        <v>2012.918082286651</v>
      </c>
      <c r="Y73" s="851">
        <f t="shared" ca="1" si="48"/>
        <v>2012.5598681902359</v>
      </c>
      <c r="Z73" s="851">
        <f t="shared" ca="1" si="48"/>
        <v>2012.5598199681349</v>
      </c>
      <c r="AA73" s="851">
        <f t="shared" ca="1" si="48"/>
        <v>2012.5599197139134</v>
      </c>
      <c r="AB73" s="851">
        <f t="shared" ca="1" si="48"/>
        <v>2012.5601773276135</v>
      </c>
      <c r="AC73" s="851">
        <f t="shared" ca="1" si="48"/>
        <v>2012.5603559872725</v>
      </c>
      <c r="AD73" s="851">
        <f t="shared" ca="1" si="48"/>
        <v>2012.5603386933758</v>
      </c>
      <c r="AE73" s="851">
        <f t="shared" ca="1" si="48"/>
        <v>2012.5601058268173</v>
      </c>
      <c r="AF73" s="851">
        <f t="shared" ca="1" si="48"/>
        <v>2012.5596286612983</v>
      </c>
      <c r="AG73" s="851">
        <f t="shared" ca="1" si="48"/>
        <v>2012.5594871932221</v>
      </c>
      <c r="AH73" s="851">
        <f t="shared" ca="1" si="48"/>
        <v>2012.5597680931096</v>
      </c>
      <c r="AI73" s="851">
        <f t="shared" ca="1" si="48"/>
        <v>2012.5605545255012</v>
      </c>
      <c r="AJ73" s="647"/>
      <c r="AK73" s="647"/>
      <c r="AM73" s="1200">
        <f ca="1">D73/D$59</f>
        <v>0.69401381818180319</v>
      </c>
      <c r="AN73" s="1200">
        <f t="shared" ca="1" si="44"/>
        <v>0.64236342557852244</v>
      </c>
      <c r="AO73" s="1200">
        <f t="shared" ca="1" si="44"/>
        <v>0.44618091605412197</v>
      </c>
      <c r="AP73" s="1200">
        <f t="shared" ca="1" si="44"/>
        <v>0.16636673277689767</v>
      </c>
      <c r="AQ73" s="1200">
        <f t="shared" ca="1" si="44"/>
        <v>-0.20942327239508696</v>
      </c>
      <c r="AR73" s="1200">
        <f t="shared" ca="1" si="44"/>
        <v>-1.3272247052438815</v>
      </c>
      <c r="AS73" s="1200">
        <f t="shared" ca="1" si="44"/>
        <v>-3.5246957573687623</v>
      </c>
      <c r="AT73" s="1200">
        <f t="shared" ca="1" si="44"/>
        <v>-3.5370721650638908</v>
      </c>
      <c r="AU73" s="1200">
        <f t="shared" ca="1" si="44"/>
        <v>-3.5254237095762142</v>
      </c>
      <c r="AV73" s="1200">
        <f t="shared" ca="1" si="44"/>
        <v>-3.4844583489568257</v>
      </c>
      <c r="AW73" s="1200">
        <f t="shared" ca="1" si="44"/>
        <v>-3.3963387338162585</v>
      </c>
      <c r="AX73" s="1200">
        <f t="shared" ca="1" si="45"/>
        <v>-3.2471573023626803</v>
      </c>
      <c r="AY73" s="1200">
        <f t="shared" ca="1" si="45"/>
        <v>-3.0150853968030322</v>
      </c>
      <c r="AZ73" s="1200">
        <f t="shared" ca="1" si="45"/>
        <v>-2.6773841206076359</v>
      </c>
      <c r="BA73" s="1200">
        <f t="shared" ca="1" si="45"/>
        <v>-2.2375509631174686</v>
      </c>
      <c r="BB73" s="1200">
        <f t="shared" ca="1" si="45"/>
        <v>-1.6671619480573794</v>
      </c>
      <c r="BC73" s="1200">
        <f t="shared" ca="1" si="45"/>
        <v>-0.94249960475692507</v>
      </c>
      <c r="BD73" s="1200">
        <f t="shared" ca="1" si="45"/>
        <v>2.1049115857650721E-2</v>
      </c>
      <c r="BE73" s="1200">
        <f t="shared" ca="1" si="45"/>
        <v>1.0000000398686295</v>
      </c>
      <c r="BF73" s="1200">
        <f t="shared" ca="1" si="45"/>
        <v>1.0000000394021478</v>
      </c>
      <c r="BG73" s="1200">
        <f t="shared" ca="1" si="45"/>
        <v>1.0000000133968159</v>
      </c>
      <c r="BH73" s="1200">
        <f t="shared" ca="1" si="46"/>
        <v>0.99999993340178961</v>
      </c>
      <c r="BI73" s="1200">
        <f t="shared" ca="1" si="46"/>
        <v>0.99999990944121153</v>
      </c>
      <c r="BJ73" s="1200">
        <f t="shared" ca="1" si="46"/>
        <v>0.99999995900285366</v>
      </c>
      <c r="BK73" s="1200">
        <f t="shared" ca="1" si="46"/>
        <v>1.0000000870058448</v>
      </c>
      <c r="BL73" s="1200">
        <f t="shared" ca="1" si="46"/>
        <v>1.0000001757781838</v>
      </c>
      <c r="BM73" s="1200">
        <f t="shared" ca="1" si="46"/>
        <v>1.0000001671851995</v>
      </c>
      <c r="BN73" s="1200">
        <f t="shared" ca="1" si="46"/>
        <v>1.0000000514785581</v>
      </c>
      <c r="BO73" s="1200">
        <f t="shared" ca="1" si="46"/>
        <v>0.99999981438474794</v>
      </c>
      <c r="BP73" s="1200">
        <f t="shared" ca="1" si="46"/>
        <v>0.99999974409214754</v>
      </c>
      <c r="BQ73" s="1200">
        <f t="shared" ca="1" si="46"/>
        <v>0.99999988366556991</v>
      </c>
      <c r="BR73" s="430">
        <f ca="1">AI73/AI$59</f>
        <v>1.0000002744277787</v>
      </c>
    </row>
    <row r="74" spans="1:106" s="59" customFormat="1" ht="13.5" thickTop="1">
      <c r="D74" s="325"/>
      <c r="AJ74" s="332"/>
      <c r="AK74" s="332"/>
      <c r="AM74" s="1201"/>
      <c r="AN74" s="1202"/>
      <c r="AO74" s="1202"/>
      <c r="AP74" s="1202"/>
      <c r="AQ74" s="1202"/>
      <c r="AR74" s="1202"/>
      <c r="AS74" s="1202"/>
      <c r="AT74" s="1202"/>
      <c r="AU74" s="1202"/>
      <c r="AV74" s="1202"/>
      <c r="AW74" s="1202"/>
      <c r="AX74" s="1202"/>
      <c r="AY74" s="1202"/>
      <c r="AZ74" s="1202"/>
      <c r="BA74" s="1202"/>
      <c r="BB74" s="1202"/>
      <c r="BC74" s="1202"/>
      <c r="BD74" s="1202"/>
      <c r="BE74" s="1202"/>
      <c r="BF74" s="1202"/>
      <c r="BG74" s="1202"/>
      <c r="BH74" s="1202"/>
      <c r="BI74" s="1202"/>
      <c r="BJ74" s="1202"/>
      <c r="BK74" s="1202"/>
      <c r="BL74" s="1202"/>
      <c r="BM74" s="1202"/>
      <c r="BN74" s="1202"/>
      <c r="BO74" s="1202"/>
      <c r="BP74" s="1202"/>
      <c r="BQ74" s="1202"/>
      <c r="BR74" s="430"/>
    </row>
    <row r="75" spans="1:106" s="875" customFormat="1" ht="13.5" thickBot="1">
      <c r="B75" s="875" t="s">
        <v>454</v>
      </c>
      <c r="C75" s="59"/>
      <c r="D75" s="876">
        <f t="shared" ref="D75:AH75" ca="1" si="49">D66+D73</f>
        <v>131611.67485312271</v>
      </c>
      <c r="E75" s="876">
        <f t="shared" ca="1" si="49"/>
        <v>106778.0668637073</v>
      </c>
      <c r="F75" s="876">
        <f t="shared" ca="1" si="49"/>
        <v>67249.004977881908</v>
      </c>
      <c r="G75" s="876">
        <f t="shared" ca="1" si="49"/>
        <v>43394.075464293404</v>
      </c>
      <c r="H75" s="876">
        <f t="shared" ca="1" si="49"/>
        <v>28943.625368836994</v>
      </c>
      <c r="I75" s="876">
        <f t="shared" ca="1" si="49"/>
        <v>14493.175264549471</v>
      </c>
      <c r="J75" s="876">
        <f t="shared" ca="1" si="49"/>
        <v>7096.0847154534567</v>
      </c>
      <c r="K75" s="876">
        <f t="shared" ca="1" si="49"/>
        <v>6752.3537242529201</v>
      </c>
      <c r="L75" s="876">
        <f t="shared" ca="1" si="49"/>
        <v>6408.6227456238739</v>
      </c>
      <c r="M75" s="876">
        <f t="shared" ca="1" si="49"/>
        <v>6064.8917848703604</v>
      </c>
      <c r="N75" s="876">
        <f t="shared" ca="1" si="49"/>
        <v>5721.1608404077415</v>
      </c>
      <c r="O75" s="876">
        <f t="shared" ca="1" si="49"/>
        <v>5377.4298896640757</v>
      </c>
      <c r="P75" s="876">
        <f t="shared" ca="1" si="49"/>
        <v>5033.6989142182592</v>
      </c>
      <c r="Q75" s="876">
        <f t="shared" ca="1" si="49"/>
        <v>4689.967910598938</v>
      </c>
      <c r="R75" s="876">
        <f t="shared" ca="1" si="49"/>
        <v>4346.2368834294411</v>
      </c>
      <c r="S75" s="876">
        <f t="shared" ca="1" si="49"/>
        <v>4002.505893961571</v>
      </c>
      <c r="T75" s="876">
        <f t="shared" ca="1" si="49"/>
        <v>3658.7749560166658</v>
      </c>
      <c r="U75" s="876">
        <f t="shared" ca="1" si="49"/>
        <v>3315.0440683460624</v>
      </c>
      <c r="V75" s="876">
        <f t="shared" ca="1" si="49"/>
        <v>2971.3131586597547</v>
      </c>
      <c r="W75" s="876">
        <f t="shared" ca="1" si="49"/>
        <v>2841.8172821517801</v>
      </c>
      <c r="X75" s="876">
        <f t="shared" ca="1" si="49"/>
        <v>2012.9180822866574</v>
      </c>
      <c r="Y75" s="876">
        <f t="shared" ca="1" si="49"/>
        <v>2012.5598681902422</v>
      </c>
      <c r="Z75" s="876">
        <f t="shared" ca="1" si="49"/>
        <v>2012.5598199681413</v>
      </c>
      <c r="AA75" s="876">
        <f t="shared" ca="1" si="49"/>
        <v>2012.5599197139197</v>
      </c>
      <c r="AB75" s="876">
        <f t="shared" ca="1" si="49"/>
        <v>2012.5601773276198</v>
      </c>
      <c r="AC75" s="876">
        <f t="shared" ca="1" si="49"/>
        <v>2012.5603559872789</v>
      </c>
      <c r="AD75" s="876">
        <f t="shared" ca="1" si="49"/>
        <v>2012.5603386933822</v>
      </c>
      <c r="AE75" s="876">
        <f t="shared" ca="1" si="49"/>
        <v>2012.5601058268237</v>
      </c>
      <c r="AF75" s="876">
        <f t="shared" ca="1" si="49"/>
        <v>2012.5596286613047</v>
      </c>
      <c r="AG75" s="876">
        <f t="shared" ca="1" si="49"/>
        <v>2012.5594871932285</v>
      </c>
      <c r="AH75" s="876">
        <f t="shared" ca="1" si="49"/>
        <v>2012.559768093116</v>
      </c>
      <c r="AI75" s="876">
        <f ca="1">AI66+AI73</f>
        <v>2012.5605545255075</v>
      </c>
      <c r="AJ75" s="877"/>
      <c r="AK75" s="877"/>
      <c r="AM75" s="1203">
        <f t="shared" ref="AM75:BR75" ca="1" si="50">D75/D$59</f>
        <v>0.99999999994517441</v>
      </c>
      <c r="AN75" s="1203">
        <f t="shared" ca="1" si="50"/>
        <v>0.99999999991672051</v>
      </c>
      <c r="AO75" s="1203">
        <f t="shared" ca="1" si="50"/>
        <v>0.9999999999271989</v>
      </c>
      <c r="AP75" s="1203">
        <f t="shared" ca="1" si="50"/>
        <v>1.0000000001057954</v>
      </c>
      <c r="AQ75" s="1203">
        <f t="shared" ca="1" si="50"/>
        <v>1.0000000004201819</v>
      </c>
      <c r="AR75" s="1203">
        <f t="shared" ca="1" si="50"/>
        <v>1.0000000007521588</v>
      </c>
      <c r="AS75" s="1203">
        <f t="shared" ca="1" si="50"/>
        <v>0.99999999997127931</v>
      </c>
      <c r="AT75" s="1203">
        <f t="shared" ca="1" si="50"/>
        <v>0.99999999726771327</v>
      </c>
      <c r="AU75" s="1203">
        <f t="shared" ca="1" si="50"/>
        <v>0.99999999623578428</v>
      </c>
      <c r="AV75" s="1203">
        <f t="shared" ca="1" si="50"/>
        <v>0.99999999803426376</v>
      </c>
      <c r="AW75" s="1203">
        <f t="shared" ca="1" si="50"/>
        <v>1.0000000028963314</v>
      </c>
      <c r="AX75" s="1203">
        <f t="shared" ca="1" si="50"/>
        <v>1.0000000072119373</v>
      </c>
      <c r="AY75" s="1203">
        <f t="shared" ca="1" si="50"/>
        <v>1.0000000072095778</v>
      </c>
      <c r="AZ75" s="1203">
        <f t="shared" ca="1" si="50"/>
        <v>1.0000000011996877</v>
      </c>
      <c r="BA75" s="1203">
        <f t="shared" ca="1" si="50"/>
        <v>0.99999998882066798</v>
      </c>
      <c r="BB75" s="1203">
        <f t="shared" ca="1" si="50"/>
        <v>0.99999998373495957</v>
      </c>
      <c r="BC75" s="1203">
        <f t="shared" ca="1" si="50"/>
        <v>0.99999999177570298</v>
      </c>
      <c r="BD75" s="1203">
        <f t="shared" ca="1" si="50"/>
        <v>1.0000000166494074</v>
      </c>
      <c r="BE75" s="1203">
        <f t="shared" ca="1" si="50"/>
        <v>1.0000000398686317</v>
      </c>
      <c r="BF75" s="1203">
        <f t="shared" ca="1" si="50"/>
        <v>1.00000003940215</v>
      </c>
      <c r="BG75" s="1203">
        <f t="shared" ca="1" si="50"/>
        <v>1.000000013396819</v>
      </c>
      <c r="BH75" s="1203">
        <f t="shared" ca="1" si="50"/>
        <v>0.99999993340179272</v>
      </c>
      <c r="BI75" s="1203">
        <f t="shared" ca="1" si="50"/>
        <v>0.99999990944121475</v>
      </c>
      <c r="BJ75" s="1203">
        <f t="shared" ca="1" si="50"/>
        <v>0.99999995900285676</v>
      </c>
      <c r="BK75" s="1203">
        <f t="shared" ca="1" si="50"/>
        <v>1.0000000870058479</v>
      </c>
      <c r="BL75" s="1203">
        <f t="shared" ca="1" si="50"/>
        <v>1.0000001757781871</v>
      </c>
      <c r="BM75" s="1203">
        <f t="shared" ca="1" si="50"/>
        <v>1.0000001671852026</v>
      </c>
      <c r="BN75" s="1203">
        <f t="shared" ca="1" si="50"/>
        <v>1.0000000514785612</v>
      </c>
      <c r="BO75" s="1203">
        <f t="shared" ca="1" si="50"/>
        <v>0.99999981438475116</v>
      </c>
      <c r="BP75" s="1203">
        <f t="shared" ca="1" si="50"/>
        <v>0.99999974409215064</v>
      </c>
      <c r="BQ75" s="1203">
        <f t="shared" ca="1" si="50"/>
        <v>0.99999988366557313</v>
      </c>
      <c r="BR75" s="430">
        <f t="shared" ca="1" si="50"/>
        <v>1.0000002744277818</v>
      </c>
    </row>
    <row r="76" spans="1:106" s="59" customFormat="1">
      <c r="D76" s="325"/>
      <c r="AJ76" s="332"/>
      <c r="AK76" s="332"/>
      <c r="AM76" s="1201"/>
      <c r="AN76" s="1202"/>
      <c r="AO76" s="1202"/>
      <c r="AP76" s="1202"/>
      <c r="AQ76" s="1202"/>
      <c r="AR76" s="1202"/>
      <c r="AS76" s="1202"/>
      <c r="AT76" s="1202"/>
      <c r="AU76" s="1202"/>
      <c r="AV76" s="1202"/>
      <c r="AW76" s="1202"/>
      <c r="AX76" s="1202"/>
      <c r="AY76" s="1202"/>
      <c r="AZ76" s="1202"/>
      <c r="BA76" s="1202"/>
      <c r="BB76" s="1202"/>
      <c r="BC76" s="1202"/>
      <c r="BD76" s="1202"/>
      <c r="BE76" s="1202"/>
      <c r="BF76" s="1202"/>
      <c r="BG76" s="1202"/>
      <c r="BH76" s="1202"/>
      <c r="BI76" s="1202"/>
      <c r="BJ76" s="1202"/>
      <c r="BK76" s="1202"/>
      <c r="BL76" s="1202"/>
      <c r="BM76" s="1202"/>
      <c r="BN76" s="1202"/>
      <c r="BO76" s="1202"/>
      <c r="BP76" s="1202"/>
      <c r="BQ76" s="1202"/>
      <c r="BR76" s="430"/>
    </row>
    <row r="77" spans="1:106" s="59" customFormat="1">
      <c r="B77" s="59" t="s">
        <v>455</v>
      </c>
      <c r="D77" s="325">
        <f t="shared" ref="D77:AH77" ca="1" si="51">D59-D75</f>
        <v>7.2156835813075304E-6</v>
      </c>
      <c r="E77" s="59">
        <f t="shared" ca="1" si="51"/>
        <v>8.8924280134961009E-6</v>
      </c>
      <c r="F77" s="59">
        <f t="shared" ca="1" si="51"/>
        <v>4.8958027036860585E-6</v>
      </c>
      <c r="G77" s="59">
        <f t="shared" ca="1" si="51"/>
        <v>-4.5908891479484737E-6</v>
      </c>
      <c r="H77" s="59">
        <f t="shared" ca="1" si="51"/>
        <v>-1.2161584891146049E-5</v>
      </c>
      <c r="I77" s="59">
        <f t="shared" ca="1" si="51"/>
        <v>-1.090116893465165E-5</v>
      </c>
      <c r="J77" s="59">
        <f t="shared" ca="1" si="51"/>
        <v>2.0380412024678662E-7</v>
      </c>
      <c r="K77" s="59">
        <f t="shared" ca="1" si="51"/>
        <v>1.8449366507411469E-5</v>
      </c>
      <c r="L77" s="59">
        <f t="shared" ca="1" si="51"/>
        <v>2.412343837931985E-5</v>
      </c>
      <c r="M77" s="59">
        <f t="shared" ca="1" si="51"/>
        <v>1.1921977602469269E-5</v>
      </c>
      <c r="N77" s="59">
        <f t="shared" ca="1" si="51"/>
        <v>-1.6570377738389652E-5</v>
      </c>
      <c r="O77" s="59">
        <f t="shared" ca="1" si="51"/>
        <v>-3.8781686271249782E-5</v>
      </c>
      <c r="P77" s="59">
        <f t="shared" ca="1" si="51"/>
        <v>-3.6290844036557246E-5</v>
      </c>
      <c r="Q77" s="59">
        <f t="shared" ca="1" si="51"/>
        <v>-5.6264971135533415E-6</v>
      </c>
      <c r="R77" s="59">
        <f t="shared" ca="1" si="51"/>
        <v>4.8588025492790621E-5</v>
      </c>
      <c r="S77" s="59">
        <f t="shared" ca="1" si="51"/>
        <v>6.510092134703882E-5</v>
      </c>
      <c r="T77" s="59">
        <f t="shared" ca="1" si="51"/>
        <v>3.009085230587516E-5</v>
      </c>
      <c r="U77" s="59">
        <f t="shared" ca="1" si="51"/>
        <v>-5.5193518619489623E-5</v>
      </c>
      <c r="V77" s="59">
        <f t="shared" ca="1" si="51"/>
        <v>-1.1846218512800988E-4</v>
      </c>
      <c r="W77" s="59">
        <f t="shared" ca="1" si="51"/>
        <v>-1.1197370622539893E-4</v>
      </c>
      <c r="X77" s="59">
        <f t="shared" ca="1" si="51"/>
        <v>-2.6966698897012975E-5</v>
      </c>
      <c r="Y77" s="59">
        <f t="shared" ca="1" si="51"/>
        <v>1.3403288812696701E-4</v>
      </c>
      <c r="Z77" s="59">
        <f t="shared" ca="1" si="51"/>
        <v>1.8225498911306204E-4</v>
      </c>
      <c r="AA77" s="59">
        <f t="shared" ca="1" si="51"/>
        <v>8.250921064245631E-5</v>
      </c>
      <c r="AB77" s="59">
        <f t="shared" ca="1" si="51"/>
        <v>-1.7510448947177792E-4</v>
      </c>
      <c r="AC77" s="59">
        <f t="shared" ca="1" si="51"/>
        <v>-3.5376414848542481E-4</v>
      </c>
      <c r="AD77" s="59">
        <f t="shared" ca="1" si="51"/>
        <v>-3.3647025179561751E-4</v>
      </c>
      <c r="AE77" s="59">
        <f t="shared" ca="1" si="51"/>
        <v>-1.0360369333284325E-4</v>
      </c>
      <c r="AF77" s="59">
        <f t="shared" ca="1" si="51"/>
        <v>3.7356182565417839E-4</v>
      </c>
      <c r="AG77" s="59">
        <f t="shared" ca="1" si="51"/>
        <v>5.1502990186236275E-4</v>
      </c>
      <c r="AH77" s="59">
        <f t="shared" ca="1" si="51"/>
        <v>2.3413001440530934E-4</v>
      </c>
      <c r="AI77" s="59">
        <f ca="1">AI59-AI75</f>
        <v>-5.5230237717296404E-4</v>
      </c>
      <c r="AJ77" s="332"/>
      <c r="AK77" s="332"/>
      <c r="AM77" s="1201">
        <f t="shared" ref="AM77:BR77" ca="1" si="52">D77/D$59</f>
        <v>5.4825558514961201E-11</v>
      </c>
      <c r="AN77" s="1202">
        <f t="shared" ca="1" si="52"/>
        <v>8.3279537398873658E-11</v>
      </c>
      <c r="AO77" s="1202">
        <f t="shared" ca="1" si="52"/>
        <v>7.2801117353927541E-11</v>
      </c>
      <c r="AP77" s="1202">
        <f t="shared" ca="1" si="52"/>
        <v>-1.0579529807500469E-10</v>
      </c>
      <c r="AQ77" s="1202">
        <f t="shared" ca="1" si="52"/>
        <v>-4.201818100282024E-10</v>
      </c>
      <c r="AR77" s="1202">
        <f t="shared" ca="1" si="52"/>
        <v>-7.5215877431051894E-10</v>
      </c>
      <c r="AS77" s="1202">
        <f t="shared" ca="1" si="52"/>
        <v>2.8720643624377822E-11</v>
      </c>
      <c r="AT77" s="1202">
        <f t="shared" ca="1" si="52"/>
        <v>2.7322867270321723E-9</v>
      </c>
      <c r="AU77" s="1202">
        <f t="shared" ca="1" si="52"/>
        <v>3.7642156897106647E-9</v>
      </c>
      <c r="AV77" s="1202">
        <f t="shared" ca="1" si="52"/>
        <v>1.9657362409622357E-9</v>
      </c>
      <c r="AW77" s="1202">
        <f t="shared" ca="1" si="52"/>
        <v>-2.8963313999754643E-9</v>
      </c>
      <c r="AX77" s="1202">
        <f t="shared" ca="1" si="52"/>
        <v>-7.2119371794103547E-9</v>
      </c>
      <c r="AY77" s="1202">
        <f t="shared" ca="1" si="52"/>
        <v>-7.2095778703988959E-9</v>
      </c>
      <c r="AZ77" s="1202">
        <f t="shared" ca="1" si="52"/>
        <v>-1.1996877649392792E-9</v>
      </c>
      <c r="BA77" s="1202">
        <f t="shared" ca="1" si="52"/>
        <v>1.1179331972184198E-8</v>
      </c>
      <c r="BB77" s="1202">
        <f t="shared" ca="1" si="52"/>
        <v>1.6265040455376966E-8</v>
      </c>
      <c r="BC77" s="1202">
        <f t="shared" ca="1" si="52"/>
        <v>8.2242970448117355E-9</v>
      </c>
      <c r="BD77" s="1202">
        <f t="shared" ca="1" si="52"/>
        <v>-1.6649407489163813E-8</v>
      </c>
      <c r="BE77" s="1202">
        <f t="shared" ca="1" si="52"/>
        <v>-3.986863165388089E-8</v>
      </c>
      <c r="BF77" s="1202">
        <f t="shared" ca="1" si="52"/>
        <v>-3.9402149934361345E-8</v>
      </c>
      <c r="BG77" s="1202">
        <f t="shared" ca="1" si="52"/>
        <v>-1.3396819023875539E-8</v>
      </c>
      <c r="BH77" s="1202">
        <f t="shared" ca="1" si="52"/>
        <v>6.6598207247938199E-8</v>
      </c>
      <c r="BI77" s="1202">
        <f t="shared" ca="1" si="52"/>
        <v>9.0558785284283724E-8</v>
      </c>
      <c r="BJ77" s="1202">
        <f t="shared" ca="1" si="52"/>
        <v>4.0997143216259048E-8</v>
      </c>
      <c r="BK77" s="1202">
        <f t="shared" ca="1" si="52"/>
        <v>-8.700584791427465E-8</v>
      </c>
      <c r="BL77" s="1202">
        <f t="shared" ca="1" si="52"/>
        <v>-1.7577818703275777E-7</v>
      </c>
      <c r="BM77" s="1202">
        <f t="shared" ca="1" si="52"/>
        <v>-1.671852026393961E-7</v>
      </c>
      <c r="BN77" s="1202">
        <f t="shared" ca="1" si="52"/>
        <v>-5.1478561244583863E-8</v>
      </c>
      <c r="BO77" s="1202">
        <f t="shared" ca="1" si="52"/>
        <v>1.856152488579379E-7</v>
      </c>
      <c r="BP77" s="1202">
        <f t="shared" ca="1" si="52"/>
        <v>2.5590784935278763E-7</v>
      </c>
      <c r="BQ77" s="1202">
        <f t="shared" ca="1" si="52"/>
        <v>1.1633442687258156E-7</v>
      </c>
      <c r="BR77" s="430">
        <f t="shared" ca="1" si="52"/>
        <v>-2.7442778181166043E-7</v>
      </c>
    </row>
    <row r="78" spans="1:106" s="59" customFormat="1">
      <c r="D78" s="325"/>
      <c r="AJ78" s="332"/>
      <c r="AK78" s="332"/>
    </row>
    <row r="79" spans="1:106" s="59" customFormat="1">
      <c r="AJ79" s="332"/>
      <c r="AK79" s="332"/>
    </row>
    <row r="80" spans="1:106" s="332" customFormat="1">
      <c r="A80" s="648"/>
      <c r="B80" s="644" t="s">
        <v>353</v>
      </c>
      <c r="D80" s="686"/>
      <c r="E80" s="850"/>
      <c r="F80" s="850"/>
      <c r="G80" s="850"/>
      <c r="H80" s="850"/>
      <c r="I80" s="850"/>
      <c r="J80" s="850"/>
      <c r="K80" s="850"/>
      <c r="L80" s="850"/>
      <c r="M80" s="850"/>
      <c r="N80" s="850"/>
      <c r="O80" s="850"/>
      <c r="P80" s="850"/>
      <c r="Q80" s="850"/>
      <c r="R80" s="850"/>
      <c r="S80" s="850"/>
      <c r="T80" s="850"/>
      <c r="U80" s="850"/>
      <c r="V80" s="850"/>
      <c r="W80" s="850"/>
      <c r="X80" s="850"/>
      <c r="Y80" s="850"/>
      <c r="Z80" s="850"/>
      <c r="AA80" s="850"/>
      <c r="AB80" s="850"/>
      <c r="AC80" s="850"/>
      <c r="AD80" s="850"/>
      <c r="AE80" s="850"/>
      <c r="AF80" s="850"/>
      <c r="AG80" s="850"/>
      <c r="AH80" s="850"/>
      <c r="AI80" s="850"/>
      <c r="AJ80" s="648"/>
      <c r="AK80" s="648"/>
      <c r="AL80" s="648"/>
      <c r="AN80" s="644" t="s">
        <v>602</v>
      </c>
      <c r="AO80" s="648"/>
      <c r="AP80" s="648"/>
      <c r="AQ80" s="648"/>
      <c r="AR80" s="648"/>
      <c r="AS80" s="648"/>
      <c r="AT80" s="648"/>
      <c r="AU80" s="648"/>
      <c r="AV80" s="648"/>
      <c r="AW80" s="648"/>
      <c r="AX80" s="648"/>
      <c r="AY80" s="648"/>
      <c r="AZ80" s="648"/>
      <c r="BA80" s="648"/>
      <c r="BB80" s="648"/>
      <c r="BC80" s="648"/>
      <c r="BD80" s="648"/>
      <c r="BE80" s="648"/>
      <c r="BF80" s="648"/>
      <c r="BG80" s="648"/>
      <c r="BH80" s="648"/>
      <c r="BI80" s="648"/>
      <c r="BJ80" s="648"/>
      <c r="BK80" s="648"/>
      <c r="BL80" s="648"/>
      <c r="BM80" s="648"/>
      <c r="BN80" s="648"/>
      <c r="BO80" s="648"/>
      <c r="BP80" s="648"/>
      <c r="BQ80" s="648"/>
      <c r="BR80" s="648"/>
      <c r="BS80" s="648"/>
      <c r="BT80" s="648"/>
      <c r="BU80" s="648"/>
      <c r="BV80" s="648"/>
      <c r="BW80" s="648"/>
      <c r="BX80" s="648"/>
      <c r="BY80" s="648"/>
      <c r="BZ80" s="648"/>
      <c r="CA80" s="648"/>
      <c r="CB80" s="648"/>
      <c r="CC80" s="648"/>
      <c r="CD80" s="648"/>
      <c r="CE80" s="648"/>
      <c r="CF80" s="648"/>
      <c r="CG80" s="648"/>
      <c r="CH80" s="648"/>
      <c r="CI80" s="648"/>
      <c r="CJ80" s="648"/>
      <c r="CK80" s="648"/>
      <c r="CL80" s="648"/>
      <c r="CM80" s="648"/>
      <c r="CN80" s="648"/>
      <c r="CO80" s="648"/>
      <c r="CP80" s="648"/>
      <c r="CQ80" s="648"/>
      <c r="CR80" s="648"/>
      <c r="CS80" s="648"/>
      <c r="CT80" s="648"/>
      <c r="CU80" s="648"/>
      <c r="CV80" s="648"/>
      <c r="CW80" s="648"/>
      <c r="CX80" s="648"/>
      <c r="CY80" s="648"/>
      <c r="CZ80" s="648"/>
      <c r="DA80" s="648"/>
      <c r="DB80" s="648"/>
    </row>
    <row r="81" spans="1:106" s="59" customFormat="1">
      <c r="A81" s="64"/>
      <c r="B81" s="64"/>
      <c r="D81" s="324"/>
      <c r="E81" s="64"/>
      <c r="F81" s="64"/>
      <c r="G81" s="64"/>
      <c r="H81" s="64"/>
      <c r="I81" s="64"/>
      <c r="J81" s="64"/>
      <c r="K81" s="64"/>
      <c r="L81" s="64"/>
      <c r="M81" s="64"/>
      <c r="N81" s="64"/>
      <c r="O81" s="64"/>
      <c r="P81" s="64"/>
      <c r="Q81" s="64"/>
      <c r="R81" s="64"/>
      <c r="S81" s="64"/>
      <c r="T81" s="64"/>
      <c r="U81" s="64"/>
      <c r="V81" s="64"/>
      <c r="W81" s="64"/>
      <c r="X81" s="64"/>
      <c r="Y81" s="64"/>
      <c r="Z81" s="64"/>
      <c r="AA81" s="64"/>
      <c r="AB81" s="64"/>
      <c r="AC81" s="64"/>
      <c r="AD81" s="64"/>
      <c r="AE81" s="64"/>
      <c r="AF81" s="64"/>
      <c r="AG81" s="64"/>
      <c r="AH81" s="64"/>
      <c r="AI81" s="64"/>
      <c r="AJ81" s="648"/>
      <c r="AK81" s="648"/>
      <c r="AL81" s="64"/>
      <c r="AM81" s="324"/>
      <c r="AN81" s="64"/>
      <c r="AO81" s="64"/>
      <c r="AP81" s="64"/>
      <c r="AQ81" s="64"/>
      <c r="AR81" s="64"/>
      <c r="AS81" s="64"/>
      <c r="AT81" s="64"/>
      <c r="AU81" s="64"/>
      <c r="AV81" s="64"/>
      <c r="AW81" s="64"/>
      <c r="AX81" s="64"/>
      <c r="AY81" s="64"/>
      <c r="AZ81" s="64"/>
      <c r="BA81" s="64"/>
      <c r="BB81" s="64"/>
      <c r="BC81" s="64"/>
      <c r="BD81" s="64"/>
      <c r="BE81" s="64"/>
      <c r="BF81" s="64"/>
      <c r="BG81" s="64"/>
      <c r="BH81" s="64"/>
      <c r="BI81" s="64"/>
      <c r="BJ81" s="64"/>
      <c r="BK81" s="64"/>
      <c r="BL81" s="64"/>
      <c r="BM81" s="64"/>
      <c r="BN81" s="64"/>
      <c r="BO81" s="64"/>
      <c r="BP81" s="64"/>
      <c r="BQ81" s="64"/>
      <c r="BR81" s="64"/>
      <c r="BS81" s="64"/>
      <c r="BT81" s="64"/>
      <c r="BU81" s="64"/>
      <c r="BV81" s="64"/>
      <c r="BW81" s="64"/>
      <c r="BX81" s="64"/>
      <c r="BY81" s="64"/>
      <c r="BZ81" s="64"/>
      <c r="CA81" s="64"/>
      <c r="CB81" s="64"/>
      <c r="CC81" s="64"/>
      <c r="CD81" s="64"/>
      <c r="CE81" s="64"/>
      <c r="CF81" s="64"/>
      <c r="CG81" s="64"/>
      <c r="CH81" s="64"/>
      <c r="CI81" s="64"/>
      <c r="CJ81" s="64"/>
      <c r="CK81" s="64"/>
      <c r="CL81" s="64"/>
      <c r="CM81" s="64"/>
      <c r="CN81" s="64"/>
      <c r="CO81" s="64"/>
      <c r="CP81" s="64"/>
      <c r="CQ81" s="64"/>
      <c r="CR81" s="64"/>
      <c r="CS81" s="64"/>
      <c r="CT81" s="64"/>
      <c r="CU81" s="64"/>
      <c r="CV81" s="64"/>
      <c r="CW81" s="64"/>
      <c r="CX81" s="64"/>
      <c r="CY81" s="64"/>
      <c r="CZ81" s="64"/>
      <c r="DA81" s="64"/>
      <c r="DB81" s="64"/>
    </row>
    <row r="82" spans="1:106" s="428" customFormat="1">
      <c r="A82" s="431"/>
      <c r="B82" s="878" t="s">
        <v>548</v>
      </c>
      <c r="C82" s="59"/>
      <c r="D82" s="865"/>
      <c r="E82" s="431">
        <f>E35</f>
        <v>10990.1020025</v>
      </c>
      <c r="F82" s="431">
        <f t="shared" ref="F82:AH82" si="53">F35</f>
        <v>11020.715099999999</v>
      </c>
      <c r="G82" s="431">
        <f>G35</f>
        <v>11020.715099999999</v>
      </c>
      <c r="H82" s="431">
        <f t="shared" si="53"/>
        <v>11020.715099999999</v>
      </c>
      <c r="I82" s="431">
        <f t="shared" si="53"/>
        <v>11020.715099999999</v>
      </c>
      <c r="J82" s="431">
        <f t="shared" si="53"/>
        <v>11020.715099999999</v>
      </c>
      <c r="K82" s="431">
        <f t="shared" si="53"/>
        <v>11020.715099999999</v>
      </c>
      <c r="L82" s="431">
        <f t="shared" si="53"/>
        <v>11020.715099999999</v>
      </c>
      <c r="M82" s="431">
        <f t="shared" si="53"/>
        <v>11020.715099999999</v>
      </c>
      <c r="N82" s="431">
        <f t="shared" si="53"/>
        <v>11020.715099999999</v>
      </c>
      <c r="O82" s="431">
        <f t="shared" si="53"/>
        <v>11020.715099999999</v>
      </c>
      <c r="P82" s="431">
        <f t="shared" si="53"/>
        <v>11020.715099999999</v>
      </c>
      <c r="Q82" s="431">
        <f t="shared" si="53"/>
        <v>11020.715099999999</v>
      </c>
      <c r="R82" s="431">
        <f t="shared" si="53"/>
        <v>11020.715099999999</v>
      </c>
      <c r="S82" s="431">
        <f t="shared" si="53"/>
        <v>11020.715099999999</v>
      </c>
      <c r="T82" s="431">
        <f t="shared" si="53"/>
        <v>11020.715099999999</v>
      </c>
      <c r="U82" s="431">
        <f t="shared" si="53"/>
        <v>11020.715099999999</v>
      </c>
      <c r="V82" s="431">
        <f t="shared" si="53"/>
        <v>11020.715099999999</v>
      </c>
      <c r="W82" s="431">
        <f t="shared" si="53"/>
        <v>11020.715099999999</v>
      </c>
      <c r="X82" s="431">
        <f t="shared" si="53"/>
        <v>11020.715099999999</v>
      </c>
      <c r="Y82" s="431">
        <f t="shared" si="53"/>
        <v>30.613097499999892</v>
      </c>
      <c r="Z82" s="431">
        <f t="shared" si="53"/>
        <v>0</v>
      </c>
      <c r="AA82" s="431">
        <f t="shared" si="53"/>
        <v>0</v>
      </c>
      <c r="AB82" s="431">
        <f t="shared" si="53"/>
        <v>0</v>
      </c>
      <c r="AC82" s="431">
        <f t="shared" si="53"/>
        <v>0</v>
      </c>
      <c r="AD82" s="431">
        <f t="shared" si="53"/>
        <v>0</v>
      </c>
      <c r="AE82" s="431">
        <f t="shared" si="53"/>
        <v>0</v>
      </c>
      <c r="AF82" s="431">
        <f t="shared" si="53"/>
        <v>0</v>
      </c>
      <c r="AG82" s="431">
        <f t="shared" si="53"/>
        <v>0</v>
      </c>
      <c r="AH82" s="431">
        <f t="shared" si="53"/>
        <v>0</v>
      </c>
      <c r="AI82" s="431">
        <f>AI35</f>
        <v>0</v>
      </c>
      <c r="AJ82" s="644"/>
      <c r="AK82" s="644"/>
      <c r="AM82" s="865"/>
      <c r="AN82" s="1204">
        <f t="shared" ref="AN82:AW85" si="54">E82/E$82</f>
        <v>1</v>
      </c>
      <c r="AO82" s="1204">
        <f t="shared" si="54"/>
        <v>1</v>
      </c>
      <c r="AP82" s="1204">
        <f t="shared" si="54"/>
        <v>1</v>
      </c>
      <c r="AQ82" s="1204">
        <f t="shared" si="54"/>
        <v>1</v>
      </c>
      <c r="AR82" s="1204">
        <f t="shared" si="54"/>
        <v>1</v>
      </c>
      <c r="AS82" s="1204">
        <f t="shared" si="54"/>
        <v>1</v>
      </c>
      <c r="AT82" s="1204">
        <f t="shared" si="54"/>
        <v>1</v>
      </c>
      <c r="AU82" s="1204">
        <f t="shared" si="54"/>
        <v>1</v>
      </c>
      <c r="AV82" s="1204">
        <f t="shared" si="54"/>
        <v>1</v>
      </c>
      <c r="AW82" s="1204">
        <f t="shared" si="54"/>
        <v>1</v>
      </c>
      <c r="AX82" s="1204">
        <f t="shared" ref="AX82:BG85" si="55">O82/O$82</f>
        <v>1</v>
      </c>
      <c r="AY82" s="1204">
        <f t="shared" si="55"/>
        <v>1</v>
      </c>
      <c r="AZ82" s="1204">
        <f t="shared" si="55"/>
        <v>1</v>
      </c>
      <c r="BA82" s="1204">
        <f t="shared" si="55"/>
        <v>1</v>
      </c>
      <c r="BB82" s="1204">
        <f t="shared" si="55"/>
        <v>1</v>
      </c>
      <c r="BC82" s="1204">
        <f t="shared" si="55"/>
        <v>1</v>
      </c>
      <c r="BD82" s="1204">
        <f t="shared" si="55"/>
        <v>1</v>
      </c>
      <c r="BE82" s="1204">
        <f t="shared" si="55"/>
        <v>1</v>
      </c>
      <c r="BF82" s="1204">
        <f t="shared" si="55"/>
        <v>1</v>
      </c>
      <c r="BG82" s="1204">
        <f t="shared" si="55"/>
        <v>1</v>
      </c>
      <c r="BH82" s="1204">
        <f t="shared" ref="BH82:BQ85" si="56">Y82/Y$82</f>
        <v>1</v>
      </c>
      <c r="BI82" s="1204" t="e">
        <f t="shared" si="56"/>
        <v>#DIV/0!</v>
      </c>
      <c r="BJ82" s="1204" t="e">
        <f t="shared" si="56"/>
        <v>#DIV/0!</v>
      </c>
      <c r="BK82" s="1204" t="e">
        <f t="shared" si="56"/>
        <v>#DIV/0!</v>
      </c>
      <c r="BL82" s="1204" t="e">
        <f t="shared" si="56"/>
        <v>#DIV/0!</v>
      </c>
      <c r="BM82" s="1204" t="e">
        <f t="shared" si="56"/>
        <v>#DIV/0!</v>
      </c>
      <c r="BN82" s="1204" t="e">
        <f t="shared" si="56"/>
        <v>#DIV/0!</v>
      </c>
      <c r="BO82" s="1204" t="e">
        <f t="shared" si="56"/>
        <v>#DIV/0!</v>
      </c>
      <c r="BP82" s="1204" t="e">
        <f t="shared" si="56"/>
        <v>#DIV/0!</v>
      </c>
      <c r="BQ82" s="1204" t="e">
        <f t="shared" si="56"/>
        <v>#DIV/0!</v>
      </c>
      <c r="BR82" s="1204" t="e">
        <f>AI82/AI$82</f>
        <v>#DIV/0!</v>
      </c>
      <c r="BS82" s="431"/>
      <c r="BT82" s="431"/>
      <c r="BU82" s="431"/>
      <c r="BV82" s="431"/>
      <c r="BW82" s="431"/>
      <c r="BX82" s="431"/>
      <c r="BY82" s="431"/>
      <c r="BZ82" s="431"/>
      <c r="CA82" s="431"/>
      <c r="CB82" s="431"/>
      <c r="CC82" s="431"/>
      <c r="CD82" s="431"/>
      <c r="CE82" s="431"/>
      <c r="CF82" s="431"/>
      <c r="CG82" s="431"/>
      <c r="CH82" s="431"/>
      <c r="CI82" s="431"/>
      <c r="CJ82" s="431"/>
      <c r="CK82" s="431"/>
      <c r="CL82" s="431"/>
      <c r="CM82" s="431"/>
      <c r="CN82" s="431"/>
      <c r="CO82" s="431"/>
      <c r="CP82" s="431"/>
      <c r="CQ82" s="431"/>
      <c r="CR82" s="431"/>
      <c r="CS82" s="431"/>
      <c r="CT82" s="431"/>
      <c r="CU82" s="431"/>
      <c r="CV82" s="431"/>
      <c r="CW82" s="431"/>
      <c r="CX82" s="431"/>
      <c r="CY82" s="431"/>
      <c r="CZ82" s="431"/>
      <c r="DA82" s="431"/>
      <c r="DB82" s="431"/>
    </row>
    <row r="83" spans="1:106" s="59" customFormat="1">
      <c r="A83" s="64"/>
      <c r="B83" s="234" t="s">
        <v>82</v>
      </c>
      <c r="D83" s="323"/>
      <c r="E83" s="64">
        <f>E36</f>
        <v>1697.5024939418195</v>
      </c>
      <c r="F83" s="64">
        <f>F36</f>
        <v>3592.8375606949194</v>
      </c>
      <c r="G83" s="64">
        <f>G36</f>
        <v>3615.9190289057965</v>
      </c>
      <c r="H83" s="64">
        <f t="shared" ref="H83:AH83" si="57">H36</f>
        <v>3629.8227255890542</v>
      </c>
      <c r="I83" s="64">
        <f t="shared" si="57"/>
        <v>3635.9504562682837</v>
      </c>
      <c r="J83" s="64">
        <f t="shared" si="57"/>
        <v>4444.6828730269772</v>
      </c>
      <c r="K83" s="64">
        <f t="shared" si="57"/>
        <v>4848.2721589706352</v>
      </c>
      <c r="L83" s="64">
        <f t="shared" si="57"/>
        <v>4827.6584524113023</v>
      </c>
      <c r="M83" s="64">
        <f t="shared" si="57"/>
        <v>4806.6038942116256</v>
      </c>
      <c r="N83" s="64">
        <f t="shared" si="57"/>
        <v>4709.0323768563849</v>
      </c>
      <c r="O83" s="64">
        <f t="shared" si="57"/>
        <v>4597.7609473747025</v>
      </c>
      <c r="P83" s="64">
        <f t="shared" si="57"/>
        <v>4475.0892878550167</v>
      </c>
      <c r="Q83" s="64">
        <f t="shared" si="57"/>
        <v>4340.5175745509514</v>
      </c>
      <c r="R83" s="64">
        <f t="shared" si="57"/>
        <v>4424.0148789462755</v>
      </c>
      <c r="S83" s="64">
        <f t="shared" si="57"/>
        <v>4522.5895204173039</v>
      </c>
      <c r="T83" s="64">
        <f t="shared" si="57"/>
        <v>4731.3164960039257</v>
      </c>
      <c r="U83" s="64">
        <f t="shared" si="57"/>
        <v>4796.1805084435027</v>
      </c>
      <c r="V83" s="64">
        <f t="shared" si="57"/>
        <v>4862.5861888549571</v>
      </c>
      <c r="W83" s="64">
        <f t="shared" si="57"/>
        <v>4813.4819550932334</v>
      </c>
      <c r="X83" s="64">
        <f t="shared" si="57"/>
        <v>4880.1554790794326</v>
      </c>
      <c r="Y83" s="64">
        <f t="shared" si="57"/>
        <v>12.629538129187866</v>
      </c>
      <c r="Z83" s="64">
        <f t="shared" si="57"/>
        <v>0</v>
      </c>
      <c r="AA83" s="64">
        <f t="shared" si="57"/>
        <v>0</v>
      </c>
      <c r="AB83" s="64">
        <f t="shared" si="57"/>
        <v>0</v>
      </c>
      <c r="AC83" s="64">
        <f t="shared" si="57"/>
        <v>0</v>
      </c>
      <c r="AD83" s="64">
        <f t="shared" si="57"/>
        <v>0</v>
      </c>
      <c r="AE83" s="64">
        <f t="shared" si="57"/>
        <v>0</v>
      </c>
      <c r="AF83" s="64">
        <f t="shared" si="57"/>
        <v>0</v>
      </c>
      <c r="AG83" s="64">
        <f t="shared" si="57"/>
        <v>0</v>
      </c>
      <c r="AH83" s="64">
        <f t="shared" si="57"/>
        <v>0</v>
      </c>
      <c r="AI83" s="64">
        <f>AI36</f>
        <v>0</v>
      </c>
      <c r="AJ83" s="648"/>
      <c r="AK83" s="648"/>
      <c r="AM83" s="323"/>
      <c r="AN83" s="430">
        <f t="shared" si="54"/>
        <v>0.15445739207476655</v>
      </c>
      <c r="AO83" s="430">
        <f t="shared" si="54"/>
        <v>0.32600766176188689</v>
      </c>
      <c r="AP83" s="430">
        <f t="shared" si="54"/>
        <v>0.32810203295299745</v>
      </c>
      <c r="AQ83" s="430">
        <f t="shared" si="54"/>
        <v>0.32936362955150289</v>
      </c>
      <c r="AR83" s="430">
        <f t="shared" si="54"/>
        <v>0.3299196488863308</v>
      </c>
      <c r="AS83" s="430">
        <f t="shared" si="54"/>
        <v>0.4033025836070272</v>
      </c>
      <c r="AT83" s="430">
        <f t="shared" si="54"/>
        <v>0.4399235544135095</v>
      </c>
      <c r="AU83" s="430">
        <f t="shared" si="54"/>
        <v>0.43805310350607851</v>
      </c>
      <c r="AV83" s="430">
        <f t="shared" si="54"/>
        <v>0.43614265050837092</v>
      </c>
      <c r="AW83" s="430">
        <f t="shared" si="54"/>
        <v>0.42728918533211924</v>
      </c>
      <c r="AX83" s="430">
        <f t="shared" si="55"/>
        <v>0.41719261460399271</v>
      </c>
      <c r="AY83" s="430">
        <f t="shared" si="55"/>
        <v>0.40606160736838365</v>
      </c>
      <c r="AZ83" s="430">
        <f t="shared" si="55"/>
        <v>0.39385081051146598</v>
      </c>
      <c r="BA83" s="430">
        <f t="shared" si="55"/>
        <v>0.40142720674689031</v>
      </c>
      <c r="BB83" s="430">
        <f t="shared" si="55"/>
        <v>0.41037169361335762</v>
      </c>
      <c r="BC83" s="430">
        <f t="shared" si="55"/>
        <v>0.42931120649366267</v>
      </c>
      <c r="BD83" s="430">
        <f t="shared" si="55"/>
        <v>0.43519685110483464</v>
      </c>
      <c r="BE83" s="430">
        <f t="shared" si="55"/>
        <v>0.44122238391363167</v>
      </c>
      <c r="BF83" s="430">
        <f t="shared" si="55"/>
        <v>0.4367667534653204</v>
      </c>
      <c r="BG83" s="430">
        <f t="shared" si="55"/>
        <v>0.44281658992159528</v>
      </c>
      <c r="BH83" s="430">
        <f t="shared" si="56"/>
        <v>0.41255342191974892</v>
      </c>
      <c r="BI83" s="430" t="e">
        <f t="shared" si="56"/>
        <v>#DIV/0!</v>
      </c>
      <c r="BJ83" s="430" t="e">
        <f t="shared" si="56"/>
        <v>#DIV/0!</v>
      </c>
      <c r="BK83" s="430" t="e">
        <f t="shared" si="56"/>
        <v>#DIV/0!</v>
      </c>
      <c r="BL83" s="430" t="e">
        <f t="shared" si="56"/>
        <v>#DIV/0!</v>
      </c>
      <c r="BM83" s="430" t="e">
        <f t="shared" si="56"/>
        <v>#DIV/0!</v>
      </c>
      <c r="BN83" s="430" t="e">
        <f t="shared" si="56"/>
        <v>#DIV/0!</v>
      </c>
      <c r="BO83" s="430" t="e">
        <f t="shared" si="56"/>
        <v>#DIV/0!</v>
      </c>
      <c r="BP83" s="430" t="e">
        <f t="shared" si="56"/>
        <v>#DIV/0!</v>
      </c>
      <c r="BQ83" s="430" t="e">
        <f t="shared" si="56"/>
        <v>#DIV/0!</v>
      </c>
      <c r="BR83" s="1204" t="e">
        <f>AI83/AI$82</f>
        <v>#DIV/0!</v>
      </c>
      <c r="BS83" s="64"/>
      <c r="BT83" s="64"/>
      <c r="BU83" s="64"/>
      <c r="BV83" s="64"/>
      <c r="BW83" s="64"/>
      <c r="BX83" s="64"/>
      <c r="BY83" s="64"/>
      <c r="BZ83" s="64"/>
      <c r="CA83" s="64"/>
      <c r="CB83" s="64"/>
      <c r="CC83" s="64"/>
      <c r="CD83" s="64"/>
      <c r="CE83" s="64"/>
      <c r="CF83" s="64"/>
      <c r="CG83" s="64"/>
      <c r="CH83" s="64"/>
      <c r="CI83" s="64"/>
      <c r="CJ83" s="64"/>
      <c r="CK83" s="64"/>
      <c r="CL83" s="64"/>
      <c r="CM83" s="64"/>
      <c r="CN83" s="64"/>
      <c r="CO83" s="64"/>
      <c r="CP83" s="64"/>
      <c r="CQ83" s="64"/>
      <c r="CR83" s="64"/>
      <c r="CS83" s="64"/>
      <c r="CT83" s="64"/>
      <c r="CU83" s="64"/>
      <c r="CV83" s="64"/>
      <c r="CW83" s="64"/>
      <c r="CX83" s="64"/>
      <c r="CY83" s="64"/>
      <c r="CZ83" s="64"/>
      <c r="DA83" s="64"/>
      <c r="DB83" s="64"/>
    </row>
    <row r="84" spans="1:106" s="59" customFormat="1">
      <c r="A84" s="64"/>
      <c r="B84" s="234" t="s">
        <v>543</v>
      </c>
      <c r="D84" s="323"/>
      <c r="E84" s="64">
        <f t="shared" ref="E84:AH84" si="58">SUM(E37:E39)</f>
        <v>1576.3377346133179</v>
      </c>
      <c r="F84" s="64">
        <f t="shared" si="58"/>
        <v>1501.6332421413279</v>
      </c>
      <c r="G84" s="64">
        <f t="shared" si="58"/>
        <v>1422.157728375108</v>
      </c>
      <c r="H84" s="64">
        <f t="shared" si="58"/>
        <v>1428.8934206037263</v>
      </c>
      <c r="I84" s="64">
        <f t="shared" si="58"/>
        <v>1437.472524863083</v>
      </c>
      <c r="J84" s="64">
        <f t="shared" si="58"/>
        <v>324.42299661177589</v>
      </c>
      <c r="K84" s="64">
        <f t="shared" si="58"/>
        <v>331.81733452410998</v>
      </c>
      <c r="L84" s="64">
        <f t="shared" si="58"/>
        <v>339.3972637461232</v>
      </c>
      <c r="M84" s="64">
        <f t="shared" si="58"/>
        <v>347.57282042935935</v>
      </c>
      <c r="N84" s="64">
        <f t="shared" si="58"/>
        <v>356.01305148398342</v>
      </c>
      <c r="O84" s="64">
        <f t="shared" si="58"/>
        <v>364.71046174899595</v>
      </c>
      <c r="P84" s="64">
        <f t="shared" si="58"/>
        <v>373.66920173274508</v>
      </c>
      <c r="Q84" s="64">
        <f t="shared" si="58"/>
        <v>381.66876217463778</v>
      </c>
      <c r="R84" s="64">
        <f t="shared" si="58"/>
        <v>389.79731365627845</v>
      </c>
      <c r="S84" s="64">
        <f t="shared" si="58"/>
        <v>397.55600006480012</v>
      </c>
      <c r="T84" s="64">
        <f t="shared" si="58"/>
        <v>406.30508530478511</v>
      </c>
      <c r="U84" s="64">
        <f t="shared" si="58"/>
        <v>408.21060621264274</v>
      </c>
      <c r="V84" s="64">
        <f t="shared" si="58"/>
        <v>380.77569169943422</v>
      </c>
      <c r="W84" s="64">
        <f t="shared" si="58"/>
        <v>390.29508399192002</v>
      </c>
      <c r="X84" s="64">
        <f t="shared" si="58"/>
        <v>400.05246109171799</v>
      </c>
      <c r="Y84" s="64">
        <f t="shared" si="58"/>
        <v>1.1390382572750262</v>
      </c>
      <c r="Z84" s="64">
        <f t="shared" si="58"/>
        <v>0</v>
      </c>
      <c r="AA84" s="64">
        <f t="shared" si="58"/>
        <v>0</v>
      </c>
      <c r="AB84" s="64">
        <f t="shared" si="58"/>
        <v>0</v>
      </c>
      <c r="AC84" s="64">
        <f t="shared" si="58"/>
        <v>0</v>
      </c>
      <c r="AD84" s="64">
        <f t="shared" si="58"/>
        <v>0</v>
      </c>
      <c r="AE84" s="64">
        <f t="shared" si="58"/>
        <v>0</v>
      </c>
      <c r="AF84" s="64">
        <f t="shared" si="58"/>
        <v>0</v>
      </c>
      <c r="AG84" s="64">
        <f t="shared" si="58"/>
        <v>0</v>
      </c>
      <c r="AH84" s="64">
        <f t="shared" si="58"/>
        <v>0</v>
      </c>
      <c r="AI84" s="64">
        <f>SUM(AI37:AI39)</f>
        <v>0</v>
      </c>
      <c r="AJ84" s="648"/>
      <c r="AK84" s="648"/>
      <c r="AM84" s="323"/>
      <c r="AN84" s="430">
        <f t="shared" si="54"/>
        <v>0.14343249355235618</v>
      </c>
      <c r="AO84" s="430">
        <f t="shared" si="54"/>
        <v>0.1362555177695618</v>
      </c>
      <c r="AP84" s="430">
        <f t="shared" si="54"/>
        <v>0.12904405163101512</v>
      </c>
      <c r="AQ84" s="430">
        <f t="shared" si="54"/>
        <v>0.12965523631072964</v>
      </c>
      <c r="AR84" s="430">
        <f t="shared" si="54"/>
        <v>0.13043368890491353</v>
      </c>
      <c r="AS84" s="430">
        <f t="shared" si="54"/>
        <v>2.9437563140687295E-2</v>
      </c>
      <c r="AT84" s="430">
        <f t="shared" si="54"/>
        <v>3.0108512153091588E-2</v>
      </c>
      <c r="AU84" s="430">
        <f t="shared" si="54"/>
        <v>3.0796301389382909E-2</v>
      </c>
      <c r="AV84" s="430">
        <f t="shared" si="54"/>
        <v>3.1538136797435168E-2</v>
      </c>
      <c r="AW84" s="430">
        <f t="shared" si="54"/>
        <v>3.2303988285114403E-2</v>
      </c>
      <c r="AX84" s="430">
        <f t="shared" si="55"/>
        <v>3.3093175754901422E-2</v>
      </c>
      <c r="AY84" s="430">
        <f t="shared" si="55"/>
        <v>3.3906075816508958E-2</v>
      </c>
      <c r="AZ84" s="430">
        <f t="shared" si="55"/>
        <v>3.4631941640033664E-2</v>
      </c>
      <c r="BA84" s="430">
        <f t="shared" si="55"/>
        <v>3.5369511880066519E-2</v>
      </c>
      <c r="BB84" s="430">
        <f t="shared" si="55"/>
        <v>3.6073521224117312E-2</v>
      </c>
      <c r="BC84" s="430">
        <f t="shared" si="55"/>
        <v>3.6867397588817546E-2</v>
      </c>
      <c r="BD84" s="430">
        <f t="shared" si="55"/>
        <v>3.7040301151841114E-2</v>
      </c>
      <c r="BE84" s="430">
        <f t="shared" si="55"/>
        <v>3.4550906020557069E-2</v>
      </c>
      <c r="BF84" s="430">
        <f t="shared" si="55"/>
        <v>3.5414678671070995E-2</v>
      </c>
      <c r="BG84" s="430">
        <f t="shared" si="55"/>
        <v>3.6300045637847764E-2</v>
      </c>
      <c r="BH84" s="430">
        <f t="shared" si="56"/>
        <v>3.7207546778793954E-2</v>
      </c>
      <c r="BI84" s="430" t="e">
        <f t="shared" si="56"/>
        <v>#DIV/0!</v>
      </c>
      <c r="BJ84" s="430" t="e">
        <f t="shared" si="56"/>
        <v>#DIV/0!</v>
      </c>
      <c r="BK84" s="430" t="e">
        <f t="shared" si="56"/>
        <v>#DIV/0!</v>
      </c>
      <c r="BL84" s="430" t="e">
        <f t="shared" si="56"/>
        <v>#DIV/0!</v>
      </c>
      <c r="BM84" s="430" t="e">
        <f t="shared" si="56"/>
        <v>#DIV/0!</v>
      </c>
      <c r="BN84" s="430" t="e">
        <f t="shared" si="56"/>
        <v>#DIV/0!</v>
      </c>
      <c r="BO84" s="430" t="e">
        <f t="shared" si="56"/>
        <v>#DIV/0!</v>
      </c>
      <c r="BP84" s="430" t="e">
        <f t="shared" si="56"/>
        <v>#DIV/0!</v>
      </c>
      <c r="BQ84" s="430" t="e">
        <f t="shared" si="56"/>
        <v>#DIV/0!</v>
      </c>
      <c r="BR84" s="1204" t="e">
        <f>AI84/AI$82</f>
        <v>#DIV/0!</v>
      </c>
      <c r="BS84" s="64"/>
      <c r="BT84" s="64"/>
      <c r="BU84" s="64"/>
      <c r="BV84" s="64"/>
      <c r="BW84" s="64"/>
      <c r="BX84" s="64"/>
      <c r="BY84" s="64"/>
      <c r="BZ84" s="64"/>
      <c r="CA84" s="64"/>
      <c r="CB84" s="64"/>
      <c r="CC84" s="64"/>
      <c r="CD84" s="64"/>
      <c r="CE84" s="64"/>
      <c r="CF84" s="64"/>
      <c r="CG84" s="64"/>
      <c r="CH84" s="64"/>
      <c r="CI84" s="64"/>
      <c r="CJ84" s="64"/>
      <c r="CK84" s="64"/>
      <c r="CL84" s="64"/>
      <c r="CM84" s="64"/>
      <c r="CN84" s="64"/>
      <c r="CO84" s="64"/>
      <c r="CP84" s="64"/>
      <c r="CQ84" s="64"/>
      <c r="CR84" s="64"/>
      <c r="CS84" s="64"/>
      <c r="CT84" s="64"/>
      <c r="CU84" s="64"/>
      <c r="CV84" s="64"/>
      <c r="CW84" s="64"/>
      <c r="CX84" s="64"/>
      <c r="CY84" s="64"/>
      <c r="CZ84" s="64"/>
      <c r="DA84" s="64"/>
      <c r="DB84" s="64"/>
    </row>
    <row r="85" spans="1:106" s="428" customFormat="1" ht="13.5" thickBot="1">
      <c r="A85" s="431"/>
      <c r="B85" s="879" t="s">
        <v>262</v>
      </c>
      <c r="C85" s="59"/>
      <c r="D85" s="865"/>
      <c r="E85" s="557">
        <f t="shared" ref="E85:AI85" si="59">E82-E83-E84</f>
        <v>7716.2617739448615</v>
      </c>
      <c r="F85" s="557">
        <f t="shared" si="59"/>
        <v>5926.244297163752</v>
      </c>
      <c r="G85" s="557">
        <f t="shared" si="59"/>
        <v>5982.638342719094</v>
      </c>
      <c r="H85" s="557">
        <f t="shared" si="59"/>
        <v>5961.9989538072186</v>
      </c>
      <c r="I85" s="557">
        <f t="shared" si="59"/>
        <v>5947.2921188686332</v>
      </c>
      <c r="J85" s="557">
        <f t="shared" si="59"/>
        <v>6251.6092303612468</v>
      </c>
      <c r="K85" s="557">
        <f t="shared" si="59"/>
        <v>5840.6256065052539</v>
      </c>
      <c r="L85" s="557">
        <f t="shared" si="59"/>
        <v>5853.6593838425742</v>
      </c>
      <c r="M85" s="557">
        <f t="shared" si="59"/>
        <v>5866.5383853590147</v>
      </c>
      <c r="N85" s="557">
        <f t="shared" si="59"/>
        <v>5955.6696716596307</v>
      </c>
      <c r="O85" s="557">
        <f t="shared" si="59"/>
        <v>6058.2436908763011</v>
      </c>
      <c r="P85" s="557">
        <f t="shared" si="59"/>
        <v>6171.9566104122378</v>
      </c>
      <c r="Q85" s="557">
        <f t="shared" si="59"/>
        <v>6298.5287632744103</v>
      </c>
      <c r="R85" s="557">
        <f t="shared" si="59"/>
        <v>6206.9029073974452</v>
      </c>
      <c r="S85" s="557">
        <f t="shared" si="59"/>
        <v>6100.5695795178954</v>
      </c>
      <c r="T85" s="557">
        <f t="shared" si="59"/>
        <v>5883.0935186912884</v>
      </c>
      <c r="U85" s="557">
        <f t="shared" si="59"/>
        <v>5816.3239853438536</v>
      </c>
      <c r="V85" s="557">
        <f t="shared" si="59"/>
        <v>5777.3532194456084</v>
      </c>
      <c r="W85" s="557">
        <f t="shared" si="59"/>
        <v>5816.9380609148457</v>
      </c>
      <c r="X85" s="557">
        <f t="shared" si="59"/>
        <v>5740.5071598288487</v>
      </c>
      <c r="Y85" s="557">
        <f t="shared" si="59"/>
        <v>16.844521113536999</v>
      </c>
      <c r="Z85" s="557">
        <f t="shared" si="59"/>
        <v>0</v>
      </c>
      <c r="AA85" s="557">
        <f t="shared" si="59"/>
        <v>0</v>
      </c>
      <c r="AB85" s="557">
        <f t="shared" si="59"/>
        <v>0</v>
      </c>
      <c r="AC85" s="557">
        <f t="shared" si="59"/>
        <v>0</v>
      </c>
      <c r="AD85" s="557">
        <f t="shared" si="59"/>
        <v>0</v>
      </c>
      <c r="AE85" s="557">
        <f t="shared" si="59"/>
        <v>0</v>
      </c>
      <c r="AF85" s="557">
        <f t="shared" si="59"/>
        <v>0</v>
      </c>
      <c r="AG85" s="557">
        <f t="shared" si="59"/>
        <v>0</v>
      </c>
      <c r="AH85" s="557">
        <f t="shared" si="59"/>
        <v>0</v>
      </c>
      <c r="AI85" s="557">
        <f t="shared" si="59"/>
        <v>0</v>
      </c>
      <c r="AJ85" s="644"/>
      <c r="AK85" s="644"/>
      <c r="AM85" s="865"/>
      <c r="AN85" s="1205">
        <f t="shared" si="54"/>
        <v>0.70211011437287718</v>
      </c>
      <c r="AO85" s="1205">
        <f t="shared" si="54"/>
        <v>0.53773682046855131</v>
      </c>
      <c r="AP85" s="1205">
        <f t="shared" si="54"/>
        <v>0.54285391541598738</v>
      </c>
      <c r="AQ85" s="1205">
        <f t="shared" si="54"/>
        <v>0.54098113413776738</v>
      </c>
      <c r="AR85" s="1205">
        <f t="shared" si="54"/>
        <v>0.53964666220875568</v>
      </c>
      <c r="AS85" s="1205">
        <f t="shared" si="54"/>
        <v>0.56725985325228556</v>
      </c>
      <c r="AT85" s="1205">
        <f t="shared" si="54"/>
        <v>0.52996793343339887</v>
      </c>
      <c r="AU85" s="1205">
        <f t="shared" si="54"/>
        <v>0.53115059510453855</v>
      </c>
      <c r="AV85" s="1205">
        <f t="shared" si="54"/>
        <v>0.53231921269419391</v>
      </c>
      <c r="AW85" s="1205">
        <f t="shared" si="54"/>
        <v>0.54040682638276627</v>
      </c>
      <c r="AX85" s="1205">
        <f t="shared" si="55"/>
        <v>0.54971420964110596</v>
      </c>
      <c r="AY85" s="1205">
        <f t="shared" si="55"/>
        <v>0.56003231681510746</v>
      </c>
      <c r="AZ85" s="1205">
        <f t="shared" si="55"/>
        <v>0.57151724784850033</v>
      </c>
      <c r="BA85" s="1205">
        <f t="shared" si="55"/>
        <v>0.56320328137304321</v>
      </c>
      <c r="BB85" s="1205">
        <f t="shared" si="55"/>
        <v>0.55355478516252499</v>
      </c>
      <c r="BC85" s="1205">
        <f t="shared" si="55"/>
        <v>0.53382139591751976</v>
      </c>
      <c r="BD85" s="1205">
        <f t="shared" si="55"/>
        <v>0.52776284774332416</v>
      </c>
      <c r="BE85" s="1205">
        <f t="shared" si="55"/>
        <v>0.52422671006581134</v>
      </c>
      <c r="BF85" s="1205">
        <f t="shared" si="55"/>
        <v>0.52781856786360859</v>
      </c>
      <c r="BG85" s="1205">
        <f t="shared" si="55"/>
        <v>0.52088336444055694</v>
      </c>
      <c r="BH85" s="1205">
        <f t="shared" si="56"/>
        <v>0.55023903130145713</v>
      </c>
      <c r="BI85" s="1205" t="e">
        <f t="shared" si="56"/>
        <v>#DIV/0!</v>
      </c>
      <c r="BJ85" s="1205" t="e">
        <f t="shared" si="56"/>
        <v>#DIV/0!</v>
      </c>
      <c r="BK85" s="1205" t="e">
        <f t="shared" si="56"/>
        <v>#DIV/0!</v>
      </c>
      <c r="BL85" s="1205" t="e">
        <f t="shared" si="56"/>
        <v>#DIV/0!</v>
      </c>
      <c r="BM85" s="1205" t="e">
        <f t="shared" si="56"/>
        <v>#DIV/0!</v>
      </c>
      <c r="BN85" s="1205" t="e">
        <f t="shared" si="56"/>
        <v>#DIV/0!</v>
      </c>
      <c r="BO85" s="1205" t="e">
        <f t="shared" si="56"/>
        <v>#DIV/0!</v>
      </c>
      <c r="BP85" s="1205" t="e">
        <f t="shared" si="56"/>
        <v>#DIV/0!</v>
      </c>
      <c r="BQ85" s="1205" t="e">
        <f t="shared" si="56"/>
        <v>#DIV/0!</v>
      </c>
      <c r="BR85" s="1204" t="e">
        <f>AI85/AI$82</f>
        <v>#DIV/0!</v>
      </c>
      <c r="BS85" s="431"/>
      <c r="BT85" s="431"/>
      <c r="BU85" s="431"/>
      <c r="BV85" s="431"/>
      <c r="BW85" s="431"/>
      <c r="BX85" s="431"/>
      <c r="BY85" s="431"/>
      <c r="BZ85" s="431"/>
      <c r="CA85" s="431"/>
      <c r="CB85" s="431"/>
      <c r="CC85" s="431"/>
      <c r="CD85" s="431"/>
      <c r="CE85" s="431"/>
      <c r="CF85" s="431"/>
      <c r="CG85" s="431"/>
      <c r="CH85" s="431"/>
      <c r="CI85" s="431"/>
      <c r="CJ85" s="431"/>
      <c r="CK85" s="431"/>
      <c r="CL85" s="431"/>
      <c r="CM85" s="431"/>
      <c r="CN85" s="431"/>
      <c r="CO85" s="431"/>
      <c r="CP85" s="431"/>
      <c r="CQ85" s="431"/>
      <c r="CR85" s="431"/>
      <c r="CS85" s="431"/>
      <c r="CT85" s="431"/>
      <c r="CU85" s="431"/>
      <c r="CV85" s="431"/>
      <c r="CW85" s="431"/>
      <c r="CX85" s="431"/>
      <c r="CY85" s="431"/>
      <c r="CZ85" s="431"/>
      <c r="DA85" s="431"/>
      <c r="DB85" s="431"/>
    </row>
    <row r="86" spans="1:106" s="59" customFormat="1" ht="13.5" thickTop="1">
      <c r="A86" s="64"/>
      <c r="B86" s="234"/>
      <c r="D86" s="867"/>
      <c r="E86" s="64"/>
      <c r="F86" s="64"/>
      <c r="G86" s="64"/>
      <c r="H86" s="64"/>
      <c r="I86" s="64"/>
      <c r="J86" s="64"/>
      <c r="K86" s="64"/>
      <c r="L86" s="64"/>
      <c r="M86" s="64"/>
      <c r="N86" s="64"/>
      <c r="O86" s="64"/>
      <c r="P86" s="64"/>
      <c r="Q86" s="64"/>
      <c r="R86" s="64"/>
      <c r="S86" s="64"/>
      <c r="T86" s="64"/>
      <c r="U86" s="64"/>
      <c r="V86" s="64"/>
      <c r="W86" s="64"/>
      <c r="X86" s="64"/>
      <c r="Y86" s="64"/>
      <c r="Z86" s="64"/>
      <c r="AA86" s="64"/>
      <c r="AB86" s="64"/>
      <c r="AC86" s="64"/>
      <c r="AD86" s="64"/>
      <c r="AE86" s="64"/>
      <c r="AF86" s="64"/>
      <c r="AG86" s="64"/>
      <c r="AH86" s="64"/>
      <c r="AI86" s="64"/>
      <c r="AJ86" s="648"/>
      <c r="AK86" s="648"/>
      <c r="AM86" s="867"/>
      <c r="AN86" s="430"/>
      <c r="AO86" s="430"/>
      <c r="AP86" s="430"/>
      <c r="AQ86" s="430"/>
      <c r="AR86" s="430"/>
      <c r="AS86" s="430"/>
      <c r="AT86" s="430"/>
      <c r="AU86" s="430"/>
      <c r="AV86" s="430"/>
      <c r="AW86" s="430"/>
      <c r="AX86" s="430"/>
      <c r="AY86" s="430"/>
      <c r="AZ86" s="430"/>
      <c r="BA86" s="430"/>
      <c r="BB86" s="430"/>
      <c r="BC86" s="430"/>
      <c r="BD86" s="430"/>
      <c r="BE86" s="430"/>
      <c r="BF86" s="430"/>
      <c r="BG86" s="430"/>
      <c r="BH86" s="430"/>
      <c r="BI86" s="430"/>
      <c r="BJ86" s="430"/>
      <c r="BK86" s="430"/>
      <c r="BL86" s="430"/>
      <c r="BM86" s="430"/>
      <c r="BN86" s="430"/>
      <c r="BO86" s="430"/>
      <c r="BP86" s="430"/>
      <c r="BQ86" s="430"/>
      <c r="BR86" s="1204"/>
      <c r="BS86" s="64"/>
      <c r="BT86" s="64"/>
      <c r="BU86" s="64"/>
      <c r="BV86" s="64"/>
      <c r="BW86" s="64"/>
      <c r="BX86" s="64"/>
      <c r="BY86" s="64"/>
      <c r="BZ86" s="64"/>
      <c r="CA86" s="64"/>
      <c r="CB86" s="64"/>
      <c r="CC86" s="64"/>
      <c r="CD86" s="64"/>
      <c r="CE86" s="64"/>
      <c r="CF86" s="64"/>
      <c r="CG86" s="64"/>
      <c r="CH86" s="64"/>
      <c r="CI86" s="64"/>
      <c r="CJ86" s="64"/>
      <c r="CK86" s="64"/>
      <c r="CL86" s="64"/>
      <c r="CM86" s="64"/>
      <c r="CN86" s="64"/>
      <c r="CO86" s="64"/>
      <c r="CP86" s="64"/>
      <c r="CQ86" s="64"/>
      <c r="CR86" s="64"/>
      <c r="CS86" s="64"/>
      <c r="CT86" s="64"/>
      <c r="CU86" s="64"/>
      <c r="CV86" s="64"/>
      <c r="CW86" s="64"/>
      <c r="CX86" s="64"/>
      <c r="CY86" s="64"/>
      <c r="CZ86" s="64"/>
      <c r="DA86" s="64"/>
      <c r="DB86" s="64"/>
    </row>
    <row r="87" spans="1:106" s="59" customFormat="1">
      <c r="A87" s="64"/>
      <c r="B87" s="234" t="s">
        <v>475</v>
      </c>
      <c r="C87" s="853"/>
      <c r="D87" s="325"/>
      <c r="E87" s="64">
        <f t="shared" ref="E87:AH87" ca="1" si="60">E24</f>
        <v>6105.7004336611399</v>
      </c>
      <c r="F87" s="64">
        <f t="shared" ca="1" si="60"/>
        <v>6122.7079557604748</v>
      </c>
      <c r="G87" s="64">
        <f t="shared" ca="1" si="60"/>
        <v>6122.7079557604748</v>
      </c>
      <c r="H87" s="64">
        <f t="shared" ca="1" si="60"/>
        <v>6122.7079557604748</v>
      </c>
      <c r="I87" s="64">
        <f t="shared" ca="1" si="60"/>
        <v>6122.7079557604748</v>
      </c>
      <c r="J87" s="64">
        <f t="shared" ca="1" si="60"/>
        <v>6122.7079557604748</v>
      </c>
      <c r="K87" s="64">
        <f t="shared" ca="1" si="60"/>
        <v>6122.7079557604748</v>
      </c>
      <c r="L87" s="64">
        <f t="shared" ca="1" si="60"/>
        <v>6122.7079557604748</v>
      </c>
      <c r="M87" s="64">
        <f t="shared" ca="1" si="60"/>
        <v>6122.7079557604748</v>
      </c>
      <c r="N87" s="64">
        <f t="shared" ca="1" si="60"/>
        <v>6122.7079557604748</v>
      </c>
      <c r="O87" s="64">
        <f t="shared" ca="1" si="60"/>
        <v>6122.7079557604748</v>
      </c>
      <c r="P87" s="64">
        <f t="shared" ca="1" si="60"/>
        <v>6122.7079557604748</v>
      </c>
      <c r="Q87" s="64">
        <f t="shared" ca="1" si="60"/>
        <v>6122.7079557604748</v>
      </c>
      <c r="R87" s="64">
        <f t="shared" ca="1" si="60"/>
        <v>6122.7079557604748</v>
      </c>
      <c r="S87" s="64">
        <f t="shared" ca="1" si="60"/>
        <v>6122.7079557604748</v>
      </c>
      <c r="T87" s="64">
        <f t="shared" ca="1" si="60"/>
        <v>6122.7079557604748</v>
      </c>
      <c r="U87" s="64">
        <f t="shared" ca="1" si="60"/>
        <v>6122.7079557604748</v>
      </c>
      <c r="V87" s="64">
        <f t="shared" ca="1" si="60"/>
        <v>6122.7079557604748</v>
      </c>
      <c r="W87" s="64">
        <f t="shared" ca="1" si="60"/>
        <v>6122.7079557604748</v>
      </c>
      <c r="X87" s="64">
        <f t="shared" ca="1" si="60"/>
        <v>6122.7079557604748</v>
      </c>
      <c r="Y87" s="64">
        <f t="shared" ca="1" si="60"/>
        <v>17.00752209933459</v>
      </c>
      <c r="Z87" s="64">
        <f t="shared" ca="1" si="60"/>
        <v>0</v>
      </c>
      <c r="AA87" s="64">
        <f t="shared" ca="1" si="60"/>
        <v>0</v>
      </c>
      <c r="AB87" s="64">
        <f t="shared" ca="1" si="60"/>
        <v>0</v>
      </c>
      <c r="AC87" s="64">
        <f t="shared" ca="1" si="60"/>
        <v>0</v>
      </c>
      <c r="AD87" s="64">
        <f t="shared" ca="1" si="60"/>
        <v>0</v>
      </c>
      <c r="AE87" s="64">
        <f t="shared" ca="1" si="60"/>
        <v>0</v>
      </c>
      <c r="AF87" s="64">
        <f t="shared" ca="1" si="60"/>
        <v>0</v>
      </c>
      <c r="AG87" s="64">
        <f t="shared" ca="1" si="60"/>
        <v>0</v>
      </c>
      <c r="AH87" s="64">
        <f t="shared" ca="1" si="60"/>
        <v>0</v>
      </c>
      <c r="AI87" s="64">
        <f ca="1">AI24</f>
        <v>0</v>
      </c>
      <c r="AJ87" s="648"/>
      <c r="AK87" s="648"/>
      <c r="AM87" s="325"/>
      <c r="AN87" s="430">
        <f t="shared" ref="AN87:AW89" ca="1" si="61">E87/E$82</f>
        <v>0.55556358187323751</v>
      </c>
      <c r="AO87" s="430">
        <f t="shared" ca="1" si="61"/>
        <v>0.55556358187323751</v>
      </c>
      <c r="AP87" s="430">
        <f t="shared" ca="1" si="61"/>
        <v>0.55556358187323751</v>
      </c>
      <c r="AQ87" s="430">
        <f t="shared" ca="1" si="61"/>
        <v>0.55556358187323751</v>
      </c>
      <c r="AR87" s="430">
        <f t="shared" ca="1" si="61"/>
        <v>0.55556358187323751</v>
      </c>
      <c r="AS87" s="430">
        <f t="shared" ca="1" si="61"/>
        <v>0.55556358187323751</v>
      </c>
      <c r="AT87" s="430">
        <f t="shared" ca="1" si="61"/>
        <v>0.55556358187323751</v>
      </c>
      <c r="AU87" s="430">
        <f t="shared" ca="1" si="61"/>
        <v>0.55556358187323751</v>
      </c>
      <c r="AV87" s="430">
        <f t="shared" ca="1" si="61"/>
        <v>0.55556358187323751</v>
      </c>
      <c r="AW87" s="430">
        <f t="shared" ca="1" si="61"/>
        <v>0.55556358187323751</v>
      </c>
      <c r="AX87" s="430">
        <f t="shared" ref="AX87:BG89" ca="1" si="62">O87/O$82</f>
        <v>0.55556358187323751</v>
      </c>
      <c r="AY87" s="430">
        <f t="shared" ca="1" si="62"/>
        <v>0.55556358187323751</v>
      </c>
      <c r="AZ87" s="430">
        <f t="shared" ca="1" si="62"/>
        <v>0.55556358187323751</v>
      </c>
      <c r="BA87" s="430">
        <f t="shared" ca="1" si="62"/>
        <v>0.55556358187323751</v>
      </c>
      <c r="BB87" s="430">
        <f t="shared" ca="1" si="62"/>
        <v>0.55556358187323751</v>
      </c>
      <c r="BC87" s="430">
        <f t="shared" ca="1" si="62"/>
        <v>0.55556358187323751</v>
      </c>
      <c r="BD87" s="430">
        <f t="shared" ca="1" si="62"/>
        <v>0.55556358187323751</v>
      </c>
      <c r="BE87" s="430">
        <f t="shared" ca="1" si="62"/>
        <v>0.55556358187323751</v>
      </c>
      <c r="BF87" s="430">
        <f t="shared" ca="1" si="62"/>
        <v>0.55556358187323751</v>
      </c>
      <c r="BG87" s="430">
        <f t="shared" ca="1" si="62"/>
        <v>0.55556358187323751</v>
      </c>
      <c r="BH87" s="430">
        <f t="shared" ref="BH87:BQ89" ca="1" si="63">Y87/Y$82</f>
        <v>0.5555635818732374</v>
      </c>
      <c r="BI87" s="430" t="e">
        <f t="shared" ca="1" si="63"/>
        <v>#DIV/0!</v>
      </c>
      <c r="BJ87" s="430" t="e">
        <f t="shared" ca="1" si="63"/>
        <v>#DIV/0!</v>
      </c>
      <c r="BK87" s="430" t="e">
        <f t="shared" ca="1" si="63"/>
        <v>#DIV/0!</v>
      </c>
      <c r="BL87" s="430" t="e">
        <f t="shared" ca="1" si="63"/>
        <v>#DIV/0!</v>
      </c>
      <c r="BM87" s="430" t="e">
        <f t="shared" ca="1" si="63"/>
        <v>#DIV/0!</v>
      </c>
      <c r="BN87" s="430" t="e">
        <f t="shared" ca="1" si="63"/>
        <v>#DIV/0!</v>
      </c>
      <c r="BO87" s="430" t="e">
        <f t="shared" ca="1" si="63"/>
        <v>#DIV/0!</v>
      </c>
      <c r="BP87" s="430" t="e">
        <f t="shared" ca="1" si="63"/>
        <v>#DIV/0!</v>
      </c>
      <c r="BQ87" s="430" t="e">
        <f t="shared" ca="1" si="63"/>
        <v>#DIV/0!</v>
      </c>
      <c r="BR87" s="1204" t="e">
        <f ca="1">AI87/AI$82</f>
        <v>#DIV/0!</v>
      </c>
      <c r="BS87" s="64"/>
      <c r="BT87" s="64"/>
      <c r="BU87" s="64"/>
      <c r="BV87" s="64"/>
      <c r="BW87" s="64"/>
      <c r="BX87" s="64"/>
      <c r="BY87" s="64"/>
      <c r="BZ87" s="64"/>
      <c r="CA87" s="64"/>
      <c r="CB87" s="64"/>
      <c r="CC87" s="64"/>
      <c r="CD87" s="64"/>
      <c r="CE87" s="64"/>
      <c r="CF87" s="64"/>
      <c r="CG87" s="64"/>
      <c r="CH87" s="64"/>
      <c r="CI87" s="64"/>
      <c r="CJ87" s="64"/>
      <c r="CK87" s="64"/>
      <c r="CL87" s="64"/>
      <c r="CM87" s="64"/>
      <c r="CN87" s="64"/>
      <c r="CO87" s="64"/>
      <c r="CP87" s="64"/>
      <c r="CQ87" s="64"/>
      <c r="CR87" s="64"/>
      <c r="CS87" s="64"/>
      <c r="CT87" s="64"/>
      <c r="CU87" s="64"/>
      <c r="CV87" s="64"/>
      <c r="CW87" s="64"/>
      <c r="CX87" s="64"/>
      <c r="CY87" s="64"/>
      <c r="CZ87" s="64"/>
      <c r="DA87" s="64"/>
      <c r="DB87" s="64"/>
    </row>
    <row r="88" spans="1:106" s="59" customFormat="1">
      <c r="A88" s="64"/>
      <c r="B88" s="234" t="s">
        <v>476</v>
      </c>
      <c r="C88" s="853"/>
      <c r="D88" s="325"/>
      <c r="E88" s="64">
        <f t="shared" ref="E88:AH88" ca="1" si="64">E30</f>
        <v>342.77616469676582</v>
      </c>
      <c r="F88" s="64">
        <f t="shared" ca="1" si="64"/>
        <v>343.73097295497405</v>
      </c>
      <c r="G88" s="64">
        <f t="shared" ca="1" si="64"/>
        <v>343.73097295497405</v>
      </c>
      <c r="H88" s="64">
        <f t="shared" ca="1" si="64"/>
        <v>343.73097295497405</v>
      </c>
      <c r="I88" s="64">
        <f t="shared" ca="1" si="64"/>
        <v>343.73097295497405</v>
      </c>
      <c r="J88" s="64">
        <f t="shared" ca="1" si="64"/>
        <v>343.73097295497405</v>
      </c>
      <c r="K88" s="64">
        <f t="shared" ca="1" si="64"/>
        <v>343.73097295497405</v>
      </c>
      <c r="L88" s="64">
        <f t="shared" ca="1" si="64"/>
        <v>343.73097295497405</v>
      </c>
      <c r="M88" s="64">
        <f t="shared" ca="1" si="64"/>
        <v>343.73097295497405</v>
      </c>
      <c r="N88" s="64">
        <f t="shared" ca="1" si="64"/>
        <v>343.73097295497405</v>
      </c>
      <c r="O88" s="64">
        <f t="shared" ca="1" si="64"/>
        <v>343.73097295497405</v>
      </c>
      <c r="P88" s="64">
        <f t="shared" ca="1" si="64"/>
        <v>343.73097295497405</v>
      </c>
      <c r="Q88" s="64">
        <f t="shared" ca="1" si="64"/>
        <v>343.73097295497405</v>
      </c>
      <c r="R88" s="64">
        <f t="shared" ca="1" si="64"/>
        <v>343.73097295497405</v>
      </c>
      <c r="S88" s="64">
        <f t="shared" ca="1" si="64"/>
        <v>343.73097295497405</v>
      </c>
      <c r="T88" s="64">
        <f t="shared" ca="1" si="64"/>
        <v>343.73097295497405</v>
      </c>
      <c r="U88" s="64">
        <f t="shared" ca="1" si="64"/>
        <v>343.73097295497405</v>
      </c>
      <c r="V88" s="64">
        <f t="shared" ca="1" si="64"/>
        <v>343.73097295497405</v>
      </c>
      <c r="W88" s="64">
        <f t="shared" ca="1" si="64"/>
        <v>129.49587001949544</v>
      </c>
      <c r="X88" s="64">
        <f t="shared" ca="1" si="64"/>
        <v>128.89911485811527</v>
      </c>
      <c r="Y88" s="64">
        <f t="shared" ca="1" si="64"/>
        <v>0.35805309682809672</v>
      </c>
      <c r="Z88" s="64">
        <f t="shared" si="64"/>
        <v>0</v>
      </c>
      <c r="AA88" s="64">
        <f t="shared" si="64"/>
        <v>0</v>
      </c>
      <c r="AB88" s="64">
        <f t="shared" si="64"/>
        <v>0</v>
      </c>
      <c r="AC88" s="64">
        <f t="shared" si="64"/>
        <v>0</v>
      </c>
      <c r="AD88" s="64">
        <f t="shared" si="64"/>
        <v>0</v>
      </c>
      <c r="AE88" s="64">
        <f t="shared" si="64"/>
        <v>0</v>
      </c>
      <c r="AF88" s="64">
        <f t="shared" si="64"/>
        <v>0</v>
      </c>
      <c r="AG88" s="64">
        <f t="shared" si="64"/>
        <v>0</v>
      </c>
      <c r="AH88" s="64">
        <f t="shared" si="64"/>
        <v>0</v>
      </c>
      <c r="AI88" s="64">
        <f>AI30</f>
        <v>0</v>
      </c>
      <c r="AJ88" s="648"/>
      <c r="AK88" s="648"/>
      <c r="AM88" s="325"/>
      <c r="AN88" s="430">
        <f t="shared" ca="1" si="61"/>
        <v>3.118953442095369E-2</v>
      </c>
      <c r="AO88" s="430">
        <f t="shared" ca="1" si="61"/>
        <v>3.1189534420953686E-2</v>
      </c>
      <c r="AP88" s="430">
        <f t="shared" ca="1" si="61"/>
        <v>3.1189534420953686E-2</v>
      </c>
      <c r="AQ88" s="430">
        <f t="shared" ca="1" si="61"/>
        <v>3.1189534420953686E-2</v>
      </c>
      <c r="AR88" s="430">
        <f t="shared" ca="1" si="61"/>
        <v>3.1189534420953686E-2</v>
      </c>
      <c r="AS88" s="430">
        <f t="shared" ca="1" si="61"/>
        <v>3.1189534420953686E-2</v>
      </c>
      <c r="AT88" s="430">
        <f t="shared" ca="1" si="61"/>
        <v>3.1189534420953686E-2</v>
      </c>
      <c r="AU88" s="430">
        <f t="shared" ca="1" si="61"/>
        <v>3.1189534420953686E-2</v>
      </c>
      <c r="AV88" s="430">
        <f t="shared" ca="1" si="61"/>
        <v>3.1189534420953686E-2</v>
      </c>
      <c r="AW88" s="430">
        <f t="shared" ca="1" si="61"/>
        <v>3.1189534420953686E-2</v>
      </c>
      <c r="AX88" s="430">
        <f t="shared" ca="1" si="62"/>
        <v>3.1189534420953686E-2</v>
      </c>
      <c r="AY88" s="430">
        <f t="shared" ca="1" si="62"/>
        <v>3.1189534420953686E-2</v>
      </c>
      <c r="AZ88" s="430">
        <f t="shared" ca="1" si="62"/>
        <v>3.1189534420953686E-2</v>
      </c>
      <c r="BA88" s="430">
        <f t="shared" ca="1" si="62"/>
        <v>3.1189534420953686E-2</v>
      </c>
      <c r="BB88" s="430">
        <f t="shared" ca="1" si="62"/>
        <v>3.1189534420953686E-2</v>
      </c>
      <c r="BC88" s="430">
        <f t="shared" ca="1" si="62"/>
        <v>3.1189534420953686E-2</v>
      </c>
      <c r="BD88" s="430">
        <f t="shared" ca="1" si="62"/>
        <v>3.1189534420953686E-2</v>
      </c>
      <c r="BE88" s="430">
        <f t="shared" ca="1" si="62"/>
        <v>3.1189534420953686E-2</v>
      </c>
      <c r="BF88" s="430">
        <f t="shared" ca="1" si="62"/>
        <v>1.1750223905116234E-2</v>
      </c>
      <c r="BG88" s="430">
        <f t="shared" ca="1" si="62"/>
        <v>1.1696075407857633E-2</v>
      </c>
      <c r="BH88" s="430">
        <f t="shared" ca="1" si="63"/>
        <v>1.1696075407857633E-2</v>
      </c>
      <c r="BI88" s="430" t="e">
        <f t="shared" si="63"/>
        <v>#DIV/0!</v>
      </c>
      <c r="BJ88" s="430" t="e">
        <f t="shared" si="63"/>
        <v>#DIV/0!</v>
      </c>
      <c r="BK88" s="430" t="e">
        <f t="shared" si="63"/>
        <v>#DIV/0!</v>
      </c>
      <c r="BL88" s="430" t="e">
        <f t="shared" si="63"/>
        <v>#DIV/0!</v>
      </c>
      <c r="BM88" s="430" t="e">
        <f t="shared" si="63"/>
        <v>#DIV/0!</v>
      </c>
      <c r="BN88" s="430" t="e">
        <f t="shared" si="63"/>
        <v>#DIV/0!</v>
      </c>
      <c r="BO88" s="430" t="e">
        <f t="shared" si="63"/>
        <v>#DIV/0!</v>
      </c>
      <c r="BP88" s="430" t="e">
        <f t="shared" si="63"/>
        <v>#DIV/0!</v>
      </c>
      <c r="BQ88" s="430" t="e">
        <f t="shared" si="63"/>
        <v>#DIV/0!</v>
      </c>
      <c r="BR88" s="1204" t="e">
        <f>AI88/AI$82</f>
        <v>#DIV/0!</v>
      </c>
      <c r="BS88" s="64"/>
      <c r="BT88" s="64"/>
      <c r="BU88" s="64"/>
      <c r="BV88" s="64"/>
      <c r="BW88" s="64"/>
      <c r="BX88" s="64"/>
      <c r="BY88" s="64"/>
      <c r="BZ88" s="64"/>
      <c r="CA88" s="64"/>
      <c r="CB88" s="64"/>
      <c r="CC88" s="64"/>
      <c r="CD88" s="64"/>
      <c r="CE88" s="64"/>
      <c r="CF88" s="64"/>
      <c r="CG88" s="64"/>
      <c r="CH88" s="64"/>
      <c r="CI88" s="64"/>
      <c r="CJ88" s="64"/>
      <c r="CK88" s="64"/>
      <c r="CL88" s="64"/>
      <c r="CM88" s="64"/>
      <c r="CN88" s="64"/>
      <c r="CO88" s="64"/>
      <c r="CP88" s="64"/>
      <c r="CQ88" s="64"/>
      <c r="CR88" s="64"/>
      <c r="CS88" s="64"/>
      <c r="CT88" s="64"/>
      <c r="CU88" s="64"/>
      <c r="CV88" s="64"/>
      <c r="CW88" s="64"/>
      <c r="CX88" s="64"/>
      <c r="CY88" s="64"/>
      <c r="CZ88" s="64"/>
      <c r="DA88" s="64"/>
      <c r="DB88" s="64"/>
    </row>
    <row r="89" spans="1:106" s="428" customFormat="1" ht="13.5" thickBot="1">
      <c r="A89" s="431"/>
      <c r="B89" s="879" t="s">
        <v>542</v>
      </c>
      <c r="C89" s="59"/>
      <c r="D89" s="865"/>
      <c r="E89" s="557">
        <f t="shared" ref="E89:AI89" ca="1" si="65">E85-E87-E88</f>
        <v>1267.7851755869558</v>
      </c>
      <c r="F89" s="557">
        <f t="shared" ca="1" si="65"/>
        <v>-540.19463155169683</v>
      </c>
      <c r="G89" s="557">
        <f t="shared" ca="1" si="65"/>
        <v>-483.80058599635481</v>
      </c>
      <c r="H89" s="557">
        <f t="shared" ca="1" si="65"/>
        <v>-504.43997490823017</v>
      </c>
      <c r="I89" s="557">
        <f t="shared" ca="1" si="65"/>
        <v>-519.14680984681559</v>
      </c>
      <c r="J89" s="557">
        <f t="shared" ca="1" si="65"/>
        <v>-214.82969835420204</v>
      </c>
      <c r="K89" s="557">
        <f t="shared" ca="1" si="65"/>
        <v>-625.81332221019488</v>
      </c>
      <c r="L89" s="557">
        <f t="shared" ca="1" si="65"/>
        <v>-612.77954487287457</v>
      </c>
      <c r="M89" s="557">
        <f t="shared" ca="1" si="65"/>
        <v>-599.90054335643413</v>
      </c>
      <c r="N89" s="557">
        <f t="shared" ca="1" si="65"/>
        <v>-510.76925705581812</v>
      </c>
      <c r="O89" s="557">
        <f t="shared" ca="1" si="65"/>
        <v>-408.19523783914769</v>
      </c>
      <c r="P89" s="557">
        <f t="shared" ca="1" si="65"/>
        <v>-294.48231830321106</v>
      </c>
      <c r="Q89" s="557">
        <f t="shared" ca="1" si="65"/>
        <v>-167.91016544103854</v>
      </c>
      <c r="R89" s="557">
        <f t="shared" ca="1" si="65"/>
        <v>-259.53602131800358</v>
      </c>
      <c r="S89" s="557">
        <f t="shared" ca="1" si="65"/>
        <v>-365.86934919755345</v>
      </c>
      <c r="T89" s="557">
        <f t="shared" ca="1" si="65"/>
        <v>-583.3454100241604</v>
      </c>
      <c r="U89" s="557">
        <f t="shared" ca="1" si="65"/>
        <v>-650.11494337159525</v>
      </c>
      <c r="V89" s="557">
        <f t="shared" ca="1" si="65"/>
        <v>-689.08570926984044</v>
      </c>
      <c r="W89" s="557">
        <f t="shared" ca="1" si="65"/>
        <v>-435.26576486512454</v>
      </c>
      <c r="X89" s="557">
        <f t="shared" ca="1" si="65"/>
        <v>-511.09991078974133</v>
      </c>
      <c r="Y89" s="557">
        <f t="shared" ca="1" si="65"/>
        <v>-0.52105408262568809</v>
      </c>
      <c r="Z89" s="557">
        <f t="shared" ca="1" si="65"/>
        <v>0</v>
      </c>
      <c r="AA89" s="557">
        <f t="shared" ca="1" si="65"/>
        <v>0</v>
      </c>
      <c r="AB89" s="557">
        <f t="shared" ca="1" si="65"/>
        <v>0</v>
      </c>
      <c r="AC89" s="557">
        <f t="shared" ca="1" si="65"/>
        <v>0</v>
      </c>
      <c r="AD89" s="557">
        <f t="shared" ca="1" si="65"/>
        <v>0</v>
      </c>
      <c r="AE89" s="557">
        <f t="shared" ca="1" si="65"/>
        <v>0</v>
      </c>
      <c r="AF89" s="557">
        <f t="shared" ca="1" si="65"/>
        <v>0</v>
      </c>
      <c r="AG89" s="557">
        <f t="shared" ca="1" si="65"/>
        <v>0</v>
      </c>
      <c r="AH89" s="557">
        <f t="shared" ca="1" si="65"/>
        <v>0</v>
      </c>
      <c r="AI89" s="557">
        <f t="shared" ca="1" si="65"/>
        <v>0</v>
      </c>
      <c r="AJ89" s="644"/>
      <c r="AK89" s="644"/>
      <c r="AM89" s="865"/>
      <c r="AN89" s="1205">
        <f t="shared" ca="1" si="61"/>
        <v>0.11535699807868602</v>
      </c>
      <c r="AO89" s="1205">
        <f t="shared" ca="1" si="61"/>
        <v>-4.9016295825639919E-2</v>
      </c>
      <c r="AP89" s="1205">
        <f t="shared" ca="1" si="61"/>
        <v>-4.3899200878203884E-2</v>
      </c>
      <c r="AQ89" s="1205">
        <f t="shared" ca="1" si="61"/>
        <v>-4.5771982156423786E-2</v>
      </c>
      <c r="AR89" s="1205">
        <f t="shared" ca="1" si="61"/>
        <v>-4.7106454085435491E-2</v>
      </c>
      <c r="AS89" s="1205">
        <f t="shared" ca="1" si="61"/>
        <v>-1.9493263041905698E-2</v>
      </c>
      <c r="AT89" s="1205">
        <f t="shared" ca="1" si="61"/>
        <v>-5.6785182860792302E-2</v>
      </c>
      <c r="AU89" s="1205">
        <f t="shared" ca="1" si="61"/>
        <v>-5.5602521189652622E-2</v>
      </c>
      <c r="AV89" s="1205">
        <f t="shared" ca="1" si="61"/>
        <v>-5.4433903599997259E-2</v>
      </c>
      <c r="AW89" s="1205">
        <f t="shared" ca="1" si="61"/>
        <v>-4.6346289911424907E-2</v>
      </c>
      <c r="AX89" s="1205">
        <f t="shared" ca="1" si="62"/>
        <v>-3.7038906653085304E-2</v>
      </c>
      <c r="AY89" s="1205">
        <f t="shared" ca="1" si="62"/>
        <v>-2.6720799479083811E-2</v>
      </c>
      <c r="AZ89" s="1205">
        <f t="shared" ca="1" si="62"/>
        <v>-1.5235868445690838E-2</v>
      </c>
      <c r="BA89" s="1205">
        <f t="shared" ca="1" si="62"/>
        <v>-2.3549834921148045E-2</v>
      </c>
      <c r="BB89" s="1205">
        <f t="shared" ca="1" si="62"/>
        <v>-3.3198331131666169E-2</v>
      </c>
      <c r="BC89" s="1205">
        <f t="shared" ca="1" si="62"/>
        <v>-5.2931720376671425E-2</v>
      </c>
      <c r="BD89" s="1205">
        <f t="shared" ca="1" si="62"/>
        <v>-5.8990268550867017E-2</v>
      </c>
      <c r="BE89" s="1205">
        <f t="shared" ca="1" si="62"/>
        <v>-6.2526406228379905E-2</v>
      </c>
      <c r="BF89" s="1205">
        <f t="shared" ca="1" si="62"/>
        <v>-3.9495237914745164E-2</v>
      </c>
      <c r="BG89" s="1205">
        <f t="shared" ca="1" si="62"/>
        <v>-4.6376292840538208E-2</v>
      </c>
      <c r="BH89" s="1205">
        <f t="shared" ca="1" si="63"/>
        <v>-1.7020625979637962E-2</v>
      </c>
      <c r="BI89" s="1205" t="e">
        <f t="shared" ca="1" si="63"/>
        <v>#DIV/0!</v>
      </c>
      <c r="BJ89" s="1205" t="e">
        <f t="shared" ca="1" si="63"/>
        <v>#DIV/0!</v>
      </c>
      <c r="BK89" s="1205" t="e">
        <f t="shared" ca="1" si="63"/>
        <v>#DIV/0!</v>
      </c>
      <c r="BL89" s="1205" t="e">
        <f t="shared" ca="1" si="63"/>
        <v>#DIV/0!</v>
      </c>
      <c r="BM89" s="1205" t="e">
        <f t="shared" ca="1" si="63"/>
        <v>#DIV/0!</v>
      </c>
      <c r="BN89" s="1205" t="e">
        <f t="shared" ca="1" si="63"/>
        <v>#DIV/0!</v>
      </c>
      <c r="BO89" s="1205" t="e">
        <f t="shared" ca="1" si="63"/>
        <v>#DIV/0!</v>
      </c>
      <c r="BP89" s="1205" t="e">
        <f t="shared" ca="1" si="63"/>
        <v>#DIV/0!</v>
      </c>
      <c r="BQ89" s="1205" t="e">
        <f t="shared" ca="1" si="63"/>
        <v>#DIV/0!</v>
      </c>
      <c r="BR89" s="1204" t="e">
        <f ca="1">AI89/AI$82</f>
        <v>#DIV/0!</v>
      </c>
      <c r="BS89" s="431"/>
      <c r="BT89" s="431"/>
      <c r="BU89" s="431"/>
      <c r="BV89" s="431"/>
      <c r="BW89" s="431"/>
      <c r="BX89" s="431"/>
      <c r="BY89" s="431"/>
      <c r="BZ89" s="431"/>
      <c r="CA89" s="431"/>
      <c r="CB89" s="431"/>
      <c r="CC89" s="431"/>
      <c r="CD89" s="431"/>
      <c r="CE89" s="431"/>
      <c r="CF89" s="431"/>
      <c r="CG89" s="431"/>
      <c r="CH89" s="431"/>
      <c r="CI89" s="431"/>
      <c r="CJ89" s="431"/>
      <c r="CK89" s="431"/>
      <c r="CL89" s="431"/>
      <c r="CM89" s="431"/>
      <c r="CN89" s="431"/>
      <c r="CO89" s="431"/>
      <c r="CP89" s="431"/>
      <c r="CQ89" s="431"/>
      <c r="CR89" s="431"/>
      <c r="CS89" s="431"/>
      <c r="CT89" s="431"/>
      <c r="CU89" s="431"/>
      <c r="CV89" s="431"/>
      <c r="CW89" s="431"/>
      <c r="CX89" s="431"/>
      <c r="CY89" s="431"/>
      <c r="CZ89" s="431"/>
      <c r="DA89" s="431"/>
      <c r="DB89" s="431"/>
    </row>
    <row r="90" spans="1:106" s="59" customFormat="1" ht="13.5" thickTop="1">
      <c r="A90" s="64"/>
      <c r="B90" s="234"/>
      <c r="D90" s="323"/>
      <c r="E90" s="64"/>
      <c r="F90" s="64"/>
      <c r="G90" s="64"/>
      <c r="H90" s="64"/>
      <c r="I90" s="64"/>
      <c r="J90" s="64"/>
      <c r="K90" s="64"/>
      <c r="L90" s="64"/>
      <c r="M90" s="64"/>
      <c r="N90" s="64"/>
      <c r="O90" s="64"/>
      <c r="P90" s="64"/>
      <c r="Q90" s="64"/>
      <c r="R90" s="64"/>
      <c r="S90" s="64"/>
      <c r="T90" s="64"/>
      <c r="U90" s="64"/>
      <c r="V90" s="64"/>
      <c r="W90" s="64"/>
      <c r="X90" s="64"/>
      <c r="Y90" s="64"/>
      <c r="Z90" s="64"/>
      <c r="AA90" s="64"/>
      <c r="AB90" s="64"/>
      <c r="AC90" s="64"/>
      <c r="AD90" s="64"/>
      <c r="AE90" s="64"/>
      <c r="AF90" s="64"/>
      <c r="AG90" s="64"/>
      <c r="AH90" s="64"/>
      <c r="AI90" s="64"/>
      <c r="AJ90" s="648"/>
      <c r="AK90" s="648"/>
      <c r="AM90" s="323"/>
      <c r="AN90" s="430"/>
      <c r="AO90" s="430"/>
      <c r="AP90" s="430"/>
      <c r="AQ90" s="430"/>
      <c r="AR90" s="430"/>
      <c r="AS90" s="430"/>
      <c r="AT90" s="430"/>
      <c r="AU90" s="430"/>
      <c r="AV90" s="430"/>
      <c r="AW90" s="430"/>
      <c r="AX90" s="430"/>
      <c r="AY90" s="430"/>
      <c r="AZ90" s="430"/>
      <c r="BA90" s="430"/>
      <c r="BB90" s="430"/>
      <c r="BC90" s="430"/>
      <c r="BD90" s="430"/>
      <c r="BE90" s="430"/>
      <c r="BF90" s="430"/>
      <c r="BG90" s="430"/>
      <c r="BH90" s="430"/>
      <c r="BI90" s="430"/>
      <c r="BJ90" s="430"/>
      <c r="BK90" s="430"/>
      <c r="BL90" s="430"/>
      <c r="BM90" s="430"/>
      <c r="BN90" s="430"/>
      <c r="BO90" s="430"/>
      <c r="BP90" s="430"/>
      <c r="BQ90" s="430"/>
      <c r="BR90" s="1204"/>
      <c r="BS90" s="64"/>
      <c r="BT90" s="64"/>
      <c r="BU90" s="64"/>
      <c r="BV90" s="64"/>
      <c r="BW90" s="64"/>
      <c r="BX90" s="64"/>
      <c r="BY90" s="64"/>
      <c r="BZ90" s="64"/>
      <c r="CA90" s="64"/>
      <c r="CB90" s="64"/>
      <c r="CC90" s="64"/>
      <c r="CD90" s="64"/>
      <c r="CE90" s="64"/>
      <c r="CF90" s="64"/>
      <c r="CG90" s="64"/>
      <c r="CH90" s="64"/>
      <c r="CI90" s="64"/>
      <c r="CJ90" s="64"/>
      <c r="CK90" s="64"/>
      <c r="CL90" s="64"/>
      <c r="CM90" s="64"/>
      <c r="CN90" s="64"/>
      <c r="CO90" s="64"/>
      <c r="CP90" s="64"/>
      <c r="CQ90" s="64"/>
      <c r="CR90" s="64"/>
      <c r="CS90" s="64"/>
      <c r="CT90" s="64"/>
      <c r="CU90" s="64"/>
      <c r="CV90" s="64"/>
      <c r="CW90" s="64"/>
      <c r="CX90" s="64"/>
      <c r="CY90" s="64"/>
      <c r="CZ90" s="64"/>
      <c r="DA90" s="64"/>
      <c r="DB90" s="64"/>
    </row>
    <row r="91" spans="1:106" s="59" customFormat="1">
      <c r="A91" s="64"/>
      <c r="B91" s="234" t="s">
        <v>544</v>
      </c>
      <c r="D91" s="323"/>
      <c r="E91" s="64">
        <f t="shared" ref="E91:AH91" si="66">E51</f>
        <v>3647.4391780684955</v>
      </c>
      <c r="F91" s="64">
        <f t="shared" si="66"/>
        <v>3501.7919323124306</v>
      </c>
      <c r="G91" s="64">
        <f t="shared" si="66"/>
        <v>3421.5036127609756</v>
      </c>
      <c r="H91" s="64">
        <f t="shared" si="66"/>
        <v>3310.9744499185717</v>
      </c>
      <c r="I91" s="64">
        <f t="shared" si="66"/>
        <v>3200.6554985769753</v>
      </c>
      <c r="J91" s="64">
        <f t="shared" si="66"/>
        <v>3075.1139920557252</v>
      </c>
      <c r="K91" s="64">
        <f t="shared" si="66"/>
        <v>2937.2205048026381</v>
      </c>
      <c r="L91" s="64">
        <f t="shared" si="66"/>
        <v>2789.4708736427183</v>
      </c>
      <c r="M91" s="64">
        <f t="shared" si="66"/>
        <v>2634.8656934600317</v>
      </c>
      <c r="N91" s="64">
        <f t="shared" si="66"/>
        <v>2462.9718859667623</v>
      </c>
      <c r="O91" s="64">
        <f t="shared" si="66"/>
        <v>2274.6973399833641</v>
      </c>
      <c r="P91" s="64">
        <f t="shared" si="66"/>
        <v>2047.654411103787</v>
      </c>
      <c r="Q91" s="64">
        <f t="shared" si="66"/>
        <v>1807.4866043508746</v>
      </c>
      <c r="R91" s="64">
        <f t="shared" si="66"/>
        <v>1536.0831557882163</v>
      </c>
      <c r="S91" s="64">
        <f t="shared" si="66"/>
        <v>1245.272139487553</v>
      </c>
      <c r="T91" s="64">
        <f t="shared" si="66"/>
        <v>924.13628437959096</v>
      </c>
      <c r="U91" s="64">
        <f t="shared" si="66"/>
        <v>584.06076804614349</v>
      </c>
      <c r="V91" s="64">
        <f t="shared" si="66"/>
        <v>211.56733620350326</v>
      </c>
      <c r="W91" s="64">
        <f t="shared" si="66"/>
        <v>0</v>
      </c>
      <c r="X91" s="64">
        <f t="shared" si="66"/>
        <v>0</v>
      </c>
      <c r="Y91" s="64">
        <f t="shared" si="66"/>
        <v>0</v>
      </c>
      <c r="Z91" s="64">
        <f t="shared" si="66"/>
        <v>0</v>
      </c>
      <c r="AA91" s="64">
        <f t="shared" si="66"/>
        <v>0</v>
      </c>
      <c r="AB91" s="64">
        <f t="shared" si="66"/>
        <v>0</v>
      </c>
      <c r="AC91" s="64">
        <f t="shared" si="66"/>
        <v>0</v>
      </c>
      <c r="AD91" s="64">
        <f t="shared" si="66"/>
        <v>0</v>
      </c>
      <c r="AE91" s="64">
        <f t="shared" si="66"/>
        <v>0</v>
      </c>
      <c r="AF91" s="64">
        <f t="shared" si="66"/>
        <v>0</v>
      </c>
      <c r="AG91" s="64">
        <f t="shared" si="66"/>
        <v>0</v>
      </c>
      <c r="AH91" s="64">
        <f t="shared" si="66"/>
        <v>0</v>
      </c>
      <c r="AI91" s="64">
        <f>AI51</f>
        <v>0</v>
      </c>
      <c r="AJ91" s="648"/>
      <c r="AK91" s="648"/>
      <c r="AM91" s="323"/>
      <c r="AN91" s="430">
        <f t="shared" ref="AN91:AW92" si="67">E91/E$82</f>
        <v>0.3318840150199503</v>
      </c>
      <c r="AO91" s="430">
        <f t="shared" si="67"/>
        <v>0.31774634409271962</v>
      </c>
      <c r="AP91" s="430">
        <f t="shared" si="67"/>
        <v>0.31046112540927362</v>
      </c>
      <c r="AQ91" s="430">
        <f t="shared" si="67"/>
        <v>0.30043190662995833</v>
      </c>
      <c r="AR91" s="430">
        <f t="shared" si="67"/>
        <v>0.29042176206668979</v>
      </c>
      <c r="AS91" s="430">
        <f t="shared" si="67"/>
        <v>0.27903035004105364</v>
      </c>
      <c r="AT91" s="430">
        <f t="shared" si="67"/>
        <v>0.26651814135025031</v>
      </c>
      <c r="AU91" s="430">
        <f t="shared" si="67"/>
        <v>0.25311160376904385</v>
      </c>
      <c r="AV91" s="430">
        <f t="shared" si="67"/>
        <v>0.23908300591674236</v>
      </c>
      <c r="AW91" s="430">
        <f t="shared" si="67"/>
        <v>0.22348566890788807</v>
      </c>
      <c r="AX91" s="430">
        <f t="shared" ref="AX91:BG92" si="68">O91/O$82</f>
        <v>0.20640197295213306</v>
      </c>
      <c r="AY91" s="430">
        <f t="shared" si="68"/>
        <v>0.18580050319092153</v>
      </c>
      <c r="AZ91" s="430">
        <f t="shared" si="68"/>
        <v>0.16400810545868069</v>
      </c>
      <c r="BA91" s="430">
        <f t="shared" si="68"/>
        <v>0.13938144139015229</v>
      </c>
      <c r="BB91" s="430">
        <f t="shared" si="68"/>
        <v>0.11299376929610974</v>
      </c>
      <c r="BC91" s="430">
        <f t="shared" si="68"/>
        <v>8.3854475503099699E-2</v>
      </c>
      <c r="BD91" s="430">
        <f t="shared" si="68"/>
        <v>5.2996630685620709E-2</v>
      </c>
      <c r="BE91" s="430">
        <f t="shared" si="68"/>
        <v>1.9197242128462542E-2</v>
      </c>
      <c r="BF91" s="430">
        <f t="shared" si="68"/>
        <v>0</v>
      </c>
      <c r="BG91" s="430">
        <f t="shared" si="68"/>
        <v>0</v>
      </c>
      <c r="BH91" s="430">
        <f t="shared" ref="BH91:BQ92" si="69">Y91/Y$82</f>
        <v>0</v>
      </c>
      <c r="BI91" s="430" t="e">
        <f t="shared" si="69"/>
        <v>#DIV/0!</v>
      </c>
      <c r="BJ91" s="430" t="e">
        <f t="shared" si="69"/>
        <v>#DIV/0!</v>
      </c>
      <c r="BK91" s="430" t="e">
        <f t="shared" si="69"/>
        <v>#DIV/0!</v>
      </c>
      <c r="BL91" s="430" t="e">
        <f t="shared" si="69"/>
        <v>#DIV/0!</v>
      </c>
      <c r="BM91" s="430" t="e">
        <f t="shared" si="69"/>
        <v>#DIV/0!</v>
      </c>
      <c r="BN91" s="430" t="e">
        <f t="shared" si="69"/>
        <v>#DIV/0!</v>
      </c>
      <c r="BO91" s="430" t="e">
        <f t="shared" si="69"/>
        <v>#DIV/0!</v>
      </c>
      <c r="BP91" s="430" t="e">
        <f t="shared" si="69"/>
        <v>#DIV/0!</v>
      </c>
      <c r="BQ91" s="430" t="e">
        <f t="shared" si="69"/>
        <v>#DIV/0!</v>
      </c>
      <c r="BR91" s="1204" t="e">
        <f>AI91/AI$82</f>
        <v>#DIV/0!</v>
      </c>
      <c r="BS91" s="64"/>
      <c r="BT91" s="64"/>
      <c r="BU91" s="64"/>
      <c r="BV91" s="64"/>
      <c r="BW91" s="64"/>
      <c r="BX91" s="64"/>
      <c r="BY91" s="64"/>
      <c r="BZ91" s="64"/>
      <c r="CA91" s="64"/>
      <c r="CB91" s="64"/>
      <c r="CC91" s="64"/>
      <c r="CD91" s="64"/>
      <c r="CE91" s="64"/>
      <c r="CF91" s="64"/>
      <c r="CG91" s="64"/>
      <c r="CH91" s="64"/>
      <c r="CI91" s="64"/>
      <c r="CJ91" s="64"/>
      <c r="CK91" s="64"/>
      <c r="CL91" s="64"/>
      <c r="CM91" s="64"/>
      <c r="CN91" s="64"/>
      <c r="CO91" s="64"/>
      <c r="CP91" s="64"/>
      <c r="CQ91" s="64"/>
      <c r="CR91" s="64"/>
      <c r="CS91" s="64"/>
      <c r="CT91" s="64"/>
      <c r="CU91" s="64"/>
      <c r="CV91" s="64"/>
      <c r="CW91" s="64"/>
      <c r="CX91" s="64"/>
      <c r="CY91" s="64"/>
      <c r="CZ91" s="64"/>
      <c r="DA91" s="64"/>
      <c r="DB91" s="64"/>
    </row>
    <row r="92" spans="1:106" s="428" customFormat="1" ht="13.5" thickBot="1">
      <c r="A92" s="431"/>
      <c r="B92" s="880" t="s">
        <v>511</v>
      </c>
      <c r="C92" s="59"/>
      <c r="D92" s="865"/>
      <c r="E92" s="558">
        <f t="shared" ref="E92:AI92" ca="1" si="70">E89-E91</f>
        <v>-2379.6540024815395</v>
      </c>
      <c r="F92" s="558">
        <f t="shared" ca="1" si="70"/>
        <v>-4041.9865638641277</v>
      </c>
      <c r="G92" s="558">
        <f t="shared" ca="1" si="70"/>
        <v>-3905.3041987573306</v>
      </c>
      <c r="H92" s="558">
        <f t="shared" ca="1" si="70"/>
        <v>-3815.4144248268021</v>
      </c>
      <c r="I92" s="558">
        <f t="shared" ca="1" si="70"/>
        <v>-3719.8023084237911</v>
      </c>
      <c r="J92" s="558">
        <f t="shared" ca="1" si="70"/>
        <v>-3289.9436904099275</v>
      </c>
      <c r="K92" s="558">
        <f t="shared" ca="1" si="70"/>
        <v>-3563.0338270128332</v>
      </c>
      <c r="L92" s="558">
        <f t="shared" ca="1" si="70"/>
        <v>-3402.2504185155931</v>
      </c>
      <c r="M92" s="558">
        <f t="shared" ca="1" si="70"/>
        <v>-3234.7662368164656</v>
      </c>
      <c r="N92" s="558">
        <f t="shared" ca="1" si="70"/>
        <v>-2973.7411430225802</v>
      </c>
      <c r="O92" s="558">
        <f t="shared" ca="1" si="70"/>
        <v>-2682.8925778225121</v>
      </c>
      <c r="P92" s="558">
        <f t="shared" ca="1" si="70"/>
        <v>-2342.1367294069978</v>
      </c>
      <c r="Q92" s="558">
        <f t="shared" ca="1" si="70"/>
        <v>-1975.3967697919131</v>
      </c>
      <c r="R92" s="558">
        <f t="shared" ca="1" si="70"/>
        <v>-1795.6191771062199</v>
      </c>
      <c r="S92" s="558">
        <f t="shared" ca="1" si="70"/>
        <v>-1611.1414886851064</v>
      </c>
      <c r="T92" s="558">
        <f t="shared" ca="1" si="70"/>
        <v>-1507.4816944037514</v>
      </c>
      <c r="U92" s="558">
        <f t="shared" ca="1" si="70"/>
        <v>-1234.1757114177387</v>
      </c>
      <c r="V92" s="558">
        <f t="shared" ca="1" si="70"/>
        <v>-900.6530454733437</v>
      </c>
      <c r="W92" s="558">
        <f t="shared" ca="1" si="70"/>
        <v>-435.26576486512454</v>
      </c>
      <c r="X92" s="558">
        <f t="shared" ca="1" si="70"/>
        <v>-511.09991078974133</v>
      </c>
      <c r="Y92" s="558">
        <f t="shared" ca="1" si="70"/>
        <v>-0.52105408262568809</v>
      </c>
      <c r="Z92" s="558">
        <f t="shared" ca="1" si="70"/>
        <v>0</v>
      </c>
      <c r="AA92" s="558">
        <f t="shared" ca="1" si="70"/>
        <v>0</v>
      </c>
      <c r="AB92" s="558">
        <f t="shared" ca="1" si="70"/>
        <v>0</v>
      </c>
      <c r="AC92" s="558">
        <f t="shared" ca="1" si="70"/>
        <v>0</v>
      </c>
      <c r="AD92" s="558">
        <f t="shared" ca="1" si="70"/>
        <v>0</v>
      </c>
      <c r="AE92" s="558">
        <f t="shared" ca="1" si="70"/>
        <v>0</v>
      </c>
      <c r="AF92" s="558">
        <f t="shared" ca="1" si="70"/>
        <v>0</v>
      </c>
      <c r="AG92" s="558">
        <f t="shared" ca="1" si="70"/>
        <v>0</v>
      </c>
      <c r="AH92" s="558">
        <f t="shared" ca="1" si="70"/>
        <v>0</v>
      </c>
      <c r="AI92" s="558">
        <f t="shared" ca="1" si="70"/>
        <v>0</v>
      </c>
      <c r="AJ92" s="644"/>
      <c r="AK92" s="644"/>
      <c r="AM92" s="865"/>
      <c r="AN92" s="1206">
        <f t="shared" ca="1" si="67"/>
        <v>-0.21652701694126425</v>
      </c>
      <c r="AO92" s="1206">
        <f t="shared" ca="1" si="67"/>
        <v>-0.36676263991835956</v>
      </c>
      <c r="AP92" s="1206">
        <f t="shared" ca="1" si="67"/>
        <v>-0.35436032628747755</v>
      </c>
      <c r="AQ92" s="1206">
        <f t="shared" ca="1" si="67"/>
        <v>-0.34620388878638214</v>
      </c>
      <c r="AR92" s="1206">
        <f t="shared" ca="1" si="67"/>
        <v>-0.3375282161521253</v>
      </c>
      <c r="AS92" s="1206">
        <f t="shared" ca="1" si="67"/>
        <v>-0.29852361308295933</v>
      </c>
      <c r="AT92" s="1206">
        <f t="shared" ca="1" si="67"/>
        <v>-0.32330332421104263</v>
      </c>
      <c r="AU92" s="1206">
        <f t="shared" ca="1" si="67"/>
        <v>-0.30871412495869649</v>
      </c>
      <c r="AV92" s="1206">
        <f t="shared" ca="1" si="67"/>
        <v>-0.29351690951673959</v>
      </c>
      <c r="AW92" s="1206">
        <f t="shared" ca="1" si="67"/>
        <v>-0.26983195881931293</v>
      </c>
      <c r="AX92" s="1206">
        <f t="shared" ca="1" si="68"/>
        <v>-0.24344087960521837</v>
      </c>
      <c r="AY92" s="1206">
        <f t="shared" ca="1" si="68"/>
        <v>-0.21252130267000532</v>
      </c>
      <c r="AZ92" s="1206">
        <f t="shared" ca="1" si="68"/>
        <v>-0.17924397390437152</v>
      </c>
      <c r="BA92" s="1206">
        <f t="shared" ca="1" si="68"/>
        <v>-0.16293127631130033</v>
      </c>
      <c r="BB92" s="1206">
        <f t="shared" ca="1" si="68"/>
        <v>-0.14619210042777592</v>
      </c>
      <c r="BC92" s="1206">
        <f t="shared" ca="1" si="68"/>
        <v>-0.13678619587977112</v>
      </c>
      <c r="BD92" s="1206">
        <f t="shared" ca="1" si="68"/>
        <v>-0.11198689923648773</v>
      </c>
      <c r="BE92" s="1206">
        <f t="shared" ca="1" si="68"/>
        <v>-8.172364835684244E-2</v>
      </c>
      <c r="BF92" s="1206">
        <f t="shared" ca="1" si="68"/>
        <v>-3.9495237914745164E-2</v>
      </c>
      <c r="BG92" s="1206">
        <f t="shared" ca="1" si="68"/>
        <v>-4.6376292840538208E-2</v>
      </c>
      <c r="BH92" s="1206">
        <f t="shared" ca="1" si="69"/>
        <v>-1.7020625979637962E-2</v>
      </c>
      <c r="BI92" s="1206" t="e">
        <f t="shared" ca="1" si="69"/>
        <v>#DIV/0!</v>
      </c>
      <c r="BJ92" s="1206" t="e">
        <f t="shared" ca="1" si="69"/>
        <v>#DIV/0!</v>
      </c>
      <c r="BK92" s="1206" t="e">
        <f t="shared" ca="1" si="69"/>
        <v>#DIV/0!</v>
      </c>
      <c r="BL92" s="1206" t="e">
        <f t="shared" ca="1" si="69"/>
        <v>#DIV/0!</v>
      </c>
      <c r="BM92" s="1206" t="e">
        <f t="shared" ca="1" si="69"/>
        <v>#DIV/0!</v>
      </c>
      <c r="BN92" s="1206" t="e">
        <f t="shared" ca="1" si="69"/>
        <v>#DIV/0!</v>
      </c>
      <c r="BO92" s="1206" t="e">
        <f t="shared" ca="1" si="69"/>
        <v>#DIV/0!</v>
      </c>
      <c r="BP92" s="1206" t="e">
        <f t="shared" ca="1" si="69"/>
        <v>#DIV/0!</v>
      </c>
      <c r="BQ92" s="1206" t="e">
        <f t="shared" ca="1" si="69"/>
        <v>#DIV/0!</v>
      </c>
      <c r="BR92" s="1204" t="e">
        <f ca="1">AI92/AI$82</f>
        <v>#DIV/0!</v>
      </c>
      <c r="BS92" s="431"/>
      <c r="BT92" s="431"/>
      <c r="BU92" s="431"/>
      <c r="BV92" s="431"/>
      <c r="BW92" s="431"/>
      <c r="BX92" s="431"/>
      <c r="BY92" s="431"/>
      <c r="BZ92" s="431"/>
      <c r="CA92" s="431"/>
      <c r="CB92" s="431"/>
      <c r="CC92" s="431"/>
      <c r="CD92" s="431"/>
      <c r="CE92" s="431"/>
      <c r="CF92" s="431"/>
      <c r="CG92" s="431"/>
      <c r="CH92" s="431"/>
      <c r="CI92" s="431"/>
      <c r="CJ92" s="431"/>
      <c r="CK92" s="431"/>
      <c r="CL92" s="431"/>
      <c r="CM92" s="431"/>
      <c r="CN92" s="431"/>
      <c r="CO92" s="431"/>
      <c r="CP92" s="431"/>
      <c r="CQ92" s="431"/>
      <c r="CR92" s="431"/>
      <c r="CS92" s="431"/>
      <c r="CT92" s="431"/>
      <c r="CU92" s="431"/>
      <c r="CV92" s="431"/>
      <c r="CW92" s="431"/>
      <c r="CX92" s="431"/>
      <c r="CY92" s="431"/>
      <c r="CZ92" s="431"/>
      <c r="DA92" s="431"/>
      <c r="DB92" s="431"/>
    </row>
    <row r="93" spans="1:106" s="177" customFormat="1">
      <c r="A93" s="184"/>
      <c r="B93" s="184"/>
      <c r="C93" s="59"/>
      <c r="D93" s="352"/>
      <c r="E93" s="184"/>
      <c r="F93" s="184"/>
      <c r="G93" s="184"/>
      <c r="H93" s="184"/>
      <c r="I93" s="184"/>
      <c r="J93" s="184"/>
      <c r="K93" s="184"/>
      <c r="L93" s="184"/>
      <c r="M93" s="184"/>
      <c r="N93" s="184"/>
      <c r="O93" s="184"/>
      <c r="P93" s="184"/>
      <c r="Q93" s="184"/>
      <c r="R93" s="184"/>
      <c r="S93" s="184"/>
      <c r="T93" s="184"/>
      <c r="U93" s="184"/>
      <c r="V93" s="184"/>
      <c r="W93" s="184"/>
      <c r="X93" s="184"/>
      <c r="Y93" s="184"/>
      <c r="Z93" s="184"/>
      <c r="AA93" s="184"/>
      <c r="AB93" s="184"/>
      <c r="AC93" s="184"/>
      <c r="AD93" s="184"/>
      <c r="AE93" s="184"/>
      <c r="AF93" s="184"/>
      <c r="AG93" s="184"/>
      <c r="AH93" s="184"/>
      <c r="AI93" s="184"/>
      <c r="AJ93" s="648"/>
      <c r="AK93" s="648"/>
      <c r="AM93" s="352"/>
      <c r="AN93" s="184"/>
      <c r="AO93" s="184"/>
      <c r="AP93" s="184"/>
      <c r="AQ93" s="184"/>
      <c r="AR93" s="184"/>
      <c r="AS93" s="184"/>
      <c r="AT93" s="184"/>
      <c r="AU93" s="184"/>
      <c r="AV93" s="184"/>
      <c r="AW93" s="184"/>
      <c r="AX93" s="184"/>
      <c r="AY93" s="184"/>
      <c r="AZ93" s="184"/>
      <c r="BA93" s="184"/>
      <c r="BB93" s="184"/>
      <c r="BC93" s="184"/>
      <c r="BD93" s="184"/>
      <c r="BE93" s="184"/>
      <c r="BF93" s="184"/>
      <c r="BG93" s="184"/>
      <c r="BH93" s="184"/>
      <c r="BI93" s="184"/>
      <c r="BJ93" s="184"/>
      <c r="BK93" s="184"/>
      <c r="BL93" s="184"/>
      <c r="BM93" s="184"/>
      <c r="BN93" s="184"/>
      <c r="BO93" s="184"/>
      <c r="BP93" s="184"/>
      <c r="BQ93" s="184"/>
      <c r="BR93" s="184"/>
      <c r="BS93" s="184"/>
      <c r="BT93" s="184"/>
      <c r="BU93" s="184"/>
      <c r="BV93" s="184"/>
      <c r="BW93" s="184"/>
      <c r="BX93" s="184"/>
      <c r="BY93" s="184"/>
      <c r="BZ93" s="184"/>
      <c r="CA93" s="184"/>
      <c r="CB93" s="184"/>
      <c r="CC93" s="184"/>
      <c r="CD93" s="184"/>
      <c r="CE93" s="184"/>
      <c r="CF93" s="184"/>
      <c r="CG93" s="184"/>
      <c r="CH93" s="184"/>
      <c r="CI93" s="184"/>
      <c r="CJ93" s="184"/>
      <c r="CK93" s="184"/>
      <c r="CL93" s="184"/>
      <c r="CM93" s="184"/>
      <c r="CN93" s="184"/>
      <c r="CO93" s="184"/>
      <c r="CP93" s="184"/>
      <c r="CQ93" s="184"/>
      <c r="CR93" s="184"/>
      <c r="CS93" s="184"/>
      <c r="CT93" s="184"/>
      <c r="CU93" s="184"/>
      <c r="CV93" s="184"/>
      <c r="CW93" s="184"/>
      <c r="CX93" s="184"/>
      <c r="CY93" s="184"/>
      <c r="CZ93" s="184"/>
      <c r="DA93" s="184"/>
      <c r="DB93" s="184"/>
    </row>
    <row r="94" spans="1:106" s="332" customFormat="1">
      <c r="D94" s="646"/>
    </row>
  </sheetData>
  <printOptions headings="1"/>
  <pageMargins left="0.3" right="0.23" top="0.37" bottom="0.41" header="0.24" footer="0.21"/>
  <pageSetup scale="40" orientation="landscape" verticalDpi="300" r:id="rId1"/>
  <headerFooter alignWithMargins="0">
    <oddFooter>&amp;R&amp;F</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pageSetUpPr fitToPage="1"/>
  </sheetPr>
  <dimension ref="A1:EM106"/>
  <sheetViews>
    <sheetView zoomScale="75" zoomScaleNormal="75" workbookViewId="0">
      <selection sqref="A1:W56"/>
    </sheetView>
  </sheetViews>
  <sheetFormatPr defaultColWidth="8.7109375" defaultRowHeight="12.75"/>
  <cols>
    <col min="1" max="1" width="8.7109375" style="612" customWidth="1"/>
    <col min="2" max="2" width="32.140625" customWidth="1"/>
    <col min="3" max="3" width="9.85546875" customWidth="1"/>
    <col min="4" max="4" width="16.42578125" customWidth="1"/>
    <col min="5" max="5" width="12.140625" customWidth="1"/>
    <col min="6" max="7" width="11.140625" customWidth="1"/>
    <col min="8" max="8" width="9.42578125" customWidth="1"/>
    <col min="9" max="9" width="9.28515625" customWidth="1"/>
    <col min="10" max="10" width="9.42578125" customWidth="1"/>
    <col min="11" max="11" width="9.28515625" customWidth="1"/>
    <col min="12" max="12" width="8.85546875" customWidth="1"/>
    <col min="13" max="13" width="9.7109375" customWidth="1"/>
    <col min="14" max="14" width="9.85546875" customWidth="1"/>
    <col min="15" max="15" width="9.28515625" customWidth="1"/>
    <col min="16" max="16" width="8.85546875" customWidth="1"/>
    <col min="17" max="17" width="9.28515625" customWidth="1"/>
    <col min="18" max="26" width="8.7109375" customWidth="1"/>
    <col min="27" max="27" width="9.28515625" customWidth="1"/>
  </cols>
  <sheetData>
    <row r="1" spans="1:143" s="241" customFormat="1" ht="15.75">
      <c r="A1" s="612"/>
      <c r="B1" s="338" t="str">
        <f>ExecSum!$E$4</f>
        <v>Sweetwater 129.00MW Project</v>
      </c>
      <c r="C1" s="242"/>
      <c r="D1" s="244">
        <v>1</v>
      </c>
      <c r="E1" s="245">
        <v>2</v>
      </c>
      <c r="F1" s="245">
        <v>3</v>
      </c>
      <c r="G1" s="245">
        <v>4</v>
      </c>
      <c r="H1" s="245">
        <v>5</v>
      </c>
      <c r="I1" s="245">
        <v>6</v>
      </c>
      <c r="J1" s="245">
        <v>7</v>
      </c>
      <c r="K1" s="245">
        <v>8</v>
      </c>
      <c r="L1" s="245">
        <v>9</v>
      </c>
      <c r="M1" s="245">
        <v>10</v>
      </c>
      <c r="N1" s="245">
        <v>11</v>
      </c>
      <c r="O1" s="245">
        <v>12</v>
      </c>
      <c r="P1" s="245">
        <v>13</v>
      </c>
      <c r="Q1" s="245">
        <v>14</v>
      </c>
      <c r="R1" s="245">
        <v>15</v>
      </c>
      <c r="S1" s="245">
        <v>16</v>
      </c>
      <c r="T1" s="245">
        <v>17</v>
      </c>
      <c r="U1" s="245">
        <v>18</v>
      </c>
      <c r="V1" s="245">
        <v>19</v>
      </c>
      <c r="W1" s="245">
        <v>20</v>
      </c>
      <c r="X1" s="245">
        <v>21</v>
      </c>
      <c r="Y1" s="245">
        <v>22</v>
      </c>
      <c r="Z1" s="245">
        <v>23</v>
      </c>
      <c r="AA1" s="245">
        <v>24</v>
      </c>
      <c r="AB1" s="245">
        <v>25</v>
      </c>
      <c r="AC1" s="245">
        <v>26</v>
      </c>
      <c r="AD1" s="245">
        <v>27</v>
      </c>
      <c r="AE1" s="245">
        <v>28</v>
      </c>
      <c r="AF1" s="245">
        <v>29</v>
      </c>
      <c r="AG1" s="245">
        <v>30</v>
      </c>
      <c r="AH1" s="246">
        <v>31</v>
      </c>
    </row>
    <row r="2" spans="1:143" s="241" customFormat="1" ht="15.75">
      <c r="A2" s="612"/>
      <c r="B2" s="902" t="s">
        <v>481</v>
      </c>
      <c r="D2" s="247">
        <f>Assum!$H$25</f>
        <v>2002</v>
      </c>
      <c r="E2" s="248">
        <f t="shared" ref="E2:L2" si="0">D2+1</f>
        <v>2003</v>
      </c>
      <c r="F2" s="248">
        <f t="shared" si="0"/>
        <v>2004</v>
      </c>
      <c r="G2" s="248">
        <f t="shared" si="0"/>
        <v>2005</v>
      </c>
      <c r="H2" s="248">
        <f t="shared" si="0"/>
        <v>2006</v>
      </c>
      <c r="I2" s="248">
        <f t="shared" si="0"/>
        <v>2007</v>
      </c>
      <c r="J2" s="248">
        <f t="shared" si="0"/>
        <v>2008</v>
      </c>
      <c r="K2" s="248">
        <f t="shared" si="0"/>
        <v>2009</v>
      </c>
      <c r="L2" s="248">
        <f t="shared" si="0"/>
        <v>2010</v>
      </c>
      <c r="M2" s="248">
        <f t="shared" ref="M2:W2" si="1">L2+1</f>
        <v>2011</v>
      </c>
      <c r="N2" s="248">
        <f t="shared" si="1"/>
        <v>2012</v>
      </c>
      <c r="O2" s="248">
        <f t="shared" si="1"/>
        <v>2013</v>
      </c>
      <c r="P2" s="248">
        <f t="shared" si="1"/>
        <v>2014</v>
      </c>
      <c r="Q2" s="248">
        <f t="shared" si="1"/>
        <v>2015</v>
      </c>
      <c r="R2" s="248">
        <f t="shared" si="1"/>
        <v>2016</v>
      </c>
      <c r="S2" s="248">
        <f t="shared" si="1"/>
        <v>2017</v>
      </c>
      <c r="T2" s="248">
        <f t="shared" si="1"/>
        <v>2018</v>
      </c>
      <c r="U2" s="248">
        <f t="shared" si="1"/>
        <v>2019</v>
      </c>
      <c r="V2" s="248">
        <f t="shared" si="1"/>
        <v>2020</v>
      </c>
      <c r="W2" s="248">
        <f t="shared" si="1"/>
        <v>2021</v>
      </c>
      <c r="X2" s="248">
        <f t="shared" ref="X2:AG2" si="2">W2+1</f>
        <v>2022</v>
      </c>
      <c r="Y2" s="248">
        <f t="shared" si="2"/>
        <v>2023</v>
      </c>
      <c r="Z2" s="248">
        <f t="shared" si="2"/>
        <v>2024</v>
      </c>
      <c r="AA2" s="248">
        <f t="shared" si="2"/>
        <v>2025</v>
      </c>
      <c r="AB2" s="248">
        <f t="shared" si="2"/>
        <v>2026</v>
      </c>
      <c r="AC2" s="248">
        <f t="shared" si="2"/>
        <v>2027</v>
      </c>
      <c r="AD2" s="248">
        <f t="shared" si="2"/>
        <v>2028</v>
      </c>
      <c r="AE2" s="248">
        <f t="shared" si="2"/>
        <v>2029</v>
      </c>
      <c r="AF2" s="248">
        <f t="shared" si="2"/>
        <v>2030</v>
      </c>
      <c r="AG2" s="248">
        <f t="shared" si="2"/>
        <v>2031</v>
      </c>
      <c r="AH2" s="249">
        <f>AG2+1</f>
        <v>2032</v>
      </c>
    </row>
    <row r="4" spans="1:143" s="59" customFormat="1">
      <c r="A4" s="720"/>
      <c r="B4" s="64"/>
      <c r="C4" s="187"/>
      <c r="D4" s="64"/>
      <c r="E4" s="64"/>
      <c r="F4" s="64"/>
      <c r="G4" s="64"/>
      <c r="H4" s="64"/>
      <c r="I4" s="64"/>
      <c r="J4" s="64"/>
      <c r="K4" s="64"/>
      <c r="L4" s="64"/>
      <c r="M4" s="64"/>
      <c r="N4" s="64"/>
      <c r="O4" s="64"/>
      <c r="P4" s="64"/>
      <c r="Q4" s="64"/>
      <c r="R4" s="64"/>
      <c r="S4" s="64"/>
      <c r="T4" s="64"/>
      <c r="U4" s="64"/>
      <c r="V4" s="64"/>
      <c r="W4" s="64"/>
      <c r="X4" s="64"/>
      <c r="Y4" s="64"/>
      <c r="Z4" s="64"/>
      <c r="AA4" s="64"/>
      <c r="AB4" s="64"/>
      <c r="AC4" s="64"/>
      <c r="AD4" s="64"/>
      <c r="AE4" s="64"/>
      <c r="AF4" s="64"/>
      <c r="AG4" s="64"/>
      <c r="AH4" s="64"/>
      <c r="AI4" s="63"/>
      <c r="AJ4" s="64"/>
      <c r="AK4" s="64"/>
      <c r="AL4" s="64"/>
      <c r="AM4" s="64"/>
      <c r="AN4" s="64"/>
      <c r="AO4" s="64"/>
      <c r="AP4" s="64"/>
      <c r="AQ4" s="64"/>
      <c r="AR4" s="64"/>
      <c r="AS4" s="64"/>
      <c r="AT4" s="64"/>
      <c r="AU4" s="64"/>
      <c r="AV4" s="64"/>
      <c r="AW4" s="64"/>
      <c r="AX4" s="64"/>
      <c r="AY4" s="64"/>
      <c r="AZ4" s="64"/>
      <c r="BA4" s="64"/>
      <c r="BB4" s="64"/>
      <c r="BC4" s="64"/>
      <c r="BD4" s="64"/>
      <c r="BE4" s="64"/>
      <c r="BF4" s="64"/>
      <c r="BG4" s="64"/>
      <c r="BH4" s="64"/>
      <c r="BI4" s="64"/>
      <c r="BJ4" s="64"/>
      <c r="BK4" s="64"/>
      <c r="BL4" s="64"/>
      <c r="BM4" s="64"/>
      <c r="BN4" s="64"/>
      <c r="BO4" s="64"/>
      <c r="BP4" s="64"/>
      <c r="BQ4" s="64"/>
      <c r="BR4" s="64"/>
      <c r="BS4" s="64"/>
      <c r="BT4" s="64"/>
      <c r="BU4" s="64"/>
      <c r="BV4" s="64"/>
      <c r="BW4" s="64"/>
      <c r="BX4" s="64"/>
      <c r="BY4" s="64"/>
      <c r="BZ4" s="64"/>
      <c r="CA4" s="64"/>
      <c r="CB4" s="64"/>
      <c r="CC4" s="64"/>
      <c r="CD4" s="64"/>
      <c r="CE4" s="64"/>
      <c r="CF4" s="64"/>
      <c r="CG4" s="64"/>
      <c r="CH4" s="64"/>
      <c r="CI4" s="64"/>
      <c r="CJ4" s="64"/>
      <c r="CK4" s="64"/>
      <c r="CL4" s="64"/>
      <c r="CM4" s="64"/>
      <c r="CN4" s="64"/>
      <c r="CO4" s="64"/>
      <c r="CP4" s="64"/>
      <c r="CQ4" s="64"/>
      <c r="CR4" s="64"/>
      <c r="CS4" s="64"/>
      <c r="CT4" s="64"/>
      <c r="CU4" s="64"/>
      <c r="CV4" s="64"/>
      <c r="CW4" s="64"/>
      <c r="CX4" s="64"/>
      <c r="CY4" s="64"/>
      <c r="CZ4" s="64"/>
      <c r="DA4" s="64"/>
      <c r="DB4" s="64"/>
      <c r="DC4" s="64"/>
      <c r="DD4" s="64"/>
      <c r="DE4" s="64"/>
      <c r="DF4" s="64"/>
      <c r="DG4" s="64"/>
      <c r="DH4" s="64"/>
      <c r="DI4" s="64"/>
      <c r="DJ4" s="64"/>
      <c r="DK4" s="64"/>
      <c r="DL4" s="64"/>
      <c r="DM4" s="64"/>
      <c r="DN4" s="64"/>
      <c r="DO4" s="64"/>
      <c r="DP4" s="64"/>
      <c r="DQ4" s="64"/>
      <c r="DR4" s="64"/>
      <c r="DS4" s="64"/>
      <c r="DT4" s="64"/>
      <c r="DU4" s="64"/>
      <c r="DV4" s="64"/>
      <c r="DW4" s="64"/>
      <c r="DX4" s="64"/>
      <c r="DY4" s="64"/>
      <c r="DZ4" s="64"/>
      <c r="EA4" s="64"/>
      <c r="EB4" s="64"/>
      <c r="EC4" s="64"/>
      <c r="ED4" s="64"/>
      <c r="EE4" s="64"/>
      <c r="EF4" s="64"/>
      <c r="EG4" s="64"/>
      <c r="EH4" s="64"/>
      <c r="EI4" s="64"/>
      <c r="EJ4" s="64"/>
      <c r="EK4" s="64"/>
      <c r="EL4" s="64"/>
      <c r="EM4" s="64"/>
    </row>
    <row r="5" spans="1:143" s="59" customFormat="1">
      <c r="A5" s="612"/>
      <c r="B5" s="301" t="s">
        <v>448</v>
      </c>
      <c r="C5" s="187"/>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3"/>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c r="BP5" s="64"/>
      <c r="BQ5" s="64"/>
      <c r="BR5" s="64"/>
      <c r="BS5" s="64"/>
      <c r="BT5" s="64"/>
      <c r="BU5" s="64"/>
      <c r="BV5" s="64"/>
      <c r="BW5" s="64"/>
      <c r="BX5" s="64"/>
      <c r="BY5" s="64"/>
      <c r="BZ5" s="64"/>
      <c r="CA5" s="64"/>
      <c r="CB5" s="64"/>
      <c r="CC5" s="64"/>
      <c r="CD5" s="64"/>
      <c r="CE5" s="64"/>
      <c r="CF5" s="64"/>
      <c r="CG5" s="64"/>
      <c r="CH5" s="64"/>
      <c r="CI5" s="64"/>
      <c r="CJ5" s="64"/>
      <c r="CK5" s="64"/>
      <c r="CL5" s="64"/>
      <c r="CM5" s="64"/>
      <c r="CN5" s="64"/>
      <c r="CO5" s="64"/>
      <c r="CP5" s="64"/>
      <c r="CQ5" s="64"/>
      <c r="CR5" s="64"/>
      <c r="CS5" s="64"/>
      <c r="CT5" s="64"/>
      <c r="CU5" s="64"/>
      <c r="CV5" s="64"/>
      <c r="CW5" s="64"/>
      <c r="CX5" s="64"/>
      <c r="CY5" s="64"/>
      <c r="CZ5" s="64"/>
      <c r="DA5" s="64"/>
      <c r="DB5" s="64"/>
      <c r="DC5" s="64"/>
      <c r="DD5" s="64"/>
      <c r="DE5" s="64"/>
      <c r="DF5" s="64"/>
      <c r="DG5" s="64"/>
      <c r="DH5" s="64"/>
      <c r="DI5" s="64"/>
      <c r="DJ5" s="64"/>
      <c r="DK5" s="64"/>
      <c r="DL5" s="64"/>
      <c r="DM5" s="64"/>
      <c r="DN5" s="64"/>
      <c r="DO5" s="64"/>
      <c r="DP5" s="64"/>
      <c r="DQ5" s="64"/>
      <c r="DR5" s="64"/>
      <c r="DS5" s="64"/>
      <c r="DT5" s="64"/>
      <c r="DU5" s="64"/>
      <c r="DV5" s="64"/>
      <c r="DW5" s="64"/>
      <c r="DX5" s="64"/>
      <c r="DY5" s="64"/>
      <c r="DZ5" s="64"/>
      <c r="EA5" s="64"/>
      <c r="EB5" s="64"/>
      <c r="EC5" s="64"/>
      <c r="ED5" s="64"/>
      <c r="EE5" s="64"/>
      <c r="EF5" s="64"/>
      <c r="EG5" s="64"/>
      <c r="EH5" s="64"/>
      <c r="EI5" s="64"/>
      <c r="EJ5" s="64"/>
      <c r="EK5" s="64"/>
      <c r="EL5" s="64"/>
      <c r="EM5" s="64"/>
    </row>
    <row r="6" spans="1:143" s="59" customFormat="1">
      <c r="A6" s="612"/>
      <c r="B6" s="244" t="s">
        <v>630</v>
      </c>
      <c r="C6" s="245"/>
      <c r="D6" s="478">
        <f>Assum!E341</f>
        <v>0.99</v>
      </c>
      <c r="E6" s="478">
        <f>Assum!F341</f>
        <v>0.99</v>
      </c>
      <c r="F6" s="478">
        <f>Assum!G341</f>
        <v>0.99</v>
      </c>
      <c r="G6" s="478">
        <f>Assum!H341</f>
        <v>0.99</v>
      </c>
      <c r="H6" s="478">
        <f>Assum!I341</f>
        <v>0.99</v>
      </c>
      <c r="I6" s="478">
        <f>Assum!J341</f>
        <v>0.99</v>
      </c>
      <c r="J6" s="478">
        <f>Assum!K341</f>
        <v>0.99</v>
      </c>
      <c r="K6" s="478">
        <f>Assum!L341</f>
        <v>0.99</v>
      </c>
      <c r="L6" s="478">
        <f>Assum!M341</f>
        <v>0.99</v>
      </c>
      <c r="M6" s="478">
        <f>Assum!N341</f>
        <v>0.99</v>
      </c>
      <c r="N6" s="478">
        <f>Assum!O341</f>
        <v>0.99</v>
      </c>
      <c r="O6" s="478">
        <f>Assum!P341</f>
        <v>0.99</v>
      </c>
      <c r="P6" s="478">
        <f>Assum!Q341</f>
        <v>0.99</v>
      </c>
      <c r="Q6" s="478">
        <f>Assum!R341</f>
        <v>0.99</v>
      </c>
      <c r="R6" s="478">
        <f>Assum!S341</f>
        <v>0.99</v>
      </c>
      <c r="S6" s="478">
        <f>Assum!T341</f>
        <v>0.99</v>
      </c>
      <c r="T6" s="478">
        <f>Assum!U341</f>
        <v>0.99</v>
      </c>
      <c r="U6" s="478">
        <f>Assum!V341</f>
        <v>0.99</v>
      </c>
      <c r="V6" s="478">
        <f>Assum!W341</f>
        <v>0.99</v>
      </c>
      <c r="W6" s="478">
        <f>Assum!X341</f>
        <v>0.99</v>
      </c>
      <c r="X6" s="478">
        <f>Assum!Y341</f>
        <v>0.99</v>
      </c>
      <c r="Y6" s="478">
        <f>Assum!Z341</f>
        <v>0.99</v>
      </c>
      <c r="Z6" s="478">
        <f>Assum!AA341</f>
        <v>0.99</v>
      </c>
      <c r="AA6" s="478">
        <f>Assum!AB341</f>
        <v>0.99</v>
      </c>
      <c r="AB6" s="478">
        <f>Assum!AC341</f>
        <v>0.99</v>
      </c>
      <c r="AC6" s="478">
        <f>Assum!AD341</f>
        <v>0.99</v>
      </c>
      <c r="AD6" s="478">
        <f>Assum!AE341</f>
        <v>0.99</v>
      </c>
      <c r="AE6" s="478">
        <f>Assum!AF341</f>
        <v>0.99</v>
      </c>
      <c r="AF6" s="478">
        <f>Assum!AG341</f>
        <v>0.99</v>
      </c>
      <c r="AG6" s="478">
        <f>Assum!AH341</f>
        <v>0.99</v>
      </c>
      <c r="AH6" s="479">
        <f>Assum!AI341</f>
        <v>0</v>
      </c>
      <c r="AI6" s="63"/>
      <c r="AJ6" s="64"/>
      <c r="AK6" s="64"/>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4"/>
      <c r="CW6" s="64"/>
      <c r="CX6" s="64"/>
      <c r="CY6" s="64"/>
      <c r="CZ6" s="64"/>
      <c r="DA6" s="64"/>
      <c r="DB6" s="64"/>
      <c r="DC6" s="64"/>
      <c r="DD6" s="64"/>
      <c r="DE6" s="64"/>
      <c r="DF6" s="64"/>
      <c r="DG6" s="64"/>
      <c r="DH6" s="64"/>
      <c r="DI6" s="64"/>
      <c r="DJ6" s="64"/>
      <c r="DK6" s="64"/>
      <c r="DL6" s="64"/>
      <c r="DM6" s="64"/>
      <c r="DN6" s="64"/>
      <c r="DO6" s="64"/>
      <c r="DP6" s="64"/>
      <c r="DQ6" s="64"/>
      <c r="DR6" s="64"/>
      <c r="DS6" s="64"/>
      <c r="DT6" s="64"/>
      <c r="DU6" s="64"/>
      <c r="DV6" s="64"/>
      <c r="DW6" s="64"/>
      <c r="DX6" s="64"/>
      <c r="DY6" s="64"/>
      <c r="DZ6" s="64"/>
      <c r="EA6" s="64"/>
      <c r="EB6" s="64"/>
      <c r="EC6" s="64"/>
      <c r="ED6" s="64"/>
      <c r="EE6" s="64"/>
      <c r="EF6" s="64"/>
      <c r="EG6" s="64"/>
      <c r="EH6" s="64"/>
      <c r="EI6" s="64"/>
      <c r="EJ6" s="64"/>
      <c r="EK6" s="64"/>
      <c r="EL6" s="64"/>
      <c r="EM6" s="64"/>
    </row>
    <row r="7" spans="1:143" s="59" customFormat="1">
      <c r="A7" s="612"/>
      <c r="B7" s="1094" t="s">
        <v>632</v>
      </c>
      <c r="C7" s="685"/>
      <c r="D7" s="1091">
        <f>Assum!E345</f>
        <v>0.99</v>
      </c>
      <c r="E7" s="1091">
        <f>Assum!F345</f>
        <v>0.99</v>
      </c>
      <c r="F7" s="1091">
        <f>Assum!G345</f>
        <v>0.99</v>
      </c>
      <c r="G7" s="1091">
        <f>Assum!H345</f>
        <v>0.99</v>
      </c>
      <c r="H7" s="1091">
        <f>Assum!I345</f>
        <v>0.99</v>
      </c>
      <c r="I7" s="1091">
        <f>Assum!J345</f>
        <v>0.99</v>
      </c>
      <c r="J7" s="1091">
        <f>Assum!K345</f>
        <v>0.99</v>
      </c>
      <c r="K7" s="1091">
        <f>Assum!L345</f>
        <v>0.99</v>
      </c>
      <c r="L7" s="1091">
        <f>Assum!M345</f>
        <v>0.99</v>
      </c>
      <c r="M7" s="1091">
        <f>Assum!N345</f>
        <v>0.99</v>
      </c>
      <c r="N7" s="1091">
        <f>Assum!O345</f>
        <v>0.99</v>
      </c>
      <c r="O7" s="1091">
        <f>Assum!P345</f>
        <v>0.99</v>
      </c>
      <c r="P7" s="1091">
        <f>Assum!Q345</f>
        <v>0.99</v>
      </c>
      <c r="Q7" s="1091">
        <f>Assum!R345</f>
        <v>0.99</v>
      </c>
      <c r="R7" s="1091">
        <f>Assum!S345</f>
        <v>0.99</v>
      </c>
      <c r="S7" s="1091">
        <f>Assum!T345</f>
        <v>0.99</v>
      </c>
      <c r="T7" s="1091">
        <f>Assum!U345</f>
        <v>0.99</v>
      </c>
      <c r="U7" s="1091">
        <f>Assum!V345</f>
        <v>0.99</v>
      </c>
      <c r="V7" s="1091">
        <f>Assum!W345</f>
        <v>0.99</v>
      </c>
      <c r="W7" s="1091">
        <f>Assum!X345</f>
        <v>0.99</v>
      </c>
      <c r="X7" s="1091">
        <f>Assum!Y345</f>
        <v>0.99</v>
      </c>
      <c r="Y7" s="1091">
        <f>Assum!Z345</f>
        <v>0.99</v>
      </c>
      <c r="Z7" s="1091">
        <f>Assum!AA345</f>
        <v>0.99</v>
      </c>
      <c r="AA7" s="1091">
        <f>Assum!AB345</f>
        <v>0.99</v>
      </c>
      <c r="AB7" s="1091">
        <f>Assum!AC345</f>
        <v>0.99</v>
      </c>
      <c r="AC7" s="1091">
        <f>Assum!AD345</f>
        <v>0.99</v>
      </c>
      <c r="AD7" s="1091">
        <f>Assum!AE345</f>
        <v>0.99</v>
      </c>
      <c r="AE7" s="1091">
        <f>Assum!AF345</f>
        <v>0.99</v>
      </c>
      <c r="AF7" s="1091">
        <f>Assum!AG345</f>
        <v>0.99</v>
      </c>
      <c r="AG7" s="1091">
        <f>Assum!AH345</f>
        <v>0.99</v>
      </c>
      <c r="AH7" s="1095">
        <f>Assum!AI345</f>
        <v>0</v>
      </c>
      <c r="AI7" s="63"/>
      <c r="AJ7" s="64"/>
      <c r="AK7" s="64"/>
      <c r="AL7" s="64"/>
      <c r="AM7" s="64"/>
      <c r="AN7" s="64"/>
      <c r="AO7" s="64"/>
      <c r="AP7" s="64"/>
      <c r="AQ7" s="64"/>
      <c r="AR7" s="64"/>
      <c r="AS7" s="64"/>
      <c r="AT7" s="64"/>
      <c r="AU7" s="64"/>
      <c r="AV7" s="64"/>
      <c r="AW7" s="64"/>
      <c r="AX7" s="64"/>
      <c r="AY7" s="64"/>
      <c r="AZ7" s="64"/>
      <c r="BA7" s="64"/>
      <c r="BB7" s="64"/>
      <c r="BC7" s="64"/>
      <c r="BD7" s="64"/>
      <c r="BE7" s="64"/>
      <c r="BF7" s="64"/>
      <c r="BG7" s="64"/>
      <c r="BH7" s="64"/>
      <c r="BI7" s="64"/>
      <c r="BJ7" s="64"/>
      <c r="BK7" s="64"/>
      <c r="BL7" s="64"/>
      <c r="BM7" s="64"/>
      <c r="BN7" s="64"/>
      <c r="BO7" s="64"/>
      <c r="BP7" s="64"/>
      <c r="BQ7" s="64"/>
      <c r="BR7" s="64"/>
      <c r="BS7" s="64"/>
      <c r="BT7" s="64"/>
      <c r="BU7" s="64"/>
      <c r="BV7" s="64"/>
      <c r="BW7" s="64"/>
      <c r="BX7" s="64"/>
      <c r="BY7" s="64"/>
      <c r="BZ7" s="64"/>
      <c r="CA7" s="64"/>
      <c r="CB7" s="64"/>
      <c r="CC7" s="64"/>
      <c r="CD7" s="64"/>
      <c r="CE7" s="64"/>
      <c r="CF7" s="64"/>
      <c r="CG7" s="64"/>
      <c r="CH7" s="64"/>
      <c r="CI7" s="64"/>
      <c r="CJ7" s="64"/>
      <c r="CK7" s="64"/>
      <c r="CL7" s="64"/>
      <c r="CM7" s="64"/>
      <c r="CN7" s="64"/>
      <c r="CO7" s="64"/>
      <c r="CP7" s="64"/>
      <c r="CQ7" s="64"/>
      <c r="CR7" s="64"/>
      <c r="CS7" s="64"/>
      <c r="CT7" s="64"/>
      <c r="CU7" s="64"/>
      <c r="CV7" s="64"/>
      <c r="CW7" s="64"/>
      <c r="CX7" s="64"/>
      <c r="CY7" s="64"/>
      <c r="CZ7" s="64"/>
      <c r="DA7" s="64"/>
      <c r="DB7" s="64"/>
      <c r="DC7" s="64"/>
      <c r="DD7" s="64"/>
      <c r="DE7" s="64"/>
      <c r="DF7" s="64"/>
      <c r="DG7" s="64"/>
      <c r="DH7" s="64"/>
      <c r="DI7" s="64"/>
      <c r="DJ7" s="64"/>
      <c r="DK7" s="64"/>
      <c r="DL7" s="64"/>
      <c r="DM7" s="64"/>
      <c r="DN7" s="64"/>
      <c r="DO7" s="64"/>
      <c r="DP7" s="64"/>
      <c r="DQ7" s="64"/>
      <c r="DR7" s="64"/>
      <c r="DS7" s="64"/>
      <c r="DT7" s="64"/>
      <c r="DU7" s="64"/>
      <c r="DV7" s="64"/>
      <c r="DW7" s="64"/>
      <c r="DX7" s="64"/>
      <c r="DY7" s="64"/>
      <c r="DZ7" s="64"/>
      <c r="EA7" s="64"/>
      <c r="EB7" s="64"/>
      <c r="EC7" s="64"/>
      <c r="ED7" s="64"/>
      <c r="EE7" s="64"/>
      <c r="EF7" s="64"/>
      <c r="EG7" s="64"/>
      <c r="EH7" s="64"/>
      <c r="EI7" s="64"/>
      <c r="EJ7" s="64"/>
      <c r="EK7" s="64"/>
      <c r="EL7" s="64"/>
      <c r="EM7" s="64"/>
    </row>
    <row r="8" spans="1:143" s="59" customFormat="1">
      <c r="A8" s="612"/>
      <c r="B8" s="1096"/>
      <c r="C8" s="1092"/>
      <c r="D8" s="1092"/>
      <c r="E8" s="1093"/>
      <c r="F8" s="1092"/>
      <c r="G8" s="1092"/>
      <c r="H8" s="1092"/>
      <c r="I8" s="1092"/>
      <c r="J8" s="1092"/>
      <c r="K8" s="1092"/>
      <c r="L8" s="1092"/>
      <c r="M8" s="1092"/>
      <c r="N8" s="1092"/>
      <c r="O8" s="1092"/>
      <c r="P8" s="1092"/>
      <c r="Q8" s="1092"/>
      <c r="R8" s="1092"/>
      <c r="S8" s="1092"/>
      <c r="T8" s="1092"/>
      <c r="U8" s="1092"/>
      <c r="V8" s="1092"/>
      <c r="W8" s="1092"/>
      <c r="X8" s="1092"/>
      <c r="Y8" s="1092"/>
      <c r="Z8" s="1092"/>
      <c r="AA8" s="1092"/>
      <c r="AB8" s="1092"/>
      <c r="AC8" s="1092"/>
      <c r="AD8" s="1092"/>
      <c r="AE8" s="1092"/>
      <c r="AF8" s="1092"/>
      <c r="AG8" s="1092"/>
      <c r="AH8" s="1097"/>
      <c r="AI8" s="63"/>
      <c r="AJ8" s="64"/>
      <c r="AK8" s="64"/>
      <c r="AL8" s="64"/>
      <c r="AM8" s="64"/>
      <c r="AN8" s="64"/>
      <c r="AO8" s="64"/>
      <c r="AP8" s="64"/>
      <c r="AQ8" s="64"/>
      <c r="AR8" s="64"/>
      <c r="AS8" s="64"/>
      <c r="AT8" s="64"/>
      <c r="AU8" s="64"/>
      <c r="AV8" s="64"/>
      <c r="AW8" s="64"/>
      <c r="AX8" s="64"/>
      <c r="AY8" s="64"/>
      <c r="AZ8" s="64"/>
      <c r="BA8" s="64"/>
      <c r="BB8" s="64"/>
      <c r="BC8" s="64"/>
      <c r="BD8" s="64"/>
      <c r="BE8" s="64"/>
      <c r="BF8" s="64"/>
      <c r="BG8" s="64"/>
      <c r="BH8" s="64"/>
      <c r="BI8" s="64"/>
      <c r="BJ8" s="64"/>
      <c r="BK8" s="64"/>
      <c r="BL8" s="64"/>
      <c r="BM8" s="64"/>
      <c r="BN8" s="64"/>
      <c r="BO8" s="64"/>
      <c r="BP8" s="64"/>
      <c r="BQ8" s="64"/>
      <c r="BR8" s="64"/>
      <c r="BS8" s="64"/>
      <c r="BT8" s="64"/>
      <c r="BU8" s="64"/>
      <c r="BV8" s="64"/>
      <c r="BW8" s="64"/>
      <c r="BX8" s="64"/>
      <c r="BY8" s="64"/>
      <c r="BZ8" s="64"/>
      <c r="CA8" s="64"/>
      <c r="CB8" s="64"/>
      <c r="CC8" s="64"/>
      <c r="CD8" s="64"/>
      <c r="CE8" s="64"/>
      <c r="CF8" s="64"/>
      <c r="CG8" s="64"/>
      <c r="CH8" s="64"/>
      <c r="CI8" s="64"/>
      <c r="CJ8" s="64"/>
      <c r="CK8" s="64"/>
      <c r="CL8" s="64"/>
      <c r="CM8" s="64"/>
      <c r="CN8" s="64"/>
      <c r="CO8" s="64"/>
      <c r="CP8" s="64"/>
      <c r="CQ8" s="64"/>
      <c r="CR8" s="64"/>
      <c r="CS8" s="64"/>
      <c r="CT8" s="64"/>
      <c r="CU8" s="64"/>
      <c r="CV8" s="64"/>
      <c r="CW8" s="64"/>
      <c r="CX8" s="64"/>
      <c r="CY8" s="64"/>
      <c r="CZ8" s="64"/>
      <c r="DA8" s="64"/>
      <c r="DB8" s="64"/>
      <c r="DC8" s="64"/>
      <c r="DD8" s="64"/>
      <c r="DE8" s="64"/>
      <c r="DF8" s="64"/>
      <c r="DG8" s="64"/>
      <c r="DH8" s="64"/>
      <c r="DI8" s="64"/>
      <c r="DJ8" s="64"/>
      <c r="DK8" s="64"/>
      <c r="DL8" s="64"/>
      <c r="DM8" s="64"/>
      <c r="DN8" s="64"/>
      <c r="DO8" s="64"/>
      <c r="DP8" s="64"/>
      <c r="DQ8" s="64"/>
      <c r="DR8" s="64"/>
      <c r="DS8" s="64"/>
      <c r="DT8" s="64"/>
      <c r="DU8" s="64"/>
      <c r="DV8" s="64"/>
      <c r="DW8" s="64"/>
      <c r="DX8" s="64"/>
      <c r="DY8" s="64"/>
      <c r="DZ8" s="64"/>
      <c r="EA8" s="64"/>
      <c r="EB8" s="64"/>
      <c r="EC8" s="64"/>
      <c r="ED8" s="64"/>
      <c r="EE8" s="64"/>
      <c r="EF8" s="64"/>
      <c r="EG8" s="64"/>
      <c r="EH8" s="64"/>
      <c r="EI8" s="64"/>
      <c r="EJ8" s="64"/>
      <c r="EK8" s="64"/>
      <c r="EL8" s="64"/>
      <c r="EM8" s="64"/>
    </row>
    <row r="9" spans="1:143" s="428" customFormat="1">
      <c r="A9" s="612"/>
      <c r="B9" s="467" t="s">
        <v>482</v>
      </c>
      <c r="C9" s="468"/>
      <c r="D9" s="469">
        <v>0</v>
      </c>
      <c r="E9" s="469">
        <f t="shared" ref="E9:AH9" ca="1" si="3">D25</f>
        <v>67904.421574382068</v>
      </c>
      <c r="F9" s="469">
        <f t="shared" ca="1" si="3"/>
        <v>29705.170423508298</v>
      </c>
      <c r="G9" s="469">
        <f t="shared" ca="1" si="3"/>
        <v>7147.1372369206356</v>
      </c>
      <c r="H9" s="469">
        <f t="shared" ca="1" si="3"/>
        <v>-6000.8540753862817</v>
      </c>
      <c r="I9" s="469">
        <f t="shared" ca="1" si="3"/>
        <v>-19043.343273596216</v>
      </c>
      <c r="J9" s="469">
        <f t="shared" ca="1" si="3"/>
        <v>-24761.424294988807</v>
      </c>
      <c r="K9" s="469">
        <f t="shared" ca="1" si="3"/>
        <v>-23644.72681865071</v>
      </c>
      <c r="L9" s="469">
        <f t="shared" ca="1" si="3"/>
        <v>-22367.179514118969</v>
      </c>
      <c r="M9" s="469">
        <f t="shared" ca="1" si="3"/>
        <v>-20921.534212675262</v>
      </c>
      <c r="N9" s="469">
        <f t="shared" ca="1" si="3"/>
        <v>-19236.690142441723</v>
      </c>
      <c r="O9" s="469">
        <f t="shared" ca="1" si="3"/>
        <v>-17286.747073059018</v>
      </c>
      <c r="P9" s="469">
        <f t="shared" ca="1" si="3"/>
        <v>-15025.261723092006</v>
      </c>
      <c r="Q9" s="469">
        <f t="shared" ca="1" si="3"/>
        <v>-12431.277143245628</v>
      </c>
      <c r="R9" s="469">
        <f t="shared" ca="1" si="3"/>
        <v>-9627.6772851823844</v>
      </c>
      <c r="S9" s="469">
        <f t="shared" ca="1" si="3"/>
        <v>-6606.0972676995343</v>
      </c>
      <c r="T9" s="469">
        <f t="shared" ca="1" si="3"/>
        <v>-3413.9099931090605</v>
      </c>
      <c r="U9" s="469">
        <f t="shared" ca="1" si="3"/>
        <v>69.080852093732801</v>
      </c>
      <c r="V9" s="469">
        <f t="shared" ca="1" si="3"/>
        <v>2941.5998184174377</v>
      </c>
      <c r="W9" s="469">
        <f t="shared" ca="1" si="3"/>
        <v>2813.3989179882956</v>
      </c>
      <c r="X9" s="469">
        <f t="shared" ca="1" si="3"/>
        <v>1992.7888817679413</v>
      </c>
      <c r="Y9" s="469">
        <f t="shared" ca="1" si="3"/>
        <v>1992.4345011653429</v>
      </c>
      <c r="Z9" s="469">
        <f t="shared" ca="1" si="3"/>
        <v>1992.4345304829401</v>
      </c>
      <c r="AA9" s="469">
        <f t="shared" ca="1" si="3"/>
        <v>1992.4344524502953</v>
      </c>
      <c r="AB9" s="469">
        <f t="shared" ca="1" si="3"/>
        <v>1992.4342534444318</v>
      </c>
      <c r="AC9" s="469">
        <f t="shared" ca="1" si="3"/>
        <v>1992.4341369539723</v>
      </c>
      <c r="AD9" s="469">
        <f t="shared" ca="1" si="3"/>
        <v>1992.4341628732079</v>
      </c>
      <c r="AE9" s="469">
        <f t="shared" ca="1" si="3"/>
        <v>1992.43442399795</v>
      </c>
      <c r="AF9" s="469">
        <f t="shared" ca="1" si="3"/>
        <v>1992.434684089447</v>
      </c>
      <c r="AG9" s="469">
        <f t="shared" ca="1" si="3"/>
        <v>1992.4347715296437</v>
      </c>
      <c r="AH9" s="635">
        <f t="shared" ca="1" si="3"/>
        <v>1992.4345530541041</v>
      </c>
      <c r="AI9" s="432"/>
      <c r="AJ9" s="431"/>
      <c r="AK9" s="431"/>
      <c r="AL9" s="431"/>
      <c r="AM9" s="431"/>
      <c r="AN9" s="431"/>
      <c r="AO9" s="431"/>
      <c r="AP9" s="431"/>
      <c r="AQ9" s="431"/>
      <c r="AR9" s="431"/>
      <c r="AS9" s="431"/>
      <c r="AT9" s="431"/>
      <c r="AU9" s="431"/>
      <c r="AV9" s="431"/>
      <c r="AW9" s="431"/>
      <c r="AX9" s="431"/>
      <c r="AY9" s="431"/>
      <c r="AZ9" s="431"/>
      <c r="BA9" s="431"/>
      <c r="BB9" s="431"/>
      <c r="BC9" s="431"/>
      <c r="BD9" s="431"/>
      <c r="BE9" s="431"/>
      <c r="BF9" s="431"/>
      <c r="BG9" s="431"/>
      <c r="BH9" s="431"/>
      <c r="BI9" s="431"/>
      <c r="BJ9" s="431"/>
      <c r="BK9" s="431"/>
      <c r="BL9" s="431"/>
      <c r="BM9" s="431"/>
      <c r="BN9" s="431"/>
      <c r="BO9" s="431"/>
      <c r="BP9" s="431"/>
      <c r="BQ9" s="431"/>
      <c r="BR9" s="431"/>
      <c r="BS9" s="431"/>
      <c r="BT9" s="431"/>
      <c r="BU9" s="431"/>
      <c r="BV9" s="431"/>
      <c r="BW9" s="431"/>
      <c r="BX9" s="431"/>
      <c r="BY9" s="431"/>
      <c r="BZ9" s="431"/>
      <c r="CA9" s="431"/>
      <c r="CB9" s="431"/>
      <c r="CC9" s="431"/>
      <c r="CD9" s="431"/>
      <c r="CE9" s="431"/>
      <c r="CF9" s="431"/>
      <c r="CG9" s="431"/>
      <c r="CH9" s="431"/>
      <c r="CI9" s="431"/>
      <c r="CJ9" s="431"/>
      <c r="CK9" s="431"/>
      <c r="CL9" s="431"/>
      <c r="CM9" s="431"/>
      <c r="CN9" s="431"/>
      <c r="CO9" s="431"/>
      <c r="CP9" s="431"/>
      <c r="CQ9" s="431"/>
      <c r="CR9" s="431"/>
      <c r="CS9" s="431"/>
      <c r="CT9" s="431"/>
      <c r="CU9" s="431"/>
      <c r="CV9" s="431"/>
      <c r="CW9" s="431"/>
      <c r="CX9" s="431"/>
      <c r="CY9" s="431"/>
      <c r="CZ9" s="431"/>
      <c r="DA9" s="431"/>
      <c r="DB9" s="431"/>
      <c r="DC9" s="431"/>
      <c r="DD9" s="431"/>
      <c r="DE9" s="431"/>
      <c r="DF9" s="431"/>
      <c r="DG9" s="431"/>
      <c r="DH9" s="431"/>
      <c r="DI9" s="431"/>
      <c r="DJ9" s="431"/>
      <c r="DK9" s="431"/>
      <c r="DL9" s="431"/>
      <c r="DM9" s="431"/>
      <c r="DN9" s="431"/>
      <c r="DO9" s="431"/>
      <c r="DP9" s="431"/>
      <c r="DQ9" s="431"/>
      <c r="DR9" s="431"/>
      <c r="DS9" s="431"/>
      <c r="DT9" s="431"/>
      <c r="DU9" s="431"/>
      <c r="DV9" s="431"/>
      <c r="DW9" s="431"/>
      <c r="DX9" s="431"/>
      <c r="DY9" s="431"/>
      <c r="DZ9" s="431"/>
      <c r="EA9" s="431"/>
      <c r="EB9" s="431"/>
      <c r="EC9" s="431"/>
      <c r="ED9" s="431"/>
      <c r="EE9" s="431"/>
      <c r="EF9" s="431"/>
      <c r="EG9" s="431"/>
      <c r="EH9" s="431"/>
      <c r="EI9" s="431"/>
      <c r="EJ9" s="431"/>
      <c r="EK9" s="431"/>
      <c r="EL9" s="431"/>
      <c r="EM9" s="431"/>
    </row>
    <row r="10" spans="1:143">
      <c r="B10" s="313" t="s">
        <v>483</v>
      </c>
      <c r="C10" s="316"/>
      <c r="D10" s="255">
        <f ca="1">Srcs_Uses!E6</f>
        <v>90426.917784397752</v>
      </c>
      <c r="E10" s="255"/>
      <c r="F10" s="255"/>
      <c r="G10" s="255"/>
      <c r="H10" s="255"/>
      <c r="I10" s="255"/>
      <c r="J10" s="255"/>
      <c r="K10" s="255"/>
      <c r="L10" s="255"/>
      <c r="M10" s="255"/>
      <c r="N10" s="255"/>
      <c r="O10" s="255"/>
      <c r="P10" s="255"/>
      <c r="Q10" s="255"/>
      <c r="R10" s="255"/>
      <c r="S10" s="255"/>
      <c r="T10" s="255"/>
      <c r="U10" s="255"/>
      <c r="V10" s="255"/>
      <c r="W10" s="255"/>
      <c r="X10" s="255"/>
      <c r="Y10" s="255"/>
      <c r="Z10" s="255"/>
      <c r="AA10" s="255"/>
      <c r="AB10" s="255"/>
      <c r="AC10" s="255"/>
      <c r="AD10" s="255"/>
      <c r="AE10" s="255"/>
      <c r="AF10" s="255"/>
      <c r="AG10" s="255"/>
      <c r="AH10" s="315"/>
      <c r="AI10" s="59"/>
      <c r="AJ10" s="59"/>
      <c r="AK10" s="59"/>
      <c r="AL10" s="59"/>
      <c r="AM10" s="59"/>
    </row>
    <row r="11" spans="1:143" s="285" customFormat="1" ht="14.25" customHeight="1">
      <c r="A11" s="612"/>
      <c r="B11" s="532" t="s">
        <v>484</v>
      </c>
      <c r="C11" s="316"/>
      <c r="D11" s="435">
        <f>CashFlow!E45</f>
        <v>0</v>
      </c>
      <c r="E11" s="435">
        <f>CashFlow!F45</f>
        <v>0</v>
      </c>
      <c r="F11" s="435">
        <f>CashFlow!G45</f>
        <v>0</v>
      </c>
      <c r="G11" s="435">
        <f>CashFlow!H45</f>
        <v>0</v>
      </c>
      <c r="H11" s="435">
        <f>CashFlow!I45</f>
        <v>0</v>
      </c>
      <c r="I11" s="435">
        <f>CashFlow!J45</f>
        <v>0</v>
      </c>
      <c r="J11" s="435">
        <f>CashFlow!K45</f>
        <v>0</v>
      </c>
      <c r="K11" s="435">
        <f>CashFlow!L45</f>
        <v>0</v>
      </c>
      <c r="L11" s="435">
        <f>CashFlow!M45</f>
        <v>0</v>
      </c>
      <c r="M11" s="435">
        <f>CashFlow!N45</f>
        <v>0</v>
      </c>
      <c r="N11" s="435">
        <f>CashFlow!O45</f>
        <v>0</v>
      </c>
      <c r="O11" s="435">
        <f>CashFlow!P45</f>
        <v>0</v>
      </c>
      <c r="P11" s="435">
        <f>CashFlow!Q45</f>
        <v>0</v>
      </c>
      <c r="Q11" s="435">
        <f>CashFlow!R45</f>
        <v>0</v>
      </c>
      <c r="R11" s="435">
        <f>CashFlow!S45</f>
        <v>0</v>
      </c>
      <c r="S11" s="435">
        <f>CashFlow!T45</f>
        <v>0</v>
      </c>
      <c r="T11" s="435">
        <f>CashFlow!U45</f>
        <v>0</v>
      </c>
      <c r="U11" s="435">
        <f>CashFlow!V45</f>
        <v>0</v>
      </c>
      <c r="V11" s="435">
        <f>CashFlow!W45</f>
        <v>0</v>
      </c>
      <c r="W11" s="435">
        <f>CashFlow!X45</f>
        <v>0</v>
      </c>
      <c r="X11" s="435">
        <f>CashFlow!Y45</f>
        <v>0</v>
      </c>
      <c r="Y11" s="435">
        <f>CashFlow!Z45</f>
        <v>0</v>
      </c>
      <c r="Z11" s="435">
        <f>CashFlow!AA45</f>
        <v>0</v>
      </c>
      <c r="AA11" s="435">
        <f>CashFlow!AB45</f>
        <v>0</v>
      </c>
      <c r="AB11" s="435">
        <f>CashFlow!AC45</f>
        <v>0</v>
      </c>
      <c r="AC11" s="435">
        <f>CashFlow!AD45</f>
        <v>0</v>
      </c>
      <c r="AD11" s="435">
        <f>CashFlow!AE45</f>
        <v>0</v>
      </c>
      <c r="AE11" s="435">
        <f>CashFlow!AF45</f>
        <v>0</v>
      </c>
      <c r="AF11" s="435">
        <f>CashFlow!AG45</f>
        <v>0</v>
      </c>
      <c r="AG11" s="435">
        <f>CashFlow!AH45</f>
        <v>0</v>
      </c>
      <c r="AH11" s="443">
        <f>CashFlow!AI45</f>
        <v>0</v>
      </c>
      <c r="AI11" s="325"/>
      <c r="AJ11" s="325"/>
      <c r="AK11" s="325"/>
      <c r="AL11" s="325"/>
      <c r="AM11" s="325"/>
    </row>
    <row r="12" spans="1:143" s="205" customFormat="1" ht="14.25" customHeight="1">
      <c r="A12" s="612"/>
      <c r="B12" s="451" t="s">
        <v>633</v>
      </c>
      <c r="C12" s="316"/>
      <c r="D12" s="454"/>
      <c r="E12" s="454"/>
      <c r="F12" s="454"/>
      <c r="G12" s="454"/>
      <c r="H12" s="454"/>
      <c r="I12" s="454"/>
      <c r="J12" s="454"/>
      <c r="K12" s="454"/>
      <c r="L12" s="454"/>
      <c r="M12" s="454"/>
      <c r="N12" s="454"/>
      <c r="O12" s="454"/>
      <c r="P12" s="454"/>
      <c r="Q12" s="454"/>
      <c r="R12" s="454"/>
      <c r="S12" s="454"/>
      <c r="T12" s="454"/>
      <c r="U12" s="454"/>
      <c r="V12" s="454"/>
      <c r="W12" s="454"/>
      <c r="X12" s="454"/>
      <c r="Y12" s="454"/>
      <c r="Z12" s="454"/>
      <c r="AA12" s="454"/>
      <c r="AB12" s="454"/>
      <c r="AC12" s="454"/>
      <c r="AD12" s="454"/>
      <c r="AE12" s="454"/>
      <c r="AF12" s="454"/>
      <c r="AG12" s="454"/>
      <c r="AH12" s="466"/>
      <c r="AI12" s="235"/>
      <c r="AJ12" s="235"/>
      <c r="AK12" s="235"/>
      <c r="AL12" s="235"/>
      <c r="AM12" s="235"/>
    </row>
    <row r="13" spans="1:143" s="205" customFormat="1">
      <c r="A13" s="612"/>
      <c r="B13" s="451" t="str">
        <f>Basis!B84</f>
        <v>Net Min Gain Adjustment</v>
      </c>
      <c r="C13" s="316"/>
      <c r="D13" s="454">
        <f ca="1">Basis!D85</f>
        <v>0</v>
      </c>
      <c r="E13" s="454">
        <f ca="1">Basis!E85</f>
        <v>0</v>
      </c>
      <c r="F13" s="454">
        <f ca="1">Basis!F85</f>
        <v>0</v>
      </c>
      <c r="G13" s="454">
        <f ca="1">Basis!G85</f>
        <v>0</v>
      </c>
      <c r="H13" s="454">
        <f ca="1">Basis!H85</f>
        <v>0</v>
      </c>
      <c r="I13" s="454">
        <f ca="1">Basis!I85</f>
        <v>0</v>
      </c>
      <c r="J13" s="454">
        <f ca="1">Basis!J85</f>
        <v>0</v>
      </c>
      <c r="K13" s="454">
        <f ca="1">Basis!K85</f>
        <v>0</v>
      </c>
      <c r="L13" s="454">
        <f ca="1">Basis!L85</f>
        <v>0</v>
      </c>
      <c r="M13" s="454">
        <f ca="1">Basis!M85</f>
        <v>0</v>
      </c>
      <c r="N13" s="454">
        <f ca="1">Basis!N85</f>
        <v>0</v>
      </c>
      <c r="O13" s="454">
        <f ca="1">Basis!O85</f>
        <v>0</v>
      </c>
      <c r="P13" s="454">
        <f ca="1">Basis!P85</f>
        <v>0</v>
      </c>
      <c r="Q13" s="454">
        <f ca="1">Basis!Q85</f>
        <v>0</v>
      </c>
      <c r="R13" s="454">
        <f ca="1">Basis!R85</f>
        <v>0</v>
      </c>
      <c r="S13" s="454">
        <f ca="1">Basis!S85</f>
        <v>0</v>
      </c>
      <c r="T13" s="454">
        <f ca="1">Basis!T85</f>
        <v>0</v>
      </c>
      <c r="U13" s="454">
        <f ca="1">Basis!U85</f>
        <v>0</v>
      </c>
      <c r="V13" s="454">
        <f ca="1">Basis!V85</f>
        <v>0</v>
      </c>
      <c r="W13" s="454">
        <f ca="1">Basis!W85</f>
        <v>0</v>
      </c>
      <c r="X13" s="454">
        <f ca="1">Basis!X85</f>
        <v>0</v>
      </c>
      <c r="Y13" s="454">
        <f ca="1">Basis!Y85</f>
        <v>0</v>
      </c>
      <c r="Z13" s="454">
        <f ca="1">Basis!Z85</f>
        <v>0</v>
      </c>
      <c r="AA13" s="454">
        <f ca="1">Basis!AA85</f>
        <v>0</v>
      </c>
      <c r="AB13" s="454">
        <f ca="1">Basis!AB85</f>
        <v>0</v>
      </c>
      <c r="AC13" s="454">
        <f ca="1">Basis!AC85</f>
        <v>0</v>
      </c>
      <c r="AD13" s="454">
        <f ca="1">Basis!AD85</f>
        <v>0</v>
      </c>
      <c r="AE13" s="454">
        <f ca="1">Basis!AE85</f>
        <v>0</v>
      </c>
      <c r="AF13" s="454">
        <f ca="1">Basis!AF85</f>
        <v>0</v>
      </c>
      <c r="AG13" s="454">
        <f ca="1">Basis!AG85</f>
        <v>0</v>
      </c>
      <c r="AH13" s="454">
        <f ca="1">Basis!AH85</f>
        <v>0</v>
      </c>
      <c r="AI13" s="235"/>
      <c r="AJ13" s="235"/>
      <c r="AK13" s="235"/>
      <c r="AL13" s="235"/>
      <c r="AM13" s="235"/>
    </row>
    <row r="14" spans="1:143" s="205" customFormat="1">
      <c r="A14" s="612"/>
      <c r="B14" s="451" t="s">
        <v>635</v>
      </c>
      <c r="C14" s="316"/>
      <c r="D14" s="454"/>
      <c r="E14" s="454"/>
      <c r="F14" s="454"/>
      <c r="G14" s="454"/>
      <c r="H14" s="454"/>
      <c r="I14" s="454"/>
      <c r="J14" s="454"/>
      <c r="K14" s="454"/>
      <c r="L14" s="454"/>
      <c r="M14" s="454"/>
      <c r="N14" s="454"/>
      <c r="O14" s="454"/>
      <c r="P14" s="454"/>
      <c r="Q14" s="454"/>
      <c r="R14" s="454"/>
      <c r="S14" s="454"/>
      <c r="T14" s="454"/>
      <c r="U14" s="454"/>
      <c r="V14" s="454"/>
      <c r="W14" s="454"/>
      <c r="X14" s="454"/>
      <c r="Y14" s="454"/>
      <c r="Z14" s="454"/>
      <c r="AA14" s="454"/>
      <c r="AB14" s="454"/>
      <c r="AC14" s="454"/>
      <c r="AD14" s="454"/>
      <c r="AE14" s="454"/>
      <c r="AF14" s="454"/>
      <c r="AG14" s="454"/>
      <c r="AH14" s="466"/>
      <c r="AI14" s="235"/>
      <c r="AJ14" s="235"/>
      <c r="AK14" s="235"/>
      <c r="AL14" s="235"/>
      <c r="AM14" s="235"/>
    </row>
    <row r="15" spans="1:143" s="205" customFormat="1">
      <c r="A15" s="612"/>
      <c r="B15" s="455" t="s">
        <v>631</v>
      </c>
      <c r="C15" s="316"/>
      <c r="D15" s="454">
        <f t="shared" ref="D15:AG15" si="4">D66*D$7</f>
        <v>10880.200982475</v>
      </c>
      <c r="E15" s="454">
        <f t="shared" si="4"/>
        <v>10910.507948999999</v>
      </c>
      <c r="F15" s="454">
        <f t="shared" si="4"/>
        <v>10910.507948999999</v>
      </c>
      <c r="G15" s="454">
        <f t="shared" si="4"/>
        <v>10910.507948999999</v>
      </c>
      <c r="H15" s="454">
        <f t="shared" si="4"/>
        <v>10910.507948999999</v>
      </c>
      <c r="I15" s="454">
        <f t="shared" si="4"/>
        <v>10910.507948999999</v>
      </c>
      <c r="J15" s="454">
        <f t="shared" si="4"/>
        <v>10910.507948999999</v>
      </c>
      <c r="K15" s="454">
        <f t="shared" si="4"/>
        <v>10910.507948999999</v>
      </c>
      <c r="L15" s="454">
        <f t="shared" si="4"/>
        <v>10910.507948999999</v>
      </c>
      <c r="M15" s="454">
        <f t="shared" si="4"/>
        <v>10910.507948999999</v>
      </c>
      <c r="N15" s="454">
        <f t="shared" si="4"/>
        <v>10910.507948999999</v>
      </c>
      <c r="O15" s="454">
        <f t="shared" si="4"/>
        <v>10910.507948999999</v>
      </c>
      <c r="P15" s="454">
        <f t="shared" si="4"/>
        <v>10910.507948999999</v>
      </c>
      <c r="Q15" s="454">
        <f t="shared" si="4"/>
        <v>10910.507948999999</v>
      </c>
      <c r="R15" s="454">
        <f t="shared" si="4"/>
        <v>10910.507948999999</v>
      </c>
      <c r="S15" s="454">
        <f t="shared" si="4"/>
        <v>10910.507948999999</v>
      </c>
      <c r="T15" s="454">
        <f t="shared" si="4"/>
        <v>10910.507948999999</v>
      </c>
      <c r="U15" s="454">
        <f t="shared" si="4"/>
        <v>10910.507948999999</v>
      </c>
      <c r="V15" s="454">
        <f t="shared" si="4"/>
        <v>10910.507948999999</v>
      </c>
      <c r="W15" s="454">
        <f t="shared" si="4"/>
        <v>10910.507948999999</v>
      </c>
      <c r="X15" s="454">
        <f t="shared" si="4"/>
        <v>30.306966524999893</v>
      </c>
      <c r="Y15" s="454">
        <f t="shared" si="4"/>
        <v>0</v>
      </c>
      <c r="Z15" s="454">
        <f t="shared" si="4"/>
        <v>0</v>
      </c>
      <c r="AA15" s="454">
        <f t="shared" si="4"/>
        <v>0</v>
      </c>
      <c r="AB15" s="454">
        <f t="shared" si="4"/>
        <v>0</v>
      </c>
      <c r="AC15" s="454">
        <f t="shared" si="4"/>
        <v>0</v>
      </c>
      <c r="AD15" s="454">
        <f t="shared" si="4"/>
        <v>0</v>
      </c>
      <c r="AE15" s="454">
        <f t="shared" si="4"/>
        <v>0</v>
      </c>
      <c r="AF15" s="454">
        <f t="shared" si="4"/>
        <v>0</v>
      </c>
      <c r="AG15" s="454">
        <f t="shared" si="4"/>
        <v>0</v>
      </c>
      <c r="AH15" s="454">
        <f t="shared" ref="AH15:AH21" si="5">AH66*AH$7</f>
        <v>0</v>
      </c>
      <c r="AI15" s="235"/>
      <c r="AJ15" s="235"/>
      <c r="AK15" s="235"/>
      <c r="AL15" s="235"/>
      <c r="AM15" s="235"/>
    </row>
    <row r="16" spans="1:143" s="515" customFormat="1">
      <c r="A16" s="612"/>
      <c r="B16" s="458" t="s">
        <v>261</v>
      </c>
      <c r="C16" s="721"/>
      <c r="D16" s="459">
        <f t="shared" ref="D16:AG16" si="6">D67*D$7</f>
        <v>-1680.5274690024012</v>
      </c>
      <c r="E16" s="459">
        <f t="shared" si="6"/>
        <v>-3556.9091850879699</v>
      </c>
      <c r="F16" s="459">
        <f t="shared" si="6"/>
        <v>-3579.7598386167383</v>
      </c>
      <c r="G16" s="459">
        <f t="shared" si="6"/>
        <v>-3593.5244983331636</v>
      </c>
      <c r="H16" s="459">
        <f t="shared" si="6"/>
        <v>-3599.5909517056007</v>
      </c>
      <c r="I16" s="459">
        <f t="shared" si="6"/>
        <v>-4400.2360442967074</v>
      </c>
      <c r="J16" s="459">
        <f t="shared" si="6"/>
        <v>-4799.7894373809286</v>
      </c>
      <c r="K16" s="459">
        <f t="shared" si="6"/>
        <v>-4779.3818678871894</v>
      </c>
      <c r="L16" s="459">
        <f t="shared" si="6"/>
        <v>-4758.5378552695092</v>
      </c>
      <c r="M16" s="459">
        <f t="shared" si="6"/>
        <v>-4661.9420530878206</v>
      </c>
      <c r="N16" s="459">
        <f t="shared" si="6"/>
        <v>-4551.7833379009553</v>
      </c>
      <c r="O16" s="459">
        <f t="shared" si="6"/>
        <v>-4430.3383949764666</v>
      </c>
      <c r="P16" s="459">
        <f t="shared" si="6"/>
        <v>-4297.1123988054414</v>
      </c>
      <c r="Q16" s="459">
        <f t="shared" si="6"/>
        <v>-4379.7747301568124</v>
      </c>
      <c r="R16" s="459">
        <f t="shared" si="6"/>
        <v>-4477.3636252131309</v>
      </c>
      <c r="S16" s="459">
        <f t="shared" si="6"/>
        <v>-4684.0033310438866</v>
      </c>
      <c r="T16" s="459">
        <f t="shared" si="6"/>
        <v>-4748.2187033590681</v>
      </c>
      <c r="U16" s="459">
        <f t="shared" si="6"/>
        <v>-4813.9603269664076</v>
      </c>
      <c r="V16" s="459">
        <f t="shared" si="6"/>
        <v>-4765.3471355423007</v>
      </c>
      <c r="W16" s="459">
        <f t="shared" si="6"/>
        <v>-4831.3539242886382</v>
      </c>
      <c r="X16" s="459">
        <f t="shared" si="6"/>
        <v>-12.503242747895987</v>
      </c>
      <c r="Y16" s="459">
        <f t="shared" si="6"/>
        <v>0</v>
      </c>
      <c r="Z16" s="459">
        <f t="shared" si="6"/>
        <v>0</v>
      </c>
      <c r="AA16" s="459">
        <f t="shared" si="6"/>
        <v>0</v>
      </c>
      <c r="AB16" s="459">
        <f t="shared" si="6"/>
        <v>0</v>
      </c>
      <c r="AC16" s="459">
        <f t="shared" si="6"/>
        <v>0</v>
      </c>
      <c r="AD16" s="459">
        <f t="shared" si="6"/>
        <v>0</v>
      </c>
      <c r="AE16" s="459">
        <f t="shared" si="6"/>
        <v>0</v>
      </c>
      <c r="AF16" s="459">
        <f t="shared" si="6"/>
        <v>0</v>
      </c>
      <c r="AG16" s="459">
        <f t="shared" si="6"/>
        <v>0</v>
      </c>
      <c r="AH16" s="459">
        <f t="shared" si="5"/>
        <v>0</v>
      </c>
      <c r="AI16" s="514"/>
      <c r="AJ16" s="514"/>
      <c r="AK16" s="514"/>
      <c r="AL16" s="514"/>
      <c r="AM16" s="514"/>
    </row>
    <row r="17" spans="1:39" s="515" customFormat="1">
      <c r="A17" s="612"/>
      <c r="B17" s="458" t="s">
        <v>535</v>
      </c>
      <c r="C17" s="721"/>
      <c r="D17" s="459">
        <f t="shared" ref="D17:AG17" si="7">D68*D$7</f>
        <v>-1560.5743572671847</v>
      </c>
      <c r="E17" s="459">
        <f t="shared" si="7"/>
        <v>-1486.6169097199145</v>
      </c>
      <c r="F17" s="459">
        <f t="shared" si="7"/>
        <v>-1407.936151091357</v>
      </c>
      <c r="G17" s="459">
        <f t="shared" si="7"/>
        <v>-1414.604486397689</v>
      </c>
      <c r="H17" s="459">
        <f t="shared" si="7"/>
        <v>-1423.0977996144522</v>
      </c>
      <c r="I17" s="459">
        <f t="shared" si="7"/>
        <v>-321.17876664565813</v>
      </c>
      <c r="J17" s="459">
        <f t="shared" si="7"/>
        <v>-328.49916117886886</v>
      </c>
      <c r="K17" s="459">
        <f t="shared" si="7"/>
        <v>-336.00329110866198</v>
      </c>
      <c r="L17" s="459">
        <f t="shared" si="7"/>
        <v>-344.09709222506575</v>
      </c>
      <c r="M17" s="459">
        <f t="shared" si="7"/>
        <v>-352.45292096914358</v>
      </c>
      <c r="N17" s="459">
        <f t="shared" si="7"/>
        <v>-361.063357131506</v>
      </c>
      <c r="O17" s="459">
        <f t="shared" si="7"/>
        <v>-369.93250971541761</v>
      </c>
      <c r="P17" s="459">
        <f t="shared" si="7"/>
        <v>-377.85207455289139</v>
      </c>
      <c r="Q17" s="459">
        <f t="shared" si="7"/>
        <v>-385.89934051971568</v>
      </c>
      <c r="R17" s="459">
        <f t="shared" si="7"/>
        <v>-393.58044006415213</v>
      </c>
      <c r="S17" s="459">
        <f t="shared" si="7"/>
        <v>-402.24203445173725</v>
      </c>
      <c r="T17" s="459">
        <f t="shared" si="7"/>
        <v>-404.12850015051629</v>
      </c>
      <c r="U17" s="459">
        <f t="shared" si="7"/>
        <v>-376.9679347824399</v>
      </c>
      <c r="V17" s="459">
        <f t="shared" si="7"/>
        <v>-386.39213315200084</v>
      </c>
      <c r="W17" s="459">
        <f t="shared" si="7"/>
        <v>-396.0519364808008</v>
      </c>
      <c r="X17" s="459">
        <f t="shared" si="7"/>
        <v>-1.1276478747022758</v>
      </c>
      <c r="Y17" s="459">
        <f t="shared" si="7"/>
        <v>0</v>
      </c>
      <c r="Z17" s="459">
        <f t="shared" si="7"/>
        <v>0</v>
      </c>
      <c r="AA17" s="459">
        <f t="shared" si="7"/>
        <v>0</v>
      </c>
      <c r="AB17" s="459">
        <f t="shared" si="7"/>
        <v>0</v>
      </c>
      <c r="AC17" s="459">
        <f t="shared" si="7"/>
        <v>0</v>
      </c>
      <c r="AD17" s="459">
        <f t="shared" si="7"/>
        <v>0</v>
      </c>
      <c r="AE17" s="459">
        <f t="shared" si="7"/>
        <v>0</v>
      </c>
      <c r="AF17" s="459">
        <f t="shared" si="7"/>
        <v>0</v>
      </c>
      <c r="AG17" s="459">
        <f t="shared" si="7"/>
        <v>0</v>
      </c>
      <c r="AH17" s="459">
        <f t="shared" si="5"/>
        <v>0</v>
      </c>
      <c r="AI17" s="514"/>
      <c r="AJ17" s="514"/>
      <c r="AK17" s="514"/>
      <c r="AL17" s="514"/>
      <c r="AM17" s="514"/>
    </row>
    <row r="18" spans="1:39" s="515" customFormat="1">
      <c r="A18" s="612"/>
      <c r="B18" s="458" t="s">
        <v>282</v>
      </c>
      <c r="C18" s="721"/>
      <c r="D18" s="459">
        <f t="shared" ref="D18:AG18" ca="1" si="8">D69*D$7</f>
        <v>-24585.271906589223</v>
      </c>
      <c r="E18" s="459">
        <f t="shared" ca="1" si="8"/>
        <v>-39133.771268898992</v>
      </c>
      <c r="F18" s="459">
        <f t="shared" ca="1" si="8"/>
        <v>-23616.380226622518</v>
      </c>
      <c r="G18" s="459">
        <f t="shared" ca="1" si="8"/>
        <v>-14305.945601256639</v>
      </c>
      <c r="H18" s="459">
        <f t="shared" ca="1" si="8"/>
        <v>-14305.945601256639</v>
      </c>
      <c r="I18" s="459">
        <f t="shared" ca="1" si="8"/>
        <v>-7323.1196322322276</v>
      </c>
      <c r="J18" s="459">
        <f t="shared" ca="1" si="8"/>
        <v>-340.2936632078173</v>
      </c>
      <c r="K18" s="459">
        <f t="shared" ca="1" si="8"/>
        <v>-340.2936632078173</v>
      </c>
      <c r="L18" s="459">
        <f t="shared" ca="1" si="8"/>
        <v>-340.2936632078173</v>
      </c>
      <c r="M18" s="459">
        <f t="shared" ca="1" si="8"/>
        <v>-340.2936632078173</v>
      </c>
      <c r="N18" s="459">
        <f t="shared" ca="1" si="8"/>
        <v>-340.2936632078173</v>
      </c>
      <c r="O18" s="459">
        <f t="shared" ca="1" si="8"/>
        <v>-340.2936632078173</v>
      </c>
      <c r="P18" s="459">
        <f t="shared" ca="1" si="8"/>
        <v>-340.2936632078173</v>
      </c>
      <c r="Q18" s="459">
        <f t="shared" ca="1" si="8"/>
        <v>-340.2936632078173</v>
      </c>
      <c r="R18" s="459">
        <f t="shared" ca="1" si="8"/>
        <v>-340.2936632078173</v>
      </c>
      <c r="S18" s="459">
        <f t="shared" ca="1" si="8"/>
        <v>-340.2936632078173</v>
      </c>
      <c r="T18" s="459">
        <f t="shared" ca="1" si="8"/>
        <v>-340.2936632078173</v>
      </c>
      <c r="U18" s="459">
        <f t="shared" ca="1" si="8"/>
        <v>-340.2936632078173</v>
      </c>
      <c r="V18" s="459">
        <f t="shared" ca="1" si="8"/>
        <v>-128.2009113126673</v>
      </c>
      <c r="W18" s="459">
        <f t="shared" ca="1" si="8"/>
        <v>-127.61012370293152</v>
      </c>
      <c r="X18" s="459">
        <f t="shared" ca="1" si="8"/>
        <v>-0.35447256584147518</v>
      </c>
      <c r="Y18" s="459">
        <f t="shared" ca="1" si="8"/>
        <v>0</v>
      </c>
      <c r="Z18" s="459">
        <f t="shared" ca="1" si="8"/>
        <v>0</v>
      </c>
      <c r="AA18" s="459">
        <f t="shared" ca="1" si="8"/>
        <v>0</v>
      </c>
      <c r="AB18" s="459">
        <f t="shared" ca="1" si="8"/>
        <v>0</v>
      </c>
      <c r="AC18" s="459">
        <f t="shared" ca="1" si="8"/>
        <v>0</v>
      </c>
      <c r="AD18" s="459">
        <f t="shared" ca="1" si="8"/>
        <v>0</v>
      </c>
      <c r="AE18" s="459">
        <f t="shared" ca="1" si="8"/>
        <v>0</v>
      </c>
      <c r="AF18" s="459">
        <f t="shared" ca="1" si="8"/>
        <v>0</v>
      </c>
      <c r="AG18" s="459">
        <f t="shared" ca="1" si="8"/>
        <v>0</v>
      </c>
      <c r="AH18" s="459">
        <f t="shared" ca="1" si="5"/>
        <v>0</v>
      </c>
      <c r="AI18" s="514"/>
      <c r="AJ18" s="514"/>
      <c r="AK18" s="514"/>
      <c r="AL18" s="514"/>
      <c r="AM18" s="514"/>
    </row>
    <row r="19" spans="1:39" s="515" customFormat="1">
      <c r="A19" s="612"/>
      <c r="B19" s="458" t="s">
        <v>434</v>
      </c>
      <c r="C19" s="721"/>
      <c r="D19" s="459">
        <f t="shared" ref="D19:AG19" si="9">D70*D$7</f>
        <v>-3610.9647862878105</v>
      </c>
      <c r="E19" s="459">
        <f t="shared" si="9"/>
        <v>-3466.7740129893064</v>
      </c>
      <c r="F19" s="459">
        <f t="shared" si="9"/>
        <v>-3387.2885766333657</v>
      </c>
      <c r="G19" s="459">
        <f t="shared" si="9"/>
        <v>-3277.8647054193862</v>
      </c>
      <c r="H19" s="459">
        <f t="shared" si="9"/>
        <v>-3168.6489435912054</v>
      </c>
      <c r="I19" s="459">
        <f t="shared" si="9"/>
        <v>-3044.3628521351679</v>
      </c>
      <c r="J19" s="459">
        <f t="shared" si="9"/>
        <v>-2907.8482997546116</v>
      </c>
      <c r="K19" s="459">
        <f t="shared" si="9"/>
        <v>-2761.5761649062911</v>
      </c>
      <c r="L19" s="459">
        <f t="shared" si="9"/>
        <v>-2608.5170365254312</v>
      </c>
      <c r="M19" s="459">
        <f t="shared" si="9"/>
        <v>-2438.3421671070946</v>
      </c>
      <c r="N19" s="459">
        <f t="shared" si="9"/>
        <v>-2251.9503665835305</v>
      </c>
      <c r="O19" s="459">
        <f t="shared" si="9"/>
        <v>-2027.1778669927492</v>
      </c>
      <c r="P19" s="459">
        <f t="shared" si="9"/>
        <v>-1789.4117383073658</v>
      </c>
      <c r="Q19" s="459">
        <f t="shared" si="9"/>
        <v>-1520.7223242303342</v>
      </c>
      <c r="R19" s="459">
        <f t="shared" si="9"/>
        <v>-1232.8194180926773</v>
      </c>
      <c r="S19" s="459">
        <f t="shared" si="9"/>
        <v>-914.89492153579499</v>
      </c>
      <c r="T19" s="459">
        <f t="shared" si="9"/>
        <v>-578.22016036568209</v>
      </c>
      <c r="U19" s="459">
        <f t="shared" si="9"/>
        <v>-209.45166284146822</v>
      </c>
      <c r="V19" s="459">
        <f t="shared" si="9"/>
        <v>0</v>
      </c>
      <c r="W19" s="459">
        <f t="shared" si="9"/>
        <v>0</v>
      </c>
      <c r="X19" s="459">
        <f t="shared" si="9"/>
        <v>0</v>
      </c>
      <c r="Y19" s="459">
        <f t="shared" si="9"/>
        <v>0</v>
      </c>
      <c r="Z19" s="459">
        <f t="shared" si="9"/>
        <v>0</v>
      </c>
      <c r="AA19" s="459">
        <f t="shared" si="9"/>
        <v>0</v>
      </c>
      <c r="AB19" s="459">
        <f t="shared" si="9"/>
        <v>0</v>
      </c>
      <c r="AC19" s="459">
        <f t="shared" si="9"/>
        <v>0</v>
      </c>
      <c r="AD19" s="459">
        <f t="shared" si="9"/>
        <v>0</v>
      </c>
      <c r="AE19" s="459">
        <f t="shared" si="9"/>
        <v>0</v>
      </c>
      <c r="AF19" s="459">
        <f t="shared" si="9"/>
        <v>0</v>
      </c>
      <c r="AG19" s="459">
        <f t="shared" si="9"/>
        <v>0</v>
      </c>
      <c r="AH19" s="459">
        <f t="shared" si="5"/>
        <v>0</v>
      </c>
      <c r="AI19" s="514"/>
      <c r="AJ19" s="514"/>
      <c r="AK19" s="514"/>
      <c r="AL19" s="514"/>
      <c r="AM19" s="514"/>
    </row>
    <row r="20" spans="1:39" s="515" customFormat="1">
      <c r="A20" s="612"/>
      <c r="B20" s="458" t="s">
        <v>388</v>
      </c>
      <c r="C20" s="721"/>
      <c r="D20" s="459">
        <f t="shared" ref="D20:AG21" si="10">D71*D$7</f>
        <v>0</v>
      </c>
      <c r="E20" s="459">
        <f t="shared" si="10"/>
        <v>0</v>
      </c>
      <c r="F20" s="459">
        <f t="shared" si="10"/>
        <v>0</v>
      </c>
      <c r="G20" s="459">
        <f t="shared" si="10"/>
        <v>0</v>
      </c>
      <c r="H20" s="459">
        <f t="shared" si="10"/>
        <v>0</v>
      </c>
      <c r="I20" s="459">
        <f t="shared" si="10"/>
        <v>0</v>
      </c>
      <c r="J20" s="459">
        <f t="shared" si="10"/>
        <v>0</v>
      </c>
      <c r="K20" s="459">
        <f t="shared" si="10"/>
        <v>0</v>
      </c>
      <c r="L20" s="459">
        <f t="shared" si="10"/>
        <v>0</v>
      </c>
      <c r="M20" s="459">
        <f t="shared" si="10"/>
        <v>0</v>
      </c>
      <c r="N20" s="459">
        <f t="shared" si="10"/>
        <v>0</v>
      </c>
      <c r="O20" s="459">
        <f t="shared" si="10"/>
        <v>0</v>
      </c>
      <c r="P20" s="459">
        <f t="shared" si="10"/>
        <v>0</v>
      </c>
      <c r="Q20" s="459">
        <f t="shared" si="10"/>
        <v>0</v>
      </c>
      <c r="R20" s="459">
        <f t="shared" si="10"/>
        <v>0</v>
      </c>
      <c r="S20" s="459">
        <f t="shared" si="10"/>
        <v>0</v>
      </c>
      <c r="T20" s="459">
        <f t="shared" si="10"/>
        <v>0</v>
      </c>
      <c r="U20" s="459">
        <f t="shared" si="10"/>
        <v>0</v>
      </c>
      <c r="V20" s="459">
        <f t="shared" si="10"/>
        <v>0</v>
      </c>
      <c r="W20" s="459">
        <f t="shared" si="10"/>
        <v>0</v>
      </c>
      <c r="X20" s="459">
        <f t="shared" si="10"/>
        <v>0</v>
      </c>
      <c r="Y20" s="459">
        <f t="shared" si="10"/>
        <v>0</v>
      </c>
      <c r="Z20" s="459">
        <f t="shared" si="10"/>
        <v>0</v>
      </c>
      <c r="AA20" s="459">
        <f t="shared" si="10"/>
        <v>0</v>
      </c>
      <c r="AB20" s="459">
        <f t="shared" si="10"/>
        <v>0</v>
      </c>
      <c r="AC20" s="459">
        <f t="shared" si="10"/>
        <v>0</v>
      </c>
      <c r="AD20" s="459">
        <f t="shared" si="10"/>
        <v>0</v>
      </c>
      <c r="AE20" s="459">
        <f t="shared" si="10"/>
        <v>0</v>
      </c>
      <c r="AF20" s="459">
        <f t="shared" si="10"/>
        <v>0</v>
      </c>
      <c r="AG20" s="459">
        <f t="shared" si="10"/>
        <v>0</v>
      </c>
      <c r="AH20" s="459">
        <f t="shared" si="5"/>
        <v>0</v>
      </c>
      <c r="AI20" s="514"/>
      <c r="AJ20" s="514"/>
      <c r="AK20" s="514"/>
      <c r="AL20" s="514"/>
      <c r="AM20" s="514"/>
    </row>
    <row r="21" spans="1:39" s="515" customFormat="1">
      <c r="A21" s="612"/>
      <c r="B21" s="628" t="s">
        <v>721</v>
      </c>
      <c r="C21" s="721"/>
      <c r="D21" s="459">
        <f t="shared" si="10"/>
        <v>0</v>
      </c>
      <c r="E21" s="459">
        <f t="shared" si="10"/>
        <v>0</v>
      </c>
      <c r="F21" s="459">
        <f t="shared" si="10"/>
        <v>0</v>
      </c>
      <c r="G21" s="459">
        <f t="shared" si="10"/>
        <v>0</v>
      </c>
      <c r="H21" s="459">
        <f t="shared" si="10"/>
        <v>0</v>
      </c>
      <c r="I21" s="459">
        <f t="shared" si="10"/>
        <v>0</v>
      </c>
      <c r="J21" s="459">
        <f t="shared" si="10"/>
        <v>0</v>
      </c>
      <c r="K21" s="459">
        <f t="shared" si="10"/>
        <v>0</v>
      </c>
      <c r="L21" s="459">
        <f t="shared" si="10"/>
        <v>0</v>
      </c>
      <c r="M21" s="459">
        <f t="shared" si="10"/>
        <v>0</v>
      </c>
      <c r="N21" s="459">
        <f t="shared" si="10"/>
        <v>0</v>
      </c>
      <c r="O21" s="459">
        <f t="shared" si="10"/>
        <v>0</v>
      </c>
      <c r="P21" s="459">
        <f t="shared" si="10"/>
        <v>0</v>
      </c>
      <c r="Q21" s="459">
        <f t="shared" si="10"/>
        <v>0</v>
      </c>
      <c r="R21" s="459">
        <f t="shared" si="10"/>
        <v>0</v>
      </c>
      <c r="S21" s="459">
        <f t="shared" si="10"/>
        <v>0</v>
      </c>
      <c r="T21" s="459">
        <f t="shared" si="10"/>
        <v>0</v>
      </c>
      <c r="U21" s="459">
        <f t="shared" si="10"/>
        <v>0</v>
      </c>
      <c r="V21" s="459">
        <f t="shared" si="10"/>
        <v>0</v>
      </c>
      <c r="W21" s="459">
        <f t="shared" si="10"/>
        <v>0</v>
      </c>
      <c r="X21" s="459">
        <f t="shared" si="10"/>
        <v>0</v>
      </c>
      <c r="Y21" s="459">
        <f t="shared" si="10"/>
        <v>0</v>
      </c>
      <c r="Z21" s="459">
        <f t="shared" si="10"/>
        <v>0</v>
      </c>
      <c r="AA21" s="459">
        <f t="shared" si="10"/>
        <v>0</v>
      </c>
      <c r="AB21" s="459">
        <f t="shared" si="10"/>
        <v>0</v>
      </c>
      <c r="AC21" s="459">
        <f t="shared" si="10"/>
        <v>0</v>
      </c>
      <c r="AD21" s="459">
        <f t="shared" si="10"/>
        <v>0</v>
      </c>
      <c r="AE21" s="459">
        <f t="shared" si="10"/>
        <v>0</v>
      </c>
      <c r="AF21" s="459">
        <f t="shared" si="10"/>
        <v>0</v>
      </c>
      <c r="AG21" s="459">
        <f t="shared" si="10"/>
        <v>0</v>
      </c>
      <c r="AH21" s="459">
        <f t="shared" si="5"/>
        <v>0</v>
      </c>
      <c r="AI21" s="514"/>
      <c r="AJ21" s="514"/>
      <c r="AK21" s="514"/>
      <c r="AL21" s="514"/>
      <c r="AM21" s="514"/>
    </row>
    <row r="22" spans="1:39" s="515" customFormat="1">
      <c r="A22" s="612"/>
      <c r="B22" s="458" t="s">
        <v>636</v>
      </c>
      <c r="C22" s="459"/>
      <c r="D22" s="459"/>
      <c r="E22" s="459"/>
      <c r="F22" s="459"/>
      <c r="G22" s="459"/>
      <c r="H22" s="459"/>
      <c r="I22" s="459"/>
      <c r="J22" s="459"/>
      <c r="K22" s="459"/>
      <c r="L22" s="459"/>
      <c r="M22" s="459"/>
      <c r="N22" s="459"/>
      <c r="O22" s="459"/>
      <c r="P22" s="459"/>
      <c r="Q22" s="459"/>
      <c r="R22" s="459"/>
      <c r="S22" s="459"/>
      <c r="T22" s="459"/>
      <c r="U22" s="459"/>
      <c r="V22" s="459"/>
      <c r="W22" s="459"/>
      <c r="X22" s="459"/>
      <c r="Y22" s="459"/>
      <c r="Z22" s="459"/>
      <c r="AA22" s="459"/>
      <c r="AB22" s="459"/>
      <c r="AC22" s="459"/>
      <c r="AD22" s="459"/>
      <c r="AE22" s="459"/>
      <c r="AF22" s="459"/>
      <c r="AG22" s="459"/>
      <c r="AH22" s="462"/>
      <c r="AI22" s="514"/>
      <c r="AJ22" s="514"/>
      <c r="AK22" s="514"/>
      <c r="AL22" s="514"/>
      <c r="AM22" s="514"/>
    </row>
    <row r="23" spans="1:39" s="515" customFormat="1">
      <c r="A23" s="612"/>
      <c r="B23" s="458" t="s">
        <v>283</v>
      </c>
      <c r="C23" s="721"/>
      <c r="D23" s="459">
        <f>-CashFlow!E62*D6</f>
        <v>-1965.3586728442081</v>
      </c>
      <c r="E23" s="459">
        <f>-CashFlow!F62*E6</f>
        <v>-1465.6877185675075</v>
      </c>
      <c r="F23" s="459">
        <f>-CashFlow!G62*F6</f>
        <v>-1477.1763341366304</v>
      </c>
      <c r="G23" s="459">
        <f>-CashFlow!H62*G6</f>
        <v>-1466.5599646923833</v>
      </c>
      <c r="H23" s="459">
        <f>-CashFlow!I62*H6</f>
        <v>-1455.7138525740093</v>
      </c>
      <c r="I23" s="459">
        <f>-CashFlow!J62*I6</f>
        <v>-1539.6916850812433</v>
      </c>
      <c r="J23" s="459">
        <f>-CashFlow!K62*J6</f>
        <v>-1417.3799223601231</v>
      </c>
      <c r="K23" s="459">
        <f>-CashFlow!L62*K6</f>
        <v>-1415.7056606128201</v>
      </c>
      <c r="L23" s="459">
        <f>-CashFlow!M62*L6</f>
        <v>-1413.416990503126</v>
      </c>
      <c r="M23" s="459">
        <f>-CashFlow!N62*M6</f>
        <v>-1432.6330518407108</v>
      </c>
      <c r="N23" s="459">
        <f>-CashFlow!O62*N6</f>
        <v>-1455.4741409941637</v>
      </c>
      <c r="O23" s="459">
        <f>-CashFlow!P62*O6</f>
        <v>-1481.2801684258877</v>
      </c>
      <c r="P23" s="459">
        <f>-CashFlow!Q62*P6</f>
        <v>-1511.8535237791871</v>
      </c>
      <c r="Q23" s="459">
        <f>-CashFlow!R62*Q6</f>
        <v>-1480.2180650526552</v>
      </c>
      <c r="R23" s="459">
        <f>-CashFlow!S62*R6</f>
        <v>-1444.8707947198545</v>
      </c>
      <c r="S23" s="459">
        <f>-CashFlow!T62*S6</f>
        <v>-1376.8866964173005</v>
      </c>
      <c r="T23" s="459">
        <f>-CashFlow!U62*T6</f>
        <v>-1356.6560097619861</v>
      </c>
      <c r="U23" s="459">
        <f>-CashFlow!V62*U6</f>
        <v>-2297.3153547980874</v>
      </c>
      <c r="V23" s="459">
        <f>-CashFlow!W62*V6</f>
        <v>-5758.7686803056968</v>
      </c>
      <c r="W23" s="459">
        <f>-CashFlow!X62*W6</f>
        <v>-6376.1020882305602</v>
      </c>
      <c r="X23" s="459">
        <f>-CashFlow!Y62*X6</f>
        <v>-16.676075902401628</v>
      </c>
      <c r="Y23" s="459">
        <f>-CashFlow!Z62*Y6</f>
        <v>0</v>
      </c>
      <c r="Z23" s="459">
        <f>-CashFlow!AA62*Z6</f>
        <v>0</v>
      </c>
      <c r="AA23" s="459">
        <f>-CashFlow!AB62*AA6</f>
        <v>0</v>
      </c>
      <c r="AB23" s="459">
        <f>-CashFlow!AC62*AB6</f>
        <v>0</v>
      </c>
      <c r="AC23" s="459">
        <f>-CashFlow!AD62*AC6</f>
        <v>0</v>
      </c>
      <c r="AD23" s="459">
        <f>-CashFlow!AE62*AD6</f>
        <v>0</v>
      </c>
      <c r="AE23" s="459">
        <f>-CashFlow!AF62*AE6</f>
        <v>0</v>
      </c>
      <c r="AF23" s="459">
        <f>-CashFlow!AG62*AF6</f>
        <v>0</v>
      </c>
      <c r="AG23" s="459">
        <f>-CashFlow!AH62*AG6</f>
        <v>0</v>
      </c>
      <c r="AH23" s="462">
        <f>-CashFlow!AI62*AH6</f>
        <v>0</v>
      </c>
      <c r="AI23" s="514"/>
      <c r="AJ23" s="514"/>
      <c r="AK23" s="514"/>
      <c r="AL23" s="514"/>
      <c r="AM23" s="514"/>
    </row>
    <row r="24" spans="1:39" s="515" customFormat="1">
      <c r="A24" s="612"/>
      <c r="B24" s="458"/>
      <c r="C24" s="721"/>
      <c r="D24" s="459"/>
      <c r="E24" s="459"/>
      <c r="F24" s="459"/>
      <c r="G24" s="459"/>
      <c r="H24" s="459"/>
      <c r="I24" s="459"/>
      <c r="J24" s="459"/>
      <c r="K24" s="459"/>
      <c r="L24" s="459"/>
      <c r="M24" s="459"/>
      <c r="N24" s="459"/>
      <c r="O24" s="459"/>
      <c r="P24" s="459"/>
      <c r="Q24" s="459"/>
      <c r="R24" s="459"/>
      <c r="S24" s="459"/>
      <c r="T24" s="459"/>
      <c r="U24" s="459"/>
      <c r="V24" s="459"/>
      <c r="W24" s="459"/>
      <c r="X24" s="459"/>
      <c r="Y24" s="459"/>
      <c r="Z24" s="459"/>
      <c r="AA24" s="459"/>
      <c r="AB24" s="459"/>
      <c r="AC24" s="459"/>
      <c r="AD24" s="459"/>
      <c r="AE24" s="459"/>
      <c r="AF24" s="459"/>
      <c r="AG24" s="459"/>
      <c r="AH24" s="462"/>
      <c r="AI24" s="514"/>
      <c r="AJ24" s="514"/>
      <c r="AK24" s="514"/>
      <c r="AL24" s="514"/>
      <c r="AM24" s="514"/>
    </row>
    <row r="25" spans="1:39">
      <c r="B25" s="467" t="s">
        <v>284</v>
      </c>
      <c r="C25" s="469"/>
      <c r="D25" s="469">
        <f t="shared" ref="D25:AG25" ca="1" si="11">SUM(D9:D23)</f>
        <v>67904.421574881955</v>
      </c>
      <c r="E25" s="469">
        <f t="shared" ca="1" si="11"/>
        <v>29705.170428118388</v>
      </c>
      <c r="F25" s="469">
        <f t="shared" ca="1" si="11"/>
        <v>7147.1372454076836</v>
      </c>
      <c r="G25" s="469">
        <f t="shared" ca="1" si="11"/>
        <v>-6000.854070178626</v>
      </c>
      <c r="H25" s="469">
        <f t="shared" ca="1" si="11"/>
        <v>-19043.343275128187</v>
      </c>
      <c r="I25" s="469">
        <f t="shared" ca="1" si="11"/>
        <v>-24761.424304987224</v>
      </c>
      <c r="J25" s="469">
        <f t="shared" ca="1" si="11"/>
        <v>-23644.726829871157</v>
      </c>
      <c r="K25" s="469">
        <f t="shared" ca="1" si="11"/>
        <v>-22367.179517373494</v>
      </c>
      <c r="L25" s="469">
        <f t="shared" ca="1" si="11"/>
        <v>-20921.534202849918</v>
      </c>
      <c r="M25" s="469">
        <f t="shared" ca="1" si="11"/>
        <v>-19236.690119887851</v>
      </c>
      <c r="N25" s="469">
        <f t="shared" ca="1" si="11"/>
        <v>-17286.747059259698</v>
      </c>
      <c r="O25" s="469">
        <f t="shared" ca="1" si="11"/>
        <v>-15025.261727377359</v>
      </c>
      <c r="P25" s="469">
        <f t="shared" ca="1" si="11"/>
        <v>-12431.277172744711</v>
      </c>
      <c r="Q25" s="469">
        <f t="shared" ca="1" si="11"/>
        <v>-9627.6773174129648</v>
      </c>
      <c r="R25" s="469">
        <f t="shared" ca="1" si="11"/>
        <v>-6606.0972774800175</v>
      </c>
      <c r="S25" s="469">
        <f t="shared" ca="1" si="11"/>
        <v>-3413.909965356072</v>
      </c>
      <c r="T25" s="469">
        <f t="shared" ca="1" si="11"/>
        <v>69.080919045868768</v>
      </c>
      <c r="U25" s="469">
        <f t="shared" ca="1" si="11"/>
        <v>2941.5998584975114</v>
      </c>
      <c r="V25" s="469">
        <f t="shared" ca="1" si="11"/>
        <v>2813.3989071047708</v>
      </c>
      <c r="W25" s="452">
        <f t="shared" ca="1" si="11"/>
        <v>1992.7887942853649</v>
      </c>
      <c r="X25" s="469">
        <f t="shared" ca="1" si="11"/>
        <v>1992.4344092021001</v>
      </c>
      <c r="Y25" s="469">
        <f t="shared" ca="1" si="11"/>
        <v>1992.4345011653429</v>
      </c>
      <c r="Z25" s="469">
        <f t="shared" ca="1" si="11"/>
        <v>1992.4345304829401</v>
      </c>
      <c r="AA25" s="469">
        <f t="shared" ca="1" si="11"/>
        <v>1992.4344524502953</v>
      </c>
      <c r="AB25" s="469">
        <f t="shared" ca="1" si="11"/>
        <v>1992.4342534444318</v>
      </c>
      <c r="AC25" s="469">
        <f t="shared" ca="1" si="11"/>
        <v>1992.4341369539723</v>
      </c>
      <c r="AD25" s="469">
        <f t="shared" ca="1" si="11"/>
        <v>1992.4341628732079</v>
      </c>
      <c r="AE25" s="469">
        <f t="shared" ca="1" si="11"/>
        <v>1992.43442399795</v>
      </c>
      <c r="AF25" s="469">
        <f t="shared" ca="1" si="11"/>
        <v>1992.434684089447</v>
      </c>
      <c r="AG25" s="469">
        <f t="shared" ca="1" si="11"/>
        <v>1992.4347715296437</v>
      </c>
      <c r="AH25" s="635">
        <f ca="1">SUM(AH9:AH23)</f>
        <v>1992.4345530541041</v>
      </c>
      <c r="AI25" s="59"/>
      <c r="AJ25" s="59"/>
      <c r="AK25" s="59"/>
      <c r="AL25" s="59"/>
      <c r="AM25" s="59"/>
    </row>
    <row r="26" spans="1:39">
      <c r="B26" s="463"/>
      <c r="C26" s="316" t="s">
        <v>44</v>
      </c>
      <c r="D26" s="310">
        <f t="shared" ref="D26:AH26" ca="1" si="12">D25/(D25+D51)</f>
        <v>0.99000000000007293</v>
      </c>
      <c r="E26" s="310">
        <f t="shared" ca="1" si="12"/>
        <v>0.99000000000153643</v>
      </c>
      <c r="F26" s="310">
        <f t="shared" ca="1" si="12"/>
        <v>0.99000000001175603</v>
      </c>
      <c r="G26" s="310">
        <f t="shared" ca="1" si="12"/>
        <v>0.98999999999140853</v>
      </c>
      <c r="H26" s="310">
        <f t="shared" ca="1" si="12"/>
        <v>0.99000000000079647</v>
      </c>
      <c r="I26" s="310">
        <f t="shared" ca="1" si="12"/>
        <v>0.99000000000399757</v>
      </c>
      <c r="J26" s="310">
        <f t="shared" ca="1" si="12"/>
        <v>0.9900000000046979</v>
      </c>
      <c r="K26" s="310">
        <f t="shared" ca="1" si="12"/>
        <v>0.99000000000144051</v>
      </c>
      <c r="L26" s="310">
        <f t="shared" ca="1" si="12"/>
        <v>0.98999999999535071</v>
      </c>
      <c r="M26" s="310">
        <f t="shared" ca="1" si="12"/>
        <v>0.98999999998839272</v>
      </c>
      <c r="N26" s="310">
        <f t="shared" ca="1" si="12"/>
        <v>0.98999999999209731</v>
      </c>
      <c r="O26" s="310">
        <f t="shared" ca="1" si="12"/>
        <v>0.99000000000282362</v>
      </c>
      <c r="P26" s="310">
        <f t="shared" ca="1" si="12"/>
        <v>0.99000000002349231</v>
      </c>
      <c r="Q26" s="310">
        <f t="shared" ca="1" si="12"/>
        <v>0.99000000003314226</v>
      </c>
      <c r="R26" s="310">
        <f t="shared" ca="1" si="12"/>
        <v>0.99000000001465704</v>
      </c>
      <c r="S26" s="310">
        <f t="shared" ca="1" si="12"/>
        <v>0.98999999991951904</v>
      </c>
      <c r="T26" s="310">
        <f t="shared" ca="1" si="12"/>
        <v>0.99000000959492873</v>
      </c>
      <c r="U26" s="310">
        <f t="shared" ca="1" si="12"/>
        <v>0.9900000001348902</v>
      </c>
      <c r="V26" s="310">
        <f t="shared" ca="1" si="12"/>
        <v>0.98999999996170229</v>
      </c>
      <c r="W26" s="310">
        <f t="shared" ca="1" si="12"/>
        <v>0.98999999956539431</v>
      </c>
      <c r="X26" s="310">
        <f t="shared" ca="1" si="12"/>
        <v>0.98999999954305351</v>
      </c>
      <c r="Y26" s="310">
        <f t="shared" ca="1" si="12"/>
        <v>0.98999999985432707</v>
      </c>
      <c r="Z26" s="310">
        <f t="shared" ca="1" si="12"/>
        <v>0.99000000038772851</v>
      </c>
      <c r="AA26" s="310">
        <f t="shared" ca="1" si="12"/>
        <v>0.99000000098881968</v>
      </c>
      <c r="AB26" s="310">
        <f t="shared" ca="1" si="12"/>
        <v>0.99000000057881754</v>
      </c>
      <c r="AC26" s="310">
        <f t="shared" ca="1" si="12"/>
        <v>0.98999999987121279</v>
      </c>
      <c r="AD26" s="310">
        <f t="shared" ca="1" si="12"/>
        <v>0.98999999870252442</v>
      </c>
      <c r="AE26" s="310">
        <f t="shared" ca="1" si="12"/>
        <v>0.98999999870765854</v>
      </c>
      <c r="AF26" s="310">
        <f t="shared" ca="1" si="12"/>
        <v>0.98999999956552753</v>
      </c>
      <c r="AG26" s="310">
        <f t="shared" ca="1" si="12"/>
        <v>0.99000000108556041</v>
      </c>
      <c r="AH26" s="623">
        <f t="shared" ca="1" si="12"/>
        <v>0.99000000294097035</v>
      </c>
      <c r="AI26" s="59"/>
      <c r="AJ26" s="59"/>
      <c r="AK26" s="59"/>
      <c r="AL26" s="59"/>
      <c r="AM26" s="59"/>
    </row>
    <row r="27" spans="1:39">
      <c r="B27" s="463"/>
      <c r="C27" s="316"/>
      <c r="D27" s="310"/>
      <c r="E27" s="310"/>
      <c r="F27" s="310"/>
      <c r="G27" s="310"/>
      <c r="H27" s="310"/>
      <c r="I27" s="310"/>
      <c r="J27" s="310"/>
      <c r="K27" s="310"/>
      <c r="L27" s="310"/>
      <c r="M27" s="310"/>
      <c r="N27" s="310"/>
      <c r="O27" s="310"/>
      <c r="P27" s="310"/>
      <c r="Q27" s="310"/>
      <c r="R27" s="310"/>
      <c r="S27" s="310"/>
      <c r="T27" s="310"/>
      <c r="U27" s="310"/>
      <c r="V27" s="310"/>
      <c r="W27" s="310"/>
      <c r="X27" s="310"/>
      <c r="Y27" s="310"/>
      <c r="Z27" s="310"/>
      <c r="AA27" s="310"/>
      <c r="AB27" s="310"/>
      <c r="AC27" s="310"/>
      <c r="AD27" s="310"/>
      <c r="AE27" s="310"/>
      <c r="AF27" s="310"/>
      <c r="AG27" s="310"/>
      <c r="AH27" s="623"/>
      <c r="AI27" s="59"/>
      <c r="AJ27" s="59"/>
      <c r="AK27" s="59"/>
      <c r="AL27" s="59"/>
      <c r="AM27" s="59"/>
    </row>
    <row r="28" spans="1:39" s="241" customFormat="1">
      <c r="A28" s="612"/>
      <c r="B28" s="624" t="s">
        <v>623</v>
      </c>
      <c r="C28" s="625"/>
      <c r="D28" s="473">
        <f t="shared" ref="D28:AG28" ca="1" si="13">SUM(D12:D22)</f>
        <v>-20557.13753667162</v>
      </c>
      <c r="E28" s="473">
        <f t="shared" ca="1" si="13"/>
        <v>-36733.563427696186</v>
      </c>
      <c r="F28" s="473">
        <f t="shared" ca="1" si="13"/>
        <v>-21080.856843963978</v>
      </c>
      <c r="G28" s="473">
        <f t="shared" ca="1" si="13"/>
        <v>-11681.431342406879</v>
      </c>
      <c r="H28" s="473">
        <f t="shared" ca="1" si="13"/>
        <v>-11586.775347167899</v>
      </c>
      <c r="I28" s="473">
        <f t="shared" ca="1" si="13"/>
        <v>-4178.3893463097629</v>
      </c>
      <c r="J28" s="473">
        <f t="shared" ca="1" si="13"/>
        <v>2534.0773874777724</v>
      </c>
      <c r="K28" s="473">
        <f t="shared" ca="1" si="13"/>
        <v>2693.2529618900394</v>
      </c>
      <c r="L28" s="473">
        <f t="shared" ca="1" si="13"/>
        <v>2859.0623017721759</v>
      </c>
      <c r="M28" s="473">
        <f t="shared" ca="1" si="13"/>
        <v>3117.4771446281229</v>
      </c>
      <c r="N28" s="473">
        <f t="shared" ca="1" si="13"/>
        <v>3405.4172241761903</v>
      </c>
      <c r="O28" s="473">
        <f t="shared" ca="1" si="13"/>
        <v>3742.7655141075484</v>
      </c>
      <c r="P28" s="473">
        <f t="shared" ca="1" si="13"/>
        <v>4105.8380741264828</v>
      </c>
      <c r="Q28" s="473">
        <f t="shared" ca="1" si="13"/>
        <v>4283.8178908853188</v>
      </c>
      <c r="R28" s="473">
        <f t="shared" ca="1" si="13"/>
        <v>4466.4508024222214</v>
      </c>
      <c r="S28" s="473">
        <f t="shared" ca="1" si="13"/>
        <v>4569.0739987607622</v>
      </c>
      <c r="T28" s="473">
        <f t="shared" ca="1" si="13"/>
        <v>4839.6469219169148</v>
      </c>
      <c r="U28" s="473">
        <f t="shared" ca="1" si="13"/>
        <v>5169.8343612018652</v>
      </c>
      <c r="V28" s="473">
        <f t="shared" ca="1" si="13"/>
        <v>5630.5677689930308</v>
      </c>
      <c r="W28" s="473">
        <f t="shared" ca="1" si="13"/>
        <v>5555.4919645276286</v>
      </c>
      <c r="X28" s="473">
        <f t="shared" ca="1" si="13"/>
        <v>16.321603336560152</v>
      </c>
      <c r="Y28" s="473">
        <f t="shared" ca="1" si="13"/>
        <v>0</v>
      </c>
      <c r="Z28" s="473">
        <f t="shared" ca="1" si="13"/>
        <v>0</v>
      </c>
      <c r="AA28" s="473">
        <f t="shared" ca="1" si="13"/>
        <v>0</v>
      </c>
      <c r="AB28" s="473">
        <f t="shared" ca="1" si="13"/>
        <v>0</v>
      </c>
      <c r="AC28" s="473">
        <f t="shared" ca="1" si="13"/>
        <v>0</v>
      </c>
      <c r="AD28" s="473">
        <f t="shared" ca="1" si="13"/>
        <v>0</v>
      </c>
      <c r="AE28" s="473">
        <f t="shared" ca="1" si="13"/>
        <v>0</v>
      </c>
      <c r="AF28" s="473">
        <f t="shared" ca="1" si="13"/>
        <v>0</v>
      </c>
      <c r="AG28" s="473">
        <f t="shared" ca="1" si="13"/>
        <v>0</v>
      </c>
      <c r="AH28" s="476">
        <f ca="1">SUM(AH12:AH22)</f>
        <v>0</v>
      </c>
    </row>
    <row r="29" spans="1:39">
      <c r="B29" s="316"/>
      <c r="C29" s="316"/>
      <c r="D29" s="459"/>
      <c r="E29" s="459"/>
      <c r="F29" s="459"/>
      <c r="G29" s="459"/>
      <c r="H29" s="459"/>
      <c r="I29" s="459"/>
      <c r="J29" s="459"/>
      <c r="K29" s="459"/>
      <c r="L29" s="459"/>
      <c r="M29" s="459"/>
      <c r="N29" s="459"/>
      <c r="O29" s="459"/>
      <c r="P29" s="459"/>
      <c r="Q29" s="459"/>
      <c r="R29" s="459"/>
      <c r="S29" s="459"/>
      <c r="T29" s="459"/>
      <c r="U29" s="459"/>
      <c r="V29" s="459"/>
      <c r="W29" s="459"/>
      <c r="X29" s="459"/>
      <c r="Y29" s="310"/>
      <c r="Z29" s="310"/>
      <c r="AA29" s="310"/>
      <c r="AB29" s="310"/>
      <c r="AC29" s="310"/>
      <c r="AD29" s="310"/>
      <c r="AE29" s="310"/>
      <c r="AF29" s="310"/>
      <c r="AG29" s="310"/>
      <c r="AH29" s="310"/>
      <c r="AI29" s="59"/>
      <c r="AJ29" s="59"/>
      <c r="AK29" s="59"/>
      <c r="AL29" s="59"/>
      <c r="AM29" s="59"/>
    </row>
    <row r="30" spans="1:39">
      <c r="B30" s="316"/>
      <c r="C30" s="424"/>
      <c r="D30" s="459"/>
      <c r="E30" s="459"/>
      <c r="F30" s="459"/>
      <c r="G30" s="459"/>
      <c r="H30" s="459"/>
      <c r="I30" s="459"/>
      <c r="J30" s="459"/>
      <c r="K30" s="459"/>
      <c r="L30" s="459"/>
      <c r="M30" s="459"/>
      <c r="N30" s="459"/>
      <c r="O30" s="459"/>
      <c r="P30" s="459"/>
      <c r="Q30" s="459"/>
      <c r="R30" s="459"/>
      <c r="S30" s="459"/>
      <c r="T30" s="459"/>
      <c r="U30" s="459"/>
      <c r="V30" s="459"/>
      <c r="W30" s="459"/>
      <c r="X30" s="459"/>
      <c r="Y30" s="310"/>
      <c r="Z30" s="310"/>
      <c r="AA30" s="310"/>
      <c r="AB30" s="310"/>
      <c r="AC30" s="310"/>
      <c r="AD30" s="310"/>
      <c r="AE30" s="310"/>
      <c r="AF30" s="310"/>
      <c r="AG30" s="310"/>
      <c r="AH30" s="310"/>
      <c r="AI30" s="59"/>
      <c r="AJ30" s="59"/>
      <c r="AK30" s="59"/>
      <c r="AL30" s="59"/>
      <c r="AM30" s="59"/>
    </row>
    <row r="31" spans="1:39" s="65" customFormat="1">
      <c r="A31" s="612"/>
      <c r="B31" s="301" t="s">
        <v>244</v>
      </c>
      <c r="D31" s="243"/>
      <c r="E31" s="243"/>
      <c r="F31" s="243"/>
      <c r="G31" s="243"/>
      <c r="H31" s="243"/>
      <c r="I31" s="243"/>
      <c r="J31" s="243"/>
      <c r="K31" s="243"/>
      <c r="L31" s="243"/>
      <c r="M31" s="243"/>
      <c r="N31" s="243"/>
      <c r="O31" s="243"/>
      <c r="P31" s="243"/>
      <c r="Q31" s="243"/>
      <c r="R31" s="243"/>
      <c r="S31" s="243"/>
      <c r="T31" s="243"/>
      <c r="U31" s="243"/>
      <c r="V31" s="243"/>
      <c r="W31" s="243"/>
      <c r="X31" s="243"/>
      <c r="Y31" s="243"/>
      <c r="Z31" s="243"/>
      <c r="AA31" s="243"/>
      <c r="AB31" s="243"/>
      <c r="AC31" s="243"/>
      <c r="AD31" s="243"/>
      <c r="AE31" s="243"/>
      <c r="AF31" s="243"/>
      <c r="AG31" s="243"/>
      <c r="AH31" s="243"/>
    </row>
    <row r="32" spans="1:39">
      <c r="B32" s="244" t="s">
        <v>630</v>
      </c>
      <c r="C32" s="245"/>
      <c r="D32" s="478">
        <f>Assum!E342</f>
        <v>0.01</v>
      </c>
      <c r="E32" s="478">
        <f>Assum!F342</f>
        <v>0.01</v>
      </c>
      <c r="F32" s="478">
        <f>Assum!G342</f>
        <v>0.01</v>
      </c>
      <c r="G32" s="478">
        <f>Assum!H342</f>
        <v>0.01</v>
      </c>
      <c r="H32" s="478">
        <f>Assum!I342</f>
        <v>0.01</v>
      </c>
      <c r="I32" s="478">
        <f>Assum!J342</f>
        <v>0.01</v>
      </c>
      <c r="J32" s="478">
        <f>Assum!K342</f>
        <v>0.01</v>
      </c>
      <c r="K32" s="478">
        <f>Assum!L342</f>
        <v>0.01</v>
      </c>
      <c r="L32" s="478">
        <f>Assum!M342</f>
        <v>0.01</v>
      </c>
      <c r="M32" s="478">
        <f>Assum!N342</f>
        <v>0.01</v>
      </c>
      <c r="N32" s="478">
        <f>Assum!O342</f>
        <v>0.01</v>
      </c>
      <c r="O32" s="478">
        <f>Assum!P342</f>
        <v>0.01</v>
      </c>
      <c r="P32" s="478">
        <f>Assum!Q342</f>
        <v>0.01</v>
      </c>
      <c r="Q32" s="478">
        <f>Assum!R342</f>
        <v>0.01</v>
      </c>
      <c r="R32" s="478">
        <f>Assum!S342</f>
        <v>0.01</v>
      </c>
      <c r="S32" s="478">
        <f>Assum!T342</f>
        <v>0.01</v>
      </c>
      <c r="T32" s="478">
        <f>Assum!U342</f>
        <v>0.01</v>
      </c>
      <c r="U32" s="478">
        <f>Assum!V342</f>
        <v>0.01</v>
      </c>
      <c r="V32" s="478">
        <f>Assum!W342</f>
        <v>0.01</v>
      </c>
      <c r="W32" s="478">
        <f>Assum!X342</f>
        <v>0.01</v>
      </c>
      <c r="X32" s="478">
        <f>Assum!Y342</f>
        <v>0.01</v>
      </c>
      <c r="Y32" s="478">
        <f>Assum!Z342</f>
        <v>0.01</v>
      </c>
      <c r="Z32" s="478">
        <f>Assum!AA342</f>
        <v>0.01</v>
      </c>
      <c r="AA32" s="478">
        <f>Assum!AB342</f>
        <v>0.01</v>
      </c>
      <c r="AB32" s="478">
        <f>Assum!AC342</f>
        <v>0.01</v>
      </c>
      <c r="AC32" s="478">
        <f>Assum!AD342</f>
        <v>0.01</v>
      </c>
      <c r="AD32" s="478">
        <f>Assum!AE342</f>
        <v>0.01</v>
      </c>
      <c r="AE32" s="478">
        <f>Assum!AF342</f>
        <v>0.01</v>
      </c>
      <c r="AF32" s="478">
        <f>Assum!AG342</f>
        <v>0.01</v>
      </c>
      <c r="AG32" s="478">
        <f>Assum!AH342</f>
        <v>0.01</v>
      </c>
      <c r="AH32" s="479">
        <f>Assum!AI342</f>
        <v>0</v>
      </c>
    </row>
    <row r="33" spans="1:143">
      <c r="B33" s="1094" t="s">
        <v>632</v>
      </c>
      <c r="C33" s="685"/>
      <c r="D33" s="1091">
        <f>Assum!E346</f>
        <v>0.01</v>
      </c>
      <c r="E33" s="1091">
        <f>Assum!F346</f>
        <v>0.01</v>
      </c>
      <c r="F33" s="1091">
        <f>Assum!G346</f>
        <v>0.01</v>
      </c>
      <c r="G33" s="1091">
        <f>Assum!H346</f>
        <v>0.01</v>
      </c>
      <c r="H33" s="1091">
        <f>Assum!I346</f>
        <v>0.01</v>
      </c>
      <c r="I33" s="1091">
        <f>Assum!J346</f>
        <v>0.01</v>
      </c>
      <c r="J33" s="1091">
        <f>Assum!K346</f>
        <v>0.01</v>
      </c>
      <c r="K33" s="1091">
        <f>Assum!L346</f>
        <v>0.01</v>
      </c>
      <c r="L33" s="1091">
        <f>Assum!M346</f>
        <v>0.01</v>
      </c>
      <c r="M33" s="1091">
        <f>Assum!N346</f>
        <v>0.01</v>
      </c>
      <c r="N33" s="1091">
        <f>Assum!O346</f>
        <v>0.01</v>
      </c>
      <c r="O33" s="1091">
        <f>Assum!P346</f>
        <v>0.01</v>
      </c>
      <c r="P33" s="1091">
        <f>Assum!Q346</f>
        <v>0.01</v>
      </c>
      <c r="Q33" s="1091">
        <f>Assum!R346</f>
        <v>0.01</v>
      </c>
      <c r="R33" s="1091">
        <f>Assum!S346</f>
        <v>0.01</v>
      </c>
      <c r="S33" s="1091">
        <f>Assum!T346</f>
        <v>0.01</v>
      </c>
      <c r="T33" s="1091">
        <f>Assum!U346</f>
        <v>0.01</v>
      </c>
      <c r="U33" s="1091">
        <f>Assum!V346</f>
        <v>0.01</v>
      </c>
      <c r="V33" s="1091">
        <f>Assum!W346</f>
        <v>0.01</v>
      </c>
      <c r="W33" s="1091">
        <f>Assum!X346</f>
        <v>0.01</v>
      </c>
      <c r="X33" s="1091">
        <f>Assum!Y346</f>
        <v>0.01</v>
      </c>
      <c r="Y33" s="1091">
        <f>Assum!Z346</f>
        <v>0.01</v>
      </c>
      <c r="Z33" s="1091">
        <f>Assum!AA346</f>
        <v>0.01</v>
      </c>
      <c r="AA33" s="1091">
        <f>Assum!AB346</f>
        <v>0.01</v>
      </c>
      <c r="AB33" s="1091">
        <f>Assum!AC346</f>
        <v>0.01</v>
      </c>
      <c r="AC33" s="1091">
        <f>Assum!AD346</f>
        <v>0.01</v>
      </c>
      <c r="AD33" s="1091">
        <f>Assum!AE346</f>
        <v>0.01</v>
      </c>
      <c r="AE33" s="1091">
        <f>Assum!AF346</f>
        <v>0.01</v>
      </c>
      <c r="AF33" s="1091">
        <f>Assum!AG346</f>
        <v>0.01</v>
      </c>
      <c r="AG33" s="1091">
        <f>Assum!AH346</f>
        <v>0.01</v>
      </c>
      <c r="AH33" s="1095">
        <f>Assum!AI346</f>
        <v>0</v>
      </c>
    </row>
    <row r="34" spans="1:143">
      <c r="B34" s="1096"/>
      <c r="C34" s="1092"/>
      <c r="D34" s="1092"/>
      <c r="E34" s="1093"/>
      <c r="F34" s="1092"/>
      <c r="G34" s="1092"/>
      <c r="H34" s="1092"/>
      <c r="I34" s="1092"/>
      <c r="J34" s="1092"/>
      <c r="K34" s="1092"/>
      <c r="L34" s="1092"/>
      <c r="M34" s="1092"/>
      <c r="N34" s="1092"/>
      <c r="O34" s="1092"/>
      <c r="P34" s="1092"/>
      <c r="Q34" s="1092"/>
      <c r="R34" s="1092"/>
      <c r="S34" s="1092"/>
      <c r="T34" s="1092"/>
      <c r="U34" s="1092"/>
      <c r="V34" s="1092"/>
      <c r="W34" s="1092"/>
      <c r="X34" s="1092"/>
      <c r="Y34" s="1092"/>
      <c r="Z34" s="1092"/>
      <c r="AA34" s="1092"/>
      <c r="AB34" s="1092"/>
      <c r="AC34" s="1092"/>
      <c r="AD34" s="1092"/>
      <c r="AE34" s="1092"/>
      <c r="AF34" s="1092"/>
      <c r="AG34" s="1092"/>
      <c r="AH34" s="1097"/>
    </row>
    <row r="35" spans="1:143" s="300" customFormat="1">
      <c r="A35" s="612"/>
      <c r="B35" s="467" t="s">
        <v>482</v>
      </c>
      <c r="C35" s="468"/>
      <c r="D35" s="469">
        <v>0</v>
      </c>
      <c r="E35" s="469">
        <f t="shared" ref="E35:AH35" ca="1" si="14">D51</f>
        <v>685.90324822608125</v>
      </c>
      <c r="F35" s="469">
        <f t="shared" ca="1" si="14"/>
        <v>300.05222650008329</v>
      </c>
      <c r="G35" s="469">
        <f t="shared" ca="1" si="14"/>
        <v>72.193305423440336</v>
      </c>
      <c r="H35" s="469">
        <f ca="1">G51</f>
        <v>-60.614687630164944</v>
      </c>
      <c r="I35" s="469">
        <f ca="1">H51</f>
        <v>-192.35700276359844</v>
      </c>
      <c r="J35" s="469">
        <f ca="1">I51</f>
        <v>-250.11539691907922</v>
      </c>
      <c r="K35" s="469">
        <f ca="1">J51</f>
        <v>-238.83562443081573</v>
      </c>
      <c r="L35" s="469">
        <f ca="1">K51</f>
        <v>-225.93110620322236</v>
      </c>
      <c r="M35" s="469">
        <f t="shared" ca="1" si="14"/>
        <v>-211.32862841086143</v>
      </c>
      <c r="N35" s="469">
        <f t="shared" ca="1" si="14"/>
        <v>-194.3100014388059</v>
      </c>
      <c r="O35" s="469">
        <f t="shared" ca="1" si="14"/>
        <v>-174.61360679857637</v>
      </c>
      <c r="P35" s="469">
        <f t="shared" ca="1" si="14"/>
        <v>-151.77032043527328</v>
      </c>
      <c r="Q35" s="469">
        <f t="shared" ca="1" si="14"/>
        <v>-125.56845599238055</v>
      </c>
      <c r="R35" s="469">
        <f t="shared" ca="1" si="14"/>
        <v>-97.249265506893238</v>
      </c>
      <c r="S35" s="469">
        <f t="shared" ca="1" si="14"/>
        <v>-66.728255229288834</v>
      </c>
      <c r="T35" s="469">
        <f t="shared" ca="1" si="14"/>
        <v>-34.48393932433423</v>
      </c>
      <c r="U35" s="469">
        <f t="shared" ca="1" si="14"/>
        <v>0.69778638478483224</v>
      </c>
      <c r="V35" s="469">
        <f t="shared" ca="1" si="14"/>
        <v>29.713129478963591</v>
      </c>
      <c r="W35" s="469">
        <f t="shared" ca="1" si="14"/>
        <v>28.41817088877044</v>
      </c>
      <c r="X35" s="469">
        <f t="shared" ca="1" si="14"/>
        <v>20.129180623918501</v>
      </c>
      <c r="Y35" s="469">
        <f t="shared" ca="1" si="14"/>
        <v>20.125601021871901</v>
      </c>
      <c r="Z35" s="469">
        <f t="shared" ca="1" si="14"/>
        <v>20.125601318009146</v>
      </c>
      <c r="AA35" s="469">
        <f t="shared" ca="1" si="14"/>
        <v>20.125600529800465</v>
      </c>
      <c r="AB35" s="469">
        <f t="shared" ca="1" si="14"/>
        <v>20.125598519640281</v>
      </c>
      <c r="AC35" s="469">
        <f t="shared" ca="1" si="14"/>
        <v>20.125597342968963</v>
      </c>
      <c r="AD35" s="469">
        <f t="shared" ca="1" si="14"/>
        <v>20.125597604779319</v>
      </c>
      <c r="AE35" s="469">
        <f t="shared" ca="1" si="14"/>
        <v>20.125600242403145</v>
      </c>
      <c r="AF35" s="469">
        <f t="shared" ca="1" si="14"/>
        <v>20.125602869590161</v>
      </c>
      <c r="AG35" s="469">
        <f t="shared" ca="1" si="14"/>
        <v>20.125603752824571</v>
      </c>
      <c r="AH35" s="635">
        <f t="shared" ca="1" si="14"/>
        <v>20.125601546000571</v>
      </c>
      <c r="AI35" s="299"/>
      <c r="AJ35" s="299"/>
      <c r="AK35" s="299"/>
      <c r="AL35" s="299"/>
      <c r="AM35" s="299"/>
      <c r="AN35" s="299"/>
      <c r="AO35" s="299"/>
      <c r="AP35" s="299"/>
      <c r="AQ35" s="299"/>
      <c r="AR35" s="299"/>
      <c r="AS35" s="299"/>
      <c r="AT35" s="299"/>
      <c r="AU35" s="299"/>
      <c r="AV35" s="299"/>
      <c r="AW35" s="299"/>
      <c r="AX35" s="299"/>
      <c r="AY35" s="299"/>
      <c r="AZ35" s="299"/>
      <c r="BA35" s="299"/>
      <c r="BB35" s="299"/>
      <c r="BC35" s="299"/>
      <c r="BD35" s="299"/>
      <c r="BE35" s="299"/>
      <c r="BF35" s="299"/>
      <c r="BG35" s="299"/>
      <c r="BH35" s="299"/>
      <c r="BI35" s="299"/>
      <c r="BJ35" s="299"/>
      <c r="BK35" s="299"/>
      <c r="BL35" s="299"/>
      <c r="BM35" s="299"/>
      <c r="BN35" s="299"/>
      <c r="BO35" s="299"/>
      <c r="BP35" s="299"/>
      <c r="BQ35" s="299"/>
      <c r="BR35" s="299"/>
      <c r="BS35" s="299"/>
      <c r="BT35" s="299"/>
      <c r="BU35" s="299"/>
      <c r="BV35" s="299"/>
      <c r="BW35" s="299"/>
      <c r="BX35" s="299"/>
      <c r="BY35" s="299"/>
      <c r="BZ35" s="299"/>
      <c r="CA35" s="299"/>
      <c r="CB35" s="299"/>
      <c r="CC35" s="299"/>
      <c r="CD35" s="299"/>
      <c r="CE35" s="299"/>
      <c r="CF35" s="299"/>
      <c r="CG35" s="299"/>
      <c r="CH35" s="299"/>
      <c r="CI35" s="299"/>
      <c r="CJ35" s="299"/>
      <c r="CK35" s="299"/>
      <c r="CL35" s="299"/>
      <c r="CM35" s="299"/>
      <c r="CN35" s="299"/>
      <c r="CO35" s="299"/>
      <c r="CP35" s="299"/>
      <c r="CQ35" s="299"/>
      <c r="CR35" s="299"/>
      <c r="CS35" s="299"/>
      <c r="CT35" s="299"/>
      <c r="CU35" s="299"/>
      <c r="CV35" s="299"/>
      <c r="CW35" s="299"/>
      <c r="CX35" s="299"/>
      <c r="CY35" s="299"/>
      <c r="CZ35" s="299"/>
      <c r="DA35" s="299"/>
      <c r="DB35" s="299"/>
      <c r="DC35" s="299"/>
      <c r="DD35" s="299"/>
      <c r="DE35" s="299"/>
      <c r="DF35" s="299"/>
      <c r="DG35" s="299"/>
      <c r="DH35" s="299"/>
      <c r="DI35" s="299"/>
      <c r="DJ35" s="299"/>
      <c r="DK35" s="299"/>
      <c r="DL35" s="299"/>
      <c r="DM35" s="299"/>
      <c r="DN35" s="299"/>
      <c r="DO35" s="299"/>
      <c r="DP35" s="299"/>
      <c r="DQ35" s="299"/>
      <c r="DR35" s="299"/>
      <c r="DS35" s="299"/>
      <c r="DT35" s="299"/>
      <c r="DU35" s="299"/>
      <c r="DV35" s="299"/>
      <c r="DW35" s="299"/>
      <c r="DX35" s="299"/>
      <c r="DY35" s="299"/>
      <c r="DZ35" s="299"/>
      <c r="EA35" s="299"/>
      <c r="EB35" s="299"/>
      <c r="EC35" s="299"/>
      <c r="ED35" s="299"/>
      <c r="EE35" s="299"/>
      <c r="EF35" s="299"/>
      <c r="EG35" s="299"/>
      <c r="EH35" s="299"/>
      <c r="EI35" s="299"/>
      <c r="EJ35" s="299"/>
      <c r="EK35" s="299"/>
      <c r="EL35" s="299"/>
      <c r="EM35" s="299"/>
    </row>
    <row r="36" spans="1:143" s="240" customFormat="1">
      <c r="A36" s="612"/>
      <c r="B36" s="313" t="s">
        <v>483</v>
      </c>
      <c r="C36" s="314"/>
      <c r="D36" s="255">
        <f ca="1">Srcs_Uses!E7</f>
        <v>913.40320994341164</v>
      </c>
      <c r="E36" s="255"/>
      <c r="F36" s="255"/>
      <c r="G36" s="255"/>
      <c r="H36" s="255"/>
      <c r="I36" s="255"/>
      <c r="J36" s="255"/>
      <c r="K36" s="255"/>
      <c r="L36" s="255"/>
      <c r="M36" s="255"/>
      <c r="N36" s="255"/>
      <c r="O36" s="255"/>
      <c r="P36" s="255"/>
      <c r="Q36" s="255"/>
      <c r="R36" s="255"/>
      <c r="S36" s="255"/>
      <c r="T36" s="255"/>
      <c r="U36" s="255"/>
      <c r="V36" s="255"/>
      <c r="W36" s="255"/>
      <c r="X36" s="255"/>
      <c r="Y36" s="255"/>
      <c r="Z36" s="255"/>
      <c r="AA36" s="255"/>
      <c r="AB36" s="255"/>
      <c r="AC36" s="255"/>
      <c r="AD36" s="255"/>
      <c r="AE36" s="255"/>
      <c r="AF36" s="255"/>
      <c r="AG36" s="255"/>
      <c r="AH36" s="315"/>
      <c r="AI36" s="239"/>
      <c r="AJ36" s="239"/>
      <c r="AK36" s="239"/>
      <c r="AL36" s="239"/>
      <c r="AM36" s="239"/>
      <c r="AN36" s="239"/>
      <c r="AO36" s="239"/>
      <c r="AP36" s="239"/>
      <c r="AQ36" s="239"/>
      <c r="AR36" s="239"/>
      <c r="AS36" s="239"/>
      <c r="AT36" s="239"/>
      <c r="AU36" s="239"/>
      <c r="AV36" s="239"/>
      <c r="AW36" s="239"/>
      <c r="AX36" s="239"/>
      <c r="AY36" s="239"/>
      <c r="AZ36" s="239"/>
      <c r="BA36" s="239"/>
      <c r="BB36" s="239"/>
      <c r="BC36" s="239"/>
      <c r="BD36" s="239"/>
      <c r="BE36" s="239"/>
      <c r="BF36" s="239"/>
      <c r="BG36" s="239"/>
      <c r="BH36" s="239"/>
      <c r="BI36" s="239"/>
      <c r="BJ36" s="239"/>
      <c r="BK36" s="239"/>
      <c r="BL36" s="239"/>
      <c r="BM36" s="239"/>
      <c r="BN36" s="239"/>
      <c r="BO36" s="239"/>
      <c r="BP36" s="239"/>
      <c r="BQ36" s="239"/>
      <c r="BR36" s="239"/>
      <c r="BS36" s="239"/>
      <c r="BT36" s="239"/>
      <c r="BU36" s="239"/>
      <c r="BV36" s="239"/>
      <c r="BW36" s="239"/>
      <c r="BX36" s="239"/>
      <c r="BY36" s="239"/>
      <c r="BZ36" s="239"/>
      <c r="CA36" s="239"/>
      <c r="CB36" s="239"/>
      <c r="CC36" s="239"/>
      <c r="CD36" s="239"/>
      <c r="CE36" s="239"/>
      <c r="CF36" s="239"/>
      <c r="CG36" s="239"/>
      <c r="CH36" s="239"/>
      <c r="CI36" s="239"/>
      <c r="CJ36" s="239"/>
      <c r="CK36" s="239"/>
      <c r="CL36" s="239"/>
      <c r="CM36" s="239"/>
      <c r="CN36" s="239"/>
      <c r="CO36" s="239"/>
      <c r="CP36" s="239"/>
      <c r="CQ36" s="239"/>
      <c r="CR36" s="239"/>
      <c r="CS36" s="239"/>
      <c r="CT36" s="239"/>
      <c r="CU36" s="239"/>
      <c r="CV36" s="239"/>
      <c r="CW36" s="239"/>
      <c r="CX36" s="239"/>
      <c r="CY36" s="239"/>
      <c r="CZ36" s="239"/>
      <c r="DA36" s="239"/>
      <c r="DB36" s="239"/>
      <c r="DC36" s="239"/>
      <c r="DD36" s="239"/>
      <c r="DE36" s="239"/>
      <c r="DF36" s="239"/>
      <c r="DG36" s="239"/>
      <c r="DH36" s="239"/>
      <c r="DI36" s="239"/>
      <c r="DJ36" s="239"/>
      <c r="DK36" s="239"/>
      <c r="DL36" s="239"/>
      <c r="DM36" s="239"/>
      <c r="DN36" s="239"/>
      <c r="DO36" s="239"/>
      <c r="DP36" s="239"/>
      <c r="DQ36" s="239"/>
      <c r="DR36" s="239"/>
      <c r="DS36" s="239"/>
      <c r="DT36" s="239"/>
      <c r="DU36" s="239"/>
      <c r="DV36" s="239"/>
      <c r="DW36" s="239"/>
      <c r="DX36" s="239"/>
      <c r="DY36" s="239"/>
      <c r="DZ36" s="239"/>
      <c r="EA36" s="239"/>
      <c r="EB36" s="239"/>
      <c r="EC36" s="239"/>
      <c r="ED36" s="239"/>
      <c r="EE36" s="239"/>
      <c r="EF36" s="239"/>
      <c r="EG36" s="239"/>
      <c r="EH36" s="239"/>
      <c r="EI36" s="239"/>
      <c r="EJ36" s="239"/>
      <c r="EK36" s="239"/>
      <c r="EL36" s="239"/>
      <c r="EM36" s="239"/>
    </row>
    <row r="37" spans="1:143" s="325" customFormat="1">
      <c r="A37" s="612"/>
      <c r="B37" s="532" t="s">
        <v>484</v>
      </c>
      <c r="C37" s="533"/>
      <c r="D37" s="435">
        <f>CashFlow!E46</f>
        <v>0</v>
      </c>
      <c r="E37" s="435">
        <f>CashFlow!F46</f>
        <v>0</v>
      </c>
      <c r="F37" s="435">
        <f>CashFlow!G46</f>
        <v>0</v>
      </c>
      <c r="G37" s="435">
        <f>CashFlow!H46</f>
        <v>0</v>
      </c>
      <c r="H37" s="435">
        <f>CashFlow!I46</f>
        <v>0</v>
      </c>
      <c r="I37" s="435">
        <f>CashFlow!J46</f>
        <v>0</v>
      </c>
      <c r="J37" s="435">
        <f>CashFlow!K46</f>
        <v>0</v>
      </c>
      <c r="K37" s="435">
        <f>CashFlow!L46</f>
        <v>0</v>
      </c>
      <c r="L37" s="435">
        <f>CashFlow!M46</f>
        <v>0</v>
      </c>
      <c r="M37" s="435">
        <f>CashFlow!N46</f>
        <v>0</v>
      </c>
      <c r="N37" s="435">
        <f>CashFlow!O46</f>
        <v>0</v>
      </c>
      <c r="O37" s="435">
        <f>CashFlow!P46</f>
        <v>0</v>
      </c>
      <c r="P37" s="435">
        <f>CashFlow!Q46</f>
        <v>0</v>
      </c>
      <c r="Q37" s="435">
        <f>CashFlow!R46</f>
        <v>0</v>
      </c>
      <c r="R37" s="435">
        <f>CashFlow!S46</f>
        <v>0</v>
      </c>
      <c r="S37" s="435">
        <f>CashFlow!T46</f>
        <v>0</v>
      </c>
      <c r="T37" s="435">
        <f>CashFlow!U46</f>
        <v>0</v>
      </c>
      <c r="U37" s="435">
        <f>CashFlow!V46</f>
        <v>0</v>
      </c>
      <c r="V37" s="435">
        <f>CashFlow!W46</f>
        <v>0</v>
      </c>
      <c r="W37" s="435">
        <f>CashFlow!X46</f>
        <v>0</v>
      </c>
      <c r="X37" s="435">
        <f>CashFlow!Y46</f>
        <v>0</v>
      </c>
      <c r="Y37" s="435">
        <f>CashFlow!Z46</f>
        <v>0</v>
      </c>
      <c r="Z37" s="435">
        <f>CashFlow!AA46</f>
        <v>0</v>
      </c>
      <c r="AA37" s="435">
        <f>CashFlow!AB46</f>
        <v>0</v>
      </c>
      <c r="AB37" s="435">
        <f>CashFlow!AC46</f>
        <v>0</v>
      </c>
      <c r="AC37" s="435">
        <f>CashFlow!AD46</f>
        <v>0</v>
      </c>
      <c r="AD37" s="435">
        <f>CashFlow!AE46</f>
        <v>0</v>
      </c>
      <c r="AE37" s="435">
        <f>CashFlow!AF46</f>
        <v>0</v>
      </c>
      <c r="AF37" s="435">
        <f>CashFlow!AG46</f>
        <v>0</v>
      </c>
      <c r="AG37" s="435">
        <f>CashFlow!AH46</f>
        <v>0</v>
      </c>
      <c r="AH37" s="443">
        <f>CashFlow!AI46</f>
        <v>0</v>
      </c>
      <c r="AI37" s="324"/>
      <c r="AJ37" s="324"/>
      <c r="AK37" s="324"/>
      <c r="AL37" s="324"/>
      <c r="AM37" s="324"/>
      <c r="AN37" s="324"/>
      <c r="AO37" s="324"/>
      <c r="AP37" s="324"/>
      <c r="AQ37" s="324"/>
      <c r="AR37" s="324"/>
      <c r="AS37" s="324"/>
      <c r="AT37" s="324"/>
      <c r="AU37" s="324"/>
      <c r="AV37" s="324"/>
      <c r="AW37" s="324"/>
      <c r="AX37" s="324"/>
      <c r="AY37" s="324"/>
      <c r="AZ37" s="324"/>
      <c r="BA37" s="324"/>
      <c r="BB37" s="324"/>
      <c r="BC37" s="324"/>
      <c r="BD37" s="324"/>
      <c r="BE37" s="324"/>
      <c r="BF37" s="324"/>
      <c r="BG37" s="324"/>
      <c r="BH37" s="324"/>
      <c r="BI37" s="324"/>
      <c r="BJ37" s="324"/>
      <c r="BK37" s="324"/>
      <c r="BL37" s="324"/>
      <c r="BM37" s="324"/>
      <c r="BN37" s="324"/>
      <c r="BO37" s="324"/>
      <c r="BP37" s="324"/>
      <c r="BQ37" s="324"/>
      <c r="BR37" s="324"/>
      <c r="BS37" s="324"/>
      <c r="BT37" s="324"/>
      <c r="BU37" s="324"/>
      <c r="BV37" s="324"/>
      <c r="BW37" s="324"/>
      <c r="BX37" s="324"/>
      <c r="BY37" s="324"/>
      <c r="BZ37" s="324"/>
      <c r="CA37" s="324"/>
      <c r="CB37" s="324"/>
      <c r="CC37" s="324"/>
      <c r="CD37" s="324"/>
      <c r="CE37" s="324"/>
      <c r="CF37" s="324"/>
      <c r="CG37" s="324"/>
      <c r="CH37" s="324"/>
      <c r="CI37" s="324"/>
      <c r="CJ37" s="324"/>
      <c r="CK37" s="324"/>
      <c r="CL37" s="324"/>
      <c r="CM37" s="324"/>
      <c r="CN37" s="324"/>
      <c r="CO37" s="324"/>
      <c r="CP37" s="324"/>
      <c r="CQ37" s="324"/>
      <c r="CR37" s="324"/>
      <c r="CS37" s="324"/>
      <c r="CT37" s="324"/>
      <c r="CU37" s="324"/>
      <c r="CV37" s="324"/>
      <c r="CW37" s="324"/>
      <c r="CX37" s="324"/>
      <c r="CY37" s="324"/>
      <c r="CZ37" s="324"/>
      <c r="DA37" s="324"/>
      <c r="DB37" s="324"/>
      <c r="DC37" s="324"/>
      <c r="DD37" s="324"/>
      <c r="DE37" s="324"/>
      <c r="DF37" s="324"/>
      <c r="DG37" s="324"/>
      <c r="DH37" s="324"/>
      <c r="DI37" s="324"/>
      <c r="DJ37" s="324"/>
      <c r="DK37" s="324"/>
      <c r="DL37" s="324"/>
      <c r="DM37" s="324"/>
      <c r="DN37" s="324"/>
      <c r="DO37" s="324"/>
      <c r="DP37" s="324"/>
      <c r="DQ37" s="324"/>
      <c r="DR37" s="324"/>
      <c r="DS37" s="324"/>
      <c r="DT37" s="324"/>
      <c r="DU37" s="324"/>
      <c r="DV37" s="324"/>
      <c r="DW37" s="324"/>
      <c r="DX37" s="324"/>
      <c r="DY37" s="324"/>
      <c r="DZ37" s="324"/>
      <c r="EA37" s="324"/>
      <c r="EB37" s="324"/>
      <c r="EC37" s="324"/>
      <c r="ED37" s="324"/>
      <c r="EE37" s="324"/>
      <c r="EF37" s="324"/>
      <c r="EG37" s="324"/>
      <c r="EH37" s="324"/>
      <c r="EI37" s="324"/>
      <c r="EJ37" s="324"/>
      <c r="EK37" s="324"/>
      <c r="EL37" s="324"/>
      <c r="EM37" s="324"/>
    </row>
    <row r="38" spans="1:143" s="235" customFormat="1">
      <c r="A38" s="612"/>
      <c r="B38" s="451" t="s">
        <v>633</v>
      </c>
      <c r="C38" s="453"/>
      <c r="D38" s="454"/>
      <c r="E38" s="454"/>
      <c r="F38" s="454"/>
      <c r="G38" s="454"/>
      <c r="H38" s="454"/>
      <c r="I38" s="454"/>
      <c r="J38" s="454"/>
      <c r="K38" s="454"/>
      <c r="L38" s="454"/>
      <c r="M38" s="454"/>
      <c r="N38" s="454"/>
      <c r="O38" s="454"/>
      <c r="P38" s="454"/>
      <c r="Q38" s="454"/>
      <c r="R38" s="454"/>
      <c r="S38" s="454"/>
      <c r="T38" s="454"/>
      <c r="U38" s="454"/>
      <c r="V38" s="454"/>
      <c r="W38" s="454"/>
      <c r="X38" s="454"/>
      <c r="Y38" s="454"/>
      <c r="Z38" s="454"/>
      <c r="AA38" s="454"/>
      <c r="AB38" s="454"/>
      <c r="AC38" s="454"/>
      <c r="AD38" s="454"/>
      <c r="AE38" s="454"/>
      <c r="AF38" s="454"/>
      <c r="AG38" s="454"/>
      <c r="AH38" s="466"/>
      <c r="AI38" s="202"/>
      <c r="AJ38" s="202"/>
      <c r="AK38" s="202"/>
      <c r="AL38" s="202"/>
      <c r="AM38" s="202"/>
      <c r="AN38" s="202"/>
      <c r="AO38" s="202"/>
      <c r="AP38" s="202"/>
      <c r="AQ38" s="202"/>
      <c r="AR38" s="202"/>
      <c r="AS38" s="202"/>
      <c r="AT38" s="202"/>
      <c r="AU38" s="202"/>
      <c r="AV38" s="202"/>
      <c r="AW38" s="202"/>
      <c r="AX38" s="202"/>
      <c r="AY38" s="202"/>
      <c r="AZ38" s="202"/>
      <c r="BA38" s="202"/>
      <c r="BB38" s="202"/>
      <c r="BC38" s="202"/>
      <c r="BD38" s="202"/>
      <c r="BE38" s="202"/>
      <c r="BF38" s="202"/>
      <c r="BG38" s="202"/>
      <c r="BH38" s="202"/>
      <c r="BI38" s="202"/>
      <c r="BJ38" s="202"/>
      <c r="BK38" s="202"/>
      <c r="BL38" s="202"/>
      <c r="BM38" s="202"/>
      <c r="BN38" s="202"/>
      <c r="BO38" s="202"/>
      <c r="BP38" s="202"/>
      <c r="BQ38" s="202"/>
      <c r="BR38" s="202"/>
      <c r="BS38" s="202"/>
      <c r="BT38" s="202"/>
      <c r="BU38" s="202"/>
      <c r="BV38" s="202"/>
      <c r="BW38" s="202"/>
      <c r="BX38" s="202"/>
      <c r="BY38" s="202"/>
      <c r="BZ38" s="202"/>
      <c r="CA38" s="202"/>
      <c r="CB38" s="202"/>
      <c r="CC38" s="202"/>
      <c r="CD38" s="202"/>
      <c r="CE38" s="202"/>
      <c r="CF38" s="202"/>
      <c r="CG38" s="202"/>
      <c r="CH38" s="202"/>
      <c r="CI38" s="202"/>
      <c r="CJ38" s="202"/>
      <c r="CK38" s="202"/>
      <c r="CL38" s="202"/>
      <c r="CM38" s="202"/>
      <c r="CN38" s="202"/>
      <c r="CO38" s="202"/>
      <c r="CP38" s="202"/>
      <c r="CQ38" s="202"/>
      <c r="CR38" s="202"/>
      <c r="CS38" s="202"/>
      <c r="CT38" s="202"/>
      <c r="CU38" s="202"/>
      <c r="CV38" s="202"/>
      <c r="CW38" s="202"/>
      <c r="CX38" s="202"/>
      <c r="CY38" s="202"/>
      <c r="CZ38" s="202"/>
      <c r="DA38" s="202"/>
      <c r="DB38" s="202"/>
      <c r="DC38" s="202"/>
      <c r="DD38" s="202"/>
      <c r="DE38" s="202"/>
      <c r="DF38" s="202"/>
      <c r="DG38" s="202"/>
      <c r="DH38" s="202"/>
      <c r="DI38" s="202"/>
      <c r="DJ38" s="202"/>
      <c r="DK38" s="202"/>
      <c r="DL38" s="202"/>
      <c r="DM38" s="202"/>
      <c r="DN38" s="202"/>
      <c r="DO38" s="202"/>
      <c r="DP38" s="202"/>
      <c r="DQ38" s="202"/>
      <c r="DR38" s="202"/>
      <c r="DS38" s="202"/>
      <c r="DT38" s="202"/>
      <c r="DU38" s="202"/>
      <c r="DV38" s="202"/>
      <c r="DW38" s="202"/>
      <c r="DX38" s="202"/>
      <c r="DY38" s="202"/>
      <c r="DZ38" s="202"/>
      <c r="EA38" s="202"/>
      <c r="EB38" s="202"/>
      <c r="EC38" s="202"/>
      <c r="ED38" s="202"/>
      <c r="EE38" s="202"/>
      <c r="EF38" s="202"/>
      <c r="EG38" s="202"/>
      <c r="EH38" s="202"/>
      <c r="EI38" s="202"/>
      <c r="EJ38" s="202"/>
      <c r="EK38" s="202"/>
      <c r="EL38" s="202"/>
      <c r="EM38" s="202"/>
    </row>
    <row r="39" spans="1:143" s="235" customFormat="1">
      <c r="A39" s="612"/>
      <c r="B39" s="451" t="str">
        <f>Basis!B84</f>
        <v>Net Min Gain Adjustment</v>
      </c>
      <c r="C39" s="453"/>
      <c r="D39" s="454">
        <f ca="1">Basis!D86</f>
        <v>0</v>
      </c>
      <c r="E39" s="454">
        <f ca="1">Basis!E86</f>
        <v>0</v>
      </c>
      <c r="F39" s="454">
        <f ca="1">Basis!F86</f>
        <v>0</v>
      </c>
      <c r="G39" s="454">
        <f ca="1">Basis!G86</f>
        <v>0</v>
      </c>
      <c r="H39" s="454">
        <f ca="1">Basis!H86</f>
        <v>0</v>
      </c>
      <c r="I39" s="454">
        <f ca="1">Basis!I86</f>
        <v>0</v>
      </c>
      <c r="J39" s="454">
        <f ca="1">Basis!J86</f>
        <v>0</v>
      </c>
      <c r="K39" s="454">
        <f ca="1">Basis!K86</f>
        <v>0</v>
      </c>
      <c r="L39" s="454">
        <f ca="1">Basis!L86</f>
        <v>0</v>
      </c>
      <c r="M39" s="454">
        <f ca="1">Basis!M86</f>
        <v>0</v>
      </c>
      <c r="N39" s="454">
        <f ca="1">Basis!N86</f>
        <v>0</v>
      </c>
      <c r="O39" s="454">
        <f ca="1">Basis!O86</f>
        <v>0</v>
      </c>
      <c r="P39" s="454">
        <f ca="1">Basis!P86</f>
        <v>0</v>
      </c>
      <c r="Q39" s="454">
        <f ca="1">Basis!Q86</f>
        <v>0</v>
      </c>
      <c r="R39" s="454">
        <f ca="1">Basis!R86</f>
        <v>0</v>
      </c>
      <c r="S39" s="454">
        <f ca="1">Basis!S86</f>
        <v>0</v>
      </c>
      <c r="T39" s="454">
        <f ca="1">Basis!T86</f>
        <v>7.1054273576010019E-14</v>
      </c>
      <c r="U39" s="454">
        <f ca="1">Basis!U86</f>
        <v>0</v>
      </c>
      <c r="V39" s="454">
        <f ca="1">Basis!V86</f>
        <v>0</v>
      </c>
      <c r="W39" s="454">
        <f ca="1">Basis!W86</f>
        <v>0</v>
      </c>
      <c r="X39" s="454">
        <f ca="1">Basis!X86</f>
        <v>0</v>
      </c>
      <c r="Y39" s="454">
        <f ca="1">Basis!Y86</f>
        <v>0</v>
      </c>
      <c r="Z39" s="454">
        <f ca="1">Basis!Z86</f>
        <v>0</v>
      </c>
      <c r="AA39" s="454">
        <f ca="1">Basis!AA86</f>
        <v>0</v>
      </c>
      <c r="AB39" s="454">
        <f ca="1">Basis!AB86</f>
        <v>0</v>
      </c>
      <c r="AC39" s="454">
        <f ca="1">Basis!AC86</f>
        <v>0</v>
      </c>
      <c r="AD39" s="454">
        <f ca="1">Basis!AD86</f>
        <v>0</v>
      </c>
      <c r="AE39" s="454">
        <f ca="1">Basis!AE86</f>
        <v>0</v>
      </c>
      <c r="AF39" s="454">
        <f ca="1">Basis!AF86</f>
        <v>0</v>
      </c>
      <c r="AG39" s="454">
        <f ca="1">Basis!AG86</f>
        <v>0</v>
      </c>
      <c r="AH39" s="466">
        <f ca="1">Basis!AH86</f>
        <v>0</v>
      </c>
      <c r="AI39" s="202"/>
      <c r="AJ39" s="202"/>
      <c r="AK39" s="202"/>
      <c r="AL39" s="202"/>
      <c r="AM39" s="202"/>
      <c r="AN39" s="202"/>
      <c r="AO39" s="202"/>
      <c r="AP39" s="202"/>
      <c r="AQ39" s="202"/>
      <c r="AR39" s="202"/>
      <c r="AS39" s="202"/>
      <c r="AT39" s="202"/>
      <c r="AU39" s="202"/>
      <c r="AV39" s="202"/>
      <c r="AW39" s="202"/>
      <c r="AX39" s="202"/>
      <c r="AY39" s="202"/>
      <c r="AZ39" s="202"/>
      <c r="BA39" s="202"/>
      <c r="BB39" s="202"/>
      <c r="BC39" s="202"/>
      <c r="BD39" s="202"/>
      <c r="BE39" s="202"/>
      <c r="BF39" s="202"/>
      <c r="BG39" s="202"/>
      <c r="BH39" s="202"/>
      <c r="BI39" s="202"/>
      <c r="BJ39" s="202"/>
      <c r="BK39" s="202"/>
      <c r="BL39" s="202"/>
      <c r="BM39" s="202"/>
      <c r="BN39" s="202"/>
      <c r="BO39" s="202"/>
      <c r="BP39" s="202"/>
      <c r="BQ39" s="202"/>
      <c r="BR39" s="202"/>
      <c r="BS39" s="202"/>
      <c r="BT39" s="202"/>
      <c r="BU39" s="202"/>
      <c r="BV39" s="202"/>
      <c r="BW39" s="202"/>
      <c r="BX39" s="202"/>
      <c r="BY39" s="202"/>
      <c r="BZ39" s="202"/>
      <c r="CA39" s="202"/>
      <c r="CB39" s="202"/>
      <c r="CC39" s="202"/>
      <c r="CD39" s="202"/>
      <c r="CE39" s="202"/>
      <c r="CF39" s="202"/>
      <c r="CG39" s="202"/>
      <c r="CH39" s="202"/>
      <c r="CI39" s="202"/>
      <c r="CJ39" s="202"/>
      <c r="CK39" s="202"/>
      <c r="CL39" s="202"/>
      <c r="CM39" s="202"/>
      <c r="CN39" s="202"/>
      <c r="CO39" s="202"/>
      <c r="CP39" s="202"/>
      <c r="CQ39" s="202"/>
      <c r="CR39" s="202"/>
      <c r="CS39" s="202"/>
      <c r="CT39" s="202"/>
      <c r="CU39" s="202"/>
      <c r="CV39" s="202"/>
      <c r="CW39" s="202"/>
      <c r="CX39" s="202"/>
      <c r="CY39" s="202"/>
      <c r="CZ39" s="202"/>
      <c r="DA39" s="202"/>
      <c r="DB39" s="202"/>
      <c r="DC39" s="202"/>
      <c r="DD39" s="202"/>
      <c r="DE39" s="202"/>
      <c r="DF39" s="202"/>
      <c r="DG39" s="202"/>
      <c r="DH39" s="202"/>
      <c r="DI39" s="202"/>
      <c r="DJ39" s="202"/>
      <c r="DK39" s="202"/>
      <c r="DL39" s="202"/>
      <c r="DM39" s="202"/>
      <c r="DN39" s="202"/>
      <c r="DO39" s="202"/>
      <c r="DP39" s="202"/>
      <c r="DQ39" s="202"/>
      <c r="DR39" s="202"/>
      <c r="DS39" s="202"/>
      <c r="DT39" s="202"/>
      <c r="DU39" s="202"/>
      <c r="DV39" s="202"/>
      <c r="DW39" s="202"/>
      <c r="DX39" s="202"/>
      <c r="DY39" s="202"/>
      <c r="DZ39" s="202"/>
      <c r="EA39" s="202"/>
      <c r="EB39" s="202"/>
      <c r="EC39" s="202"/>
      <c r="ED39" s="202"/>
      <c r="EE39" s="202"/>
      <c r="EF39" s="202"/>
      <c r="EG39" s="202"/>
      <c r="EH39" s="202"/>
      <c r="EI39" s="202"/>
      <c r="EJ39" s="202"/>
      <c r="EK39" s="202"/>
      <c r="EL39" s="202"/>
      <c r="EM39" s="202"/>
    </row>
    <row r="40" spans="1:143" s="235" customFormat="1">
      <c r="A40" s="612"/>
      <c r="B40" s="451" t="s">
        <v>635</v>
      </c>
      <c r="C40" s="453"/>
      <c r="D40" s="454"/>
      <c r="E40" s="454"/>
      <c r="F40" s="454"/>
      <c r="G40" s="454"/>
      <c r="H40" s="454"/>
      <c r="I40" s="454"/>
      <c r="J40" s="454"/>
      <c r="K40" s="454"/>
      <c r="L40" s="454"/>
      <c r="M40" s="454"/>
      <c r="N40" s="454"/>
      <c r="O40" s="454"/>
      <c r="P40" s="454"/>
      <c r="Q40" s="454"/>
      <c r="R40" s="454"/>
      <c r="S40" s="454"/>
      <c r="T40" s="454"/>
      <c r="U40" s="454"/>
      <c r="V40" s="454"/>
      <c r="W40" s="454"/>
      <c r="X40" s="454"/>
      <c r="Y40" s="454"/>
      <c r="Z40" s="454"/>
      <c r="AA40" s="454"/>
      <c r="AB40" s="454"/>
      <c r="AC40" s="454"/>
      <c r="AD40" s="454"/>
      <c r="AE40" s="454"/>
      <c r="AF40" s="454"/>
      <c r="AG40" s="454"/>
      <c r="AH40" s="466"/>
      <c r="AI40" s="202"/>
      <c r="AJ40" s="202"/>
      <c r="AK40" s="202"/>
      <c r="AL40" s="202"/>
      <c r="AM40" s="202"/>
      <c r="AN40" s="202"/>
      <c r="AO40" s="202"/>
      <c r="AP40" s="202"/>
      <c r="AQ40" s="202"/>
      <c r="AR40" s="202"/>
      <c r="AS40" s="202"/>
      <c r="AT40" s="202"/>
      <c r="AU40" s="202"/>
      <c r="AV40" s="202"/>
      <c r="AW40" s="202"/>
      <c r="AX40" s="202"/>
      <c r="AY40" s="202"/>
      <c r="AZ40" s="202"/>
      <c r="BA40" s="202"/>
      <c r="BB40" s="202"/>
      <c r="BC40" s="202"/>
      <c r="BD40" s="202"/>
      <c r="BE40" s="202"/>
      <c r="BF40" s="202"/>
      <c r="BG40" s="202"/>
      <c r="BH40" s="202"/>
      <c r="BI40" s="202"/>
      <c r="BJ40" s="202"/>
      <c r="BK40" s="202"/>
      <c r="BL40" s="202"/>
      <c r="BM40" s="202"/>
      <c r="BN40" s="202"/>
      <c r="BO40" s="202"/>
      <c r="BP40" s="202"/>
      <c r="BQ40" s="202"/>
      <c r="BR40" s="202"/>
      <c r="BS40" s="202"/>
      <c r="BT40" s="202"/>
      <c r="BU40" s="202"/>
      <c r="BV40" s="202"/>
      <c r="BW40" s="202"/>
      <c r="BX40" s="202"/>
      <c r="BY40" s="202"/>
      <c r="BZ40" s="202"/>
      <c r="CA40" s="202"/>
      <c r="CB40" s="202"/>
      <c r="CC40" s="202"/>
      <c r="CD40" s="202"/>
      <c r="CE40" s="202"/>
      <c r="CF40" s="202"/>
      <c r="CG40" s="202"/>
      <c r="CH40" s="202"/>
      <c r="CI40" s="202"/>
      <c r="CJ40" s="202"/>
      <c r="CK40" s="202"/>
      <c r="CL40" s="202"/>
      <c r="CM40" s="202"/>
      <c r="CN40" s="202"/>
      <c r="CO40" s="202"/>
      <c r="CP40" s="202"/>
      <c r="CQ40" s="202"/>
      <c r="CR40" s="202"/>
      <c r="CS40" s="202"/>
      <c r="CT40" s="202"/>
      <c r="CU40" s="202"/>
      <c r="CV40" s="202"/>
      <c r="CW40" s="202"/>
      <c r="CX40" s="202"/>
      <c r="CY40" s="202"/>
      <c r="CZ40" s="202"/>
      <c r="DA40" s="202"/>
      <c r="DB40" s="202"/>
      <c r="DC40" s="202"/>
      <c r="DD40" s="202"/>
      <c r="DE40" s="202"/>
      <c r="DF40" s="202"/>
      <c r="DG40" s="202"/>
      <c r="DH40" s="202"/>
      <c r="DI40" s="202"/>
      <c r="DJ40" s="202"/>
      <c r="DK40" s="202"/>
      <c r="DL40" s="202"/>
      <c r="DM40" s="202"/>
      <c r="DN40" s="202"/>
      <c r="DO40" s="202"/>
      <c r="DP40" s="202"/>
      <c r="DQ40" s="202"/>
      <c r="DR40" s="202"/>
      <c r="DS40" s="202"/>
      <c r="DT40" s="202"/>
      <c r="DU40" s="202"/>
      <c r="DV40" s="202"/>
      <c r="DW40" s="202"/>
      <c r="DX40" s="202"/>
      <c r="DY40" s="202"/>
      <c r="DZ40" s="202"/>
      <c r="EA40" s="202"/>
      <c r="EB40" s="202"/>
      <c r="EC40" s="202"/>
      <c r="ED40" s="202"/>
      <c r="EE40" s="202"/>
      <c r="EF40" s="202"/>
      <c r="EG40" s="202"/>
      <c r="EH40" s="202"/>
      <c r="EI40" s="202"/>
      <c r="EJ40" s="202"/>
      <c r="EK40" s="202"/>
      <c r="EL40" s="202"/>
      <c r="EM40" s="202"/>
    </row>
    <row r="41" spans="1:143" s="457" customFormat="1">
      <c r="A41" s="612"/>
      <c r="B41" s="455" t="s">
        <v>631</v>
      </c>
      <c r="C41" s="559"/>
      <c r="D41" s="454">
        <f t="shared" ref="D41:AG41" si="15">D66*D$33</f>
        <v>109.90102002499999</v>
      </c>
      <c r="E41" s="454">
        <f t="shared" si="15"/>
        <v>110.207151</v>
      </c>
      <c r="F41" s="454">
        <f t="shared" si="15"/>
        <v>110.207151</v>
      </c>
      <c r="G41" s="454">
        <f t="shared" si="15"/>
        <v>110.207151</v>
      </c>
      <c r="H41" s="454">
        <f t="shared" si="15"/>
        <v>110.207151</v>
      </c>
      <c r="I41" s="454">
        <f t="shared" si="15"/>
        <v>110.207151</v>
      </c>
      <c r="J41" s="454">
        <f t="shared" si="15"/>
        <v>110.207151</v>
      </c>
      <c r="K41" s="454">
        <f t="shared" si="15"/>
        <v>110.207151</v>
      </c>
      <c r="L41" s="454">
        <f t="shared" si="15"/>
        <v>110.207151</v>
      </c>
      <c r="M41" s="454">
        <f t="shared" si="15"/>
        <v>110.207151</v>
      </c>
      <c r="N41" s="454">
        <f t="shared" si="15"/>
        <v>110.207151</v>
      </c>
      <c r="O41" s="454">
        <f t="shared" si="15"/>
        <v>110.207151</v>
      </c>
      <c r="P41" s="454">
        <f t="shared" si="15"/>
        <v>110.207151</v>
      </c>
      <c r="Q41" s="454">
        <f t="shared" si="15"/>
        <v>110.207151</v>
      </c>
      <c r="R41" s="454">
        <f t="shared" si="15"/>
        <v>110.207151</v>
      </c>
      <c r="S41" s="454">
        <f t="shared" si="15"/>
        <v>110.207151</v>
      </c>
      <c r="T41" s="454">
        <f t="shared" si="15"/>
        <v>110.207151</v>
      </c>
      <c r="U41" s="454">
        <f t="shared" si="15"/>
        <v>110.207151</v>
      </c>
      <c r="V41" s="454">
        <f t="shared" si="15"/>
        <v>110.207151</v>
      </c>
      <c r="W41" s="454">
        <f t="shared" si="15"/>
        <v>110.207151</v>
      </c>
      <c r="X41" s="454">
        <f t="shared" si="15"/>
        <v>0.30613097499999892</v>
      </c>
      <c r="Y41" s="454">
        <f t="shared" si="15"/>
        <v>0</v>
      </c>
      <c r="Z41" s="454">
        <f t="shared" si="15"/>
        <v>0</v>
      </c>
      <c r="AA41" s="454">
        <f t="shared" si="15"/>
        <v>0</v>
      </c>
      <c r="AB41" s="454">
        <f t="shared" si="15"/>
        <v>0</v>
      </c>
      <c r="AC41" s="454">
        <f t="shared" si="15"/>
        <v>0</v>
      </c>
      <c r="AD41" s="454">
        <f t="shared" si="15"/>
        <v>0</v>
      </c>
      <c r="AE41" s="454">
        <f t="shared" si="15"/>
        <v>0</v>
      </c>
      <c r="AF41" s="454">
        <f t="shared" si="15"/>
        <v>0</v>
      </c>
      <c r="AG41" s="454">
        <f t="shared" si="15"/>
        <v>0</v>
      </c>
      <c r="AH41" s="466">
        <f t="shared" ref="AH41:AH47" si="16">AH66*AH$33</f>
        <v>0</v>
      </c>
      <c r="AI41" s="456"/>
      <c r="AJ41" s="456"/>
      <c r="AK41" s="456"/>
      <c r="AL41" s="456"/>
      <c r="AM41" s="456"/>
      <c r="AN41" s="456"/>
      <c r="AO41" s="456"/>
      <c r="AP41" s="456"/>
      <c r="AQ41" s="456"/>
      <c r="AR41" s="456"/>
      <c r="AS41" s="456"/>
      <c r="AT41" s="456"/>
      <c r="AU41" s="456"/>
      <c r="AV41" s="456"/>
      <c r="AW41" s="456"/>
      <c r="AX41" s="456"/>
      <c r="AY41" s="456"/>
      <c r="AZ41" s="456"/>
      <c r="BA41" s="456"/>
      <c r="BB41" s="456"/>
      <c r="BC41" s="456"/>
      <c r="BD41" s="456"/>
      <c r="BE41" s="456"/>
      <c r="BF41" s="456"/>
      <c r="BG41" s="456"/>
      <c r="BH41" s="456"/>
      <c r="BI41" s="456"/>
      <c r="BJ41" s="456"/>
      <c r="BK41" s="456"/>
      <c r="BL41" s="456"/>
      <c r="BM41" s="456"/>
      <c r="BN41" s="456"/>
      <c r="BO41" s="456"/>
      <c r="BP41" s="456"/>
      <c r="BQ41" s="456"/>
      <c r="BR41" s="456"/>
      <c r="BS41" s="456"/>
      <c r="BT41" s="456"/>
      <c r="BU41" s="456"/>
      <c r="BV41" s="456"/>
      <c r="BW41" s="456"/>
      <c r="BX41" s="456"/>
      <c r="BY41" s="456"/>
      <c r="BZ41" s="456"/>
      <c r="CA41" s="456"/>
      <c r="CB41" s="456"/>
      <c r="CC41" s="456"/>
      <c r="CD41" s="456"/>
      <c r="CE41" s="456"/>
      <c r="CF41" s="456"/>
      <c r="CG41" s="456"/>
      <c r="CH41" s="456"/>
      <c r="CI41" s="456"/>
      <c r="CJ41" s="456"/>
      <c r="CK41" s="456"/>
      <c r="CL41" s="456"/>
      <c r="CM41" s="456"/>
      <c r="CN41" s="456"/>
      <c r="CO41" s="456"/>
      <c r="CP41" s="456"/>
      <c r="CQ41" s="456"/>
      <c r="CR41" s="456"/>
      <c r="CS41" s="456"/>
      <c r="CT41" s="456"/>
      <c r="CU41" s="456"/>
      <c r="CV41" s="456"/>
      <c r="CW41" s="456"/>
      <c r="CX41" s="456"/>
      <c r="CY41" s="456"/>
      <c r="CZ41" s="456"/>
      <c r="DA41" s="456"/>
      <c r="DB41" s="456"/>
      <c r="DC41" s="456"/>
      <c r="DD41" s="456"/>
      <c r="DE41" s="456"/>
      <c r="DF41" s="456"/>
      <c r="DG41" s="456"/>
      <c r="DH41" s="456"/>
      <c r="DI41" s="456"/>
      <c r="DJ41" s="456"/>
      <c r="DK41" s="456"/>
      <c r="DL41" s="456"/>
      <c r="DM41" s="456"/>
      <c r="DN41" s="456"/>
      <c r="DO41" s="456"/>
      <c r="DP41" s="456"/>
      <c r="DQ41" s="456"/>
      <c r="DR41" s="456"/>
      <c r="DS41" s="456"/>
      <c r="DT41" s="456"/>
      <c r="DU41" s="456"/>
      <c r="DV41" s="456"/>
      <c r="DW41" s="456"/>
      <c r="DX41" s="456"/>
      <c r="DY41" s="456"/>
      <c r="DZ41" s="456"/>
      <c r="EA41" s="456"/>
      <c r="EB41" s="456"/>
      <c r="EC41" s="456"/>
      <c r="ED41" s="456"/>
      <c r="EE41" s="456"/>
      <c r="EF41" s="456"/>
      <c r="EG41" s="456"/>
      <c r="EH41" s="456"/>
      <c r="EI41" s="456"/>
      <c r="EJ41" s="456"/>
      <c r="EK41" s="456"/>
      <c r="EL41" s="456"/>
      <c r="EM41" s="456"/>
    </row>
    <row r="42" spans="1:143" s="461" customFormat="1">
      <c r="A42" s="722"/>
      <c r="B42" s="458" t="s">
        <v>261</v>
      </c>
      <c r="C42" s="559"/>
      <c r="D42" s="459">
        <f t="shared" ref="D42:AG42" si="17">D67*D$33</f>
        <v>-16.975024939418194</v>
      </c>
      <c r="E42" s="459">
        <f t="shared" si="17"/>
        <v>-35.928375606949196</v>
      </c>
      <c r="F42" s="459">
        <f t="shared" si="17"/>
        <v>-36.159190289057968</v>
      </c>
      <c r="G42" s="459">
        <f t="shared" si="17"/>
        <v>-36.298227255890545</v>
      </c>
      <c r="H42" s="459">
        <f t="shared" si="17"/>
        <v>-36.359504562682837</v>
      </c>
      <c r="I42" s="459">
        <f t="shared" si="17"/>
        <v>-44.446828730269772</v>
      </c>
      <c r="J42" s="459">
        <f t="shared" si="17"/>
        <v>-48.482721589706351</v>
      </c>
      <c r="K42" s="459">
        <f t="shared" si="17"/>
        <v>-48.276584524113026</v>
      </c>
      <c r="L42" s="459">
        <f t="shared" si="17"/>
        <v>-48.066038942116258</v>
      </c>
      <c r="M42" s="459">
        <f t="shared" si="17"/>
        <v>-47.090323768563849</v>
      </c>
      <c r="N42" s="459">
        <f t="shared" si="17"/>
        <v>-45.977609473747023</v>
      </c>
      <c r="O42" s="459">
        <f t="shared" si="17"/>
        <v>-44.750892878550168</v>
      </c>
      <c r="P42" s="459">
        <f t="shared" si="17"/>
        <v>-43.405175745509517</v>
      </c>
      <c r="Q42" s="459">
        <f t="shared" si="17"/>
        <v>-44.240148789462758</v>
      </c>
      <c r="R42" s="459">
        <f t="shared" si="17"/>
        <v>-45.225895204173042</v>
      </c>
      <c r="S42" s="459">
        <f t="shared" si="17"/>
        <v>-47.313164960039259</v>
      </c>
      <c r="T42" s="459">
        <f t="shared" si="17"/>
        <v>-47.961805084435028</v>
      </c>
      <c r="U42" s="459">
        <f t="shared" si="17"/>
        <v>-48.625861888549572</v>
      </c>
      <c r="V42" s="459">
        <f t="shared" si="17"/>
        <v>-48.134819550932335</v>
      </c>
      <c r="W42" s="459">
        <f t="shared" si="17"/>
        <v>-48.801554790794327</v>
      </c>
      <c r="X42" s="459">
        <f t="shared" si="17"/>
        <v>-0.12629538129187867</v>
      </c>
      <c r="Y42" s="459">
        <f t="shared" si="17"/>
        <v>0</v>
      </c>
      <c r="Z42" s="459">
        <f t="shared" si="17"/>
        <v>0</v>
      </c>
      <c r="AA42" s="459">
        <f t="shared" si="17"/>
        <v>0</v>
      </c>
      <c r="AB42" s="459">
        <f t="shared" si="17"/>
        <v>0</v>
      </c>
      <c r="AC42" s="459">
        <f t="shared" si="17"/>
        <v>0</v>
      </c>
      <c r="AD42" s="459">
        <f t="shared" si="17"/>
        <v>0</v>
      </c>
      <c r="AE42" s="459">
        <f t="shared" si="17"/>
        <v>0</v>
      </c>
      <c r="AF42" s="459">
        <f t="shared" si="17"/>
        <v>0</v>
      </c>
      <c r="AG42" s="459">
        <f t="shared" si="17"/>
        <v>0</v>
      </c>
      <c r="AH42" s="462">
        <f t="shared" si="16"/>
        <v>0</v>
      </c>
      <c r="AI42" s="460"/>
      <c r="AJ42" s="460"/>
      <c r="AK42" s="460"/>
      <c r="AL42" s="460"/>
      <c r="AM42" s="460"/>
      <c r="AN42" s="460"/>
      <c r="AO42" s="460"/>
      <c r="AP42" s="460"/>
      <c r="AQ42" s="460"/>
      <c r="AR42" s="460"/>
      <c r="AS42" s="460"/>
      <c r="AT42" s="460"/>
      <c r="AU42" s="460"/>
      <c r="AV42" s="460"/>
      <c r="AW42" s="460"/>
      <c r="AX42" s="460"/>
      <c r="AY42" s="460"/>
      <c r="AZ42" s="460"/>
      <c r="BA42" s="460"/>
      <c r="BB42" s="460"/>
      <c r="BC42" s="460"/>
      <c r="BD42" s="460"/>
      <c r="BE42" s="460"/>
      <c r="BF42" s="460"/>
      <c r="BG42" s="460"/>
      <c r="BH42" s="460"/>
      <c r="BI42" s="460"/>
      <c r="BJ42" s="460"/>
      <c r="BK42" s="460"/>
      <c r="BL42" s="460"/>
      <c r="BM42" s="460"/>
      <c r="BN42" s="460"/>
      <c r="BO42" s="460"/>
      <c r="BP42" s="460"/>
      <c r="BQ42" s="460"/>
      <c r="BR42" s="460"/>
      <c r="BS42" s="460"/>
      <c r="BT42" s="460"/>
      <c r="BU42" s="460"/>
      <c r="BV42" s="460"/>
      <c r="BW42" s="460"/>
      <c r="BX42" s="460"/>
      <c r="BY42" s="460"/>
      <c r="BZ42" s="460"/>
      <c r="CA42" s="460"/>
      <c r="CB42" s="460"/>
      <c r="CC42" s="460"/>
      <c r="CD42" s="460"/>
      <c r="CE42" s="460"/>
      <c r="CF42" s="460"/>
      <c r="CG42" s="460"/>
      <c r="CH42" s="460"/>
      <c r="CI42" s="460"/>
      <c r="CJ42" s="460"/>
      <c r="CK42" s="460"/>
      <c r="CL42" s="460"/>
      <c r="CM42" s="460"/>
      <c r="CN42" s="460"/>
      <c r="CO42" s="460"/>
      <c r="CP42" s="460"/>
      <c r="CQ42" s="460"/>
      <c r="CR42" s="460"/>
      <c r="CS42" s="460"/>
      <c r="CT42" s="460"/>
      <c r="CU42" s="460"/>
      <c r="CV42" s="460"/>
      <c r="CW42" s="460"/>
      <c r="CX42" s="460"/>
      <c r="CY42" s="460"/>
      <c r="CZ42" s="460"/>
      <c r="DA42" s="460"/>
      <c r="DB42" s="460"/>
      <c r="DC42" s="460"/>
      <c r="DD42" s="460"/>
      <c r="DE42" s="460"/>
      <c r="DF42" s="460"/>
      <c r="DG42" s="460"/>
      <c r="DH42" s="460"/>
      <c r="DI42" s="460"/>
      <c r="DJ42" s="460"/>
      <c r="DK42" s="460"/>
      <c r="DL42" s="460"/>
      <c r="DM42" s="460"/>
      <c r="DN42" s="460"/>
      <c r="DO42" s="460"/>
      <c r="DP42" s="460"/>
      <c r="DQ42" s="460"/>
      <c r="DR42" s="460"/>
      <c r="DS42" s="460"/>
      <c r="DT42" s="460"/>
      <c r="DU42" s="460"/>
      <c r="DV42" s="460"/>
      <c r="DW42" s="460"/>
      <c r="DX42" s="460"/>
      <c r="DY42" s="460"/>
      <c r="DZ42" s="460"/>
      <c r="EA42" s="460"/>
      <c r="EB42" s="460"/>
      <c r="EC42" s="460"/>
      <c r="ED42" s="460"/>
      <c r="EE42" s="460"/>
      <c r="EF42" s="460"/>
      <c r="EG42" s="460"/>
      <c r="EH42" s="460"/>
      <c r="EI42" s="460"/>
      <c r="EJ42" s="460"/>
      <c r="EK42" s="460"/>
      <c r="EL42" s="460"/>
      <c r="EM42" s="460"/>
    </row>
    <row r="43" spans="1:143" s="461" customFormat="1">
      <c r="A43" s="722"/>
      <c r="B43" s="458" t="s">
        <v>535</v>
      </c>
      <c r="C43" s="559"/>
      <c r="D43" s="459">
        <f t="shared" ref="D43:AG43" si="18">D68*D$33</f>
        <v>-15.763377346133179</v>
      </c>
      <c r="E43" s="459">
        <f t="shared" si="18"/>
        <v>-15.01633242141328</v>
      </c>
      <c r="F43" s="459">
        <f t="shared" si="18"/>
        <v>-14.221577283751081</v>
      </c>
      <c r="G43" s="459">
        <f t="shared" si="18"/>
        <v>-14.288934206037263</v>
      </c>
      <c r="H43" s="459">
        <f t="shared" si="18"/>
        <v>-14.374725248630829</v>
      </c>
      <c r="I43" s="459">
        <f t="shared" si="18"/>
        <v>-3.2442299661177589</v>
      </c>
      <c r="J43" s="459">
        <f t="shared" si="18"/>
        <v>-3.3181733452411</v>
      </c>
      <c r="K43" s="459">
        <f t="shared" si="18"/>
        <v>-3.393972637461232</v>
      </c>
      <c r="L43" s="459">
        <f t="shared" si="18"/>
        <v>-3.4757282042935937</v>
      </c>
      <c r="M43" s="459">
        <f t="shared" si="18"/>
        <v>-3.5601305148398343</v>
      </c>
      <c r="N43" s="459">
        <f t="shared" si="18"/>
        <v>-3.6471046174899597</v>
      </c>
      <c r="O43" s="459">
        <f t="shared" si="18"/>
        <v>-3.7366920173274507</v>
      </c>
      <c r="P43" s="459">
        <f t="shared" si="18"/>
        <v>-3.8166876217463779</v>
      </c>
      <c r="Q43" s="459">
        <f t="shared" si="18"/>
        <v>-3.8979731365627845</v>
      </c>
      <c r="R43" s="459">
        <f t="shared" si="18"/>
        <v>-3.9755600006480014</v>
      </c>
      <c r="S43" s="459">
        <f t="shared" si="18"/>
        <v>-4.0630508530478515</v>
      </c>
      <c r="T43" s="459">
        <f t="shared" si="18"/>
        <v>-4.0821060621264271</v>
      </c>
      <c r="U43" s="459">
        <f t="shared" si="18"/>
        <v>-3.8077569169943422</v>
      </c>
      <c r="V43" s="459">
        <f t="shared" si="18"/>
        <v>-3.9029508399192001</v>
      </c>
      <c r="W43" s="459">
        <f t="shared" si="18"/>
        <v>-4.0005246109171804</v>
      </c>
      <c r="X43" s="459">
        <f t="shared" si="18"/>
        <v>-1.1390382572750261E-2</v>
      </c>
      <c r="Y43" s="459">
        <f t="shared" si="18"/>
        <v>0</v>
      </c>
      <c r="Z43" s="459">
        <f t="shared" si="18"/>
        <v>0</v>
      </c>
      <c r="AA43" s="459">
        <f t="shared" si="18"/>
        <v>0</v>
      </c>
      <c r="AB43" s="459">
        <f t="shared" si="18"/>
        <v>0</v>
      </c>
      <c r="AC43" s="459">
        <f t="shared" si="18"/>
        <v>0</v>
      </c>
      <c r="AD43" s="459">
        <f t="shared" si="18"/>
        <v>0</v>
      </c>
      <c r="AE43" s="459">
        <f t="shared" si="18"/>
        <v>0</v>
      </c>
      <c r="AF43" s="459">
        <f t="shared" si="18"/>
        <v>0</v>
      </c>
      <c r="AG43" s="459">
        <f t="shared" si="18"/>
        <v>0</v>
      </c>
      <c r="AH43" s="462">
        <f t="shared" si="16"/>
        <v>0</v>
      </c>
      <c r="AI43" s="460"/>
      <c r="AJ43" s="460"/>
      <c r="AK43" s="460"/>
      <c r="AL43" s="460"/>
      <c r="AM43" s="460"/>
      <c r="AN43" s="460"/>
      <c r="AO43" s="460"/>
      <c r="AP43" s="460"/>
      <c r="AQ43" s="460"/>
      <c r="AR43" s="460"/>
      <c r="AS43" s="460"/>
      <c r="AT43" s="460"/>
      <c r="AU43" s="460"/>
      <c r="AV43" s="460"/>
      <c r="AW43" s="460"/>
      <c r="AX43" s="460"/>
      <c r="AY43" s="460"/>
      <c r="AZ43" s="460"/>
      <c r="BA43" s="460"/>
      <c r="BB43" s="460"/>
      <c r="BC43" s="460"/>
      <c r="BD43" s="460"/>
      <c r="BE43" s="460"/>
      <c r="BF43" s="460"/>
      <c r="BG43" s="460"/>
      <c r="BH43" s="460"/>
      <c r="BI43" s="460"/>
      <c r="BJ43" s="460"/>
      <c r="BK43" s="460"/>
      <c r="BL43" s="460"/>
      <c r="BM43" s="460"/>
      <c r="BN43" s="460"/>
      <c r="BO43" s="460"/>
      <c r="BP43" s="460"/>
      <c r="BQ43" s="460"/>
      <c r="BR43" s="460"/>
      <c r="BS43" s="460"/>
      <c r="BT43" s="460"/>
      <c r="BU43" s="460"/>
      <c r="BV43" s="460"/>
      <c r="BW43" s="460"/>
      <c r="BX43" s="460"/>
      <c r="BY43" s="460"/>
      <c r="BZ43" s="460"/>
      <c r="CA43" s="460"/>
      <c r="CB43" s="460"/>
      <c r="CC43" s="460"/>
      <c r="CD43" s="460"/>
      <c r="CE43" s="460"/>
      <c r="CF43" s="460"/>
      <c r="CG43" s="460"/>
      <c r="CH43" s="460"/>
      <c r="CI43" s="460"/>
      <c r="CJ43" s="460"/>
      <c r="CK43" s="460"/>
      <c r="CL43" s="460"/>
      <c r="CM43" s="460"/>
      <c r="CN43" s="460"/>
      <c r="CO43" s="460"/>
      <c r="CP43" s="460"/>
      <c r="CQ43" s="460"/>
      <c r="CR43" s="460"/>
      <c r="CS43" s="460"/>
      <c r="CT43" s="460"/>
      <c r="CU43" s="460"/>
      <c r="CV43" s="460"/>
      <c r="CW43" s="460"/>
      <c r="CX43" s="460"/>
      <c r="CY43" s="460"/>
      <c r="CZ43" s="460"/>
      <c r="DA43" s="460"/>
      <c r="DB43" s="460"/>
      <c r="DC43" s="460"/>
      <c r="DD43" s="460"/>
      <c r="DE43" s="460"/>
      <c r="DF43" s="460"/>
      <c r="DG43" s="460"/>
      <c r="DH43" s="460"/>
      <c r="DI43" s="460"/>
      <c r="DJ43" s="460"/>
      <c r="DK43" s="460"/>
      <c r="DL43" s="460"/>
      <c r="DM43" s="460"/>
      <c r="DN43" s="460"/>
      <c r="DO43" s="460"/>
      <c r="DP43" s="460"/>
      <c r="DQ43" s="460"/>
      <c r="DR43" s="460"/>
      <c r="DS43" s="460"/>
      <c r="DT43" s="460"/>
      <c r="DU43" s="460"/>
      <c r="DV43" s="460"/>
      <c r="DW43" s="460"/>
      <c r="DX43" s="460"/>
      <c r="DY43" s="460"/>
      <c r="DZ43" s="460"/>
      <c r="EA43" s="460"/>
      <c r="EB43" s="460"/>
      <c r="EC43" s="460"/>
      <c r="ED43" s="460"/>
      <c r="EE43" s="460"/>
      <c r="EF43" s="460"/>
      <c r="EG43" s="460"/>
      <c r="EH43" s="460"/>
      <c r="EI43" s="460"/>
      <c r="EJ43" s="460"/>
      <c r="EK43" s="460"/>
      <c r="EL43" s="460"/>
      <c r="EM43" s="460"/>
    </row>
    <row r="44" spans="1:143" s="461" customFormat="1">
      <c r="A44" s="722"/>
      <c r="B44" s="458" t="s">
        <v>282</v>
      </c>
      <c r="C44" s="559"/>
      <c r="D44" s="459">
        <f t="shared" ref="D44:AG44" ca="1" si="19">D69*D$33</f>
        <v>-248.33607986453762</v>
      </c>
      <c r="E44" s="459">
        <f t="shared" ca="1" si="19"/>
        <v>-395.29061887776766</v>
      </c>
      <c r="F44" s="459">
        <f t="shared" ca="1" si="19"/>
        <v>-238.54929521840927</v>
      </c>
      <c r="G44" s="459">
        <f t="shared" ca="1" si="19"/>
        <v>-144.50450102279433</v>
      </c>
      <c r="H44" s="459">
        <f t="shared" ca="1" si="19"/>
        <v>-144.50450102279433</v>
      </c>
      <c r="I44" s="459">
        <f t="shared" ca="1" si="19"/>
        <v>-73.97090537608311</v>
      </c>
      <c r="J44" s="459">
        <f t="shared" ca="1" si="19"/>
        <v>-3.4373097293718922</v>
      </c>
      <c r="K44" s="459">
        <f t="shared" ca="1" si="19"/>
        <v>-3.4373097293718922</v>
      </c>
      <c r="L44" s="459">
        <f t="shared" ca="1" si="19"/>
        <v>-3.4373097293718922</v>
      </c>
      <c r="M44" s="459">
        <f t="shared" ca="1" si="19"/>
        <v>-3.4373097293718922</v>
      </c>
      <c r="N44" s="459">
        <f t="shared" ca="1" si="19"/>
        <v>-3.4373097293718922</v>
      </c>
      <c r="O44" s="459">
        <f t="shared" ca="1" si="19"/>
        <v>-3.4373097293718922</v>
      </c>
      <c r="P44" s="459">
        <f t="shared" ca="1" si="19"/>
        <v>-3.4373097293718922</v>
      </c>
      <c r="Q44" s="459">
        <f t="shared" ca="1" si="19"/>
        <v>-3.4373097293718922</v>
      </c>
      <c r="R44" s="459">
        <f t="shared" ca="1" si="19"/>
        <v>-3.4373097293718922</v>
      </c>
      <c r="S44" s="459">
        <f t="shared" ca="1" si="19"/>
        <v>-3.4373097293718922</v>
      </c>
      <c r="T44" s="459">
        <f t="shared" ca="1" si="19"/>
        <v>-3.4373097293718922</v>
      </c>
      <c r="U44" s="459">
        <f t="shared" ca="1" si="19"/>
        <v>-3.4373097293718922</v>
      </c>
      <c r="V44" s="459">
        <f t="shared" ca="1" si="19"/>
        <v>-1.2949587001279526</v>
      </c>
      <c r="W44" s="459">
        <f t="shared" ca="1" si="19"/>
        <v>-1.2889911485144598</v>
      </c>
      <c r="X44" s="459">
        <f t="shared" ca="1" si="19"/>
        <v>-3.5805309680957088E-3</v>
      </c>
      <c r="Y44" s="459">
        <f t="shared" ca="1" si="19"/>
        <v>0</v>
      </c>
      <c r="Z44" s="459">
        <f t="shared" ca="1" si="19"/>
        <v>0</v>
      </c>
      <c r="AA44" s="459">
        <f t="shared" ca="1" si="19"/>
        <v>0</v>
      </c>
      <c r="AB44" s="459">
        <f t="shared" ca="1" si="19"/>
        <v>0</v>
      </c>
      <c r="AC44" s="459">
        <f t="shared" ca="1" si="19"/>
        <v>0</v>
      </c>
      <c r="AD44" s="459">
        <f t="shared" ca="1" si="19"/>
        <v>0</v>
      </c>
      <c r="AE44" s="459">
        <f t="shared" ca="1" si="19"/>
        <v>0</v>
      </c>
      <c r="AF44" s="459">
        <f t="shared" ca="1" si="19"/>
        <v>0</v>
      </c>
      <c r="AG44" s="459">
        <f t="shared" ca="1" si="19"/>
        <v>0</v>
      </c>
      <c r="AH44" s="462">
        <f t="shared" ca="1" si="16"/>
        <v>0</v>
      </c>
      <c r="AI44" s="514"/>
      <c r="AJ44" s="460"/>
      <c r="AK44" s="460"/>
      <c r="AL44" s="460"/>
      <c r="AM44" s="460"/>
      <c r="AN44" s="460"/>
      <c r="AO44" s="460"/>
      <c r="AP44" s="460"/>
      <c r="AQ44" s="460"/>
      <c r="AR44" s="460"/>
      <c r="AS44" s="460"/>
      <c r="AT44" s="460"/>
      <c r="AU44" s="460"/>
      <c r="AV44" s="460"/>
      <c r="AW44" s="460"/>
      <c r="AX44" s="460"/>
      <c r="AY44" s="460"/>
      <c r="AZ44" s="460"/>
      <c r="BA44" s="460"/>
      <c r="BB44" s="460"/>
      <c r="BC44" s="460"/>
      <c r="BD44" s="460"/>
      <c r="BE44" s="460"/>
      <c r="BF44" s="460"/>
      <c r="BG44" s="460"/>
      <c r="BH44" s="460"/>
      <c r="BI44" s="460"/>
      <c r="BJ44" s="460"/>
      <c r="BK44" s="460"/>
      <c r="BL44" s="460"/>
      <c r="BM44" s="460"/>
      <c r="BN44" s="460"/>
      <c r="BO44" s="460"/>
      <c r="BP44" s="460"/>
      <c r="BQ44" s="460"/>
      <c r="BR44" s="460"/>
      <c r="BS44" s="460"/>
      <c r="BT44" s="460"/>
      <c r="BU44" s="460"/>
      <c r="BV44" s="460"/>
      <c r="BW44" s="460"/>
      <c r="BX44" s="460"/>
      <c r="BY44" s="460"/>
      <c r="BZ44" s="460"/>
      <c r="CA44" s="460"/>
      <c r="CB44" s="460"/>
      <c r="CC44" s="460"/>
      <c r="CD44" s="460"/>
      <c r="CE44" s="460"/>
      <c r="CF44" s="460"/>
      <c r="CG44" s="460"/>
      <c r="CH44" s="460"/>
      <c r="CI44" s="460"/>
      <c r="CJ44" s="460"/>
      <c r="CK44" s="460"/>
      <c r="CL44" s="460"/>
      <c r="CM44" s="460"/>
      <c r="CN44" s="460"/>
      <c r="CO44" s="460"/>
      <c r="CP44" s="460"/>
      <c r="CQ44" s="460"/>
      <c r="CR44" s="460"/>
      <c r="CS44" s="460"/>
      <c r="CT44" s="460"/>
      <c r="CU44" s="460"/>
      <c r="CV44" s="460"/>
      <c r="CW44" s="460"/>
      <c r="CX44" s="460"/>
      <c r="CY44" s="460"/>
      <c r="CZ44" s="460"/>
      <c r="DA44" s="460"/>
      <c r="DB44" s="460"/>
      <c r="DC44" s="460"/>
      <c r="DD44" s="460"/>
      <c r="DE44" s="460"/>
      <c r="DF44" s="460"/>
      <c r="DG44" s="460"/>
      <c r="DH44" s="460"/>
      <c r="DI44" s="460"/>
      <c r="DJ44" s="460"/>
      <c r="DK44" s="460"/>
      <c r="DL44" s="460"/>
      <c r="DM44" s="460"/>
      <c r="DN44" s="460"/>
      <c r="DO44" s="460"/>
      <c r="DP44" s="460"/>
      <c r="DQ44" s="460"/>
      <c r="DR44" s="460"/>
      <c r="DS44" s="460"/>
      <c r="DT44" s="460"/>
      <c r="DU44" s="460"/>
      <c r="DV44" s="460"/>
      <c r="DW44" s="460"/>
      <c r="DX44" s="460"/>
      <c r="DY44" s="460"/>
      <c r="DZ44" s="460"/>
      <c r="EA44" s="460"/>
      <c r="EB44" s="460"/>
      <c r="EC44" s="460"/>
      <c r="ED44" s="460"/>
      <c r="EE44" s="460"/>
      <c r="EF44" s="460"/>
      <c r="EG44" s="460"/>
      <c r="EH44" s="460"/>
      <c r="EI44" s="460"/>
      <c r="EJ44" s="460"/>
      <c r="EK44" s="460"/>
      <c r="EL44" s="460"/>
      <c r="EM44" s="460"/>
    </row>
    <row r="45" spans="1:143" s="461" customFormat="1">
      <c r="A45" s="722"/>
      <c r="B45" s="458" t="s">
        <v>387</v>
      </c>
      <c r="C45" s="559"/>
      <c r="D45" s="459">
        <f t="shared" ref="D45:AG45" si="20">D70*D$33</f>
        <v>-36.474391780684954</v>
      </c>
      <c r="E45" s="459">
        <f t="shared" si="20"/>
        <v>-35.01791932312431</v>
      </c>
      <c r="F45" s="459">
        <f t="shared" si="20"/>
        <v>-34.215036127609757</v>
      </c>
      <c r="G45" s="459">
        <f t="shared" si="20"/>
        <v>-33.109744499185716</v>
      </c>
      <c r="H45" s="459">
        <f t="shared" si="20"/>
        <v>-32.006554985769753</v>
      </c>
      <c r="I45" s="459">
        <f t="shared" si="20"/>
        <v>-30.751139920557254</v>
      </c>
      <c r="J45" s="459">
        <f t="shared" si="20"/>
        <v>-29.37220504802638</v>
      </c>
      <c r="K45" s="459">
        <f t="shared" si="20"/>
        <v>-27.894708736427184</v>
      </c>
      <c r="L45" s="459">
        <f t="shared" si="20"/>
        <v>-26.348656934600317</v>
      </c>
      <c r="M45" s="459">
        <f t="shared" si="20"/>
        <v>-24.629718859667623</v>
      </c>
      <c r="N45" s="459">
        <f t="shared" si="20"/>
        <v>-22.746973399833642</v>
      </c>
      <c r="O45" s="459">
        <f t="shared" si="20"/>
        <v>-20.476544111037871</v>
      </c>
      <c r="P45" s="459">
        <f t="shared" si="20"/>
        <v>-18.074866043508745</v>
      </c>
      <c r="Q45" s="459">
        <f t="shared" si="20"/>
        <v>-15.360831557882165</v>
      </c>
      <c r="R45" s="459">
        <f t="shared" si="20"/>
        <v>-12.45272139487553</v>
      </c>
      <c r="S45" s="459">
        <f t="shared" si="20"/>
        <v>-9.2413628437959101</v>
      </c>
      <c r="T45" s="459">
        <f t="shared" si="20"/>
        <v>-5.8406076804614351</v>
      </c>
      <c r="U45" s="459">
        <f t="shared" si="20"/>
        <v>-2.1156733620350328</v>
      </c>
      <c r="V45" s="459">
        <f t="shared" si="20"/>
        <v>0</v>
      </c>
      <c r="W45" s="459">
        <f t="shared" si="20"/>
        <v>0</v>
      </c>
      <c r="X45" s="459">
        <f t="shared" si="20"/>
        <v>0</v>
      </c>
      <c r="Y45" s="459">
        <f t="shared" si="20"/>
        <v>0</v>
      </c>
      <c r="Z45" s="459">
        <f t="shared" si="20"/>
        <v>0</v>
      </c>
      <c r="AA45" s="459">
        <f t="shared" si="20"/>
        <v>0</v>
      </c>
      <c r="AB45" s="459">
        <f t="shared" si="20"/>
        <v>0</v>
      </c>
      <c r="AC45" s="459">
        <f t="shared" si="20"/>
        <v>0</v>
      </c>
      <c r="AD45" s="459">
        <f t="shared" si="20"/>
        <v>0</v>
      </c>
      <c r="AE45" s="459">
        <f t="shared" si="20"/>
        <v>0</v>
      </c>
      <c r="AF45" s="459">
        <f t="shared" si="20"/>
        <v>0</v>
      </c>
      <c r="AG45" s="459">
        <f t="shared" si="20"/>
        <v>0</v>
      </c>
      <c r="AH45" s="462">
        <f t="shared" si="16"/>
        <v>0</v>
      </c>
      <c r="AI45" s="460"/>
      <c r="AJ45" s="460"/>
      <c r="AK45" s="460"/>
      <c r="AL45" s="460"/>
      <c r="AM45" s="460"/>
      <c r="AN45" s="460"/>
      <c r="AO45" s="460"/>
      <c r="AP45" s="460"/>
      <c r="AQ45" s="460"/>
      <c r="AR45" s="460"/>
      <c r="AS45" s="460"/>
      <c r="AT45" s="460"/>
      <c r="AU45" s="460"/>
      <c r="AV45" s="460"/>
      <c r="AW45" s="460"/>
      <c r="AX45" s="460"/>
      <c r="AY45" s="460"/>
      <c r="AZ45" s="460"/>
      <c r="BA45" s="460"/>
      <c r="BB45" s="460"/>
      <c r="BC45" s="460"/>
      <c r="BD45" s="460"/>
      <c r="BE45" s="460"/>
      <c r="BF45" s="460"/>
      <c r="BG45" s="460"/>
      <c r="BH45" s="460"/>
      <c r="BI45" s="460"/>
      <c r="BJ45" s="460"/>
      <c r="BK45" s="460"/>
      <c r="BL45" s="460"/>
      <c r="BM45" s="460"/>
      <c r="BN45" s="460"/>
      <c r="BO45" s="460"/>
      <c r="BP45" s="460"/>
      <c r="BQ45" s="460"/>
      <c r="BR45" s="460"/>
      <c r="BS45" s="460"/>
      <c r="BT45" s="460"/>
      <c r="BU45" s="460"/>
      <c r="BV45" s="460"/>
      <c r="BW45" s="460"/>
      <c r="BX45" s="460"/>
      <c r="BY45" s="460"/>
      <c r="BZ45" s="460"/>
      <c r="CA45" s="460"/>
      <c r="CB45" s="460"/>
      <c r="CC45" s="460"/>
      <c r="CD45" s="460"/>
      <c r="CE45" s="460"/>
      <c r="CF45" s="460"/>
      <c r="CG45" s="460"/>
      <c r="CH45" s="460"/>
      <c r="CI45" s="460"/>
      <c r="CJ45" s="460"/>
      <c r="CK45" s="460"/>
      <c r="CL45" s="460"/>
      <c r="CM45" s="460"/>
      <c r="CN45" s="460"/>
      <c r="CO45" s="460"/>
      <c r="CP45" s="460"/>
      <c r="CQ45" s="460"/>
      <c r="CR45" s="460"/>
      <c r="CS45" s="460"/>
      <c r="CT45" s="460"/>
      <c r="CU45" s="460"/>
      <c r="CV45" s="460"/>
      <c r="CW45" s="460"/>
      <c r="CX45" s="460"/>
      <c r="CY45" s="460"/>
      <c r="CZ45" s="460"/>
      <c r="DA45" s="460"/>
      <c r="DB45" s="460"/>
      <c r="DC45" s="460"/>
      <c r="DD45" s="460"/>
      <c r="DE45" s="460"/>
      <c r="DF45" s="460"/>
      <c r="DG45" s="460"/>
      <c r="DH45" s="460"/>
      <c r="DI45" s="460"/>
      <c r="DJ45" s="460"/>
      <c r="DK45" s="460"/>
      <c r="DL45" s="460"/>
      <c r="DM45" s="460"/>
      <c r="DN45" s="460"/>
      <c r="DO45" s="460"/>
      <c r="DP45" s="460"/>
      <c r="DQ45" s="460"/>
      <c r="DR45" s="460"/>
      <c r="DS45" s="460"/>
      <c r="DT45" s="460"/>
      <c r="DU45" s="460"/>
      <c r="DV45" s="460"/>
      <c r="DW45" s="460"/>
      <c r="DX45" s="460"/>
      <c r="DY45" s="460"/>
      <c r="DZ45" s="460"/>
      <c r="EA45" s="460"/>
      <c r="EB45" s="460"/>
      <c r="EC45" s="460"/>
      <c r="ED45" s="460"/>
      <c r="EE45" s="460"/>
      <c r="EF45" s="460"/>
      <c r="EG45" s="460"/>
      <c r="EH45" s="460"/>
      <c r="EI45" s="460"/>
      <c r="EJ45" s="460"/>
      <c r="EK45" s="460"/>
      <c r="EL45" s="460"/>
      <c r="EM45" s="460"/>
    </row>
    <row r="46" spans="1:143" s="461" customFormat="1">
      <c r="A46" s="722"/>
      <c r="B46" s="458" t="s">
        <v>388</v>
      </c>
      <c r="C46" s="559"/>
      <c r="D46" s="459">
        <f t="shared" ref="D46:AG47" si="21">D71*D$33</f>
        <v>0</v>
      </c>
      <c r="E46" s="459">
        <f t="shared" si="21"/>
        <v>0</v>
      </c>
      <c r="F46" s="459">
        <f t="shared" si="21"/>
        <v>0</v>
      </c>
      <c r="G46" s="459">
        <f t="shared" si="21"/>
        <v>0</v>
      </c>
      <c r="H46" s="459">
        <f t="shared" si="21"/>
        <v>0</v>
      </c>
      <c r="I46" s="459">
        <f t="shared" si="21"/>
        <v>0</v>
      </c>
      <c r="J46" s="459">
        <f t="shared" si="21"/>
        <v>0</v>
      </c>
      <c r="K46" s="459">
        <f t="shared" si="21"/>
        <v>0</v>
      </c>
      <c r="L46" s="459">
        <f t="shared" si="21"/>
        <v>0</v>
      </c>
      <c r="M46" s="459">
        <f t="shared" si="21"/>
        <v>0</v>
      </c>
      <c r="N46" s="459">
        <f t="shared" si="21"/>
        <v>0</v>
      </c>
      <c r="O46" s="459">
        <f t="shared" si="21"/>
        <v>0</v>
      </c>
      <c r="P46" s="459">
        <f t="shared" si="21"/>
        <v>0</v>
      </c>
      <c r="Q46" s="459">
        <f t="shared" si="21"/>
        <v>0</v>
      </c>
      <c r="R46" s="459">
        <f t="shared" si="21"/>
        <v>0</v>
      </c>
      <c r="S46" s="459">
        <f t="shared" si="21"/>
        <v>0</v>
      </c>
      <c r="T46" s="459">
        <f t="shared" si="21"/>
        <v>0</v>
      </c>
      <c r="U46" s="459">
        <f t="shared" si="21"/>
        <v>0</v>
      </c>
      <c r="V46" s="459">
        <f t="shared" si="21"/>
        <v>0</v>
      </c>
      <c r="W46" s="459">
        <f t="shared" si="21"/>
        <v>0</v>
      </c>
      <c r="X46" s="459">
        <f t="shared" si="21"/>
        <v>0</v>
      </c>
      <c r="Y46" s="459">
        <f t="shared" si="21"/>
        <v>0</v>
      </c>
      <c r="Z46" s="459">
        <f t="shared" si="21"/>
        <v>0</v>
      </c>
      <c r="AA46" s="459">
        <f t="shared" si="21"/>
        <v>0</v>
      </c>
      <c r="AB46" s="459">
        <f t="shared" si="21"/>
        <v>0</v>
      </c>
      <c r="AC46" s="459">
        <f t="shared" si="21"/>
        <v>0</v>
      </c>
      <c r="AD46" s="459">
        <f t="shared" si="21"/>
        <v>0</v>
      </c>
      <c r="AE46" s="459">
        <f t="shared" si="21"/>
        <v>0</v>
      </c>
      <c r="AF46" s="459">
        <f t="shared" si="21"/>
        <v>0</v>
      </c>
      <c r="AG46" s="459">
        <f t="shared" si="21"/>
        <v>0</v>
      </c>
      <c r="AH46" s="462">
        <f t="shared" si="16"/>
        <v>0</v>
      </c>
      <c r="AI46" s="460"/>
      <c r="AJ46" s="460"/>
      <c r="AK46" s="460"/>
      <c r="AL46" s="460"/>
      <c r="AM46" s="460"/>
      <c r="AN46" s="460"/>
      <c r="AO46" s="460"/>
      <c r="AP46" s="460"/>
      <c r="AQ46" s="460"/>
      <c r="AR46" s="460"/>
      <c r="AS46" s="460"/>
      <c r="AT46" s="460"/>
      <c r="AU46" s="460"/>
      <c r="AV46" s="460"/>
      <c r="AW46" s="460"/>
      <c r="AX46" s="460"/>
      <c r="AY46" s="460"/>
      <c r="AZ46" s="460"/>
      <c r="BA46" s="460"/>
      <c r="BB46" s="460"/>
      <c r="BC46" s="460"/>
      <c r="BD46" s="460"/>
      <c r="BE46" s="460"/>
      <c r="BF46" s="460"/>
      <c r="BG46" s="460"/>
      <c r="BH46" s="460"/>
      <c r="BI46" s="460"/>
      <c r="BJ46" s="460"/>
      <c r="BK46" s="460"/>
      <c r="BL46" s="460"/>
      <c r="BM46" s="460"/>
      <c r="BN46" s="460"/>
      <c r="BO46" s="460"/>
      <c r="BP46" s="460"/>
      <c r="BQ46" s="460"/>
      <c r="BR46" s="460"/>
      <c r="BS46" s="460"/>
      <c r="BT46" s="460"/>
      <c r="BU46" s="460"/>
      <c r="BV46" s="460"/>
      <c r="BW46" s="460"/>
      <c r="BX46" s="460"/>
      <c r="BY46" s="460"/>
      <c r="BZ46" s="460"/>
      <c r="CA46" s="460"/>
      <c r="CB46" s="460"/>
      <c r="CC46" s="460"/>
      <c r="CD46" s="460"/>
      <c r="CE46" s="460"/>
      <c r="CF46" s="460"/>
      <c r="CG46" s="460"/>
      <c r="CH46" s="460"/>
      <c r="CI46" s="460"/>
      <c r="CJ46" s="460"/>
      <c r="CK46" s="460"/>
      <c r="CL46" s="460"/>
      <c r="CM46" s="460"/>
      <c r="CN46" s="460"/>
      <c r="CO46" s="460"/>
      <c r="CP46" s="460"/>
      <c r="CQ46" s="460"/>
      <c r="CR46" s="460"/>
      <c r="CS46" s="460"/>
      <c r="CT46" s="460"/>
      <c r="CU46" s="460"/>
      <c r="CV46" s="460"/>
      <c r="CW46" s="460"/>
      <c r="CX46" s="460"/>
      <c r="CY46" s="460"/>
      <c r="CZ46" s="460"/>
      <c r="DA46" s="460"/>
      <c r="DB46" s="460"/>
      <c r="DC46" s="460"/>
      <c r="DD46" s="460"/>
      <c r="DE46" s="460"/>
      <c r="DF46" s="460"/>
      <c r="DG46" s="460"/>
      <c r="DH46" s="460"/>
      <c r="DI46" s="460"/>
      <c r="DJ46" s="460"/>
      <c r="DK46" s="460"/>
      <c r="DL46" s="460"/>
      <c r="DM46" s="460"/>
      <c r="DN46" s="460"/>
      <c r="DO46" s="460"/>
      <c r="DP46" s="460"/>
      <c r="DQ46" s="460"/>
      <c r="DR46" s="460"/>
      <c r="DS46" s="460"/>
      <c r="DT46" s="460"/>
      <c r="DU46" s="460"/>
      <c r="DV46" s="460"/>
      <c r="DW46" s="460"/>
      <c r="DX46" s="460"/>
      <c r="DY46" s="460"/>
      <c r="DZ46" s="460"/>
      <c r="EA46" s="460"/>
      <c r="EB46" s="460"/>
      <c r="EC46" s="460"/>
      <c r="ED46" s="460"/>
      <c r="EE46" s="460"/>
      <c r="EF46" s="460"/>
      <c r="EG46" s="460"/>
      <c r="EH46" s="460"/>
      <c r="EI46" s="460"/>
      <c r="EJ46" s="460"/>
      <c r="EK46" s="460"/>
      <c r="EL46" s="460"/>
      <c r="EM46" s="460"/>
    </row>
    <row r="47" spans="1:143" s="461" customFormat="1">
      <c r="A47" s="722"/>
      <c r="B47" s="628" t="s">
        <v>721</v>
      </c>
      <c r="C47" s="559"/>
      <c r="D47" s="459">
        <f t="shared" si="21"/>
        <v>0</v>
      </c>
      <c r="E47" s="459">
        <f t="shared" si="21"/>
        <v>0</v>
      </c>
      <c r="F47" s="459">
        <f t="shared" si="21"/>
        <v>0</v>
      </c>
      <c r="G47" s="459">
        <f t="shared" si="21"/>
        <v>0</v>
      </c>
      <c r="H47" s="459">
        <f t="shared" si="21"/>
        <v>0</v>
      </c>
      <c r="I47" s="459">
        <f t="shared" si="21"/>
        <v>0</v>
      </c>
      <c r="J47" s="459">
        <f t="shared" si="21"/>
        <v>0</v>
      </c>
      <c r="K47" s="459">
        <f t="shared" si="21"/>
        <v>0</v>
      </c>
      <c r="L47" s="459">
        <f t="shared" si="21"/>
        <v>0</v>
      </c>
      <c r="M47" s="459">
        <f t="shared" si="21"/>
        <v>0</v>
      </c>
      <c r="N47" s="459">
        <f t="shared" si="21"/>
        <v>0</v>
      </c>
      <c r="O47" s="459">
        <f t="shared" si="21"/>
        <v>0</v>
      </c>
      <c r="P47" s="459">
        <f t="shared" si="21"/>
        <v>0</v>
      </c>
      <c r="Q47" s="459">
        <f t="shared" si="21"/>
        <v>0</v>
      </c>
      <c r="R47" s="459">
        <f t="shared" si="21"/>
        <v>0</v>
      </c>
      <c r="S47" s="459">
        <f t="shared" si="21"/>
        <v>0</v>
      </c>
      <c r="T47" s="459">
        <f t="shared" si="21"/>
        <v>0</v>
      </c>
      <c r="U47" s="459">
        <f t="shared" si="21"/>
        <v>0</v>
      </c>
      <c r="V47" s="459">
        <f t="shared" si="21"/>
        <v>0</v>
      </c>
      <c r="W47" s="459">
        <f t="shared" si="21"/>
        <v>0</v>
      </c>
      <c r="X47" s="459">
        <f t="shared" si="21"/>
        <v>0</v>
      </c>
      <c r="Y47" s="459">
        <f t="shared" si="21"/>
        <v>0</v>
      </c>
      <c r="Z47" s="459">
        <f t="shared" si="21"/>
        <v>0</v>
      </c>
      <c r="AA47" s="459">
        <f t="shared" si="21"/>
        <v>0</v>
      </c>
      <c r="AB47" s="459">
        <f t="shared" si="21"/>
        <v>0</v>
      </c>
      <c r="AC47" s="459">
        <f t="shared" si="21"/>
        <v>0</v>
      </c>
      <c r="AD47" s="459">
        <f t="shared" si="21"/>
        <v>0</v>
      </c>
      <c r="AE47" s="459">
        <f t="shared" si="21"/>
        <v>0</v>
      </c>
      <c r="AF47" s="459">
        <f t="shared" si="21"/>
        <v>0</v>
      </c>
      <c r="AG47" s="459">
        <f t="shared" si="21"/>
        <v>0</v>
      </c>
      <c r="AH47" s="459">
        <f t="shared" si="16"/>
        <v>0</v>
      </c>
      <c r="AI47" s="460"/>
      <c r="AJ47" s="460"/>
      <c r="AK47" s="460"/>
      <c r="AL47" s="460"/>
      <c r="AM47" s="460"/>
      <c r="AN47" s="460"/>
      <c r="AO47" s="460"/>
      <c r="AP47" s="460"/>
      <c r="AQ47" s="460"/>
      <c r="AR47" s="460"/>
      <c r="AS47" s="460"/>
      <c r="AT47" s="460"/>
      <c r="AU47" s="460"/>
      <c r="AV47" s="460"/>
      <c r="AW47" s="460"/>
      <c r="AX47" s="460"/>
      <c r="AY47" s="460"/>
      <c r="AZ47" s="460"/>
      <c r="BA47" s="460"/>
      <c r="BB47" s="460"/>
      <c r="BC47" s="460"/>
      <c r="BD47" s="460"/>
      <c r="BE47" s="460"/>
      <c r="BF47" s="460"/>
      <c r="BG47" s="460"/>
      <c r="BH47" s="460"/>
      <c r="BI47" s="460"/>
      <c r="BJ47" s="460"/>
      <c r="BK47" s="460"/>
      <c r="BL47" s="460"/>
      <c r="BM47" s="460"/>
      <c r="BN47" s="460"/>
      <c r="BO47" s="460"/>
      <c r="BP47" s="460"/>
      <c r="BQ47" s="460"/>
      <c r="BR47" s="460"/>
      <c r="BS47" s="460"/>
      <c r="BT47" s="460"/>
      <c r="BU47" s="460"/>
      <c r="BV47" s="460"/>
      <c r="BW47" s="460"/>
      <c r="BX47" s="460"/>
      <c r="BY47" s="460"/>
      <c r="BZ47" s="460"/>
      <c r="CA47" s="460"/>
      <c r="CB47" s="460"/>
      <c r="CC47" s="460"/>
      <c r="CD47" s="460"/>
      <c r="CE47" s="460"/>
      <c r="CF47" s="460"/>
      <c r="CG47" s="460"/>
      <c r="CH47" s="460"/>
      <c r="CI47" s="460"/>
      <c r="CJ47" s="460"/>
      <c r="CK47" s="460"/>
      <c r="CL47" s="460"/>
      <c r="CM47" s="460"/>
      <c r="CN47" s="460"/>
      <c r="CO47" s="460"/>
      <c r="CP47" s="460"/>
      <c r="CQ47" s="460"/>
      <c r="CR47" s="460"/>
      <c r="CS47" s="460"/>
      <c r="CT47" s="460"/>
      <c r="CU47" s="460"/>
      <c r="CV47" s="460"/>
      <c r="CW47" s="460"/>
      <c r="CX47" s="460"/>
      <c r="CY47" s="460"/>
      <c r="CZ47" s="460"/>
      <c r="DA47" s="460"/>
      <c r="DB47" s="460"/>
      <c r="DC47" s="460"/>
      <c r="DD47" s="460"/>
      <c r="DE47" s="460"/>
      <c r="DF47" s="460"/>
      <c r="DG47" s="460"/>
      <c r="DH47" s="460"/>
      <c r="DI47" s="460"/>
      <c r="DJ47" s="460"/>
      <c r="DK47" s="460"/>
      <c r="DL47" s="460"/>
      <c r="DM47" s="460"/>
      <c r="DN47" s="460"/>
      <c r="DO47" s="460"/>
      <c r="DP47" s="460"/>
      <c r="DQ47" s="460"/>
      <c r="DR47" s="460"/>
      <c r="DS47" s="460"/>
      <c r="DT47" s="460"/>
      <c r="DU47" s="460"/>
      <c r="DV47" s="460"/>
      <c r="DW47" s="460"/>
      <c r="DX47" s="460"/>
      <c r="DY47" s="460"/>
      <c r="DZ47" s="460"/>
      <c r="EA47" s="460"/>
      <c r="EB47" s="460"/>
      <c r="EC47" s="460"/>
      <c r="ED47" s="460"/>
      <c r="EE47" s="460"/>
      <c r="EF47" s="460"/>
      <c r="EG47" s="460"/>
      <c r="EH47" s="460"/>
      <c r="EI47" s="460"/>
      <c r="EJ47" s="460"/>
      <c r="EK47" s="460"/>
      <c r="EL47" s="460"/>
      <c r="EM47" s="460"/>
    </row>
    <row r="48" spans="1:143" s="461" customFormat="1">
      <c r="A48" s="722"/>
      <c r="B48" s="458" t="s">
        <v>636</v>
      </c>
      <c r="C48" s="559"/>
      <c r="D48" s="459"/>
      <c r="E48" s="459"/>
      <c r="F48" s="459"/>
      <c r="G48" s="459"/>
      <c r="H48" s="459"/>
      <c r="I48" s="459"/>
      <c r="J48" s="459"/>
      <c r="K48" s="459"/>
      <c r="L48" s="459"/>
      <c r="M48" s="459"/>
      <c r="N48" s="459"/>
      <c r="O48" s="459"/>
      <c r="P48" s="459"/>
      <c r="Q48" s="459"/>
      <c r="R48" s="459"/>
      <c r="S48" s="459"/>
      <c r="T48" s="459"/>
      <c r="U48" s="459"/>
      <c r="V48" s="459"/>
      <c r="W48" s="459"/>
      <c r="X48" s="459"/>
      <c r="Y48" s="459"/>
      <c r="Z48" s="459"/>
      <c r="AA48" s="459"/>
      <c r="AB48" s="459"/>
      <c r="AC48" s="459"/>
      <c r="AD48" s="459"/>
      <c r="AE48" s="459"/>
      <c r="AF48" s="459"/>
      <c r="AG48" s="459"/>
      <c r="AH48" s="462"/>
      <c r="AI48" s="460"/>
      <c r="AJ48" s="460"/>
      <c r="AK48" s="460"/>
      <c r="AL48" s="460"/>
      <c r="AM48" s="460"/>
      <c r="AN48" s="460"/>
      <c r="AO48" s="460"/>
      <c r="AP48" s="460"/>
      <c r="AQ48" s="460"/>
      <c r="AR48" s="460"/>
      <c r="AS48" s="460"/>
      <c r="AT48" s="460"/>
      <c r="AU48" s="460"/>
      <c r="AV48" s="460"/>
      <c r="AW48" s="460"/>
      <c r="AX48" s="460"/>
      <c r="AY48" s="460"/>
      <c r="AZ48" s="460"/>
      <c r="BA48" s="460"/>
      <c r="BB48" s="460"/>
      <c r="BC48" s="460"/>
      <c r="BD48" s="460"/>
      <c r="BE48" s="460"/>
      <c r="BF48" s="460"/>
      <c r="BG48" s="460"/>
      <c r="BH48" s="460"/>
      <c r="BI48" s="460"/>
      <c r="BJ48" s="460"/>
      <c r="BK48" s="460"/>
      <c r="BL48" s="460"/>
      <c r="BM48" s="460"/>
      <c r="BN48" s="460"/>
      <c r="BO48" s="460"/>
      <c r="BP48" s="460"/>
      <c r="BQ48" s="460"/>
      <c r="BR48" s="460"/>
      <c r="BS48" s="460"/>
      <c r="BT48" s="460"/>
      <c r="BU48" s="460"/>
      <c r="BV48" s="460"/>
      <c r="BW48" s="460"/>
      <c r="BX48" s="460"/>
      <c r="BY48" s="460"/>
      <c r="BZ48" s="460"/>
      <c r="CA48" s="460"/>
      <c r="CB48" s="460"/>
      <c r="CC48" s="460"/>
      <c r="CD48" s="460"/>
      <c r="CE48" s="460"/>
      <c r="CF48" s="460"/>
      <c r="CG48" s="460"/>
      <c r="CH48" s="460"/>
      <c r="CI48" s="460"/>
      <c r="CJ48" s="460"/>
      <c r="CK48" s="460"/>
      <c r="CL48" s="460"/>
      <c r="CM48" s="460"/>
      <c r="CN48" s="460"/>
      <c r="CO48" s="460"/>
      <c r="CP48" s="460"/>
      <c r="CQ48" s="460"/>
      <c r="CR48" s="460"/>
      <c r="CS48" s="460"/>
      <c r="CT48" s="460"/>
      <c r="CU48" s="460"/>
      <c r="CV48" s="460"/>
      <c r="CW48" s="460"/>
      <c r="CX48" s="460"/>
      <c r="CY48" s="460"/>
      <c r="CZ48" s="460"/>
      <c r="DA48" s="460"/>
      <c r="DB48" s="460"/>
      <c r="DC48" s="460"/>
      <c r="DD48" s="460"/>
      <c r="DE48" s="460"/>
      <c r="DF48" s="460"/>
      <c r="DG48" s="460"/>
      <c r="DH48" s="460"/>
      <c r="DI48" s="460"/>
      <c r="DJ48" s="460"/>
      <c r="DK48" s="460"/>
      <c r="DL48" s="460"/>
      <c r="DM48" s="460"/>
      <c r="DN48" s="460"/>
      <c r="DO48" s="460"/>
      <c r="DP48" s="460"/>
      <c r="DQ48" s="460"/>
      <c r="DR48" s="460"/>
      <c r="DS48" s="460"/>
      <c r="DT48" s="460"/>
      <c r="DU48" s="460"/>
      <c r="DV48" s="460"/>
      <c r="DW48" s="460"/>
      <c r="DX48" s="460"/>
      <c r="DY48" s="460"/>
      <c r="DZ48" s="460"/>
      <c r="EA48" s="460"/>
      <c r="EB48" s="460"/>
      <c r="EC48" s="460"/>
      <c r="ED48" s="460"/>
      <c r="EE48" s="460"/>
      <c r="EF48" s="460"/>
      <c r="EG48" s="460"/>
      <c r="EH48" s="460"/>
      <c r="EI48" s="460"/>
      <c r="EJ48" s="460"/>
      <c r="EK48" s="460"/>
      <c r="EL48" s="460"/>
      <c r="EM48" s="460"/>
    </row>
    <row r="49" spans="1:143" s="461" customFormat="1">
      <c r="A49" s="722"/>
      <c r="B49" s="458" t="s">
        <v>283</v>
      </c>
      <c r="C49" s="559"/>
      <c r="D49" s="459">
        <f>-CashFlow!E62*D32</f>
        <v>-19.852107806507153</v>
      </c>
      <c r="E49" s="459">
        <f>-CashFlow!F62*E32</f>
        <v>-14.804926450176845</v>
      </c>
      <c r="F49" s="459">
        <f>-CashFlow!G62*F32</f>
        <v>-14.920973072087177</v>
      </c>
      <c r="G49" s="459">
        <f>-CashFlow!H62*G32</f>
        <v>-14.813737017094782</v>
      </c>
      <c r="H49" s="459">
        <f>-CashFlow!I62*H32</f>
        <v>-14.704180329030397</v>
      </c>
      <c r="I49" s="459">
        <f>-CashFlow!J62*I32</f>
        <v>-15.552441263446903</v>
      </c>
      <c r="J49" s="459">
        <f>-CashFlow!K62*J32</f>
        <v>-14.316968912728516</v>
      </c>
      <c r="K49" s="459">
        <f>-CashFlow!L62*K32</f>
        <v>-14.300057177907275</v>
      </c>
      <c r="L49" s="459">
        <f>-CashFlow!M62*L32</f>
        <v>-14.276939298011376</v>
      </c>
      <c r="M49" s="459">
        <f>-CashFlow!N62*M32</f>
        <v>-14.471040927683948</v>
      </c>
      <c r="N49" s="459">
        <f>-CashFlow!O62*N32</f>
        <v>-14.701758999941049</v>
      </c>
      <c r="O49" s="459">
        <f>-CashFlow!P62*O32</f>
        <v>-14.962425943695834</v>
      </c>
      <c r="P49" s="459">
        <f>-CashFlow!Q62*P32</f>
        <v>-15.271247714941282</v>
      </c>
      <c r="Q49" s="459">
        <f>-CashFlow!R62*Q32</f>
        <v>-14.951697626794498</v>
      </c>
      <c r="R49" s="459">
        <f>-CashFlow!S62*R32</f>
        <v>-14.594654492119744</v>
      </c>
      <c r="S49" s="459">
        <f>-CashFlow!T62*S32</f>
        <v>-13.907946428457581</v>
      </c>
      <c r="T49" s="459">
        <f>-CashFlow!U62*T32</f>
        <v>-13.70359605820188</v>
      </c>
      <c r="U49" s="459">
        <f>-CashFlow!V62*U32</f>
        <v>-23.205205604021085</v>
      </c>
      <c r="V49" s="459">
        <f>-CashFlow!W62*V32</f>
        <v>-58.169380609148455</v>
      </c>
      <c r="W49" s="552">
        <f>-CashFlow!X62*W32</f>
        <v>-64.405071598288487</v>
      </c>
      <c r="X49" s="459">
        <f>-CashFlow!Y62*X32</f>
        <v>-0.16844521113537</v>
      </c>
      <c r="Y49" s="459">
        <f>-CashFlow!Z62*Y32</f>
        <v>0</v>
      </c>
      <c r="Z49" s="459">
        <f>-CashFlow!AA62*Z32</f>
        <v>0</v>
      </c>
      <c r="AA49" s="459">
        <f>-CashFlow!AB62*AA32</f>
        <v>0</v>
      </c>
      <c r="AB49" s="459">
        <f>-CashFlow!AC62*AB32</f>
        <v>0</v>
      </c>
      <c r="AC49" s="459">
        <f>-CashFlow!AD62*AC32</f>
        <v>0</v>
      </c>
      <c r="AD49" s="459">
        <f>-CashFlow!AE62*AD32</f>
        <v>0</v>
      </c>
      <c r="AE49" s="459">
        <f>-CashFlow!AF62*AE32</f>
        <v>0</v>
      </c>
      <c r="AF49" s="459">
        <f>-CashFlow!AG62*AF32</f>
        <v>0</v>
      </c>
      <c r="AG49" s="459">
        <f>-CashFlow!AH62*AG32</f>
        <v>0</v>
      </c>
      <c r="AH49" s="462">
        <f>-CashFlow!AI62*AH32</f>
        <v>0</v>
      </c>
      <c r="AI49" s="460"/>
      <c r="AJ49" s="460"/>
      <c r="AK49" s="460"/>
      <c r="AL49" s="460"/>
      <c r="AM49" s="460"/>
      <c r="AN49" s="460"/>
      <c r="AO49" s="460"/>
      <c r="AP49" s="460"/>
      <c r="AQ49" s="460"/>
      <c r="AR49" s="460"/>
      <c r="AS49" s="460"/>
      <c r="AT49" s="460"/>
      <c r="AU49" s="460"/>
      <c r="AV49" s="460"/>
      <c r="AW49" s="460"/>
      <c r="AX49" s="460"/>
      <c r="AY49" s="460"/>
      <c r="AZ49" s="460"/>
      <c r="BA49" s="460"/>
      <c r="BB49" s="460"/>
      <c r="BC49" s="460"/>
      <c r="BD49" s="460"/>
      <c r="BE49" s="460"/>
      <c r="BF49" s="460"/>
      <c r="BG49" s="460"/>
      <c r="BH49" s="460"/>
      <c r="BI49" s="460"/>
      <c r="BJ49" s="460"/>
      <c r="BK49" s="460"/>
      <c r="BL49" s="460"/>
      <c r="BM49" s="460"/>
      <c r="BN49" s="460"/>
      <c r="BO49" s="460"/>
      <c r="BP49" s="460"/>
      <c r="BQ49" s="460"/>
      <c r="BR49" s="460"/>
      <c r="BS49" s="460"/>
      <c r="BT49" s="460"/>
      <c r="BU49" s="460"/>
      <c r="BV49" s="460"/>
      <c r="BW49" s="460"/>
      <c r="BX49" s="460"/>
      <c r="BY49" s="460"/>
      <c r="BZ49" s="460"/>
      <c r="CA49" s="460"/>
      <c r="CB49" s="460"/>
      <c r="CC49" s="460"/>
      <c r="CD49" s="460"/>
      <c r="CE49" s="460"/>
      <c r="CF49" s="460"/>
      <c r="CG49" s="460"/>
      <c r="CH49" s="460"/>
      <c r="CI49" s="460"/>
      <c r="CJ49" s="460"/>
      <c r="CK49" s="460"/>
      <c r="CL49" s="460"/>
      <c r="CM49" s="460"/>
      <c r="CN49" s="460"/>
      <c r="CO49" s="460"/>
      <c r="CP49" s="460"/>
      <c r="CQ49" s="460"/>
      <c r="CR49" s="460"/>
      <c r="CS49" s="460"/>
      <c r="CT49" s="460"/>
      <c r="CU49" s="460"/>
      <c r="CV49" s="460"/>
      <c r="CW49" s="460"/>
      <c r="CX49" s="460"/>
      <c r="CY49" s="460"/>
      <c r="CZ49" s="460"/>
      <c r="DA49" s="460"/>
      <c r="DB49" s="460"/>
      <c r="DC49" s="460"/>
      <c r="DD49" s="460"/>
      <c r="DE49" s="460"/>
      <c r="DF49" s="460"/>
      <c r="DG49" s="460"/>
      <c r="DH49" s="460"/>
      <c r="DI49" s="460"/>
      <c r="DJ49" s="460"/>
      <c r="DK49" s="460"/>
      <c r="DL49" s="460"/>
      <c r="DM49" s="460"/>
      <c r="DN49" s="460"/>
      <c r="DO49" s="460"/>
      <c r="DP49" s="460"/>
      <c r="DQ49" s="460"/>
      <c r="DR49" s="460"/>
      <c r="DS49" s="460"/>
      <c r="DT49" s="460"/>
      <c r="DU49" s="460"/>
      <c r="DV49" s="460"/>
      <c r="DW49" s="460"/>
      <c r="DX49" s="460"/>
      <c r="DY49" s="460"/>
      <c r="DZ49" s="460"/>
      <c r="EA49" s="460"/>
      <c r="EB49" s="460"/>
      <c r="EC49" s="460"/>
      <c r="ED49" s="460"/>
      <c r="EE49" s="460"/>
      <c r="EF49" s="460"/>
      <c r="EG49" s="460"/>
      <c r="EH49" s="460"/>
      <c r="EI49" s="460"/>
      <c r="EJ49" s="460"/>
      <c r="EK49" s="460"/>
      <c r="EL49" s="460"/>
      <c r="EM49" s="460"/>
    </row>
    <row r="50" spans="1:143" s="461" customFormat="1">
      <c r="A50" s="722"/>
      <c r="B50" s="458"/>
      <c r="C50" s="559"/>
      <c r="D50" s="459"/>
      <c r="E50" s="459"/>
      <c r="F50" s="459"/>
      <c r="G50" s="459"/>
      <c r="H50" s="459"/>
      <c r="I50" s="459"/>
      <c r="J50" s="459"/>
      <c r="K50" s="459"/>
      <c r="L50" s="459"/>
      <c r="M50" s="459"/>
      <c r="N50" s="459"/>
      <c r="O50" s="459"/>
      <c r="P50" s="459"/>
      <c r="Q50" s="459"/>
      <c r="R50" s="459"/>
      <c r="S50" s="459"/>
      <c r="T50" s="459"/>
      <c r="U50" s="459"/>
      <c r="V50" s="459"/>
      <c r="W50" s="552"/>
      <c r="X50" s="459"/>
      <c r="Y50" s="459"/>
      <c r="Z50" s="459"/>
      <c r="AA50" s="459"/>
      <c r="AB50" s="459"/>
      <c r="AC50" s="459"/>
      <c r="AD50" s="459"/>
      <c r="AE50" s="459"/>
      <c r="AF50" s="459"/>
      <c r="AG50" s="459"/>
      <c r="AH50" s="462"/>
      <c r="AI50" s="460"/>
      <c r="AJ50" s="460"/>
      <c r="AK50" s="460"/>
      <c r="AL50" s="460"/>
      <c r="AM50" s="460"/>
      <c r="AN50" s="460"/>
      <c r="AO50" s="460"/>
      <c r="AP50" s="460"/>
      <c r="AQ50" s="460"/>
      <c r="AR50" s="460"/>
      <c r="AS50" s="460"/>
      <c r="AT50" s="460"/>
      <c r="AU50" s="460"/>
      <c r="AV50" s="460"/>
      <c r="AW50" s="460"/>
      <c r="AX50" s="460"/>
      <c r="AY50" s="460"/>
      <c r="AZ50" s="460"/>
      <c r="BA50" s="460"/>
      <c r="BB50" s="460"/>
      <c r="BC50" s="460"/>
      <c r="BD50" s="460"/>
      <c r="BE50" s="460"/>
      <c r="BF50" s="460"/>
      <c r="BG50" s="460"/>
      <c r="BH50" s="460"/>
      <c r="BI50" s="460"/>
      <c r="BJ50" s="460"/>
      <c r="BK50" s="460"/>
      <c r="BL50" s="460"/>
      <c r="BM50" s="460"/>
      <c r="BN50" s="460"/>
      <c r="BO50" s="460"/>
      <c r="BP50" s="460"/>
      <c r="BQ50" s="460"/>
      <c r="BR50" s="460"/>
      <c r="BS50" s="460"/>
      <c r="BT50" s="460"/>
      <c r="BU50" s="460"/>
      <c r="BV50" s="460"/>
      <c r="BW50" s="460"/>
      <c r="BX50" s="460"/>
      <c r="BY50" s="460"/>
      <c r="BZ50" s="460"/>
      <c r="CA50" s="460"/>
      <c r="CB50" s="460"/>
      <c r="CC50" s="460"/>
      <c r="CD50" s="460"/>
      <c r="CE50" s="460"/>
      <c r="CF50" s="460"/>
      <c r="CG50" s="460"/>
      <c r="CH50" s="460"/>
      <c r="CI50" s="460"/>
      <c r="CJ50" s="460"/>
      <c r="CK50" s="460"/>
      <c r="CL50" s="460"/>
      <c r="CM50" s="460"/>
      <c r="CN50" s="460"/>
      <c r="CO50" s="460"/>
      <c r="CP50" s="460"/>
      <c r="CQ50" s="460"/>
      <c r="CR50" s="460"/>
      <c r="CS50" s="460"/>
      <c r="CT50" s="460"/>
      <c r="CU50" s="460"/>
      <c r="CV50" s="460"/>
      <c r="CW50" s="460"/>
      <c r="CX50" s="460"/>
      <c r="CY50" s="460"/>
      <c r="CZ50" s="460"/>
      <c r="DA50" s="460"/>
      <c r="DB50" s="460"/>
      <c r="DC50" s="460"/>
      <c r="DD50" s="460"/>
      <c r="DE50" s="460"/>
      <c r="DF50" s="460"/>
      <c r="DG50" s="460"/>
      <c r="DH50" s="460"/>
      <c r="DI50" s="460"/>
      <c r="DJ50" s="460"/>
      <c r="DK50" s="460"/>
      <c r="DL50" s="460"/>
      <c r="DM50" s="460"/>
      <c r="DN50" s="460"/>
      <c r="DO50" s="460"/>
      <c r="DP50" s="460"/>
      <c r="DQ50" s="460"/>
      <c r="DR50" s="460"/>
      <c r="DS50" s="460"/>
      <c r="DT50" s="460"/>
      <c r="DU50" s="460"/>
      <c r="DV50" s="460"/>
      <c r="DW50" s="460"/>
      <c r="DX50" s="460"/>
      <c r="DY50" s="460"/>
      <c r="DZ50" s="460"/>
      <c r="EA50" s="460"/>
      <c r="EB50" s="460"/>
      <c r="EC50" s="460"/>
      <c r="ED50" s="460"/>
      <c r="EE50" s="460"/>
      <c r="EF50" s="460"/>
      <c r="EG50" s="460"/>
      <c r="EH50" s="460"/>
      <c r="EI50" s="460"/>
      <c r="EJ50" s="460"/>
      <c r="EK50" s="460"/>
      <c r="EL50" s="460"/>
      <c r="EM50" s="460"/>
    </row>
    <row r="51" spans="1:143" s="300" customFormat="1">
      <c r="A51" s="612"/>
      <c r="B51" s="467" t="s">
        <v>284</v>
      </c>
      <c r="C51" s="474"/>
      <c r="D51" s="469">
        <f t="shared" ref="D51:AG51" ca="1" si="22">SUM(D35:D49)</f>
        <v>685.90324823113042</v>
      </c>
      <c r="E51" s="469">
        <f t="shared" ca="1" si="22"/>
        <v>300.05222654664993</v>
      </c>
      <c r="F51" s="469">
        <f t="shared" ca="1" si="22"/>
        <v>72.193305509168084</v>
      </c>
      <c r="G51" s="469">
        <f t="shared" ca="1" si="22"/>
        <v>-60.614687577562272</v>
      </c>
      <c r="H51" s="469">
        <f t="shared" ca="1" si="22"/>
        <v>-192.3570027790731</v>
      </c>
      <c r="I51" s="469">
        <f t="shared" ca="1" si="22"/>
        <v>-250.11539702007326</v>
      </c>
      <c r="J51" s="469">
        <f t="shared" ca="1" si="22"/>
        <v>-238.83562454415346</v>
      </c>
      <c r="K51" s="469">
        <f t="shared" ca="1" si="22"/>
        <v>-225.93110623609635</v>
      </c>
      <c r="L51" s="469">
        <f t="shared" ca="1" si="22"/>
        <v>-211.3286283116158</v>
      </c>
      <c r="M51" s="469">
        <f t="shared" ca="1" si="22"/>
        <v>-194.31000121098859</v>
      </c>
      <c r="N51" s="469">
        <f t="shared" ca="1" si="22"/>
        <v>-174.61360665918949</v>
      </c>
      <c r="O51" s="469">
        <f t="shared" ca="1" si="22"/>
        <v>-151.7703204785596</v>
      </c>
      <c r="P51" s="469">
        <f t="shared" ca="1" si="22"/>
        <v>-125.56845629035109</v>
      </c>
      <c r="Q51" s="469">
        <f t="shared" ca="1" si="22"/>
        <v>-97.249265832454654</v>
      </c>
      <c r="R51" s="469">
        <f t="shared" ca="1" si="22"/>
        <v>-66.728255328081445</v>
      </c>
      <c r="S51" s="469">
        <f t="shared" ca="1" si="22"/>
        <v>-34.483939044001332</v>
      </c>
      <c r="T51" s="469">
        <f t="shared" ca="1" si="22"/>
        <v>0.69778706106917276</v>
      </c>
      <c r="U51" s="469">
        <f t="shared" ca="1" si="22"/>
        <v>29.713129883812908</v>
      </c>
      <c r="V51" s="469">
        <f t="shared" ca="1" si="22"/>
        <v>28.418170778835638</v>
      </c>
      <c r="W51" s="469">
        <f t="shared" ca="1" si="22"/>
        <v>20.129179740255978</v>
      </c>
      <c r="X51" s="469">
        <f t="shared" ca="1" si="22"/>
        <v>20.125600092950403</v>
      </c>
      <c r="Y51" s="469">
        <f t="shared" ca="1" si="22"/>
        <v>20.125601021871901</v>
      </c>
      <c r="Z51" s="469">
        <f t="shared" ca="1" si="22"/>
        <v>20.125601318009146</v>
      </c>
      <c r="AA51" s="469">
        <f t="shared" ca="1" si="22"/>
        <v>20.125600529800465</v>
      </c>
      <c r="AB51" s="469">
        <f t="shared" ca="1" si="22"/>
        <v>20.125598519640281</v>
      </c>
      <c r="AC51" s="469">
        <f t="shared" ca="1" si="22"/>
        <v>20.125597342968963</v>
      </c>
      <c r="AD51" s="469">
        <f t="shared" ca="1" si="22"/>
        <v>20.125597604779319</v>
      </c>
      <c r="AE51" s="469">
        <f t="shared" ca="1" si="22"/>
        <v>20.125600242403145</v>
      </c>
      <c r="AF51" s="469">
        <f t="shared" ca="1" si="22"/>
        <v>20.125602869590161</v>
      </c>
      <c r="AG51" s="469">
        <f t="shared" ca="1" si="22"/>
        <v>20.125603752824571</v>
      </c>
      <c r="AH51" s="635">
        <f ca="1">SUM(AH35:AH49)</f>
        <v>20.125601546000571</v>
      </c>
      <c r="AI51" s="299"/>
      <c r="AJ51" s="299"/>
      <c r="AK51" s="299"/>
      <c r="AL51" s="299"/>
      <c r="AM51" s="299"/>
      <c r="AN51" s="299"/>
      <c r="AO51" s="299"/>
      <c r="AP51" s="299"/>
      <c r="AQ51" s="299"/>
      <c r="AR51" s="299"/>
      <c r="AS51" s="299"/>
      <c r="AT51" s="299"/>
      <c r="AU51" s="299"/>
      <c r="AV51" s="299"/>
      <c r="AW51" s="299"/>
      <c r="AX51" s="299"/>
      <c r="AY51" s="299"/>
      <c r="AZ51" s="299"/>
      <c r="BA51" s="299"/>
      <c r="BB51" s="299"/>
      <c r="BC51" s="299"/>
      <c r="BD51" s="299"/>
      <c r="BE51" s="299"/>
      <c r="BF51" s="299"/>
      <c r="BG51" s="299"/>
      <c r="BH51" s="299"/>
      <c r="BI51" s="299"/>
      <c r="BJ51" s="299"/>
      <c r="BK51" s="299"/>
      <c r="BL51" s="299"/>
      <c r="BM51" s="299"/>
      <c r="BN51" s="299"/>
      <c r="BO51" s="299"/>
      <c r="BP51" s="299"/>
      <c r="BQ51" s="299"/>
      <c r="BR51" s="299"/>
      <c r="BS51" s="299"/>
      <c r="BT51" s="299"/>
      <c r="BU51" s="299"/>
      <c r="BV51" s="299"/>
      <c r="BW51" s="299"/>
      <c r="BX51" s="299"/>
      <c r="BY51" s="299"/>
      <c r="BZ51" s="299"/>
      <c r="CA51" s="299"/>
      <c r="CB51" s="299"/>
      <c r="CC51" s="299"/>
      <c r="CD51" s="299"/>
      <c r="CE51" s="299"/>
      <c r="CF51" s="299"/>
      <c r="CG51" s="299"/>
      <c r="CH51" s="299"/>
      <c r="CI51" s="299"/>
      <c r="CJ51" s="299"/>
      <c r="CK51" s="299"/>
      <c r="CL51" s="299"/>
      <c r="CM51" s="299"/>
      <c r="CN51" s="299"/>
      <c r="CO51" s="299"/>
      <c r="CP51" s="299"/>
      <c r="CQ51" s="299"/>
      <c r="CR51" s="299"/>
      <c r="CS51" s="299"/>
      <c r="CT51" s="299"/>
      <c r="CU51" s="299"/>
      <c r="CV51" s="299"/>
      <c r="CW51" s="299"/>
      <c r="CX51" s="299"/>
      <c r="CY51" s="299"/>
      <c r="CZ51" s="299"/>
      <c r="DA51" s="299"/>
      <c r="DB51" s="299"/>
      <c r="DC51" s="299"/>
      <c r="DD51" s="299"/>
      <c r="DE51" s="299"/>
      <c r="DF51" s="299"/>
      <c r="DG51" s="299"/>
      <c r="DH51" s="299"/>
      <c r="DI51" s="299"/>
      <c r="DJ51" s="299"/>
      <c r="DK51" s="299"/>
      <c r="DL51" s="299"/>
      <c r="DM51" s="299"/>
      <c r="DN51" s="299"/>
      <c r="DO51" s="299"/>
      <c r="DP51" s="299"/>
      <c r="DQ51" s="299"/>
      <c r="DR51" s="299"/>
      <c r="DS51" s="299"/>
      <c r="DT51" s="299"/>
      <c r="DU51" s="299"/>
      <c r="DV51" s="299"/>
      <c r="DW51" s="299"/>
      <c r="DX51" s="299"/>
      <c r="DY51" s="299"/>
      <c r="DZ51" s="299"/>
      <c r="EA51" s="299"/>
      <c r="EB51" s="299"/>
      <c r="EC51" s="299"/>
      <c r="ED51" s="299"/>
      <c r="EE51" s="299"/>
      <c r="EF51" s="299"/>
      <c r="EG51" s="299"/>
      <c r="EH51" s="299"/>
      <c r="EI51" s="299"/>
      <c r="EJ51" s="299"/>
      <c r="EK51" s="299"/>
      <c r="EL51" s="299"/>
      <c r="EM51" s="299"/>
    </row>
    <row r="52" spans="1:143" s="316" customFormat="1">
      <c r="A52" s="612"/>
      <c r="B52" s="463"/>
      <c r="C52" s="316" t="s">
        <v>44</v>
      </c>
      <c r="D52" s="310">
        <f t="shared" ref="D52:AH52" ca="1" si="23">D51/(D25+D51)</f>
        <v>9.9999999999999933E-3</v>
      </c>
      <c r="E52" s="310">
        <f t="shared" ca="1" si="23"/>
        <v>9.9999999999999846E-3</v>
      </c>
      <c r="F52" s="310">
        <f t="shared" ca="1" si="23"/>
        <v>9.9999999999999412E-3</v>
      </c>
      <c r="G52" s="310">
        <f t="shared" ca="1" si="23"/>
        <v>1.0000000000000064E-2</v>
      </c>
      <c r="H52" s="310">
        <f t="shared" ca="1" si="23"/>
        <v>1.0000000000000026E-2</v>
      </c>
      <c r="I52" s="310">
        <f t="shared" ca="1" si="23"/>
        <v>1.0000000000000012E-2</v>
      </c>
      <c r="J52" s="310">
        <f t="shared" ca="1" si="23"/>
        <v>1.0000000000000014E-2</v>
      </c>
      <c r="K52" s="310">
        <f t="shared" ca="1" si="23"/>
        <v>1.0000000000000019E-2</v>
      </c>
      <c r="L52" s="310">
        <f t="shared" ca="1" si="23"/>
        <v>1.0000000000000023E-2</v>
      </c>
      <c r="M52" s="310">
        <f t="shared" ca="1" si="23"/>
        <v>1.0000000000000009E-2</v>
      </c>
      <c r="N52" s="310">
        <f t="shared" ca="1" si="23"/>
        <v>1.0000000000000035E-2</v>
      </c>
      <c r="O52" s="310">
        <f t="shared" ca="1" si="23"/>
        <v>1.0000000000000026E-2</v>
      </c>
      <c r="P52" s="310">
        <f t="shared" ca="1" si="23"/>
        <v>1.0000000000000037E-2</v>
      </c>
      <c r="Q52" s="310">
        <f t="shared" ca="1" si="23"/>
        <v>1.0000000000000047E-2</v>
      </c>
      <c r="R52" s="310">
        <f t="shared" ca="1" si="23"/>
        <v>1.000000000000007E-2</v>
      </c>
      <c r="S52" s="310">
        <f t="shared" ca="1" si="23"/>
        <v>1.0000000000000174E-2</v>
      </c>
      <c r="T52" s="310">
        <f t="shared" ca="1" si="23"/>
        <v>9.9999999999970373E-3</v>
      </c>
      <c r="U52" s="310">
        <f t="shared" ca="1" si="23"/>
        <v>9.9999999999998875E-3</v>
      </c>
      <c r="V52" s="310">
        <f t="shared" ca="1" si="23"/>
        <v>9.9999999999998493E-3</v>
      </c>
      <c r="W52" s="310">
        <f t="shared" ca="1" si="23"/>
        <v>9.9999999999998857E-3</v>
      </c>
      <c r="X52" s="310">
        <f t="shared" ca="1" si="23"/>
        <v>9.9999999999999499E-3</v>
      </c>
      <c r="Y52" s="310">
        <f t="shared" ca="1" si="23"/>
        <v>9.999999999999877E-3</v>
      </c>
      <c r="Z52" s="310">
        <f t="shared" ca="1" si="23"/>
        <v>9.9999999999998285E-3</v>
      </c>
      <c r="AA52" s="310">
        <f t="shared" ca="1" si="23"/>
        <v>9.9999999999997556E-3</v>
      </c>
      <c r="AB52" s="310">
        <f t="shared" ca="1" si="23"/>
        <v>9.9999999999997816E-3</v>
      </c>
      <c r="AC52" s="310">
        <f t="shared" ca="1" si="23"/>
        <v>9.9999999999997764E-3</v>
      </c>
      <c r="AD52" s="310">
        <f t="shared" ca="1" si="23"/>
        <v>9.9999999999997244E-3</v>
      </c>
      <c r="AE52" s="310">
        <f t="shared" ca="1" si="23"/>
        <v>9.9999999999998077E-3</v>
      </c>
      <c r="AF52" s="310">
        <f t="shared" ca="1" si="23"/>
        <v>9.9999999999998944E-3</v>
      </c>
      <c r="AG52" s="310">
        <f t="shared" ca="1" si="23"/>
        <v>9.999999999999943E-3</v>
      </c>
      <c r="AH52" s="623">
        <f t="shared" ca="1" si="23"/>
        <v>9.9999999999997643E-3</v>
      </c>
    </row>
    <row r="53" spans="1:143" s="316" customFormat="1">
      <c r="A53" s="612"/>
      <c r="B53" s="463"/>
      <c r="D53" s="310"/>
      <c r="E53" s="310"/>
      <c r="F53" s="310"/>
      <c r="G53" s="310"/>
      <c r="H53" s="310"/>
      <c r="I53" s="310"/>
      <c r="J53" s="310"/>
      <c r="K53" s="310"/>
      <c r="L53" s="310"/>
      <c r="M53" s="310"/>
      <c r="N53" s="310"/>
      <c r="O53" s="310"/>
      <c r="P53" s="310"/>
      <c r="Q53" s="310"/>
      <c r="R53" s="310"/>
      <c r="S53" s="310"/>
      <c r="T53" s="310"/>
      <c r="U53" s="310"/>
      <c r="V53" s="310"/>
      <c r="W53" s="310"/>
      <c r="X53" s="310"/>
      <c r="Y53" s="310"/>
      <c r="Z53" s="310"/>
      <c r="AA53" s="310"/>
      <c r="AB53" s="310"/>
      <c r="AC53" s="310"/>
      <c r="AD53" s="310"/>
      <c r="AE53" s="310"/>
      <c r="AF53" s="310"/>
      <c r="AG53" s="310"/>
      <c r="AH53" s="623"/>
    </row>
    <row r="54" spans="1:143" s="316" customFormat="1">
      <c r="A54" s="612"/>
      <c r="B54" s="624" t="s">
        <v>623</v>
      </c>
      <c r="C54" s="625"/>
      <c r="D54" s="473">
        <f t="shared" ref="D54:AG54" ca="1" si="24">SUM(D38:D48)</f>
        <v>-207.64785390577396</v>
      </c>
      <c r="E54" s="473">
        <f t="shared" ca="1" si="24"/>
        <v>-371.04609522925443</v>
      </c>
      <c r="F54" s="473">
        <f t="shared" ca="1" si="24"/>
        <v>-212.93794791882809</v>
      </c>
      <c r="G54" s="473">
        <f t="shared" ca="1" si="24"/>
        <v>-117.99425598390786</v>
      </c>
      <c r="H54" s="473">
        <f t="shared" ca="1" si="24"/>
        <v>-117.03813481987774</v>
      </c>
      <c r="I54" s="473">
        <f t="shared" ca="1" si="24"/>
        <v>-42.205952993027893</v>
      </c>
      <c r="J54" s="473">
        <f t="shared" ca="1" si="24"/>
        <v>25.596741287654275</v>
      </c>
      <c r="K54" s="473">
        <f t="shared" ca="1" si="24"/>
        <v>27.204575372626664</v>
      </c>
      <c r="L54" s="473">
        <f t="shared" ca="1" si="24"/>
        <v>28.879417189617936</v>
      </c>
      <c r="M54" s="473">
        <f t="shared" ca="1" si="24"/>
        <v>31.489668127556801</v>
      </c>
      <c r="N54" s="473">
        <f t="shared" ca="1" si="24"/>
        <v>34.398153779557482</v>
      </c>
      <c r="O54" s="473">
        <f t="shared" ca="1" si="24"/>
        <v>37.805712263712607</v>
      </c>
      <c r="P54" s="473">
        <f t="shared" ca="1" si="24"/>
        <v>41.473111859863479</v>
      </c>
      <c r="Q54" s="473">
        <f t="shared" ca="1" si="24"/>
        <v>43.270887786720394</v>
      </c>
      <c r="R54" s="473">
        <f t="shared" ca="1" si="24"/>
        <v>45.11566467093153</v>
      </c>
      <c r="S54" s="473">
        <f t="shared" ca="1" si="24"/>
        <v>46.15226261374508</v>
      </c>
      <c r="T54" s="473">
        <f t="shared" ca="1" si="24"/>
        <v>48.88532244360529</v>
      </c>
      <c r="U54" s="473">
        <f t="shared" ca="1" si="24"/>
        <v>52.220549103049159</v>
      </c>
      <c r="V54" s="473">
        <f t="shared" ca="1" si="24"/>
        <v>56.874421909020512</v>
      </c>
      <c r="W54" s="473">
        <f t="shared" ca="1" si="24"/>
        <v>56.116080449774024</v>
      </c>
      <c r="X54" s="473">
        <f t="shared" ca="1" si="24"/>
        <v>0.16486468016727426</v>
      </c>
      <c r="Y54" s="473">
        <f t="shared" ca="1" si="24"/>
        <v>0</v>
      </c>
      <c r="Z54" s="473">
        <f t="shared" ca="1" si="24"/>
        <v>0</v>
      </c>
      <c r="AA54" s="473">
        <f t="shared" ca="1" si="24"/>
        <v>0</v>
      </c>
      <c r="AB54" s="473">
        <f t="shared" ca="1" si="24"/>
        <v>0</v>
      </c>
      <c r="AC54" s="473">
        <f t="shared" ca="1" si="24"/>
        <v>0</v>
      </c>
      <c r="AD54" s="473">
        <f t="shared" ca="1" si="24"/>
        <v>0</v>
      </c>
      <c r="AE54" s="473">
        <f t="shared" ca="1" si="24"/>
        <v>0</v>
      </c>
      <c r="AF54" s="473">
        <f t="shared" ca="1" si="24"/>
        <v>0</v>
      </c>
      <c r="AG54" s="473">
        <f t="shared" ca="1" si="24"/>
        <v>0</v>
      </c>
      <c r="AH54" s="476">
        <f ca="1">SUM(AH38:AH48)</f>
        <v>0</v>
      </c>
    </row>
    <row r="55" spans="1:143" s="316" customFormat="1">
      <c r="A55" s="626"/>
      <c r="D55" s="310"/>
      <c r="E55" s="310"/>
      <c r="F55" s="310"/>
      <c r="G55" s="310"/>
      <c r="H55" s="310"/>
      <c r="I55" s="310"/>
      <c r="J55" s="310"/>
      <c r="K55" s="310"/>
      <c r="L55" s="310"/>
      <c r="M55" s="310"/>
      <c r="N55" s="310"/>
      <c r="O55" s="310"/>
      <c r="P55" s="310"/>
      <c r="Q55" s="310"/>
      <c r="R55" s="310"/>
      <c r="S55" s="310"/>
      <c r="T55" s="310"/>
      <c r="U55" s="310"/>
      <c r="V55" s="310"/>
      <c r="W55" s="310"/>
      <c r="X55" s="310"/>
      <c r="Y55" s="310"/>
      <c r="Z55" s="310"/>
      <c r="AA55" s="310"/>
      <c r="AB55" s="310"/>
      <c r="AC55" s="310"/>
      <c r="AD55" s="310"/>
      <c r="AE55" s="310"/>
      <c r="AF55" s="310"/>
      <c r="AG55" s="310"/>
      <c r="AH55" s="310"/>
    </row>
    <row r="56" spans="1:143" s="214" customFormat="1">
      <c r="A56" s="330"/>
    </row>
    <row r="58" spans="1:143">
      <c r="B58" s="241" t="s">
        <v>220</v>
      </c>
    </row>
    <row r="60" spans="1:143" s="428" customFormat="1">
      <c r="A60" s="887"/>
      <c r="B60" s="833" t="s">
        <v>482</v>
      </c>
      <c r="C60" s="553"/>
      <c r="D60" s="553">
        <v>0</v>
      </c>
      <c r="E60" s="553">
        <f ca="1">D76</f>
        <v>68590.324823192816</v>
      </c>
      <c r="F60" s="553">
        <f t="shared" ref="F60:AH60" ca="1" si="25">E76</f>
        <v>30005.222652409502</v>
      </c>
      <c r="G60" s="553">
        <f t="shared" ca="1" si="25"/>
        <v>7219.3305465404737</v>
      </c>
      <c r="H60" s="553">
        <f t="shared" ca="1" si="25"/>
        <v>-6061.4687591515994</v>
      </c>
      <c r="I60" s="553">
        <f t="shared" ca="1" si="25"/>
        <v>-19235.700275312851</v>
      </c>
      <c r="J60" s="553">
        <f t="shared" ca="1" si="25"/>
        <v>-25011.539695284824</v>
      </c>
      <c r="K60" s="553">
        <f t="shared" ca="1" si="25"/>
        <v>-23883.562448737117</v>
      </c>
      <c r="L60" s="553">
        <f t="shared" ca="1" si="25"/>
        <v>-22593.110623241315</v>
      </c>
      <c r="M60" s="553">
        <f t="shared" ca="1" si="25"/>
        <v>-21132.862837327491</v>
      </c>
      <c r="N60" s="553">
        <f t="shared" ca="1" si="25"/>
        <v>-19431.000134128179</v>
      </c>
      <c r="O60" s="553">
        <f t="shared" ca="1" si="25"/>
        <v>-17461.360669852453</v>
      </c>
      <c r="P60" s="553">
        <f t="shared" ca="1" si="25"/>
        <v>-15177.032040348526</v>
      </c>
      <c r="Q60" s="553">
        <f t="shared" ca="1" si="25"/>
        <v>-12556.845608747153</v>
      </c>
      <c r="R60" s="553">
        <f t="shared" ca="1" si="25"/>
        <v>-9724.9265670897221</v>
      </c>
      <c r="S60" s="553">
        <f t="shared" ca="1" si="25"/>
        <v>-6672.825531340216</v>
      </c>
      <c r="T60" s="553">
        <f t="shared" ca="1" si="25"/>
        <v>-3448.3939209444802</v>
      </c>
      <c r="U60" s="553">
        <f t="shared" ca="1" si="25"/>
        <v>69.778667336296166</v>
      </c>
      <c r="V60" s="553">
        <f t="shared" ca="1" si="25"/>
        <v>2971.3129772982611</v>
      </c>
      <c r="W60" s="553">
        <f t="shared" ca="1" si="25"/>
        <v>2841.8170994802122</v>
      </c>
      <c r="X60" s="553">
        <f t="shared" ca="1" si="25"/>
        <v>2012.9180359541788</v>
      </c>
      <c r="Y60" s="553">
        <f t="shared" ca="1" si="25"/>
        <v>2012.5600547860329</v>
      </c>
      <c r="Z60" s="553">
        <f t="shared" ca="1" si="25"/>
        <v>2012.56010755737</v>
      </c>
      <c r="AA60" s="553">
        <f t="shared" ca="1" si="25"/>
        <v>2012.5600885026251</v>
      </c>
      <c r="AB60" s="553">
        <f t="shared" ca="1" si="25"/>
        <v>2012.559937857402</v>
      </c>
      <c r="AC60" s="553">
        <f t="shared" ca="1" si="25"/>
        <v>2012.5598206863494</v>
      </c>
      <c r="AD60" s="553">
        <f t="shared" ca="1" si="25"/>
        <v>2012.5597957759603</v>
      </c>
      <c r="AE60" s="553">
        <f t="shared" ca="1" si="25"/>
        <v>2012.5599520268383</v>
      </c>
      <c r="AF60" s="553">
        <f t="shared" ca="1" si="25"/>
        <v>2012.5601507263364</v>
      </c>
      <c r="AG60" s="553">
        <f t="shared" ca="1" si="25"/>
        <v>2012.5603054150642</v>
      </c>
      <c r="AH60" s="554">
        <f t="shared" ca="1" si="25"/>
        <v>2012.5602657811501</v>
      </c>
    </row>
    <row r="61" spans="1:143" s="59" customFormat="1">
      <c r="A61" s="720"/>
      <c r="B61" s="651" t="s">
        <v>483</v>
      </c>
      <c r="C61" s="317"/>
      <c r="D61" s="317">
        <f ca="1">Srcs_Uses!E6+Srcs_Uses!E7</f>
        <v>91340.320994341164</v>
      </c>
      <c r="E61" s="317"/>
      <c r="F61" s="317"/>
      <c r="G61" s="317"/>
      <c r="H61" s="317"/>
      <c r="I61" s="317"/>
      <c r="J61" s="317"/>
      <c r="K61" s="317"/>
      <c r="L61" s="317"/>
      <c r="M61" s="317"/>
      <c r="N61" s="317"/>
      <c r="O61" s="317"/>
      <c r="P61" s="317"/>
      <c r="Q61" s="317"/>
      <c r="R61" s="317"/>
      <c r="S61" s="317"/>
      <c r="T61" s="317"/>
      <c r="U61" s="317"/>
      <c r="V61" s="317"/>
      <c r="W61" s="317"/>
      <c r="X61" s="317"/>
      <c r="Y61" s="317"/>
      <c r="Z61" s="317"/>
      <c r="AA61" s="317"/>
      <c r="AB61" s="317"/>
      <c r="AC61" s="317"/>
      <c r="AD61" s="317"/>
      <c r="AE61" s="317"/>
      <c r="AF61" s="317"/>
      <c r="AG61" s="317"/>
      <c r="AH61" s="318"/>
    </row>
    <row r="62" spans="1:143" s="59" customFormat="1">
      <c r="A62" s="720"/>
      <c r="B62" s="532" t="s">
        <v>484</v>
      </c>
      <c r="C62" s="317"/>
      <c r="D62" s="317">
        <f>SUM(CashFlow!E45:E46)</f>
        <v>0</v>
      </c>
      <c r="E62" s="317">
        <f>SUM(CashFlow!F45:F46)</f>
        <v>0</v>
      </c>
      <c r="F62" s="317">
        <f>SUM(CashFlow!G45:G46)</f>
        <v>0</v>
      </c>
      <c r="G62" s="317">
        <f>SUM(CashFlow!H45:H46)</f>
        <v>0</v>
      </c>
      <c r="H62" s="317">
        <f>SUM(CashFlow!I45:I46)</f>
        <v>0</v>
      </c>
      <c r="I62" s="317">
        <f>SUM(CashFlow!J45:J46)</f>
        <v>0</v>
      </c>
      <c r="J62" s="317">
        <f>SUM(CashFlow!K45:K46)</f>
        <v>0</v>
      </c>
      <c r="K62" s="317">
        <f>SUM(CashFlow!L45:L46)</f>
        <v>0</v>
      </c>
      <c r="L62" s="317">
        <f>SUM(CashFlow!M45:M46)</f>
        <v>0</v>
      </c>
      <c r="M62" s="317">
        <f>SUM(CashFlow!N45:N46)</f>
        <v>0</v>
      </c>
      <c r="N62" s="317">
        <f>SUM(CashFlow!O45:O46)</f>
        <v>0</v>
      </c>
      <c r="O62" s="317">
        <f>SUM(CashFlow!P45:P46)</f>
        <v>0</v>
      </c>
      <c r="P62" s="317">
        <f>SUM(CashFlow!Q45:Q46)</f>
        <v>0</v>
      </c>
      <c r="Q62" s="317">
        <f>SUM(CashFlow!R45:R46)</f>
        <v>0</v>
      </c>
      <c r="R62" s="317">
        <f>SUM(CashFlow!S45:S46)</f>
        <v>0</v>
      </c>
      <c r="S62" s="317">
        <f>SUM(CashFlow!T45:T46)</f>
        <v>0</v>
      </c>
      <c r="T62" s="317">
        <f>SUM(CashFlow!U45:U46)</f>
        <v>0</v>
      </c>
      <c r="U62" s="317">
        <f>SUM(CashFlow!V45:V46)</f>
        <v>0</v>
      </c>
      <c r="V62" s="317">
        <f>SUM(CashFlow!W45:W46)</f>
        <v>0</v>
      </c>
      <c r="W62" s="317">
        <f>SUM(CashFlow!X45:X46)</f>
        <v>0</v>
      </c>
      <c r="X62" s="317">
        <f>SUM(CashFlow!Y45:Y46)</f>
        <v>0</v>
      </c>
      <c r="Y62" s="317">
        <f>SUM(CashFlow!Z45:Z46)</f>
        <v>0</v>
      </c>
      <c r="Z62" s="317">
        <f>SUM(CashFlow!AA45:AA46)</f>
        <v>0</v>
      </c>
      <c r="AA62" s="317">
        <f>SUM(CashFlow!AB45:AB46)</f>
        <v>0</v>
      </c>
      <c r="AB62" s="317">
        <f>SUM(CashFlow!AC45:AC46)</f>
        <v>0</v>
      </c>
      <c r="AC62" s="317">
        <f>SUM(CashFlow!AD45:AD46)</f>
        <v>0</v>
      </c>
      <c r="AD62" s="317">
        <f>SUM(CashFlow!AE45:AE46)</f>
        <v>0</v>
      </c>
      <c r="AE62" s="317">
        <f>SUM(CashFlow!AF45:AF46)</f>
        <v>0</v>
      </c>
      <c r="AF62" s="317">
        <f>SUM(CashFlow!AG45:AG46)</f>
        <v>0</v>
      </c>
      <c r="AG62" s="317">
        <f>SUM(CashFlow!AH45:AH46)</f>
        <v>0</v>
      </c>
      <c r="AH62" s="317">
        <f>SUM(CashFlow!AI45:AI46)</f>
        <v>0</v>
      </c>
    </row>
    <row r="63" spans="1:143" s="235" customFormat="1">
      <c r="A63" s="613"/>
      <c r="B63" s="451" t="s">
        <v>633</v>
      </c>
      <c r="C63" s="614"/>
      <c r="D63" s="614"/>
      <c r="E63" s="614"/>
      <c r="F63" s="614"/>
      <c r="G63" s="614"/>
      <c r="H63" s="614"/>
      <c r="I63" s="614"/>
      <c r="J63" s="614"/>
      <c r="K63" s="614"/>
      <c r="L63" s="614"/>
      <c r="M63" s="614"/>
      <c r="N63" s="614"/>
      <c r="O63" s="614"/>
      <c r="P63" s="614"/>
      <c r="Q63" s="614"/>
      <c r="R63" s="614"/>
      <c r="S63" s="614"/>
      <c r="T63" s="614"/>
      <c r="U63" s="614"/>
      <c r="V63" s="614"/>
      <c r="W63" s="614"/>
      <c r="X63" s="614"/>
      <c r="Y63" s="614"/>
      <c r="Z63" s="614"/>
      <c r="AA63" s="614"/>
      <c r="AB63" s="614"/>
      <c r="AC63" s="614"/>
      <c r="AD63" s="614"/>
      <c r="AE63" s="614"/>
      <c r="AF63" s="614"/>
      <c r="AG63" s="614"/>
      <c r="AH63" s="615"/>
    </row>
    <row r="64" spans="1:143" s="235" customFormat="1">
      <c r="A64" s="613"/>
      <c r="B64" s="451" t="s">
        <v>634</v>
      </c>
      <c r="C64" s="614"/>
      <c r="D64" s="614"/>
      <c r="E64" s="614"/>
      <c r="F64" s="614"/>
      <c r="G64" s="614"/>
      <c r="H64" s="614"/>
      <c r="I64" s="614"/>
      <c r="J64" s="614"/>
      <c r="K64" s="614"/>
      <c r="L64" s="614"/>
      <c r="M64" s="614"/>
      <c r="N64" s="614"/>
      <c r="O64" s="614"/>
      <c r="P64" s="614"/>
      <c r="Q64" s="614"/>
      <c r="R64" s="614"/>
      <c r="S64" s="614"/>
      <c r="T64" s="614"/>
      <c r="U64" s="614"/>
      <c r="V64" s="614"/>
      <c r="W64" s="614"/>
      <c r="X64" s="614"/>
      <c r="Y64" s="614"/>
      <c r="Z64" s="614"/>
      <c r="AA64" s="614"/>
      <c r="AB64" s="614"/>
      <c r="AC64" s="614"/>
      <c r="AD64" s="614"/>
      <c r="AE64" s="614"/>
      <c r="AF64" s="614"/>
      <c r="AG64" s="614"/>
      <c r="AH64" s="615"/>
    </row>
    <row r="65" spans="1:34" s="235" customFormat="1">
      <c r="A65" s="613"/>
      <c r="B65" s="451" t="s">
        <v>635</v>
      </c>
      <c r="C65" s="614"/>
      <c r="D65" s="614"/>
      <c r="E65" s="614"/>
      <c r="F65" s="614"/>
      <c r="G65" s="614"/>
      <c r="H65" s="614"/>
      <c r="I65" s="614"/>
      <c r="J65" s="614"/>
      <c r="K65" s="614"/>
      <c r="L65" s="614"/>
      <c r="M65" s="614"/>
      <c r="N65" s="614"/>
      <c r="O65" s="614"/>
      <c r="P65" s="614"/>
      <c r="Q65" s="614"/>
      <c r="R65" s="614"/>
      <c r="S65" s="614"/>
      <c r="T65" s="614"/>
      <c r="U65" s="614"/>
      <c r="V65" s="614"/>
      <c r="W65" s="614"/>
      <c r="X65" s="614"/>
      <c r="Y65" s="614"/>
      <c r="Z65" s="614"/>
      <c r="AA65" s="614"/>
      <c r="AB65" s="614"/>
      <c r="AC65" s="614"/>
      <c r="AD65" s="614"/>
      <c r="AE65" s="614"/>
      <c r="AF65" s="614"/>
      <c r="AG65" s="614"/>
      <c r="AH65" s="615"/>
    </row>
    <row r="66" spans="1:34" s="235" customFormat="1">
      <c r="A66" s="613"/>
      <c r="B66" s="451" t="s">
        <v>631</v>
      </c>
      <c r="C66" s="614"/>
      <c r="D66" s="614">
        <f>Income!E35</f>
        <v>10990.1020025</v>
      </c>
      <c r="E66" s="614">
        <f>Income!F35</f>
        <v>11020.715099999999</v>
      </c>
      <c r="F66" s="614">
        <f>Income!G35</f>
        <v>11020.715099999999</v>
      </c>
      <c r="G66" s="614">
        <f>Income!H35</f>
        <v>11020.715099999999</v>
      </c>
      <c r="H66" s="614">
        <f>Income!I35</f>
        <v>11020.715099999999</v>
      </c>
      <c r="I66" s="614">
        <f>Income!J35</f>
        <v>11020.715099999999</v>
      </c>
      <c r="J66" s="614">
        <f>Income!K35</f>
        <v>11020.715099999999</v>
      </c>
      <c r="K66" s="614">
        <f>Income!L35</f>
        <v>11020.715099999999</v>
      </c>
      <c r="L66" s="614">
        <f>Income!M35</f>
        <v>11020.715099999999</v>
      </c>
      <c r="M66" s="614">
        <f>Income!N35</f>
        <v>11020.715099999999</v>
      </c>
      <c r="N66" s="614">
        <f>Income!O35</f>
        <v>11020.715099999999</v>
      </c>
      <c r="O66" s="614">
        <f>Income!P35</f>
        <v>11020.715099999999</v>
      </c>
      <c r="P66" s="614">
        <f>Income!Q35</f>
        <v>11020.715099999999</v>
      </c>
      <c r="Q66" s="614">
        <f>Income!R35</f>
        <v>11020.715099999999</v>
      </c>
      <c r="R66" s="614">
        <f>Income!S35</f>
        <v>11020.715099999999</v>
      </c>
      <c r="S66" s="614">
        <f>Income!T35</f>
        <v>11020.715099999999</v>
      </c>
      <c r="T66" s="614">
        <f>Income!U35</f>
        <v>11020.715099999999</v>
      </c>
      <c r="U66" s="614">
        <f>Income!V35</f>
        <v>11020.715099999999</v>
      </c>
      <c r="V66" s="614">
        <f>Income!W35</f>
        <v>11020.715099999999</v>
      </c>
      <c r="W66" s="614">
        <f>Income!X35</f>
        <v>11020.715099999999</v>
      </c>
      <c r="X66" s="614">
        <f>Income!Y35</f>
        <v>30.613097499999892</v>
      </c>
      <c r="Y66" s="614">
        <f>Income!Z35</f>
        <v>0</v>
      </c>
      <c r="Z66" s="614">
        <f>Income!AA35</f>
        <v>0</v>
      </c>
      <c r="AA66" s="614">
        <f>Income!AB35</f>
        <v>0</v>
      </c>
      <c r="AB66" s="614">
        <f>Income!AC35</f>
        <v>0</v>
      </c>
      <c r="AC66" s="614">
        <f>Income!AD35</f>
        <v>0</v>
      </c>
      <c r="AD66" s="614">
        <f>Income!AE35</f>
        <v>0</v>
      </c>
      <c r="AE66" s="614">
        <f>Income!AF35</f>
        <v>0</v>
      </c>
      <c r="AF66" s="614">
        <f>Income!AG35</f>
        <v>0</v>
      </c>
      <c r="AG66" s="614">
        <f>Income!AH35</f>
        <v>0</v>
      </c>
      <c r="AH66" s="615">
        <f>Income!AI35</f>
        <v>0</v>
      </c>
    </row>
    <row r="67" spans="1:34" s="514" customFormat="1">
      <c r="A67" s="630"/>
      <c r="B67" s="628" t="s">
        <v>261</v>
      </c>
      <c r="C67" s="631"/>
      <c r="D67" s="631">
        <f>-Income!E36</f>
        <v>-1697.5024939418195</v>
      </c>
      <c r="E67" s="631">
        <f>-Income!F36</f>
        <v>-3592.8375606949194</v>
      </c>
      <c r="F67" s="631">
        <f>-Income!G36</f>
        <v>-3615.9190289057965</v>
      </c>
      <c r="G67" s="631">
        <f>-Income!H36</f>
        <v>-3629.8227255890542</v>
      </c>
      <c r="H67" s="631">
        <f>-Income!I36</f>
        <v>-3635.9504562682837</v>
      </c>
      <c r="I67" s="631">
        <f>-Income!J36</f>
        <v>-4444.6828730269772</v>
      </c>
      <c r="J67" s="631">
        <f>-Income!K36</f>
        <v>-4848.2721589706352</v>
      </c>
      <c r="K67" s="631">
        <f>-Income!L36</f>
        <v>-4827.6584524113023</v>
      </c>
      <c r="L67" s="631">
        <f>-Income!M36</f>
        <v>-4806.6038942116256</v>
      </c>
      <c r="M67" s="631">
        <f>-Income!N36</f>
        <v>-4709.0323768563849</v>
      </c>
      <c r="N67" s="631">
        <f>-Income!O36</f>
        <v>-4597.7609473747025</v>
      </c>
      <c r="O67" s="631">
        <f>-Income!P36</f>
        <v>-4475.0892878550167</v>
      </c>
      <c r="P67" s="631">
        <f>-Income!Q36</f>
        <v>-4340.5175745509514</v>
      </c>
      <c r="Q67" s="631">
        <f>-Income!R36</f>
        <v>-4424.0148789462755</v>
      </c>
      <c r="R67" s="631">
        <f>-Income!S36</f>
        <v>-4522.5895204173039</v>
      </c>
      <c r="S67" s="631">
        <f>-Income!T36</f>
        <v>-4731.3164960039257</v>
      </c>
      <c r="T67" s="631">
        <f>-Income!U36</f>
        <v>-4796.1805084435027</v>
      </c>
      <c r="U67" s="631">
        <f>-Income!V36</f>
        <v>-4862.5861888549571</v>
      </c>
      <c r="V67" s="631">
        <f>-Income!W36</f>
        <v>-4813.4819550932334</v>
      </c>
      <c r="W67" s="631">
        <f>-Income!X36</f>
        <v>-4880.1554790794326</v>
      </c>
      <c r="X67" s="631">
        <f>-Income!Y36</f>
        <v>-12.629538129187866</v>
      </c>
      <c r="Y67" s="631">
        <f>-Income!Z36</f>
        <v>0</v>
      </c>
      <c r="Z67" s="631">
        <f>-Income!AA36</f>
        <v>0</v>
      </c>
      <c r="AA67" s="631">
        <f>-Income!AB36</f>
        <v>0</v>
      </c>
      <c r="AB67" s="631">
        <f>-Income!AC36</f>
        <v>0</v>
      </c>
      <c r="AC67" s="631">
        <f>-Income!AD36</f>
        <v>0</v>
      </c>
      <c r="AD67" s="631">
        <f>-Income!AE36</f>
        <v>0</v>
      </c>
      <c r="AE67" s="631">
        <f>-Income!AF36</f>
        <v>0</v>
      </c>
      <c r="AF67" s="631">
        <f>-Income!AG36</f>
        <v>0</v>
      </c>
      <c r="AG67" s="631">
        <f>-Income!AH36</f>
        <v>0</v>
      </c>
      <c r="AH67" s="632">
        <f>-Income!AI36</f>
        <v>0</v>
      </c>
    </row>
    <row r="68" spans="1:34" s="514" customFormat="1">
      <c r="A68" s="630"/>
      <c r="B68" s="628" t="s">
        <v>535</v>
      </c>
      <c r="C68" s="631"/>
      <c r="D68" s="631">
        <f>-SUM(Income!E37:E39)</f>
        <v>-1576.3377346133179</v>
      </c>
      <c r="E68" s="631">
        <f>-SUM(Income!F37:F39)</f>
        <v>-1501.6332421413279</v>
      </c>
      <c r="F68" s="631">
        <f>-SUM(Income!G37:G39)</f>
        <v>-1422.157728375108</v>
      </c>
      <c r="G68" s="631">
        <f>-SUM(Income!H37:H39)</f>
        <v>-1428.8934206037263</v>
      </c>
      <c r="H68" s="631">
        <f>-SUM(Income!I37:I39)</f>
        <v>-1437.472524863083</v>
      </c>
      <c r="I68" s="631">
        <f>-SUM(Income!J37:J39)</f>
        <v>-324.42299661177589</v>
      </c>
      <c r="J68" s="631">
        <f>-SUM(Income!K37:K39)</f>
        <v>-331.81733452410998</v>
      </c>
      <c r="K68" s="631">
        <f>-SUM(Income!L37:L39)</f>
        <v>-339.3972637461232</v>
      </c>
      <c r="L68" s="631">
        <f>-SUM(Income!M37:M39)</f>
        <v>-347.57282042935935</v>
      </c>
      <c r="M68" s="631">
        <f>-SUM(Income!N37:N39)</f>
        <v>-356.01305148398342</v>
      </c>
      <c r="N68" s="631">
        <f>-SUM(Income!O37:O39)</f>
        <v>-364.71046174899595</v>
      </c>
      <c r="O68" s="631">
        <f>-SUM(Income!P37:P39)</f>
        <v>-373.66920173274508</v>
      </c>
      <c r="P68" s="631">
        <f>-SUM(Income!Q37:Q39)</f>
        <v>-381.66876217463778</v>
      </c>
      <c r="Q68" s="631">
        <f>-SUM(Income!R37:R39)</f>
        <v>-389.79731365627845</v>
      </c>
      <c r="R68" s="631">
        <f>-SUM(Income!S37:S39)</f>
        <v>-397.55600006480012</v>
      </c>
      <c r="S68" s="631">
        <f>-SUM(Income!T37:T39)</f>
        <v>-406.30508530478511</v>
      </c>
      <c r="T68" s="631">
        <f>-SUM(Income!U37:U39)</f>
        <v>-408.21060621264274</v>
      </c>
      <c r="U68" s="631">
        <f>-SUM(Income!V37:V39)</f>
        <v>-380.77569169943422</v>
      </c>
      <c r="V68" s="631">
        <f>-SUM(Income!W37:W39)</f>
        <v>-390.29508399192002</v>
      </c>
      <c r="W68" s="631">
        <f>-SUM(Income!X37:X39)</f>
        <v>-400.05246109171799</v>
      </c>
      <c r="X68" s="631">
        <f>-SUM(Income!Y37:Y39)</f>
        <v>-1.1390382572750262</v>
      </c>
      <c r="Y68" s="631">
        <f>-SUM(Income!Z37:Z39)</f>
        <v>0</v>
      </c>
      <c r="Z68" s="631">
        <f>-SUM(Income!AA37:AA39)</f>
        <v>0</v>
      </c>
      <c r="AA68" s="631">
        <f>-SUM(Income!AB37:AB39)</f>
        <v>0</v>
      </c>
      <c r="AB68" s="631">
        <f>-SUM(Income!AC37:AC39)</f>
        <v>0</v>
      </c>
      <c r="AC68" s="631">
        <f>-SUM(Income!AD37:AD39)</f>
        <v>0</v>
      </c>
      <c r="AD68" s="631">
        <f>-SUM(Income!AE37:AE39)</f>
        <v>0</v>
      </c>
      <c r="AE68" s="631">
        <f>-SUM(Income!AF37:AF39)</f>
        <v>0</v>
      </c>
      <c r="AF68" s="631">
        <f>-SUM(Income!AG37:AG39)</f>
        <v>0</v>
      </c>
      <c r="AG68" s="631">
        <f>-SUM(Income!AH37:AH39)</f>
        <v>0</v>
      </c>
      <c r="AH68" s="632">
        <f>-SUM(Income!AI37:AI39)</f>
        <v>0</v>
      </c>
    </row>
    <row r="69" spans="1:34" s="514" customFormat="1">
      <c r="A69" s="630"/>
      <c r="B69" s="628" t="s">
        <v>282</v>
      </c>
      <c r="C69" s="631"/>
      <c r="D69" s="631">
        <f ca="1">-Income!E45</f>
        <v>-24833.607986776802</v>
      </c>
      <c r="E69" s="631">
        <f ca="1">-Income!F45</f>
        <v>-39529.061888290962</v>
      </c>
      <c r="F69" s="631">
        <f ca="1">-Income!G45</f>
        <v>-23854.92952215124</v>
      </c>
      <c r="G69" s="631">
        <f ca="1">-Income!H45</f>
        <v>-14450.45010246741</v>
      </c>
      <c r="H69" s="631">
        <f ca="1">-Income!I45</f>
        <v>-14450.45010246741</v>
      </c>
      <c r="I69" s="631">
        <f ca="1">-Income!J45</f>
        <v>-7397.0905377045347</v>
      </c>
      <c r="J69" s="631">
        <f ca="1">-Income!K45</f>
        <v>-343.73097294166053</v>
      </c>
      <c r="K69" s="631">
        <f ca="1">-Income!L45</f>
        <v>-343.73097294166053</v>
      </c>
      <c r="L69" s="631">
        <f ca="1">-Income!M45</f>
        <v>-343.73097294166053</v>
      </c>
      <c r="M69" s="631">
        <f ca="1">-Income!N45</f>
        <v>-343.73097294166053</v>
      </c>
      <c r="N69" s="631">
        <f ca="1">-Income!O45</f>
        <v>-343.73097294166053</v>
      </c>
      <c r="O69" s="631">
        <f ca="1">-Income!P45</f>
        <v>-343.73097294166053</v>
      </c>
      <c r="P69" s="631">
        <f ca="1">-Income!Q45</f>
        <v>-343.73097294166053</v>
      </c>
      <c r="Q69" s="631">
        <f ca="1">-Income!R45</f>
        <v>-343.73097294166053</v>
      </c>
      <c r="R69" s="631">
        <f ca="1">-Income!S45</f>
        <v>-343.73097294166053</v>
      </c>
      <c r="S69" s="631">
        <f ca="1">-Income!T45</f>
        <v>-343.73097294166053</v>
      </c>
      <c r="T69" s="631">
        <f ca="1">-Income!U45</f>
        <v>-343.73097294166053</v>
      </c>
      <c r="U69" s="631">
        <f ca="1">-Income!V45</f>
        <v>-343.73097294166053</v>
      </c>
      <c r="V69" s="631">
        <f ca="1">-Income!W45</f>
        <v>-129.49587001447975</v>
      </c>
      <c r="W69" s="631">
        <f ca="1">-Income!X45</f>
        <v>-128.89911485312271</v>
      </c>
      <c r="X69" s="631">
        <f ca="1">-Income!Y45</f>
        <v>-0.35805309681422848</v>
      </c>
      <c r="Y69" s="631">
        <f ca="1">-Income!Z45</f>
        <v>0</v>
      </c>
      <c r="Z69" s="631">
        <f ca="1">-Income!AA45</f>
        <v>0</v>
      </c>
      <c r="AA69" s="631">
        <f ca="1">-Income!AB45</f>
        <v>0</v>
      </c>
      <c r="AB69" s="631">
        <f ca="1">-Income!AC45</f>
        <v>0</v>
      </c>
      <c r="AC69" s="631">
        <f ca="1">-Income!AD45</f>
        <v>0</v>
      </c>
      <c r="AD69" s="631">
        <f ca="1">-Income!AE45</f>
        <v>0</v>
      </c>
      <c r="AE69" s="631">
        <f ca="1">-Income!AF45</f>
        <v>0</v>
      </c>
      <c r="AF69" s="631">
        <f ca="1">-Income!AG45</f>
        <v>0</v>
      </c>
      <c r="AG69" s="631">
        <f ca="1">-Income!AH45</f>
        <v>0</v>
      </c>
      <c r="AH69" s="632">
        <f ca="1">-Income!AI45</f>
        <v>0</v>
      </c>
    </row>
    <row r="70" spans="1:34" s="514" customFormat="1">
      <c r="A70" s="630"/>
      <c r="B70" s="628" t="s">
        <v>435</v>
      </c>
      <c r="C70" s="631"/>
      <c r="D70" s="631">
        <f>-Income!E48</f>
        <v>-3647.4391780684955</v>
      </c>
      <c r="E70" s="631">
        <f>-Income!F48</f>
        <v>-3501.7919323124306</v>
      </c>
      <c r="F70" s="631">
        <f>-Income!G48</f>
        <v>-3421.5036127609756</v>
      </c>
      <c r="G70" s="631">
        <f>-Income!H48</f>
        <v>-3310.9744499185717</v>
      </c>
      <c r="H70" s="631">
        <f>-Income!I48</f>
        <v>-3200.6554985769753</v>
      </c>
      <c r="I70" s="631">
        <f>-Income!J48</f>
        <v>-3075.1139920557252</v>
      </c>
      <c r="J70" s="631">
        <f>-Income!K48</f>
        <v>-2937.2205048026381</v>
      </c>
      <c r="K70" s="631">
        <f>-Income!L48</f>
        <v>-2789.4708736427183</v>
      </c>
      <c r="L70" s="631">
        <f>-Income!M48</f>
        <v>-2634.8656934600317</v>
      </c>
      <c r="M70" s="631">
        <f>-Income!N48</f>
        <v>-2462.9718859667623</v>
      </c>
      <c r="N70" s="631">
        <f>-Income!O48</f>
        <v>-2274.6973399833641</v>
      </c>
      <c r="O70" s="631">
        <f>-Income!P48</f>
        <v>-2047.654411103787</v>
      </c>
      <c r="P70" s="631">
        <f>-Income!Q48</f>
        <v>-1807.4866043508746</v>
      </c>
      <c r="Q70" s="631">
        <f>-Income!R48</f>
        <v>-1536.0831557882163</v>
      </c>
      <c r="R70" s="631">
        <f>-Income!S48</f>
        <v>-1245.272139487553</v>
      </c>
      <c r="S70" s="631">
        <f>-Income!T48</f>
        <v>-924.13628437959096</v>
      </c>
      <c r="T70" s="631">
        <f>-Income!U48</f>
        <v>-584.06076804614349</v>
      </c>
      <c r="U70" s="631">
        <f>-Income!V48</f>
        <v>-211.56733620350326</v>
      </c>
      <c r="V70" s="631">
        <f>-Income!W48</f>
        <v>0</v>
      </c>
      <c r="W70" s="631">
        <f>-Income!X48</f>
        <v>0</v>
      </c>
      <c r="X70" s="631">
        <f>-Income!Y48</f>
        <v>0</v>
      </c>
      <c r="Y70" s="631">
        <f>-Income!Z48</f>
        <v>0</v>
      </c>
      <c r="Z70" s="631">
        <f>-Income!AA48</f>
        <v>0</v>
      </c>
      <c r="AA70" s="631">
        <f>-Income!AB48</f>
        <v>0</v>
      </c>
      <c r="AB70" s="631">
        <f>-Income!AC48</f>
        <v>0</v>
      </c>
      <c r="AC70" s="631">
        <f>-Income!AD48</f>
        <v>0</v>
      </c>
      <c r="AD70" s="631">
        <f>-Income!AE48</f>
        <v>0</v>
      </c>
      <c r="AE70" s="631">
        <f>-Income!AF48</f>
        <v>0</v>
      </c>
      <c r="AF70" s="631">
        <f>-Income!AG48</f>
        <v>0</v>
      </c>
      <c r="AG70" s="631">
        <f>-Income!AH48</f>
        <v>0</v>
      </c>
      <c r="AH70" s="631">
        <f>-Income!AI48</f>
        <v>0</v>
      </c>
    </row>
    <row r="71" spans="1:34" s="514" customFormat="1">
      <c r="A71" s="630"/>
      <c r="B71" s="628" t="s">
        <v>436</v>
      </c>
      <c r="C71" s="631"/>
      <c r="D71" s="631">
        <f>-Income!E49</f>
        <v>0</v>
      </c>
      <c r="E71" s="631">
        <f>-Income!F49</f>
        <v>0</v>
      </c>
      <c r="F71" s="631">
        <f>-Income!G49</f>
        <v>0</v>
      </c>
      <c r="G71" s="631">
        <f>-Income!H49</f>
        <v>0</v>
      </c>
      <c r="H71" s="631">
        <f>-Income!I49</f>
        <v>0</v>
      </c>
      <c r="I71" s="631">
        <f>-Income!J49</f>
        <v>0</v>
      </c>
      <c r="J71" s="631">
        <f>-Income!K49</f>
        <v>0</v>
      </c>
      <c r="K71" s="631">
        <f>-Income!L49</f>
        <v>0</v>
      </c>
      <c r="L71" s="631">
        <f>-Income!M49</f>
        <v>0</v>
      </c>
      <c r="M71" s="631">
        <f>-Income!N49</f>
        <v>0</v>
      </c>
      <c r="N71" s="631">
        <f>-Income!O49</f>
        <v>0</v>
      </c>
      <c r="O71" s="631">
        <f>-Income!P49</f>
        <v>0</v>
      </c>
      <c r="P71" s="631">
        <f>-Income!Q49</f>
        <v>0</v>
      </c>
      <c r="Q71" s="631">
        <f>-Income!R49</f>
        <v>0</v>
      </c>
      <c r="R71" s="631">
        <f>-Income!S49</f>
        <v>0</v>
      </c>
      <c r="S71" s="631">
        <f>-Income!T49</f>
        <v>0</v>
      </c>
      <c r="T71" s="631">
        <f>-Income!U49</f>
        <v>0</v>
      </c>
      <c r="U71" s="631">
        <f>-Income!V49</f>
        <v>0</v>
      </c>
      <c r="V71" s="631">
        <f>-Income!W49</f>
        <v>0</v>
      </c>
      <c r="W71" s="631">
        <f>-Income!X49</f>
        <v>0</v>
      </c>
      <c r="X71" s="631">
        <f>-Income!Y49</f>
        <v>0</v>
      </c>
      <c r="Y71" s="631">
        <f>-Income!Z49</f>
        <v>0</v>
      </c>
      <c r="Z71" s="631">
        <f>-Income!AA49</f>
        <v>0</v>
      </c>
      <c r="AA71" s="631">
        <f>-Income!AB49</f>
        <v>0</v>
      </c>
      <c r="AB71" s="631">
        <f>-Income!AC49</f>
        <v>0</v>
      </c>
      <c r="AC71" s="631">
        <f>-Income!AD49</f>
        <v>0</v>
      </c>
      <c r="AD71" s="631">
        <f>-Income!AE49</f>
        <v>0</v>
      </c>
      <c r="AE71" s="631">
        <f>-Income!AF49</f>
        <v>0</v>
      </c>
      <c r="AF71" s="631">
        <f>-Income!AG49</f>
        <v>0</v>
      </c>
      <c r="AG71" s="631">
        <f>-Income!AH49</f>
        <v>0</v>
      </c>
      <c r="AH71" s="631">
        <f>-Income!AI49</f>
        <v>0</v>
      </c>
    </row>
    <row r="72" spans="1:34" s="514" customFormat="1">
      <c r="A72" s="630"/>
      <c r="B72" s="628" t="s">
        <v>721</v>
      </c>
      <c r="C72" s="631"/>
      <c r="D72" s="631">
        <f>-Income!E50</f>
        <v>0</v>
      </c>
      <c r="E72" s="631">
        <f>-Income!F50</f>
        <v>0</v>
      </c>
      <c r="F72" s="631">
        <f>-Income!G50</f>
        <v>0</v>
      </c>
      <c r="G72" s="631">
        <f>-Income!H50</f>
        <v>0</v>
      </c>
      <c r="H72" s="631">
        <f>-Income!I50</f>
        <v>0</v>
      </c>
      <c r="I72" s="631">
        <f>-Income!J50</f>
        <v>0</v>
      </c>
      <c r="J72" s="631">
        <f>-Income!K50</f>
        <v>0</v>
      </c>
      <c r="K72" s="631">
        <f>-Income!L50</f>
        <v>0</v>
      </c>
      <c r="L72" s="631">
        <f>-Income!M50</f>
        <v>0</v>
      </c>
      <c r="M72" s="631">
        <f>-Income!N50</f>
        <v>0</v>
      </c>
      <c r="N72" s="631">
        <f>-Income!O50</f>
        <v>0</v>
      </c>
      <c r="O72" s="631">
        <f>-Income!P50</f>
        <v>0</v>
      </c>
      <c r="P72" s="631">
        <f>-Income!Q50</f>
        <v>0</v>
      </c>
      <c r="Q72" s="631">
        <f>-Income!R50</f>
        <v>0</v>
      </c>
      <c r="R72" s="631">
        <f>-Income!S50</f>
        <v>0</v>
      </c>
      <c r="S72" s="631">
        <f>-Income!T50</f>
        <v>0</v>
      </c>
      <c r="T72" s="631">
        <f>-Income!U50</f>
        <v>0</v>
      </c>
      <c r="U72" s="631">
        <f>-Income!V50</f>
        <v>0</v>
      </c>
      <c r="V72" s="631">
        <f>-Income!W50</f>
        <v>0</v>
      </c>
      <c r="W72" s="631">
        <f>-Income!X50</f>
        <v>0</v>
      </c>
      <c r="X72" s="631">
        <f>-Income!Y50</f>
        <v>0</v>
      </c>
      <c r="Y72" s="631">
        <f>-Income!Z50</f>
        <v>0</v>
      </c>
      <c r="Z72" s="631">
        <f>-Income!AA50</f>
        <v>0</v>
      </c>
      <c r="AA72" s="631">
        <f>-Income!AB50</f>
        <v>0</v>
      </c>
      <c r="AB72" s="631">
        <f>-Income!AC50</f>
        <v>0</v>
      </c>
      <c r="AC72" s="631">
        <f>-Income!AD50</f>
        <v>0</v>
      </c>
      <c r="AD72" s="631">
        <f>-Income!AE50</f>
        <v>0</v>
      </c>
      <c r="AE72" s="631">
        <f>-Income!AF50</f>
        <v>0</v>
      </c>
      <c r="AF72" s="631">
        <f>-Income!AG50</f>
        <v>0</v>
      </c>
      <c r="AG72" s="631">
        <f>-Income!AH50</f>
        <v>0</v>
      </c>
      <c r="AH72" s="631">
        <f>-Income!AI50</f>
        <v>0</v>
      </c>
    </row>
    <row r="73" spans="1:34" s="514" customFormat="1">
      <c r="A73" s="630"/>
      <c r="B73" s="628" t="s">
        <v>636</v>
      </c>
      <c r="C73" s="631"/>
      <c r="D73" s="631"/>
      <c r="E73" s="631"/>
      <c r="F73" s="631"/>
      <c r="G73" s="631"/>
      <c r="H73" s="631"/>
      <c r="I73" s="631"/>
      <c r="J73" s="631"/>
      <c r="K73" s="631"/>
      <c r="L73" s="631"/>
      <c r="M73" s="631"/>
      <c r="N73" s="631"/>
      <c r="O73" s="631"/>
      <c r="P73" s="631"/>
      <c r="Q73" s="631"/>
      <c r="R73" s="631"/>
      <c r="S73" s="631"/>
      <c r="T73" s="631"/>
      <c r="U73" s="631"/>
      <c r="V73" s="631"/>
      <c r="W73" s="631"/>
      <c r="X73" s="631"/>
      <c r="Y73" s="631"/>
      <c r="Z73" s="631"/>
      <c r="AA73" s="631"/>
      <c r="AB73" s="631"/>
      <c r="AC73" s="631"/>
      <c r="AD73" s="631"/>
      <c r="AE73" s="631"/>
      <c r="AF73" s="631"/>
      <c r="AG73" s="631"/>
      <c r="AH73" s="632"/>
    </row>
    <row r="74" spans="1:34" s="514" customFormat="1">
      <c r="A74" s="630"/>
      <c r="B74" s="628" t="s">
        <v>283</v>
      </c>
      <c r="C74" s="631"/>
      <c r="D74" s="631">
        <f>-CashFlow!E62</f>
        <v>-1985.2107806507152</v>
      </c>
      <c r="E74" s="631">
        <f>-CashFlow!F62</f>
        <v>-1480.4926450176845</v>
      </c>
      <c r="F74" s="631">
        <f>-CashFlow!G62</f>
        <v>-1492.0973072087177</v>
      </c>
      <c r="G74" s="631">
        <f>-CashFlow!H62</f>
        <v>-1481.3737017094782</v>
      </c>
      <c r="H74" s="631">
        <f>-CashFlow!I62</f>
        <v>-1470.4180329030396</v>
      </c>
      <c r="I74" s="631">
        <f>-CashFlow!J62</f>
        <v>-1555.2441263446904</v>
      </c>
      <c r="J74" s="631">
        <f>-CashFlow!K62</f>
        <v>-1431.6968912728516</v>
      </c>
      <c r="K74" s="631">
        <f>-CashFlow!L62</f>
        <v>-1430.0057177907274</v>
      </c>
      <c r="L74" s="631">
        <f>-CashFlow!M62</f>
        <v>-1427.6939298011375</v>
      </c>
      <c r="M74" s="631">
        <f>-CashFlow!N62</f>
        <v>-1447.1040927683948</v>
      </c>
      <c r="N74" s="631">
        <f>-CashFlow!O62</f>
        <v>-1470.1758999941048</v>
      </c>
      <c r="O74" s="631">
        <f>-CashFlow!P62</f>
        <v>-1496.2425943695835</v>
      </c>
      <c r="P74" s="631">
        <f>-CashFlow!Q62</f>
        <v>-1527.1247714941283</v>
      </c>
      <c r="Q74" s="631">
        <f>-CashFlow!R62</f>
        <v>-1495.1697626794498</v>
      </c>
      <c r="R74" s="631">
        <f>-CashFlow!S62</f>
        <v>-1459.4654492119744</v>
      </c>
      <c r="S74" s="631">
        <f>-CashFlow!T62</f>
        <v>-1390.7946428457581</v>
      </c>
      <c r="T74" s="631">
        <f>-CashFlow!U62</f>
        <v>-1370.3596058201879</v>
      </c>
      <c r="U74" s="631">
        <f>-CashFlow!V62</f>
        <v>-2320.5205604021085</v>
      </c>
      <c r="V74" s="631">
        <f>-CashFlow!W62</f>
        <v>-5816.9380609148457</v>
      </c>
      <c r="W74" s="631">
        <f>-CashFlow!X62</f>
        <v>-6440.5071598288487</v>
      </c>
      <c r="X74" s="631">
        <f>-CashFlow!Y62</f>
        <v>-16.844521113536999</v>
      </c>
      <c r="Y74" s="631">
        <f>-CashFlow!Z62</f>
        <v>0</v>
      </c>
      <c r="Z74" s="631">
        <f>-CashFlow!AA62</f>
        <v>0</v>
      </c>
      <c r="AA74" s="631">
        <f>-CashFlow!AB62</f>
        <v>0</v>
      </c>
      <c r="AB74" s="631">
        <f>-CashFlow!AC62</f>
        <v>0</v>
      </c>
      <c r="AC74" s="631">
        <f>-CashFlow!AD62</f>
        <v>0</v>
      </c>
      <c r="AD74" s="631">
        <f>-CashFlow!AE62</f>
        <v>0</v>
      </c>
      <c r="AE74" s="631">
        <f>-CashFlow!AF62</f>
        <v>0</v>
      </c>
      <c r="AF74" s="631">
        <f>-CashFlow!AG62</f>
        <v>0</v>
      </c>
      <c r="AG74" s="631">
        <f>-CashFlow!AH62</f>
        <v>0</v>
      </c>
      <c r="AH74" s="632">
        <f>-CashFlow!AI62</f>
        <v>0</v>
      </c>
    </row>
    <row r="75" spans="1:34" s="514" customFormat="1">
      <c r="A75" s="630"/>
      <c r="B75" s="628"/>
      <c r="C75" s="631"/>
      <c r="D75" s="631"/>
      <c r="E75" s="631"/>
      <c r="F75" s="631"/>
      <c r="G75" s="631"/>
      <c r="H75" s="631"/>
      <c r="I75" s="631"/>
      <c r="J75" s="631"/>
      <c r="K75" s="631"/>
      <c r="L75" s="631"/>
      <c r="M75" s="631"/>
      <c r="N75" s="631"/>
      <c r="O75" s="631"/>
      <c r="P75" s="631"/>
      <c r="Q75" s="631"/>
      <c r="R75" s="631"/>
      <c r="S75" s="631"/>
      <c r="T75" s="631"/>
      <c r="U75" s="631"/>
      <c r="V75" s="631"/>
      <c r="W75" s="631"/>
      <c r="X75" s="631"/>
      <c r="Y75" s="631"/>
      <c r="Z75" s="631"/>
      <c r="AA75" s="631"/>
      <c r="AB75" s="631"/>
      <c r="AC75" s="631"/>
      <c r="AD75" s="631"/>
      <c r="AE75" s="631"/>
      <c r="AF75" s="631"/>
      <c r="AG75" s="631"/>
      <c r="AH75" s="632"/>
    </row>
    <row r="76" spans="1:34" s="428" customFormat="1">
      <c r="A76" s="887"/>
      <c r="B76" s="582" t="s">
        <v>284</v>
      </c>
      <c r="C76" s="686"/>
      <c r="D76" s="686">
        <f ca="1">SUM(D60:D74)</f>
        <v>68590.324822790019</v>
      </c>
      <c r="E76" s="686">
        <f ca="1">SUM(E60:E74)</f>
        <v>30005.222654735488</v>
      </c>
      <c r="F76" s="686">
        <f t="shared" ref="F76:AG76" ca="1" si="26">SUM(F60:F74)</f>
        <v>7219.330553007665</v>
      </c>
      <c r="G76" s="686">
        <f t="shared" ca="1" si="26"/>
        <v>-6061.4687537477694</v>
      </c>
      <c r="H76" s="686">
        <f t="shared" ca="1" si="26"/>
        <v>-19235.700274230392</v>
      </c>
      <c r="I76" s="686">
        <f t="shared" ca="1" si="26"/>
        <v>-25011.539701056554</v>
      </c>
      <c r="J76" s="686">
        <f t="shared" ca="1" si="26"/>
        <v>-23883.562457796717</v>
      </c>
      <c r="K76" s="686">
        <f t="shared" ca="1" si="26"/>
        <v>-22593.11062926965</v>
      </c>
      <c r="L76" s="686">
        <f t="shared" ca="1" si="26"/>
        <v>-21132.862834085132</v>
      </c>
      <c r="M76" s="686">
        <f t="shared" ca="1" si="26"/>
        <v>-19431.000117344676</v>
      </c>
      <c r="N76" s="686">
        <f t="shared" ca="1" si="26"/>
        <v>-17461.360656171008</v>
      </c>
      <c r="O76" s="686">
        <f t="shared" ca="1" si="26"/>
        <v>-15177.032037855248</v>
      </c>
      <c r="P76" s="686">
        <f t="shared" ca="1" si="26"/>
        <v>-12556.84562586078</v>
      </c>
      <c r="Q76" s="686">
        <f t="shared" ca="1" si="26"/>
        <v>-9724.926592759035</v>
      </c>
      <c r="R76" s="686">
        <f t="shared" ca="1" si="26"/>
        <v>-6672.8255492130147</v>
      </c>
      <c r="S76" s="686">
        <f t="shared" ca="1" si="26"/>
        <v>-3448.3939128159368</v>
      </c>
      <c r="T76" s="686">
        <f t="shared" ca="1" si="26"/>
        <v>69.778717591382247</v>
      </c>
      <c r="U76" s="686">
        <f t="shared" ca="1" si="26"/>
        <v>2971.3130172346318</v>
      </c>
      <c r="V76" s="686">
        <f t="shared" ca="1" si="26"/>
        <v>2841.8171072837822</v>
      </c>
      <c r="W76" s="686">
        <f t="shared" ca="1" si="26"/>
        <v>2012.917984627089</v>
      </c>
      <c r="X76" s="686">
        <f t="shared" ca="1" si="26"/>
        <v>2012.5599828573645</v>
      </c>
      <c r="Y76" s="686">
        <f t="shared" ca="1" si="26"/>
        <v>2012.5600547860329</v>
      </c>
      <c r="Z76" s="686">
        <f t="shared" ca="1" si="26"/>
        <v>2012.56010755737</v>
      </c>
      <c r="AA76" s="686">
        <f t="shared" ca="1" si="26"/>
        <v>2012.5600885026251</v>
      </c>
      <c r="AB76" s="686">
        <f t="shared" ca="1" si="26"/>
        <v>2012.559937857402</v>
      </c>
      <c r="AC76" s="686">
        <f t="shared" ca="1" si="26"/>
        <v>2012.5598206863494</v>
      </c>
      <c r="AD76" s="686">
        <f t="shared" ca="1" si="26"/>
        <v>2012.5597957759603</v>
      </c>
      <c r="AE76" s="686">
        <f t="shared" ca="1" si="26"/>
        <v>2012.5599520268383</v>
      </c>
      <c r="AF76" s="686">
        <f t="shared" ca="1" si="26"/>
        <v>2012.5601507263364</v>
      </c>
      <c r="AG76" s="686">
        <f t="shared" ca="1" si="26"/>
        <v>2012.5603054150642</v>
      </c>
      <c r="AH76" s="583">
        <f ca="1">SUM(AH60:AH74)</f>
        <v>2012.5602657811501</v>
      </c>
    </row>
    <row r="77" spans="1:34" s="59" customFormat="1">
      <c r="A77" s="720"/>
      <c r="B77" s="629"/>
      <c r="C77" s="317"/>
      <c r="D77" s="317"/>
      <c r="E77" s="317"/>
      <c r="F77" s="317"/>
      <c r="G77" s="317"/>
      <c r="H77" s="317"/>
      <c r="I77" s="317"/>
      <c r="J77" s="317"/>
      <c r="K77" s="317"/>
      <c r="L77" s="317"/>
      <c r="M77" s="317"/>
      <c r="N77" s="317"/>
      <c r="O77" s="317"/>
      <c r="P77" s="317"/>
      <c r="Q77" s="317"/>
      <c r="R77" s="317"/>
      <c r="S77" s="317"/>
      <c r="T77" s="317"/>
      <c r="U77" s="317"/>
      <c r="V77" s="317"/>
      <c r="W77" s="317"/>
      <c r="X77" s="317"/>
      <c r="Y77" s="317"/>
      <c r="Z77" s="317"/>
      <c r="AA77" s="317"/>
      <c r="AB77" s="317"/>
      <c r="AC77" s="317"/>
      <c r="AD77" s="317"/>
      <c r="AE77" s="317"/>
      <c r="AF77" s="317"/>
      <c r="AG77" s="317"/>
      <c r="AH77" s="318"/>
    </row>
    <row r="78" spans="1:34" s="59" customFormat="1">
      <c r="A78" s="720"/>
      <c r="B78" s="629"/>
      <c r="C78" s="317"/>
      <c r="D78" s="317"/>
      <c r="E78" s="317"/>
      <c r="F78" s="317"/>
      <c r="G78" s="317"/>
      <c r="H78" s="317"/>
      <c r="I78" s="317"/>
      <c r="J78" s="317"/>
      <c r="K78" s="317"/>
      <c r="L78" s="317"/>
      <c r="M78" s="317"/>
      <c r="N78" s="317"/>
      <c r="O78" s="317"/>
      <c r="P78" s="317"/>
      <c r="Q78" s="317"/>
      <c r="R78" s="317"/>
      <c r="S78" s="317"/>
      <c r="T78" s="317"/>
      <c r="U78" s="317"/>
      <c r="V78" s="317"/>
      <c r="W78" s="317"/>
      <c r="X78" s="317"/>
      <c r="Y78" s="317"/>
      <c r="Z78" s="317"/>
      <c r="AA78" s="317"/>
      <c r="AB78" s="317"/>
      <c r="AC78" s="317"/>
      <c r="AD78" s="317"/>
      <c r="AE78" s="317"/>
      <c r="AF78" s="317"/>
      <c r="AG78" s="317"/>
      <c r="AH78" s="318"/>
    </row>
    <row r="79" spans="1:34" s="428" customFormat="1">
      <c r="A79" s="887"/>
      <c r="B79" s="471" t="s">
        <v>116</v>
      </c>
      <c r="C79" s="473"/>
      <c r="D79" s="473">
        <f t="shared" ref="D79:AG79" ca="1" si="27">SUM(D63:D73)</f>
        <v>-20764.785390900437</v>
      </c>
      <c r="E79" s="473">
        <f t="shared" ca="1" si="27"/>
        <v>-37104.609523439642</v>
      </c>
      <c r="F79" s="473">
        <f t="shared" ca="1" si="27"/>
        <v>-21293.794792193123</v>
      </c>
      <c r="G79" s="473">
        <f t="shared" ca="1" si="27"/>
        <v>-11799.425598578764</v>
      </c>
      <c r="H79" s="473">
        <f t="shared" ca="1" si="27"/>
        <v>-11703.813482175752</v>
      </c>
      <c r="I79" s="473">
        <f t="shared" ca="1" si="27"/>
        <v>-4220.5952993990131</v>
      </c>
      <c r="J79" s="473">
        <f t="shared" ca="1" si="27"/>
        <v>2559.6741287609557</v>
      </c>
      <c r="K79" s="473">
        <f t="shared" ca="1" si="27"/>
        <v>2720.4575372581958</v>
      </c>
      <c r="L79" s="473">
        <f t="shared" ca="1" si="27"/>
        <v>2887.9417189573228</v>
      </c>
      <c r="M79" s="473">
        <f t="shared" ca="1" si="27"/>
        <v>3148.9668127512082</v>
      </c>
      <c r="N79" s="473">
        <f t="shared" ca="1" si="27"/>
        <v>3439.8153779512768</v>
      </c>
      <c r="O79" s="473">
        <f t="shared" ca="1" si="27"/>
        <v>3780.5712263667906</v>
      </c>
      <c r="P79" s="473">
        <f t="shared" ca="1" si="27"/>
        <v>4147.3111859818755</v>
      </c>
      <c r="Q79" s="473">
        <f t="shared" ca="1" si="27"/>
        <v>4327.0887786675685</v>
      </c>
      <c r="R79" s="473">
        <f t="shared" ca="1" si="27"/>
        <v>4511.5664670886817</v>
      </c>
      <c r="S79" s="473">
        <f t="shared" ca="1" si="27"/>
        <v>4615.2262613700368</v>
      </c>
      <c r="T79" s="473">
        <f t="shared" ca="1" si="27"/>
        <v>4888.5322443560499</v>
      </c>
      <c r="U79" s="473">
        <f t="shared" ca="1" si="27"/>
        <v>5222.054910300445</v>
      </c>
      <c r="V79" s="473">
        <f t="shared" ca="1" si="27"/>
        <v>5687.4421909003659</v>
      </c>
      <c r="W79" s="473">
        <f t="shared" ca="1" si="27"/>
        <v>5611.6080449757255</v>
      </c>
      <c r="X79" s="473">
        <f t="shared" ca="1" si="27"/>
        <v>16.486468016722771</v>
      </c>
      <c r="Y79" s="473">
        <f t="shared" ca="1" si="27"/>
        <v>0</v>
      </c>
      <c r="Z79" s="473">
        <f t="shared" ca="1" si="27"/>
        <v>0</v>
      </c>
      <c r="AA79" s="473">
        <f t="shared" ca="1" si="27"/>
        <v>0</v>
      </c>
      <c r="AB79" s="473">
        <f t="shared" ca="1" si="27"/>
        <v>0</v>
      </c>
      <c r="AC79" s="473">
        <f t="shared" ca="1" si="27"/>
        <v>0</v>
      </c>
      <c r="AD79" s="473">
        <f t="shared" ca="1" si="27"/>
        <v>0</v>
      </c>
      <c r="AE79" s="473">
        <f t="shared" ca="1" si="27"/>
        <v>0</v>
      </c>
      <c r="AF79" s="473">
        <f t="shared" ca="1" si="27"/>
        <v>0</v>
      </c>
      <c r="AG79" s="473">
        <f t="shared" ca="1" si="27"/>
        <v>0</v>
      </c>
      <c r="AH79" s="473">
        <f ca="1">SUM(AH63:AH73)</f>
        <v>0</v>
      </c>
    </row>
    <row r="81" spans="1:33" s="65" customFormat="1">
      <c r="A81" s="612"/>
    </row>
    <row r="82" spans="1:33" s="65" customFormat="1">
      <c r="A82" s="612"/>
    </row>
    <row r="83" spans="1:33" s="214" customFormat="1">
      <c r="A83" s="612"/>
      <c r="B83" s="395" t="s">
        <v>599</v>
      </c>
    </row>
    <row r="84" spans="1:33" s="59" customFormat="1">
      <c r="A84" s="720"/>
      <c r="B84" s="59" t="s">
        <v>597</v>
      </c>
      <c r="C84" s="59">
        <f>SUM(D84:AG84)</f>
        <v>40271.353865997226</v>
      </c>
      <c r="D84" s="59">
        <f>SrDebt!E123+JrDebt!E70</f>
        <v>2083.6118152256513</v>
      </c>
      <c r="E84" s="59">
        <f>SrDebt!F123+JrDebt!F70</f>
        <v>943.95971983363711</v>
      </c>
      <c r="F84" s="59">
        <f>SrDebt!G123+JrDebt!G70</f>
        <v>1069.0374227494012</v>
      </c>
      <c r="G84" s="59">
        <f>SrDebt!H123+JrDebt!H70</f>
        <v>1169.6508021791685</v>
      </c>
      <c r="H84" s="59">
        <f>SrDebt!I123+JrDebt!I70</f>
        <v>1276.2185873886185</v>
      </c>
      <c r="I84" s="59">
        <f>SrDebt!J123+JrDebt!J70</f>
        <v>1621.2511119608309</v>
      </c>
      <c r="J84" s="59">
        <f>SrDebt!K123+JrDebt!K70</f>
        <v>1471.708210429764</v>
      </c>
      <c r="K84" s="59">
        <f>SrDebt!L123+JrDebt!L70</f>
        <v>1634.1827924091283</v>
      </c>
      <c r="L84" s="59">
        <f>SrDebt!M123+JrDebt!M70</f>
        <v>1803.9787620978454</v>
      </c>
      <c r="M84" s="59">
        <f>SrDebt!N123+JrDebt!N70</f>
        <v>2045.593692924474</v>
      </c>
      <c r="N84" s="59">
        <f>SrDebt!O123+JrDebt!O70</f>
        <v>2313.3704508988321</v>
      </c>
      <c r="O84" s="59">
        <f>SrDebt!P123+JrDebt!P70</f>
        <v>2628.0596049388673</v>
      </c>
      <c r="P84" s="59">
        <f>SrDebt!Q123+JrDebt!Q70</f>
        <v>2963.9173874294074</v>
      </c>
      <c r="Q84" s="59">
        <f>SrDebt!R123+JrDebt!R70</f>
        <v>3175.6499889297793</v>
      </c>
      <c r="R84" s="59">
        <f>SrDebt!S123+JrDebt!S70</f>
        <v>3395.831990818368</v>
      </c>
      <c r="S84" s="59">
        <f>SrDebt!T123+JrDebt!T70</f>
        <v>3568.1625914659394</v>
      </c>
      <c r="T84" s="59">
        <f>SrDebt!U123+JrDebt!U70</f>
        <v>3861.9036114775226</v>
      </c>
      <c r="U84" s="59">
        <f>SrDebt!V123+JrDebt!V70</f>
        <v>3245.2653228399968</v>
      </c>
      <c r="V84" s="59">
        <f>SrDebt!W123+JrDebt!W70</f>
        <v>0</v>
      </c>
      <c r="W84" s="59">
        <f>SrDebt!X123+JrDebt!X70</f>
        <v>0</v>
      </c>
      <c r="X84" s="59">
        <f>SrDebt!Y123+JrDebt!Y70</f>
        <v>0</v>
      </c>
      <c r="Y84" s="59">
        <f>SrDebt!Z123+JrDebt!Z70</f>
        <v>0</v>
      </c>
      <c r="Z84" s="59">
        <f>SrDebt!AA123+JrDebt!AA70</f>
        <v>0</v>
      </c>
      <c r="AA84" s="59">
        <f>SrDebt!AB123+JrDebt!AB70</f>
        <v>0</v>
      </c>
      <c r="AB84" s="59">
        <f>SrDebt!AC123+JrDebt!AC70</f>
        <v>0</v>
      </c>
      <c r="AC84" s="59">
        <f>SrDebt!AD123+JrDebt!AD70</f>
        <v>0</v>
      </c>
      <c r="AD84" s="59">
        <f>SrDebt!AE123+JrDebt!AE70</f>
        <v>0</v>
      </c>
      <c r="AE84" s="59">
        <f>SrDebt!AF123+JrDebt!AF70</f>
        <v>0</v>
      </c>
      <c r="AF84" s="59">
        <f>SrDebt!AG123+JrDebt!AG70</f>
        <v>0</v>
      </c>
      <c r="AG84" s="59">
        <f>SrDebt!AH123+JrDebt!AH70</f>
        <v>0</v>
      </c>
    </row>
    <row r="85" spans="1:33" s="59" customFormat="1">
      <c r="A85" s="720"/>
    </row>
    <row r="86" spans="1:33" s="59" customFormat="1">
      <c r="A86" s="720"/>
      <c r="B86" s="59" t="s">
        <v>598</v>
      </c>
      <c r="C86" s="59">
        <f>SUM(D86:AG86)</f>
        <v>39571.353865997226</v>
      </c>
      <c r="D86" s="59">
        <f>D62+SUM(D66:D68)+SUM(D70:D74)</f>
        <v>2083.6118152256513</v>
      </c>
      <c r="E86" s="59">
        <f t="shared" ref="E86:AG86" si="28">E62+SUM(E66:E68)+SUM(E70:E74)</f>
        <v>943.95971983363688</v>
      </c>
      <c r="F86" s="59">
        <f t="shared" si="28"/>
        <v>1069.0374227494012</v>
      </c>
      <c r="G86" s="59">
        <f t="shared" si="28"/>
        <v>1169.6508021791687</v>
      </c>
      <c r="H86" s="59">
        <f t="shared" si="28"/>
        <v>1276.2185873886183</v>
      </c>
      <c r="I86" s="59">
        <f t="shared" si="28"/>
        <v>1621.2511119608307</v>
      </c>
      <c r="J86" s="59">
        <f t="shared" si="28"/>
        <v>1471.7082104297642</v>
      </c>
      <c r="K86" s="59">
        <f t="shared" si="28"/>
        <v>1634.1827924091285</v>
      </c>
      <c r="L86" s="59">
        <f t="shared" si="28"/>
        <v>1803.9787620978454</v>
      </c>
      <c r="M86" s="59">
        <f t="shared" si="28"/>
        <v>2045.5936929244735</v>
      </c>
      <c r="N86" s="59">
        <f t="shared" si="28"/>
        <v>2313.3704508988321</v>
      </c>
      <c r="O86" s="59">
        <f t="shared" si="28"/>
        <v>2628.0596049388673</v>
      </c>
      <c r="P86" s="59">
        <f t="shared" si="28"/>
        <v>2963.9173874294074</v>
      </c>
      <c r="Q86" s="59">
        <f t="shared" si="28"/>
        <v>3175.6499889297793</v>
      </c>
      <c r="R86" s="59">
        <f t="shared" si="28"/>
        <v>3395.831990818368</v>
      </c>
      <c r="S86" s="59">
        <f t="shared" si="28"/>
        <v>3568.1625914659394</v>
      </c>
      <c r="T86" s="59">
        <f t="shared" si="28"/>
        <v>3861.9036114775222</v>
      </c>
      <c r="U86" s="59">
        <f t="shared" si="28"/>
        <v>3245.2653228399968</v>
      </c>
      <c r="V86" s="59">
        <f t="shared" si="28"/>
        <v>0</v>
      </c>
      <c r="W86" s="59">
        <f t="shared" si="28"/>
        <v>-700</v>
      </c>
      <c r="X86" s="59">
        <f t="shared" si="28"/>
        <v>0</v>
      </c>
      <c r="Y86" s="59">
        <f t="shared" si="28"/>
        <v>0</v>
      </c>
      <c r="Z86" s="59">
        <f t="shared" si="28"/>
        <v>0</v>
      </c>
      <c r="AA86" s="59">
        <f t="shared" si="28"/>
        <v>0</v>
      </c>
      <c r="AB86" s="59">
        <f t="shared" si="28"/>
        <v>0</v>
      </c>
      <c r="AC86" s="59">
        <f t="shared" si="28"/>
        <v>0</v>
      </c>
      <c r="AD86" s="59">
        <f t="shared" si="28"/>
        <v>0</v>
      </c>
      <c r="AE86" s="59">
        <f t="shared" si="28"/>
        <v>0</v>
      </c>
      <c r="AF86" s="59">
        <f t="shared" si="28"/>
        <v>0</v>
      </c>
      <c r="AG86" s="59">
        <f t="shared" si="28"/>
        <v>0</v>
      </c>
    </row>
    <row r="87" spans="1:33" s="59" customFormat="1">
      <c r="A87" s="720"/>
      <c r="B87" s="59" t="s">
        <v>102</v>
      </c>
      <c r="C87" s="59">
        <f>C84-C86</f>
        <v>700</v>
      </c>
      <c r="D87" s="59">
        <f t="shared" ref="D87:AG87" si="29">D86-D84</f>
        <v>0</v>
      </c>
      <c r="E87" s="59">
        <f t="shared" si="29"/>
        <v>0</v>
      </c>
      <c r="F87" s="59">
        <f t="shared" si="29"/>
        <v>0</v>
      </c>
      <c r="G87" s="59">
        <f t="shared" si="29"/>
        <v>0</v>
      </c>
      <c r="H87" s="59">
        <f t="shared" si="29"/>
        <v>0</v>
      </c>
      <c r="I87" s="59">
        <f t="shared" si="29"/>
        <v>0</v>
      </c>
      <c r="J87" s="59">
        <f t="shared" si="29"/>
        <v>0</v>
      </c>
      <c r="K87" s="59">
        <f t="shared" si="29"/>
        <v>0</v>
      </c>
      <c r="L87" s="59">
        <f t="shared" si="29"/>
        <v>0</v>
      </c>
      <c r="M87" s="59">
        <f t="shared" si="29"/>
        <v>0</v>
      </c>
      <c r="N87" s="59">
        <f t="shared" si="29"/>
        <v>0</v>
      </c>
      <c r="O87" s="59">
        <f t="shared" si="29"/>
        <v>0</v>
      </c>
      <c r="P87" s="59">
        <f t="shared" si="29"/>
        <v>0</v>
      </c>
      <c r="Q87" s="59">
        <f t="shared" si="29"/>
        <v>0</v>
      </c>
      <c r="R87" s="59">
        <f t="shared" si="29"/>
        <v>0</v>
      </c>
      <c r="S87" s="59">
        <f t="shared" si="29"/>
        <v>0</v>
      </c>
      <c r="T87" s="59">
        <f t="shared" si="29"/>
        <v>0</v>
      </c>
      <c r="U87" s="59">
        <f t="shared" si="29"/>
        <v>0</v>
      </c>
      <c r="V87" s="59">
        <f t="shared" si="29"/>
        <v>0</v>
      </c>
      <c r="W87" s="59">
        <f t="shared" si="29"/>
        <v>-700</v>
      </c>
      <c r="X87" s="59">
        <f t="shared" si="29"/>
        <v>0</v>
      </c>
      <c r="Y87" s="59">
        <f t="shared" si="29"/>
        <v>0</v>
      </c>
      <c r="Z87" s="59">
        <f t="shared" si="29"/>
        <v>0</v>
      </c>
      <c r="AA87" s="59">
        <f t="shared" si="29"/>
        <v>0</v>
      </c>
      <c r="AB87" s="59">
        <f t="shared" si="29"/>
        <v>0</v>
      </c>
      <c r="AC87" s="59">
        <f t="shared" si="29"/>
        <v>0</v>
      </c>
      <c r="AD87" s="59">
        <f t="shared" si="29"/>
        <v>0</v>
      </c>
      <c r="AE87" s="59">
        <f t="shared" si="29"/>
        <v>0</v>
      </c>
      <c r="AF87" s="59">
        <f t="shared" si="29"/>
        <v>0</v>
      </c>
      <c r="AG87" s="59">
        <f t="shared" si="29"/>
        <v>0</v>
      </c>
    </row>
    <row r="88" spans="1:33" s="59" customFormat="1">
      <c r="A88" s="720"/>
    </row>
    <row r="89" spans="1:33" s="59" customFormat="1">
      <c r="A89" s="720"/>
      <c r="B89" s="59" t="s">
        <v>550</v>
      </c>
      <c r="C89" s="59">
        <f ca="1">D10+D36</f>
        <v>91340.320994341164</v>
      </c>
      <c r="E89" s="59">
        <f>SUM(D87:AG87)</f>
        <v>-700</v>
      </c>
      <c r="F89" s="59" t="s">
        <v>99</v>
      </c>
    </row>
    <row r="90" spans="1:33" s="59" customFormat="1">
      <c r="A90" s="720"/>
      <c r="B90" s="59" t="s">
        <v>97</v>
      </c>
      <c r="C90" s="59">
        <f ca="1">C86+C89</f>
        <v>130911.67486033839</v>
      </c>
    </row>
    <row r="91" spans="1:33" s="59" customFormat="1">
      <c r="A91" s="720"/>
      <c r="B91" s="59" t="s">
        <v>96</v>
      </c>
      <c r="C91" s="59">
        <f ca="1">Srcs_Uses!E12</f>
        <v>131611.67486033839</v>
      </c>
    </row>
    <row r="92" spans="1:33" s="59" customFormat="1">
      <c r="A92" s="720"/>
      <c r="B92" s="59" t="s">
        <v>98</v>
      </c>
      <c r="C92" s="59">
        <f ca="1">C90-C91</f>
        <v>-700</v>
      </c>
      <c r="D92" s="602"/>
    </row>
    <row r="93" spans="1:33" s="59" customFormat="1">
      <c r="A93" s="720"/>
    </row>
    <row r="94" spans="1:33" s="59" customFormat="1">
      <c r="A94" s="720"/>
      <c r="B94" s="59" t="s">
        <v>549</v>
      </c>
      <c r="C94" s="59">
        <f ca="1">-SUM(D18:AG18)-SUM(D44:AG44)</f>
        <v>128899.11485144596</v>
      </c>
    </row>
    <row r="95" spans="1:33" s="59" customFormat="1">
      <c r="A95" s="720"/>
      <c r="B95" s="59" t="s">
        <v>100</v>
      </c>
      <c r="C95" s="59">
        <f ca="1">AG51+AG25</f>
        <v>2012.5603752824684</v>
      </c>
    </row>
    <row r="96" spans="1:33" s="59" customFormat="1">
      <c r="A96" s="720"/>
      <c r="B96" s="59" t="s">
        <v>101</v>
      </c>
      <c r="C96" s="59">
        <f ca="1">C91-C94</f>
        <v>2712.5600088924257</v>
      </c>
    </row>
    <row r="97" spans="1:3" s="59" customFormat="1">
      <c r="A97" s="720"/>
      <c r="B97" s="59" t="s">
        <v>98</v>
      </c>
      <c r="C97" s="59">
        <f ca="1">C95-C96</f>
        <v>-699.9996336099573</v>
      </c>
    </row>
    <row r="98" spans="1:3" s="59" customFormat="1">
      <c r="A98" s="720"/>
    </row>
    <row r="99" spans="1:3" s="59" customFormat="1">
      <c r="A99" s="720"/>
      <c r="B99" s="59" t="s">
        <v>108</v>
      </c>
      <c r="C99" s="59">
        <f ca="1">Srcs_Uses!E12</f>
        <v>131611.67486033839</v>
      </c>
    </row>
    <row r="100" spans="1:3" s="59" customFormat="1">
      <c r="A100" s="720"/>
      <c r="B100" s="59" t="s">
        <v>109</v>
      </c>
      <c r="C100" s="59">
        <f ca="1">Income!E14</f>
        <v>128899.11485312271</v>
      </c>
    </row>
    <row r="101" spans="1:3" s="59" customFormat="1">
      <c r="A101" s="720"/>
      <c r="B101" s="59" t="s">
        <v>110</v>
      </c>
      <c r="C101" s="59">
        <f ca="1">C99-C100</f>
        <v>2712.5600072156813</v>
      </c>
    </row>
    <row r="102" spans="1:3" s="59" customFormat="1">
      <c r="A102" s="720"/>
      <c r="B102" s="59" t="s">
        <v>111</v>
      </c>
      <c r="C102" s="59">
        <f>Srcs_Uses!E24</f>
        <v>700</v>
      </c>
    </row>
    <row r="103" spans="1:3" s="59" customFormat="1">
      <c r="A103" s="720"/>
      <c r="B103" s="59" t="s">
        <v>112</v>
      </c>
      <c r="C103" s="59">
        <f ca="1">AG25+AG51</f>
        <v>2012.5603752824684</v>
      </c>
    </row>
    <row r="104" spans="1:3" s="59" customFormat="1">
      <c r="A104" s="720"/>
    </row>
    <row r="105" spans="1:3" s="59" customFormat="1">
      <c r="A105" s="720"/>
    </row>
    <row r="106" spans="1:3" s="59" customFormat="1">
      <c r="A106" s="720"/>
    </row>
  </sheetData>
  <printOptions headings="1"/>
  <pageMargins left="0.25" right="0.32" top="0.57999999999999996" bottom="0.63" header="0.5" footer="0.5"/>
  <pageSetup scale="54" orientation="landscape" verticalDpi="300" r:id="rId1"/>
  <headerFooter alignWithMargins="0"/>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pageSetUpPr fitToPage="1"/>
  </sheetPr>
  <dimension ref="A1:AM89"/>
  <sheetViews>
    <sheetView zoomScale="75" workbookViewId="0">
      <selection sqref="A1:W40"/>
    </sheetView>
  </sheetViews>
  <sheetFormatPr defaultColWidth="8.85546875" defaultRowHeight="12.75"/>
  <cols>
    <col min="1" max="1" width="8.85546875" style="65" customWidth="1"/>
    <col min="2" max="2" width="47.42578125" customWidth="1"/>
    <col min="3" max="3" width="13.42578125" customWidth="1"/>
    <col min="4" max="14" width="10.28515625" customWidth="1"/>
    <col min="15" max="33" width="9" bestFit="1" customWidth="1"/>
  </cols>
  <sheetData>
    <row r="1" spans="1:34" ht="15.75">
      <c r="A1" s="612"/>
      <c r="B1" s="338" t="str">
        <f>ExecSum!$E$4</f>
        <v>Sweetwater 129.00MW Project</v>
      </c>
      <c r="D1" s="244">
        <v>1</v>
      </c>
      <c r="E1" s="245">
        <v>2</v>
      </c>
      <c r="F1" s="245">
        <v>3</v>
      </c>
      <c r="G1" s="245">
        <v>4</v>
      </c>
      <c r="H1" s="245">
        <v>5</v>
      </c>
      <c r="I1" s="245">
        <v>6</v>
      </c>
      <c r="J1" s="245">
        <v>7</v>
      </c>
      <c r="K1" s="245">
        <v>8</v>
      </c>
      <c r="L1" s="245">
        <v>9</v>
      </c>
      <c r="M1" s="245">
        <v>10</v>
      </c>
      <c r="N1" s="245">
        <v>11</v>
      </c>
      <c r="O1" s="245">
        <v>12</v>
      </c>
      <c r="P1" s="245">
        <v>13</v>
      </c>
      <c r="Q1" s="245">
        <v>14</v>
      </c>
      <c r="R1" s="245">
        <v>15</v>
      </c>
      <c r="S1" s="245">
        <v>16</v>
      </c>
      <c r="T1" s="245">
        <v>17</v>
      </c>
      <c r="U1" s="245">
        <v>18</v>
      </c>
      <c r="V1" s="245">
        <v>19</v>
      </c>
      <c r="W1" s="245">
        <v>20</v>
      </c>
      <c r="X1" s="245">
        <v>21</v>
      </c>
      <c r="Y1" s="245">
        <v>22</v>
      </c>
      <c r="Z1" s="245">
        <v>23</v>
      </c>
      <c r="AA1" s="245">
        <v>24</v>
      </c>
      <c r="AB1" s="245">
        <v>25</v>
      </c>
      <c r="AC1" s="245">
        <v>26</v>
      </c>
      <c r="AD1" s="245">
        <v>27</v>
      </c>
      <c r="AE1" s="245">
        <v>28</v>
      </c>
      <c r="AF1" s="245">
        <v>29</v>
      </c>
      <c r="AG1" s="245">
        <v>30</v>
      </c>
      <c r="AH1" s="246">
        <v>31</v>
      </c>
    </row>
    <row r="2" spans="1:34" ht="15.75">
      <c r="A2" s="612"/>
      <c r="B2" s="902" t="s">
        <v>397</v>
      </c>
      <c r="D2" s="247">
        <f>Assum!$H$25</f>
        <v>2002</v>
      </c>
      <c r="E2" s="248">
        <f t="shared" ref="E2:AG2" si="0">D2+1</f>
        <v>2003</v>
      </c>
      <c r="F2" s="248">
        <f t="shared" si="0"/>
        <v>2004</v>
      </c>
      <c r="G2" s="248">
        <f t="shared" si="0"/>
        <v>2005</v>
      </c>
      <c r="H2" s="248">
        <f t="shared" si="0"/>
        <v>2006</v>
      </c>
      <c r="I2" s="248">
        <f t="shared" si="0"/>
        <v>2007</v>
      </c>
      <c r="J2" s="248">
        <f t="shared" si="0"/>
        <v>2008</v>
      </c>
      <c r="K2" s="248">
        <f t="shared" si="0"/>
        <v>2009</v>
      </c>
      <c r="L2" s="248">
        <f t="shared" si="0"/>
        <v>2010</v>
      </c>
      <c r="M2" s="248">
        <f t="shared" si="0"/>
        <v>2011</v>
      </c>
      <c r="N2" s="248">
        <f t="shared" si="0"/>
        <v>2012</v>
      </c>
      <c r="O2" s="248">
        <f t="shared" si="0"/>
        <v>2013</v>
      </c>
      <c r="P2" s="248">
        <f t="shared" si="0"/>
        <v>2014</v>
      </c>
      <c r="Q2" s="248">
        <f t="shared" si="0"/>
        <v>2015</v>
      </c>
      <c r="R2" s="248">
        <f t="shared" si="0"/>
        <v>2016</v>
      </c>
      <c r="S2" s="248">
        <f t="shared" si="0"/>
        <v>2017</v>
      </c>
      <c r="T2" s="248">
        <f t="shared" si="0"/>
        <v>2018</v>
      </c>
      <c r="U2" s="248">
        <f t="shared" si="0"/>
        <v>2019</v>
      </c>
      <c r="V2" s="248">
        <f t="shared" si="0"/>
        <v>2020</v>
      </c>
      <c r="W2" s="248">
        <f t="shared" si="0"/>
        <v>2021</v>
      </c>
      <c r="X2" s="248">
        <f t="shared" si="0"/>
        <v>2022</v>
      </c>
      <c r="Y2" s="248">
        <f t="shared" si="0"/>
        <v>2023</v>
      </c>
      <c r="Z2" s="248">
        <f t="shared" si="0"/>
        <v>2024</v>
      </c>
      <c r="AA2" s="248">
        <f t="shared" si="0"/>
        <v>2025</v>
      </c>
      <c r="AB2" s="248">
        <f t="shared" si="0"/>
        <v>2026</v>
      </c>
      <c r="AC2" s="248">
        <f t="shared" si="0"/>
        <v>2027</v>
      </c>
      <c r="AD2" s="248">
        <f t="shared" si="0"/>
        <v>2028</v>
      </c>
      <c r="AE2" s="248">
        <f t="shared" si="0"/>
        <v>2029</v>
      </c>
      <c r="AF2" s="248">
        <f t="shared" si="0"/>
        <v>2030</v>
      </c>
      <c r="AG2" s="248">
        <f t="shared" si="0"/>
        <v>2031</v>
      </c>
      <c r="AH2" s="249">
        <f>AG2+1</f>
        <v>2032</v>
      </c>
    </row>
    <row r="3" spans="1:34">
      <c r="A3" s="612"/>
    </row>
    <row r="4" spans="1:34">
      <c r="A4" s="612"/>
      <c r="B4" s="1086" t="s">
        <v>448</v>
      </c>
    </row>
    <row r="5" spans="1:34">
      <c r="A5" s="612"/>
    </row>
    <row r="6" spans="1:34" s="428" customFormat="1" ht="12.75" customHeight="1">
      <c r="A6" s="720"/>
      <c r="B6" s="1292" t="s">
        <v>641</v>
      </c>
      <c r="C6" s="403"/>
      <c r="D6" s="553">
        <v>0</v>
      </c>
      <c r="E6" s="553">
        <f ca="1">D16</f>
        <v>105710.28620319013</v>
      </c>
      <c r="F6" s="553">
        <f t="shared" ref="F6:AH6" ca="1" si="1">E16</f>
        <v>66576.514927538374</v>
      </c>
      <c r="G6" s="553">
        <f t="shared" ca="1" si="1"/>
        <v>42960.134692537831</v>
      </c>
      <c r="H6" s="553">
        <f t="shared" ca="1" si="1"/>
        <v>28654.189088863252</v>
      </c>
      <c r="I6" s="553">
        <f t="shared" ca="1" si="1"/>
        <v>14348.243493353861</v>
      </c>
      <c r="J6" s="553">
        <f t="shared" ca="1" si="1"/>
        <v>7025.1238732114798</v>
      </c>
      <c r="K6" s="553">
        <f t="shared" ca="1" si="1"/>
        <v>6684.8302185150096</v>
      </c>
      <c r="L6" s="553">
        <f t="shared" ca="1" si="1"/>
        <v>6344.536551950765</v>
      </c>
      <c r="M6" s="553">
        <f t="shared" ca="1" si="1"/>
        <v>6004.2428729837848</v>
      </c>
      <c r="N6" s="553">
        <f t="shared" ca="1" si="1"/>
        <v>5663.9491869718404</v>
      </c>
      <c r="O6" s="553">
        <f t="shared" ca="1" si="1"/>
        <v>5323.6555167228653</v>
      </c>
      <c r="P6" s="553">
        <f t="shared" ca="1" si="1"/>
        <v>4983.3618703613975</v>
      </c>
      <c r="Q6" s="553">
        <f t="shared" ca="1" si="1"/>
        <v>4643.0682434750197</v>
      </c>
      <c r="R6" s="553">
        <f t="shared" ca="1" si="1"/>
        <v>4302.7746045886652</v>
      </c>
      <c r="S6" s="553">
        <f t="shared" ca="1" si="1"/>
        <v>3962.4809314600261</v>
      </c>
      <c r="T6" s="553">
        <f t="shared" ca="1" si="1"/>
        <v>3622.1872233040522</v>
      </c>
      <c r="U6" s="553">
        <f t="shared" ca="1" si="1"/>
        <v>3281.8934926054771</v>
      </c>
      <c r="V6" s="553">
        <f t="shared" ca="1" si="1"/>
        <v>2941.5998079233132</v>
      </c>
      <c r="W6" s="553">
        <f t="shared" ca="1" si="1"/>
        <v>2813.3989441645726</v>
      </c>
      <c r="X6" s="553">
        <f t="shared" ca="1" si="1"/>
        <v>1992.7889286950876</v>
      </c>
      <c r="Y6" s="553">
        <f t="shared" ca="1" si="1"/>
        <v>1992.4345251664513</v>
      </c>
      <c r="Z6" s="553">
        <f t="shared" ca="1" si="1"/>
        <v>1992.4344953155889</v>
      </c>
      <c r="AA6" s="553">
        <f t="shared" ca="1" si="1"/>
        <v>1992.4343674158458</v>
      </c>
      <c r="AB6" s="553">
        <f t="shared" ca="1" si="1"/>
        <v>1992.4341679188551</v>
      </c>
      <c r="AC6" s="553">
        <f t="shared" ca="1" si="1"/>
        <v>1992.4341020089337</v>
      </c>
      <c r="AD6" s="553">
        <f t="shared" ca="1" si="1"/>
        <v>1992.4342343645274</v>
      </c>
      <c r="AE6" s="553">
        <f t="shared" ca="1" si="1"/>
        <v>1992.4345588682747</v>
      </c>
      <c r="AF6" s="553">
        <f t="shared" ca="1" si="1"/>
        <v>1992.434753258118</v>
      </c>
      <c r="AG6" s="553">
        <f t="shared" ca="1" si="1"/>
        <v>1992.4346614603492</v>
      </c>
      <c r="AH6" s="554">
        <f t="shared" ca="1" si="1"/>
        <v>1992.4342981155498</v>
      </c>
    </row>
    <row r="7" spans="1:34" s="428" customFormat="1">
      <c r="A7" s="720"/>
      <c r="B7" s="1293" t="s">
        <v>526</v>
      </c>
      <c r="C7" s="500"/>
      <c r="D7" s="500"/>
      <c r="E7" s="500">
        <f ca="1">D13</f>
        <v>67904.421572926265</v>
      </c>
      <c r="F7" s="500">
        <f t="shared" ref="F7:AH7" ca="1" si="2">E13</f>
        <v>29705.170419909802</v>
      </c>
      <c r="G7" s="500">
        <f t="shared" ca="1" si="2"/>
        <v>7147.1372334311745</v>
      </c>
      <c r="H7" s="500">
        <f t="shared" ca="1" si="2"/>
        <v>-6000.8540760860305</v>
      </c>
      <c r="I7" s="500">
        <f t="shared" ca="1" si="2"/>
        <v>-19043.343270080688</v>
      </c>
      <c r="J7" s="500">
        <f t="shared" ca="1" si="2"/>
        <v>-24761.424289381845</v>
      </c>
      <c r="K7" s="500">
        <f t="shared" ca="1" si="2"/>
        <v>-23644.726815752852</v>
      </c>
      <c r="L7" s="500">
        <f t="shared" ca="1" si="2"/>
        <v>-22367.179517832061</v>
      </c>
      <c r="M7" s="500">
        <f t="shared" ca="1" si="2"/>
        <v>-20921.534222322174</v>
      </c>
      <c r="N7" s="500">
        <f t="shared" ca="1" si="2"/>
        <v>-19236.690152338888</v>
      </c>
      <c r="O7" s="500">
        <f t="shared" ca="1" si="2"/>
        <v>-17286.747076198022</v>
      </c>
      <c r="P7" s="500">
        <f t="shared" ca="1" si="2"/>
        <v>-15025.261713670014</v>
      </c>
      <c r="Q7" s="500">
        <f t="shared" ca="1" si="2"/>
        <v>-12431.277127001274</v>
      </c>
      <c r="R7" s="500">
        <f t="shared" ca="1" si="2"/>
        <v>-9627.677276847151</v>
      </c>
      <c r="S7" s="500">
        <f t="shared" ca="1" si="2"/>
        <v>-6606.0972790656051</v>
      </c>
      <c r="T7" s="500">
        <f t="shared" ca="1" si="2"/>
        <v>-3413.9100216702982</v>
      </c>
      <c r="U7" s="500">
        <f t="shared" ca="1" si="2"/>
        <v>69.08082299387388</v>
      </c>
      <c r="V7" s="500">
        <f t="shared" ca="1" si="2"/>
        <v>2941.5998079233068</v>
      </c>
      <c r="W7" s="500">
        <f t="shared" ca="1" si="2"/>
        <v>2813.3989441645663</v>
      </c>
      <c r="X7" s="500">
        <f t="shared" ca="1" si="2"/>
        <v>1992.7889286950813</v>
      </c>
      <c r="Y7" s="500">
        <f t="shared" ca="1" si="2"/>
        <v>1992.4345251664449</v>
      </c>
      <c r="Z7" s="500">
        <f t="shared" ca="1" si="2"/>
        <v>1992.4344953155826</v>
      </c>
      <c r="AA7" s="500">
        <f t="shared" ca="1" si="2"/>
        <v>1992.4343674158395</v>
      </c>
      <c r="AB7" s="500">
        <f t="shared" ca="1" si="2"/>
        <v>1992.4341679188487</v>
      </c>
      <c r="AC7" s="500">
        <f t="shared" ca="1" si="2"/>
        <v>1992.4341020089273</v>
      </c>
      <c r="AD7" s="500">
        <f t="shared" ca="1" si="2"/>
        <v>1992.434234364521</v>
      </c>
      <c r="AE7" s="500">
        <f t="shared" ca="1" si="2"/>
        <v>1992.4345588682684</v>
      </c>
      <c r="AF7" s="500">
        <f t="shared" ca="1" si="2"/>
        <v>1992.4347532581116</v>
      </c>
      <c r="AG7" s="500">
        <f t="shared" ca="1" si="2"/>
        <v>1992.4346614603428</v>
      </c>
      <c r="AH7" s="1294">
        <f t="shared" ca="1" si="2"/>
        <v>1992.4342981155435</v>
      </c>
    </row>
    <row r="8" spans="1:34" s="59" customFormat="1">
      <c r="A8" s="720"/>
      <c r="B8" s="629" t="s">
        <v>637</v>
      </c>
      <c r="C8" s="317"/>
      <c r="D8" s="317"/>
      <c r="E8" s="317"/>
      <c r="F8" s="317"/>
      <c r="G8" s="317"/>
      <c r="H8" s="317"/>
      <c r="I8" s="317"/>
      <c r="J8" s="317"/>
      <c r="K8" s="317"/>
      <c r="L8" s="317"/>
      <c r="M8" s="317"/>
      <c r="N8" s="317"/>
      <c r="O8" s="317"/>
      <c r="P8" s="317"/>
      <c r="Q8" s="317"/>
      <c r="R8" s="317"/>
      <c r="S8" s="317"/>
      <c r="T8" s="317"/>
      <c r="U8" s="317"/>
      <c r="V8" s="317"/>
      <c r="W8" s="317"/>
      <c r="X8" s="317"/>
      <c r="Y8" s="317"/>
      <c r="Z8" s="317"/>
      <c r="AA8" s="317"/>
      <c r="AB8" s="317"/>
      <c r="AC8" s="317"/>
      <c r="AD8" s="317"/>
      <c r="AE8" s="317"/>
      <c r="AF8" s="317"/>
      <c r="AG8" s="317"/>
      <c r="AH8" s="318"/>
    </row>
    <row r="9" spans="1:34" s="59" customFormat="1">
      <c r="A9" s="720"/>
      <c r="B9" s="629" t="s">
        <v>638</v>
      </c>
      <c r="C9" s="317"/>
      <c r="D9" s="317">
        <f ca="1">Srcs_Uses!E6</f>
        <v>90426.917784397752</v>
      </c>
      <c r="E9" s="317"/>
      <c r="F9" s="317"/>
      <c r="G9" s="317"/>
      <c r="H9" s="317"/>
      <c r="I9" s="317"/>
      <c r="J9" s="317"/>
      <c r="K9" s="317"/>
      <c r="L9" s="317"/>
      <c r="M9" s="317"/>
      <c r="N9" s="317"/>
      <c r="O9" s="317"/>
      <c r="P9" s="317"/>
      <c r="Q9" s="317"/>
      <c r="R9" s="317"/>
      <c r="S9" s="317"/>
      <c r="T9" s="317"/>
      <c r="U9" s="317"/>
      <c r="V9" s="317"/>
      <c r="W9" s="317"/>
      <c r="X9" s="317"/>
      <c r="Y9" s="317"/>
      <c r="Z9" s="317"/>
      <c r="AA9" s="317"/>
      <c r="AB9" s="317"/>
      <c r="AC9" s="317"/>
      <c r="AD9" s="317"/>
      <c r="AE9" s="317"/>
      <c r="AF9" s="317"/>
      <c r="AG9" s="317"/>
      <c r="AH9" s="318"/>
    </row>
    <row r="10" spans="1:34" s="59" customFormat="1">
      <c r="A10" s="720"/>
      <c r="B10" s="629" t="s">
        <v>484</v>
      </c>
      <c r="C10" s="317"/>
      <c r="D10" s="317">
        <f>CashFlow!E45</f>
        <v>0</v>
      </c>
      <c r="E10" s="317">
        <f>CashFlow!F45</f>
        <v>0</v>
      </c>
      <c r="F10" s="317">
        <f>CashFlow!G45</f>
        <v>0</v>
      </c>
      <c r="G10" s="317">
        <f>CashFlow!H45</f>
        <v>0</v>
      </c>
      <c r="H10" s="317">
        <f>CashFlow!I45</f>
        <v>0</v>
      </c>
      <c r="I10" s="317">
        <f>CashFlow!J45</f>
        <v>0</v>
      </c>
      <c r="J10" s="317">
        <f>CashFlow!K45</f>
        <v>0</v>
      </c>
      <c r="K10" s="317">
        <f>CashFlow!L45</f>
        <v>0</v>
      </c>
      <c r="L10" s="317">
        <f>CashFlow!M45</f>
        <v>0</v>
      </c>
      <c r="M10" s="317">
        <f>CashFlow!N45</f>
        <v>0</v>
      </c>
      <c r="N10" s="317">
        <f>CashFlow!O45</f>
        <v>0</v>
      </c>
      <c r="O10" s="317">
        <f>CashFlow!P45</f>
        <v>0</v>
      </c>
      <c r="P10" s="317">
        <f>CashFlow!Q45</f>
        <v>0</v>
      </c>
      <c r="Q10" s="317">
        <f>CashFlow!R45</f>
        <v>0</v>
      </c>
      <c r="R10" s="317">
        <f>CashFlow!S45</f>
        <v>0</v>
      </c>
      <c r="S10" s="317">
        <f>CashFlow!T45</f>
        <v>0</v>
      </c>
      <c r="T10" s="317">
        <f>CashFlow!U45</f>
        <v>0</v>
      </c>
      <c r="U10" s="317">
        <f>CashFlow!V45</f>
        <v>0</v>
      </c>
      <c r="V10" s="317">
        <f>CashFlow!W45</f>
        <v>0</v>
      </c>
      <c r="W10" s="317">
        <f>CashFlow!X45</f>
        <v>0</v>
      </c>
      <c r="X10" s="317">
        <f>CashFlow!Y45</f>
        <v>0</v>
      </c>
      <c r="Y10" s="317">
        <f>CashFlow!Z45</f>
        <v>0</v>
      </c>
      <c r="Z10" s="317">
        <f>CashFlow!AA45</f>
        <v>0</v>
      </c>
      <c r="AA10" s="317">
        <f>CashFlow!AB45</f>
        <v>0</v>
      </c>
      <c r="AB10" s="317">
        <f>CashFlow!AC45</f>
        <v>0</v>
      </c>
      <c r="AC10" s="317">
        <f>CashFlow!AD45</f>
        <v>0</v>
      </c>
      <c r="AD10" s="317">
        <f>CashFlow!AE45</f>
        <v>0</v>
      </c>
      <c r="AE10" s="317">
        <f>CashFlow!AF45</f>
        <v>0</v>
      </c>
      <c r="AF10" s="317">
        <f>CashFlow!AG45</f>
        <v>0</v>
      </c>
      <c r="AG10" s="317">
        <f>CashFlow!AH45</f>
        <v>0</v>
      </c>
      <c r="AH10" s="318">
        <f>CashFlow!AI45</f>
        <v>0</v>
      </c>
    </row>
    <row r="11" spans="1:34" s="59" customFormat="1">
      <c r="A11" s="720"/>
      <c r="B11" s="1295" t="s">
        <v>639</v>
      </c>
      <c r="C11" s="561"/>
      <c r="D11" s="561">
        <f ca="1">SUM(CapAcc!D12:D15)</f>
        <v>10880.200982475</v>
      </c>
      <c r="E11" s="561">
        <f ca="1">SUM(CapAcc!E12:E15)</f>
        <v>10910.507948999999</v>
      </c>
      <c r="F11" s="561">
        <f ca="1">SUM(CapAcc!F12:F15)</f>
        <v>10910.507948999999</v>
      </c>
      <c r="G11" s="561">
        <f ca="1">SUM(CapAcc!G12:G15)</f>
        <v>10910.507948999999</v>
      </c>
      <c r="H11" s="561">
        <f ca="1">SUM(CapAcc!H12:H15)</f>
        <v>10910.507948999999</v>
      </c>
      <c r="I11" s="561">
        <f ca="1">SUM(CapAcc!I12:I15)</f>
        <v>10910.507948999999</v>
      </c>
      <c r="J11" s="561">
        <f ca="1">SUM(CapAcc!J12:J15)</f>
        <v>10910.507948999999</v>
      </c>
      <c r="K11" s="561">
        <f ca="1">SUM(CapAcc!K12:K15)</f>
        <v>10910.507948999999</v>
      </c>
      <c r="L11" s="561">
        <f ca="1">SUM(CapAcc!L12:L15)</f>
        <v>10910.507948999999</v>
      </c>
      <c r="M11" s="561">
        <f ca="1">SUM(CapAcc!M12:M15)</f>
        <v>10910.507948999999</v>
      </c>
      <c r="N11" s="561">
        <f ca="1">SUM(CapAcc!N12:N15)</f>
        <v>10910.507948999999</v>
      </c>
      <c r="O11" s="561">
        <f ca="1">SUM(CapAcc!O12:O15)</f>
        <v>10910.507948999999</v>
      </c>
      <c r="P11" s="561">
        <f ca="1">SUM(CapAcc!P12:P15)</f>
        <v>10910.507948999999</v>
      </c>
      <c r="Q11" s="561">
        <f ca="1">SUM(CapAcc!Q12:Q15)</f>
        <v>10910.507948999999</v>
      </c>
      <c r="R11" s="561">
        <f ca="1">SUM(CapAcc!R12:R15)</f>
        <v>10910.507948999999</v>
      </c>
      <c r="S11" s="561">
        <f ca="1">SUM(CapAcc!S12:S15)</f>
        <v>10910.507948999999</v>
      </c>
      <c r="T11" s="561">
        <f ca="1">SUM(CapAcc!T12:T15)</f>
        <v>10910.507948999999</v>
      </c>
      <c r="U11" s="561">
        <f ca="1">SUM(CapAcc!U12:U15)</f>
        <v>10910.507948999999</v>
      </c>
      <c r="V11" s="561">
        <f ca="1">SUM(CapAcc!V12:V15)</f>
        <v>10910.507948999999</v>
      </c>
      <c r="W11" s="561">
        <f ca="1">SUM(CapAcc!W12:W15)</f>
        <v>10910.507948999999</v>
      </c>
      <c r="X11" s="561">
        <f ca="1">SUM(CapAcc!X12:X15)</f>
        <v>30.306966524999893</v>
      </c>
      <c r="Y11" s="561">
        <f ca="1">SUM(CapAcc!Y12:Y15)</f>
        <v>0</v>
      </c>
      <c r="Z11" s="561">
        <f ca="1">SUM(CapAcc!Z12:Z15)</f>
        <v>0</v>
      </c>
      <c r="AA11" s="561">
        <f ca="1">SUM(CapAcc!AA12:AA15)</f>
        <v>0</v>
      </c>
      <c r="AB11" s="561">
        <f ca="1">SUM(CapAcc!AB12:AB15)</f>
        <v>0</v>
      </c>
      <c r="AC11" s="561">
        <f ca="1">SUM(CapAcc!AC12:AC15)</f>
        <v>0</v>
      </c>
      <c r="AD11" s="561">
        <f ca="1">SUM(CapAcc!AD12:AD15)</f>
        <v>0</v>
      </c>
      <c r="AE11" s="561">
        <f ca="1">SUM(CapAcc!AE12:AE15)</f>
        <v>0</v>
      </c>
      <c r="AF11" s="561">
        <f ca="1">SUM(CapAcc!AF12:AF15)</f>
        <v>0</v>
      </c>
      <c r="AG11" s="561">
        <f ca="1">SUM(CapAcc!AG12:AG15)</f>
        <v>0</v>
      </c>
      <c r="AH11" s="561">
        <f ca="1">SUM(CapAcc!AH12:AH15)</f>
        <v>0</v>
      </c>
    </row>
    <row r="12" spans="1:34" s="59" customFormat="1">
      <c r="A12" s="720"/>
      <c r="B12" s="629" t="s">
        <v>640</v>
      </c>
      <c r="C12" s="317"/>
      <c r="D12" s="317">
        <f ca="1">SUM(CapAcc!D16:D23)</f>
        <v>-33402.697192569663</v>
      </c>
      <c r="E12" s="317">
        <f ca="1">SUM(CapAcc!E16:E23)</f>
        <v>-49109.759096185051</v>
      </c>
      <c r="F12" s="317">
        <f ca="1">SUM(CapAcc!F16:F23)</f>
        <v>-33468.54112765663</v>
      </c>
      <c r="G12" s="317">
        <f ca="1">SUM(CapAcc!G16:G23)</f>
        <v>-24058.499256436076</v>
      </c>
      <c r="H12" s="317">
        <f ca="1">SUM(CapAcc!H16:H23)</f>
        <v>-23952.997149078721</v>
      </c>
      <c r="I12" s="317">
        <f ca="1">SUM(CapAcc!I16:I23)</f>
        <v>-16628.588980563418</v>
      </c>
      <c r="J12" s="317">
        <f ca="1">SUM(CapAcc!J16:J23)</f>
        <v>-9793.8104838903619</v>
      </c>
      <c r="K12" s="317">
        <f ca="1">SUM(CapAcc!K16:K23)</f>
        <v>-9632.9606477307916</v>
      </c>
      <c r="L12" s="317">
        <f ca="1">SUM(CapAcc!L16:L23)</f>
        <v>-9464.862637738961</v>
      </c>
      <c r="M12" s="317">
        <f ca="1">SUM(CapAcc!M16:M23)</f>
        <v>-9225.663856220599</v>
      </c>
      <c r="N12" s="317">
        <f ca="1">SUM(CapAcc!N16:N23)</f>
        <v>-8960.5648658259834</v>
      </c>
      <c r="O12" s="317">
        <f ca="1">SUM(CapAcc!O16:O23)</f>
        <v>-8649.0226033263498</v>
      </c>
      <c r="P12" s="317">
        <f ca="1">SUM(CapAcc!P16:P23)</f>
        <v>-8316.5233986607145</v>
      </c>
      <c r="Q12" s="317">
        <f ca="1">SUM(CapAcc!Q16:Q23)</f>
        <v>-8106.9081231753471</v>
      </c>
      <c r="R12" s="317">
        <f ca="1">SUM(CapAcc!R16:R23)</f>
        <v>-7888.9279413056438</v>
      </c>
      <c r="S12" s="317">
        <f ca="1">SUM(CapAcc!S16:S23)</f>
        <v>-7718.3206466645488</v>
      </c>
      <c r="T12" s="317">
        <f ca="1">SUM(CapAcc!T16:T23)</f>
        <v>-7427.5170368530817</v>
      </c>
      <c r="U12" s="317">
        <f ca="1">SUM(CapAcc!U16:U23)</f>
        <v>-8037.9889426042328</v>
      </c>
      <c r="V12" s="317">
        <f ca="1">SUM(CapAcc!V16:V23)</f>
        <v>-11038.708860315684</v>
      </c>
      <c r="W12" s="317">
        <f ca="1">SUM(CapAcc!W16:W23)</f>
        <v>-11731.118072705935</v>
      </c>
      <c r="X12" s="317">
        <f ca="1">SUM(CapAcc!X16:X23)</f>
        <v>-30.661439090849711</v>
      </c>
      <c r="Y12" s="317">
        <f ca="1">SUM(CapAcc!Y16:Y23)</f>
        <v>0</v>
      </c>
      <c r="Z12" s="317">
        <f ca="1">SUM(CapAcc!Z16:Z23)</f>
        <v>0</v>
      </c>
      <c r="AA12" s="317">
        <f ca="1">SUM(CapAcc!AA16:AA23)</f>
        <v>0</v>
      </c>
      <c r="AB12" s="317">
        <f ca="1">SUM(CapAcc!AB16:AB23)</f>
        <v>0</v>
      </c>
      <c r="AC12" s="317">
        <f ca="1">SUM(CapAcc!AC16:AC23)</f>
        <v>0</v>
      </c>
      <c r="AD12" s="317">
        <f ca="1">SUM(CapAcc!AD16:AD23)</f>
        <v>0</v>
      </c>
      <c r="AE12" s="317">
        <f ca="1">SUM(CapAcc!AE16:AE23)</f>
        <v>0</v>
      </c>
      <c r="AF12" s="317">
        <f ca="1">SUM(CapAcc!AF16:AF23)</f>
        <v>0</v>
      </c>
      <c r="AG12" s="317">
        <f ca="1">SUM(CapAcc!AG16:AG23)</f>
        <v>0</v>
      </c>
      <c r="AH12" s="318">
        <f ca="1">SUM(CapAcc!AH16:AH23)</f>
        <v>0</v>
      </c>
    </row>
    <row r="13" spans="1:34" s="428" customFormat="1">
      <c r="A13" s="720"/>
      <c r="B13" s="1293" t="s">
        <v>284</v>
      </c>
      <c r="C13" s="500"/>
      <c r="D13" s="500">
        <f t="shared" ref="D13:AH13" ca="1" si="3">SUM(D7:D12)</f>
        <v>67904.421574303095</v>
      </c>
      <c r="E13" s="500">
        <f t="shared" ca="1" si="3"/>
        <v>29705.17042574122</v>
      </c>
      <c r="F13" s="500">
        <f t="shared" ca="1" si="3"/>
        <v>7147.1372412531709</v>
      </c>
      <c r="G13" s="500">
        <f t="shared" ca="1" si="3"/>
        <v>-6000.8540740049029</v>
      </c>
      <c r="H13" s="500">
        <f t="shared" ca="1" si="3"/>
        <v>-19043.343276164753</v>
      </c>
      <c r="I13" s="500">
        <f t="shared" ca="1" si="3"/>
        <v>-24761.424301644107</v>
      </c>
      <c r="J13" s="500">
        <f t="shared" ca="1" si="3"/>
        <v>-23644.726824272206</v>
      </c>
      <c r="K13" s="500">
        <f t="shared" ca="1" si="3"/>
        <v>-22367.179514483643</v>
      </c>
      <c r="L13" s="500">
        <f t="shared" ca="1" si="3"/>
        <v>-20921.534206571021</v>
      </c>
      <c r="M13" s="500">
        <f t="shared" ca="1" si="3"/>
        <v>-19236.690129542774</v>
      </c>
      <c r="N13" s="500">
        <f t="shared" ca="1" si="3"/>
        <v>-17286.74706916487</v>
      </c>
      <c r="O13" s="500">
        <f t="shared" ca="1" si="3"/>
        <v>-15025.261730524373</v>
      </c>
      <c r="P13" s="500">
        <f t="shared" ca="1" si="3"/>
        <v>-12431.277163330729</v>
      </c>
      <c r="Q13" s="500">
        <f t="shared" ca="1" si="3"/>
        <v>-9627.6773011766236</v>
      </c>
      <c r="R13" s="500">
        <f t="shared" ca="1" si="3"/>
        <v>-6606.0972691527959</v>
      </c>
      <c r="S13" s="500">
        <f t="shared" ca="1" si="3"/>
        <v>-3413.909976730155</v>
      </c>
      <c r="T13" s="500">
        <f t="shared" ca="1" si="3"/>
        <v>69.080890476619061</v>
      </c>
      <c r="U13" s="500">
        <f t="shared" ca="1" si="3"/>
        <v>2941.59982938964</v>
      </c>
      <c r="V13" s="500">
        <f t="shared" ca="1" si="3"/>
        <v>2813.3988966076213</v>
      </c>
      <c r="W13" s="500">
        <f t="shared" ca="1" si="3"/>
        <v>1992.7888204586307</v>
      </c>
      <c r="X13" s="500">
        <f t="shared" ca="1" si="3"/>
        <v>1992.4344561292316</v>
      </c>
      <c r="Y13" s="500">
        <f t="shared" ca="1" si="3"/>
        <v>1992.4345251664449</v>
      </c>
      <c r="Z13" s="500">
        <f t="shared" ca="1" si="3"/>
        <v>1992.4344953155826</v>
      </c>
      <c r="AA13" s="500">
        <f t="shared" ca="1" si="3"/>
        <v>1992.4343674158395</v>
      </c>
      <c r="AB13" s="500">
        <f t="shared" ca="1" si="3"/>
        <v>1992.4341679188487</v>
      </c>
      <c r="AC13" s="500">
        <f t="shared" ca="1" si="3"/>
        <v>1992.4341020089273</v>
      </c>
      <c r="AD13" s="500">
        <f t="shared" ca="1" si="3"/>
        <v>1992.434234364521</v>
      </c>
      <c r="AE13" s="500">
        <f t="shared" ca="1" si="3"/>
        <v>1992.4345588682684</v>
      </c>
      <c r="AF13" s="500">
        <f t="shared" ca="1" si="3"/>
        <v>1992.4347532581116</v>
      </c>
      <c r="AG13" s="500">
        <f t="shared" ca="1" si="3"/>
        <v>1992.4346614603428</v>
      </c>
      <c r="AH13" s="1294">
        <f t="shared" ca="1" si="3"/>
        <v>1992.4342981155435</v>
      </c>
    </row>
    <row r="14" spans="1:34" s="59" customFormat="1">
      <c r="A14" s="720"/>
      <c r="B14" s="629" t="s">
        <v>509</v>
      </c>
      <c r="C14" s="317"/>
      <c r="D14" s="317">
        <f t="shared" ref="D14:AG14" ca="1" si="4">D75+(D$60-SUM(D$75:D$76))*D56</f>
        <v>37805.864630263866</v>
      </c>
      <c r="E14" s="317">
        <f t="shared" ca="1" si="4"/>
        <v>36871.344507628564</v>
      </c>
      <c r="F14" s="317">
        <f t="shared" ca="1" si="4"/>
        <v>35812.997459106657</v>
      </c>
      <c r="G14" s="317">
        <f t="shared" ca="1" si="4"/>
        <v>34655.043164949282</v>
      </c>
      <c r="H14" s="317">
        <f t="shared" ca="1" si="4"/>
        <v>33391.586763434549</v>
      </c>
      <c r="I14" s="317">
        <f t="shared" ca="1" si="4"/>
        <v>31786.548162593324</v>
      </c>
      <c r="J14" s="317">
        <f t="shared" ca="1" si="4"/>
        <v>30329.557034267862</v>
      </c>
      <c r="K14" s="317">
        <f t="shared" ca="1" si="4"/>
        <v>28711.716069782826</v>
      </c>
      <c r="L14" s="317">
        <f t="shared" ca="1" si="4"/>
        <v>26925.777095305955</v>
      </c>
      <c r="M14" s="317">
        <f t="shared" ca="1" si="4"/>
        <v>24900.639339310728</v>
      </c>
      <c r="N14" s="317">
        <f t="shared" ca="1" si="4"/>
        <v>22610.402592920887</v>
      </c>
      <c r="O14" s="317">
        <f t="shared" ca="1" si="4"/>
        <v>20008.623584031408</v>
      </c>
      <c r="P14" s="317">
        <f t="shared" ca="1" si="4"/>
        <v>17074.345370476298</v>
      </c>
      <c r="Q14" s="317">
        <f t="shared" ca="1" si="4"/>
        <v>13930.451881435816</v>
      </c>
      <c r="R14" s="317">
        <f t="shared" ca="1" si="4"/>
        <v>10568.578210525631</v>
      </c>
      <c r="S14" s="317">
        <f t="shared" ca="1" si="4"/>
        <v>7036.0972449743504</v>
      </c>
      <c r="T14" s="317">
        <f t="shared" ca="1" si="4"/>
        <v>3212.8126696116033</v>
      </c>
      <c r="U14" s="317">
        <f t="shared" ca="1" si="4"/>
        <v>6.3027982832863924E-12</v>
      </c>
      <c r="V14" s="317">
        <f t="shared" ca="1" si="4"/>
        <v>6.3027982832863924E-12</v>
      </c>
      <c r="W14" s="317">
        <f t="shared" ca="1" si="4"/>
        <v>6.3027982832863924E-12</v>
      </c>
      <c r="X14" s="317">
        <f t="shared" ca="1" si="4"/>
        <v>6.3027982832863924E-12</v>
      </c>
      <c r="Y14" s="317">
        <f t="shared" ca="1" si="4"/>
        <v>6.3027982832863924E-12</v>
      </c>
      <c r="Z14" s="317">
        <f t="shared" ca="1" si="4"/>
        <v>6.3027982832863924E-12</v>
      </c>
      <c r="AA14" s="317">
        <f t="shared" ca="1" si="4"/>
        <v>6.3027982832863924E-12</v>
      </c>
      <c r="AB14" s="317">
        <f t="shared" ca="1" si="4"/>
        <v>6.3027982832863924E-12</v>
      </c>
      <c r="AC14" s="317">
        <f t="shared" ca="1" si="4"/>
        <v>6.3027982832863924E-12</v>
      </c>
      <c r="AD14" s="317">
        <f t="shared" ca="1" si="4"/>
        <v>6.3027982832863924E-12</v>
      </c>
      <c r="AE14" s="317">
        <f t="shared" ca="1" si="4"/>
        <v>6.3027982832863924E-12</v>
      </c>
      <c r="AF14" s="317">
        <f t="shared" ca="1" si="4"/>
        <v>6.3027982832863924E-12</v>
      </c>
      <c r="AG14" s="317">
        <f t="shared" ca="1" si="4"/>
        <v>6.3027982832863924E-12</v>
      </c>
      <c r="AH14" s="317">
        <f ca="1">AH75+(AH$60-SUM(AH$75:AH$76))*AH56</f>
        <v>0</v>
      </c>
    </row>
    <row r="15" spans="1:34" s="59" customFormat="1">
      <c r="A15" s="720"/>
      <c r="B15" s="629"/>
      <c r="C15" s="317"/>
      <c r="D15" s="317"/>
      <c r="E15" s="317"/>
      <c r="F15" s="317"/>
      <c r="G15" s="317"/>
      <c r="H15" s="317"/>
      <c r="I15" s="317"/>
      <c r="J15" s="317"/>
      <c r="K15" s="317"/>
      <c r="L15" s="317"/>
      <c r="M15" s="317"/>
      <c r="N15" s="317"/>
      <c r="O15" s="317"/>
      <c r="P15" s="317"/>
      <c r="Q15" s="317"/>
      <c r="R15" s="317"/>
      <c r="S15" s="317"/>
      <c r="T15" s="317"/>
      <c r="U15" s="317"/>
      <c r="V15" s="317"/>
      <c r="W15" s="317"/>
      <c r="X15" s="317"/>
      <c r="Y15" s="317"/>
      <c r="Z15" s="317"/>
      <c r="AA15" s="317"/>
      <c r="AB15" s="317"/>
      <c r="AC15" s="317"/>
      <c r="AD15" s="317"/>
      <c r="AE15" s="317"/>
      <c r="AF15" s="317"/>
      <c r="AG15" s="317"/>
      <c r="AH15" s="317"/>
    </row>
    <row r="16" spans="1:34" s="59" customFormat="1">
      <c r="A16" s="720"/>
      <c r="B16" s="1296" t="s">
        <v>587</v>
      </c>
      <c r="C16" s="1297"/>
      <c r="D16" s="469">
        <f t="shared" ref="D16:AG16" ca="1" si="5">SUM(D13:D14)</f>
        <v>105710.28620456696</v>
      </c>
      <c r="E16" s="469">
        <f t="shared" ca="1" si="5"/>
        <v>66576.514933369792</v>
      </c>
      <c r="F16" s="469">
        <f t="shared" ca="1" si="5"/>
        <v>42960.134700359828</v>
      </c>
      <c r="G16" s="469">
        <f t="shared" ca="1" si="5"/>
        <v>28654.189090944379</v>
      </c>
      <c r="H16" s="469">
        <f t="shared" ca="1" si="5"/>
        <v>14348.243487269796</v>
      </c>
      <c r="I16" s="469">
        <f t="shared" ca="1" si="5"/>
        <v>7025.1238609492175</v>
      </c>
      <c r="J16" s="469">
        <f t="shared" ca="1" si="5"/>
        <v>6684.8302099956563</v>
      </c>
      <c r="K16" s="469">
        <f t="shared" ca="1" si="5"/>
        <v>6344.5365552991825</v>
      </c>
      <c r="L16" s="469">
        <f t="shared" ca="1" si="5"/>
        <v>6004.2428887349342</v>
      </c>
      <c r="M16" s="469">
        <f t="shared" ca="1" si="5"/>
        <v>5663.949209767954</v>
      </c>
      <c r="N16" s="469">
        <f t="shared" ca="1" si="5"/>
        <v>5323.6555237560169</v>
      </c>
      <c r="O16" s="469">
        <f t="shared" ca="1" si="5"/>
        <v>4983.3618535070345</v>
      </c>
      <c r="P16" s="469">
        <f t="shared" ca="1" si="5"/>
        <v>4643.0682071455685</v>
      </c>
      <c r="Q16" s="469">
        <f t="shared" ca="1" si="5"/>
        <v>4302.7745802591926</v>
      </c>
      <c r="R16" s="469">
        <f t="shared" ca="1" si="5"/>
        <v>3962.4809413728353</v>
      </c>
      <c r="S16" s="469">
        <f t="shared" ca="1" si="5"/>
        <v>3622.1872682441954</v>
      </c>
      <c r="T16" s="469">
        <f t="shared" ca="1" si="5"/>
        <v>3281.8935600882223</v>
      </c>
      <c r="U16" s="469">
        <f t="shared" ca="1" si="5"/>
        <v>2941.5998293896464</v>
      </c>
      <c r="V16" s="469">
        <f t="shared" ca="1" si="5"/>
        <v>2813.3988966076276</v>
      </c>
      <c r="W16" s="469">
        <f t="shared" ca="1" si="5"/>
        <v>1992.788820458637</v>
      </c>
      <c r="X16" s="469">
        <f t="shared" ca="1" si="5"/>
        <v>1992.434456129238</v>
      </c>
      <c r="Y16" s="469">
        <f t="shared" ca="1" si="5"/>
        <v>1992.4345251664513</v>
      </c>
      <c r="Z16" s="469">
        <f t="shared" ca="1" si="5"/>
        <v>1992.4344953155889</v>
      </c>
      <c r="AA16" s="469">
        <f t="shared" ca="1" si="5"/>
        <v>1992.4343674158458</v>
      </c>
      <c r="AB16" s="469">
        <f t="shared" ca="1" si="5"/>
        <v>1992.4341679188551</v>
      </c>
      <c r="AC16" s="469">
        <f t="shared" ca="1" si="5"/>
        <v>1992.4341020089337</v>
      </c>
      <c r="AD16" s="469">
        <f t="shared" ca="1" si="5"/>
        <v>1992.4342343645274</v>
      </c>
      <c r="AE16" s="469">
        <f t="shared" ca="1" si="5"/>
        <v>1992.4345588682747</v>
      </c>
      <c r="AF16" s="469">
        <f t="shared" ca="1" si="5"/>
        <v>1992.434753258118</v>
      </c>
      <c r="AG16" s="469">
        <f t="shared" ca="1" si="5"/>
        <v>1992.4346614603492</v>
      </c>
      <c r="AH16" s="469">
        <f ca="1">SUM(AH13:AH14)</f>
        <v>1992.4342981155435</v>
      </c>
    </row>
    <row r="17" spans="1:34" s="59" customFormat="1">
      <c r="A17" s="720"/>
      <c r="B17" s="1298"/>
      <c r="C17" s="1299"/>
      <c r="D17" s="433"/>
      <c r="E17" s="433"/>
      <c r="F17" s="433"/>
      <c r="G17" s="433"/>
      <c r="H17" s="433"/>
      <c r="I17" s="433"/>
      <c r="J17" s="433"/>
      <c r="K17" s="433"/>
      <c r="L17" s="433"/>
      <c r="M17" s="433"/>
      <c r="N17" s="433"/>
      <c r="O17" s="433"/>
      <c r="P17" s="433"/>
      <c r="Q17" s="433"/>
      <c r="R17" s="433"/>
      <c r="S17" s="433"/>
      <c r="T17" s="433"/>
      <c r="U17" s="433"/>
      <c r="V17" s="433"/>
      <c r="W17" s="433"/>
      <c r="X17" s="433"/>
      <c r="Y17" s="433"/>
      <c r="Z17" s="433"/>
      <c r="AA17" s="433"/>
      <c r="AB17" s="433"/>
      <c r="AC17" s="433"/>
      <c r="AD17" s="433"/>
      <c r="AE17" s="433"/>
      <c r="AF17" s="433"/>
      <c r="AG17" s="433"/>
      <c r="AH17" s="434"/>
    </row>
    <row r="18" spans="1:34" s="59" customFormat="1">
      <c r="A18" s="720"/>
      <c r="B18" s="1300" t="s">
        <v>623</v>
      </c>
      <c r="C18" s="868"/>
      <c r="D18" s="470">
        <f ca="1">CapAcc!D28</f>
        <v>-20557.137537250452</v>
      </c>
      <c r="E18" s="470">
        <f ca="1">CapAcc!E28</f>
        <v>-36733.563428617541</v>
      </c>
      <c r="F18" s="470">
        <f ca="1">CapAcc!F28</f>
        <v>-21080.85684452</v>
      </c>
      <c r="G18" s="470">
        <f ca="1">CapAcc!G28</f>
        <v>-11681.431342743695</v>
      </c>
      <c r="H18" s="470">
        <f ca="1">CapAcc!H28</f>
        <v>-11586.775347504714</v>
      </c>
      <c r="I18" s="470">
        <f ca="1">CapAcc!I28</f>
        <v>-4178.3893464821758</v>
      </c>
      <c r="J18" s="470">
        <f ca="1">CapAcc!J28</f>
        <v>2534.0773874697607</v>
      </c>
      <c r="K18" s="470">
        <f ca="1">CapAcc!K28</f>
        <v>2693.2529618820276</v>
      </c>
      <c r="L18" s="470">
        <f ca="1">CapAcc!L28</f>
        <v>2859.0623017641642</v>
      </c>
      <c r="M18" s="470">
        <f ca="1">CapAcc!M28</f>
        <v>3117.4771446201112</v>
      </c>
      <c r="N18" s="470">
        <f ca="1">CapAcc!N28</f>
        <v>3405.4172241681786</v>
      </c>
      <c r="O18" s="470">
        <f ca="1">CapAcc!O28</f>
        <v>3742.7655140995366</v>
      </c>
      <c r="P18" s="470">
        <f ca="1">CapAcc!P28</f>
        <v>4105.8380741184719</v>
      </c>
      <c r="Q18" s="470">
        <f ca="1">CapAcc!Q28</f>
        <v>4283.817890877307</v>
      </c>
      <c r="R18" s="470">
        <f ca="1">CapAcc!R28</f>
        <v>4466.4508024142096</v>
      </c>
      <c r="S18" s="470">
        <f ca="1">CapAcc!S28</f>
        <v>4569.0739987527504</v>
      </c>
      <c r="T18" s="470">
        <f ca="1">CapAcc!T28</f>
        <v>4839.6469219089031</v>
      </c>
      <c r="U18" s="470">
        <f ca="1">CapAcc!U28</f>
        <v>5169.8343611938535</v>
      </c>
      <c r="V18" s="470">
        <f ca="1">CapAcc!V28</f>
        <v>5630.5677689900122</v>
      </c>
      <c r="W18" s="470">
        <f ca="1">CapAcc!W28</f>
        <v>5555.4919645246246</v>
      </c>
      <c r="X18" s="470">
        <f ca="1">CapAcc!X28</f>
        <v>16.321603336551807</v>
      </c>
      <c r="Y18" s="470">
        <f ca="1">CapAcc!Y28</f>
        <v>0</v>
      </c>
      <c r="Z18" s="470">
        <f ca="1">CapAcc!Z28</f>
        <v>0</v>
      </c>
      <c r="AA18" s="470">
        <f ca="1">CapAcc!AA28</f>
        <v>0</v>
      </c>
      <c r="AB18" s="470">
        <f ca="1">CapAcc!AB28</f>
        <v>0</v>
      </c>
      <c r="AC18" s="470">
        <f ca="1">CapAcc!AC28</f>
        <v>0</v>
      </c>
      <c r="AD18" s="470">
        <f ca="1">CapAcc!AD28</f>
        <v>0</v>
      </c>
      <c r="AE18" s="470">
        <f ca="1">CapAcc!AE28</f>
        <v>0</v>
      </c>
      <c r="AF18" s="470">
        <f ca="1">CapAcc!AF28</f>
        <v>0</v>
      </c>
      <c r="AG18" s="470">
        <f ca="1">CapAcc!AG28</f>
        <v>0</v>
      </c>
      <c r="AH18" s="470">
        <f ca="1">CapAcc!AH28</f>
        <v>0</v>
      </c>
    </row>
    <row r="19" spans="1:34" s="59" customFormat="1">
      <c r="A19" s="720"/>
      <c r="B19" s="471" t="s">
        <v>624</v>
      </c>
      <c r="C19" s="472"/>
      <c r="D19" s="473">
        <f ca="1">IF(D18&gt;=0,0,IF(D16&lt;0,-D18,IF(ABS(D18)&lt;D16,0,ABS(D18)-D16)))</f>
        <v>0</v>
      </c>
      <c r="E19" s="473">
        <f ca="1">IF(AND(E18&gt;=0,E6&gt;=0),MAX(-E6,-SUM($D19:D19)),IF(AND(E18&lt;0,E6&lt;0),-E18,IF(AND(E18&lt;0,E6&gt;=0),IF(ABS(E18)&lt;=E6,MAX(-E6-E18,-SUM($D19:D19)),ABS(E18)-E6),0)))</f>
        <v>0</v>
      </c>
      <c r="F19" s="473">
        <f ca="1">IF(AND(F18&gt;=0,F6&gt;=0),MAX(-F6,-SUM($D19:E19)),IF(AND(F18&lt;0,F6&lt;0),-F18,IF(AND(F18&lt;0,F6&gt;=0),IF(ABS(F18)&lt;=F6,MAX(-F6-F18,-SUM($D19:E19)),ABS(F18)-F6),0)))</f>
        <v>0</v>
      </c>
      <c r="G19" s="473">
        <f ca="1">IF(AND(G18&gt;=0,G6&gt;=0),MAX(-G6,-SUM($D19:F19)),IF(AND(G18&lt;0,G6&lt;0),-G18,IF(AND(G18&lt;0,G6&gt;=0),IF(ABS(G18)&lt;=G6,MAX(-G6-G18,-SUM($D19:F19)),ABS(G18)-G6),0)))</f>
        <v>0</v>
      </c>
      <c r="H19" s="473">
        <f ca="1">IF(AND(H18&gt;=0,H6&gt;=0),MAX(-H6,-SUM($D19:G19)),IF(AND(H18&lt;0,H6&lt;0),-H18,IF(AND(H18&lt;0,H6&gt;=0),IF(ABS(H18)&lt;=H6,MAX(-H6-H18,-SUM($D19:G19)),ABS(H18)-H6),0)))</f>
        <v>0</v>
      </c>
      <c r="I19" s="473">
        <f ca="1">IF(AND(I18&gt;=0,I6&gt;=0),MAX(-I6,-SUM($D19:H19)),IF(AND(I18&lt;0,I6&lt;0),-I18,IF(AND(I18&lt;0,I6&gt;=0),IF(ABS(I18)&lt;=I6,MAX(-I6-I18,-SUM($D19:H19)),ABS(I18)-I6),0)))</f>
        <v>0</v>
      </c>
      <c r="J19" s="473">
        <f ca="1">IF(AND(J18&gt;=0,J6&gt;=0),MAX(-J6,-SUM($D19:I19)),IF(AND(J18&lt;0,J6&lt;0),-J18,IF(AND(J18&lt;0,J6&gt;=0),IF(ABS(J18)&lt;=J6,MAX(-J6-J18,-SUM($D19:I19)),ABS(J18)-J6),0)))</f>
        <v>0</v>
      </c>
      <c r="K19" s="473">
        <f ca="1">IF(AND(K18&gt;=0,K6&gt;=0),MAX(-K6,-SUM($D19:J19)),IF(AND(K18&lt;0,K6&lt;0),-K18,IF(AND(K18&lt;0,K6&gt;=0),IF(ABS(K18)&lt;=K6,MAX(-K6-K18,-SUM($D19:J19)),ABS(K18)-K6),0)))</f>
        <v>0</v>
      </c>
      <c r="L19" s="473">
        <f ca="1">IF(AND(L18&gt;=0,L6&gt;=0),MAX(-L6,-SUM($D19:K19)),IF(AND(L18&lt;0,L6&lt;0),-L18,IF(AND(L18&lt;0,L6&gt;=0),IF(ABS(L18)&lt;=L6,MAX(-L6-L18,-SUM($D19:K19)),ABS(L18)-L6),0)))</f>
        <v>0</v>
      </c>
      <c r="M19" s="473">
        <f ca="1">IF(AND(M18&gt;=0,M6&gt;=0),MAX(-M6,-SUM($D19:L19)),IF(AND(M18&lt;0,M6&lt;0),-M18,IF(AND(M18&lt;0,M6&gt;=0),IF(ABS(M18)&lt;=M6,MAX(-M6-M18,-SUM($D19:L19)),ABS(M18)-M6),0)))</f>
        <v>0</v>
      </c>
      <c r="N19" s="473">
        <f ca="1">IF(AND(N18&gt;=0,N6&gt;=0),MAX(-N6,-SUM($D19:M19)),IF(AND(N18&lt;0,N6&lt;0),-N18,IF(AND(N18&lt;0,N6&gt;=0),IF(ABS(N18)&lt;=N6,MAX(-N6-N18,-SUM($D19:M19)),ABS(N18)-N6),0)))</f>
        <v>0</v>
      </c>
      <c r="O19" s="473">
        <f ca="1">IF(AND(O18&gt;=0,O6&gt;=0),MAX(-O6,-SUM($D19:N19)),IF(AND(O18&lt;0,O6&lt;0),-O18,IF(AND(O18&lt;0,O6&gt;=0),IF(ABS(O18)&lt;=O6,MAX(-O6-O18,-SUM($D19:N19)),ABS(O18)-O6),0)))</f>
        <v>0</v>
      </c>
      <c r="P19" s="473">
        <f ca="1">IF(AND(P18&gt;=0,P6&gt;=0),MAX(-P6,-SUM($D19:O19)),IF(AND(P18&lt;0,P6&lt;0),-P18,IF(AND(P18&lt;0,P6&gt;=0),IF(ABS(P18)&lt;=P6,MAX(-P6-P18,-SUM($D19:O19)),ABS(P18)-P6),0)))</f>
        <v>0</v>
      </c>
      <c r="Q19" s="473">
        <f ca="1">IF(AND(Q18&gt;=0,Q6&gt;=0),MAX(-Q6,-SUM($D19:P19)),IF(AND(Q18&lt;0,Q6&lt;0),-Q18,IF(AND(Q18&lt;0,Q6&gt;=0),IF(ABS(Q18)&lt;=Q6,MAX(-Q6-Q18,-SUM($D19:P19)),ABS(Q18)-Q6),0)))</f>
        <v>0</v>
      </c>
      <c r="R19" s="473">
        <f ca="1">IF(AND(R18&gt;=0,R6&gt;=0),MAX(-R6,-SUM($D19:Q19)),IF(AND(R18&lt;0,R6&lt;0),-R18,IF(AND(R18&lt;0,R6&gt;=0),IF(ABS(R18)&lt;=R6,MAX(-R6-R18,-SUM($D19:Q19)),ABS(R18)-R6),0)))</f>
        <v>0</v>
      </c>
      <c r="S19" s="473">
        <f ca="1">IF(AND(S18&gt;=0,S6&gt;=0),MAX(-S6,-SUM($D19:R19)),IF(AND(S18&lt;0,S6&lt;0),-S18,IF(AND(S18&lt;0,S6&gt;=0),IF(ABS(S18)&lt;=S6,MAX(-S6-S18,-SUM($D19:R19)),ABS(S18)-S6),0)))</f>
        <v>0</v>
      </c>
      <c r="T19" s="473">
        <f ca="1">IF(AND(T18&gt;=0,T6&gt;=0),MAX(-T6,-SUM($D19:S19)),IF(AND(T18&lt;0,T6&lt;0),-T18,IF(AND(T18&lt;0,T6&gt;=0),IF(ABS(T18)&lt;=T6,MAX(-T6-T18,-SUM($D19:S19)),ABS(T18)-T6),0)))</f>
        <v>0</v>
      </c>
      <c r="U19" s="473">
        <f ca="1">IF(AND(U18&gt;=0,U6&gt;=0),MAX(-U6,-SUM($D19:T19)),IF(AND(U18&lt;0,U6&lt;0),-U18,IF(AND(U18&lt;0,U6&gt;=0),IF(ABS(U18)&lt;=U6,MAX(-U6-U18,-SUM($D19:T19)),ABS(U18)-U6),0)))</f>
        <v>0</v>
      </c>
      <c r="V19" s="473">
        <f ca="1">IF(AND(V18&gt;=0,V6&gt;=0),MAX(-V6,-SUM($D19:U19)),IF(AND(V18&lt;0,V6&lt;0),-V18,IF(AND(V18&lt;0,V6&gt;=0),IF(ABS(V18)&lt;=V6,MAX(-V6-V18,-SUM($D19:U19)),ABS(V18)-V6),0)))</f>
        <v>0</v>
      </c>
      <c r="W19" s="473">
        <f ca="1">IF(AND(W18&gt;=0,W6&gt;=0),MAX(-W6,-SUM($D19:V19)),IF(AND(W18&lt;0,W6&lt;0),-W18,IF(AND(W18&lt;0,W6&gt;=0),IF(ABS(W18)&lt;=W6,MAX(-W6-W18,-SUM($D19:V19)),ABS(W18)-W6),0)))</f>
        <v>0</v>
      </c>
      <c r="X19" s="473">
        <f ca="1">IF(AND(X18&gt;=0,X6&gt;=0),MAX(-X6,-SUM($D19:W19)),IF(AND(X18&lt;0,X6&lt;0),-X18,IF(AND(X18&lt;0,X6&gt;=0),IF(ABS(X18)&lt;=X6,MAX(-X6-X18,-SUM($D19:W19)),ABS(X18)-X6),0)))</f>
        <v>0</v>
      </c>
      <c r="Y19" s="473">
        <f ca="1">IF(AND(Y18&gt;=0,Y6&gt;=0),MAX(-Y6,-SUM($D19:X19)),IF(AND(Y18&lt;0,Y6&lt;0),-Y18,IF(AND(Y18&lt;0,Y6&gt;=0),IF(ABS(Y18)&lt;=Y6,MAX(-Y6-Y18,-SUM($D19:X19)),ABS(Y18)-Y6),0)))</f>
        <v>0</v>
      </c>
      <c r="Z19" s="473">
        <f ca="1">IF(AND(Z18&gt;=0,Z6&gt;=0),MAX(-Z6,-SUM($D19:Y19)),IF(AND(Z18&lt;0,Z6&lt;0),-Z18,IF(AND(Z18&lt;0,Z6&gt;=0),IF(ABS(Z18)&lt;=Z6,MAX(-Z6-Z18,-SUM($D19:Y19)),ABS(Z18)-Z6),0)))</f>
        <v>0</v>
      </c>
      <c r="AA19" s="473">
        <f ca="1">IF(AND(AA18&gt;=0,AA6&gt;=0),MAX(-AA6,-SUM($D19:Z19)),IF(AND(AA18&lt;0,AA6&lt;0),-AA18,IF(AND(AA18&lt;0,AA6&gt;=0),IF(ABS(AA18)&lt;=AA6,MAX(-AA6-AA18,-SUM($D19:Z19)),ABS(AA18)-AA6),0)))</f>
        <v>0</v>
      </c>
      <c r="AB19" s="473">
        <f ca="1">IF(AND(AB18&gt;=0,AB6&gt;=0),MAX(-AB6,-SUM($D19:AA19)),IF(AND(AB18&lt;0,AB6&lt;0),-AB18,IF(AND(AB18&lt;0,AB6&gt;=0),IF(ABS(AB18)&lt;=AB6,MAX(-AB6-AB18,-SUM($D19:AA19)),ABS(AB18)-AB6),0)))</f>
        <v>0</v>
      </c>
      <c r="AC19" s="473">
        <f ca="1">IF(AND(AC18&gt;=0,AC6&gt;=0),MAX(-AC6,-SUM($D19:AB19)),IF(AND(AC18&lt;0,AC6&lt;0),-AC18,IF(AND(AC18&lt;0,AC6&gt;=0),IF(ABS(AC18)&lt;=AC6,MAX(-AC6-AC18,-SUM($D19:AB19)),ABS(AC18)-AC6),0)))</f>
        <v>0</v>
      </c>
      <c r="AD19" s="473">
        <f ca="1">IF(AND(AD18&gt;=0,AD6&gt;=0),MAX(-AD6,-SUM($D19:AC19)),IF(AND(AD18&lt;0,AD6&lt;0),-AD18,IF(AND(AD18&lt;0,AD6&gt;=0),IF(ABS(AD18)&lt;=AD6,MAX(-AD6-AD18,-SUM($D19:AC19)),ABS(AD18)-AD6),0)))</f>
        <v>0</v>
      </c>
      <c r="AE19" s="473">
        <f ca="1">IF(AND(AE18&gt;=0,AE6&gt;=0),MAX(-AE6,-SUM($D19:AD19)),IF(AND(AE18&lt;0,AE6&lt;0),-AE18,IF(AND(AE18&lt;0,AE6&gt;=0),IF(ABS(AE18)&lt;=AE6,MAX(-AE6-AE18,-SUM($D19:AD19)),ABS(AE18)-AE6),0)))</f>
        <v>0</v>
      </c>
      <c r="AF19" s="473">
        <f ca="1">IF(AND(AF18&gt;=0,AF6&gt;=0),MAX(-AF6,-SUM($D19:AE19)),IF(AND(AF18&lt;0,AF6&lt;0),-AF18,IF(AND(AF18&lt;0,AF6&gt;=0),IF(ABS(AF18)&lt;=AF6,MAX(-AF6-AF18,-SUM($D19:AE19)),ABS(AF18)-AF6),0)))</f>
        <v>0</v>
      </c>
      <c r="AG19" s="473">
        <f ca="1">IF(AND(AG18&gt;=0,AG6&gt;=0),MAX(-AG6,-SUM($D19:AF19)),IF(AND(AG18&lt;0,AG6&lt;0),-AG18,IF(AND(AG18&lt;0,AG6&gt;=0),IF(ABS(AG18)&lt;=AG6,MAX(-AG6-AG18,-SUM($D19:AF19)),ABS(AG18)-AG6),0)))</f>
        <v>0</v>
      </c>
      <c r="AH19" s="476">
        <f ca="1">IF(AND(AH18&gt;=0,AH6&gt;=0),MAX(-AH6,-SUM($D19:AG19)),IF(AND(AH18&lt;0,AH6&lt;0),-AH18,IF(AND(AH18&lt;0,AH6&gt;=0),IF(ABS(AH18)&lt;=AH6,MAX(-AH6-AH18,-SUM($D19:AG19)),ABS(AH18)-AH6),0)))</f>
        <v>0</v>
      </c>
    </row>
    <row r="20" spans="1:34" s="59" customFormat="1">
      <c r="A20" s="720"/>
    </row>
    <row r="21" spans="1:34" s="59" customFormat="1">
      <c r="A21" s="720"/>
    </row>
    <row r="22" spans="1:34" s="59" customFormat="1">
      <c r="A22" s="720"/>
      <c r="B22" s="1086" t="s">
        <v>244</v>
      </c>
    </row>
    <row r="23" spans="1:34" s="59" customFormat="1">
      <c r="A23" s="720"/>
    </row>
    <row r="24" spans="1:34" s="59" customFormat="1">
      <c r="A24" s="720"/>
      <c r="B24" s="1292" t="s">
        <v>641</v>
      </c>
      <c r="C24" s="403"/>
      <c r="D24" s="553">
        <v>0</v>
      </c>
      <c r="E24" s="553">
        <f ca="1">D34</f>
        <v>1067.7806687190923</v>
      </c>
      <c r="F24" s="553">
        <f t="shared" ref="F24:AH24" ca="1" si="6">E34</f>
        <v>672.49004977311506</v>
      </c>
      <c r="G24" s="553">
        <f t="shared" ca="1" si="6"/>
        <v>433.94075447007924</v>
      </c>
      <c r="H24" s="553">
        <f t="shared" ca="1" si="6"/>
        <v>289.43625342286117</v>
      </c>
      <c r="I24" s="553">
        <f t="shared" ca="1" si="6"/>
        <v>144.93175245811989</v>
      </c>
      <c r="J24" s="553">
        <f t="shared" ca="1" si="6"/>
        <v>70.960847204156437</v>
      </c>
      <c r="K24" s="553">
        <f t="shared" ca="1" si="6"/>
        <v>67.523537560757802</v>
      </c>
      <c r="L24" s="553">
        <f t="shared" ca="1" si="6"/>
        <v>64.086227797482593</v>
      </c>
      <c r="M24" s="553">
        <f t="shared" ca="1" si="6"/>
        <v>60.648917908927388</v>
      </c>
      <c r="N24" s="553">
        <f t="shared" ca="1" si="6"/>
        <v>57.211607949210588</v>
      </c>
      <c r="O24" s="553">
        <f t="shared" ca="1" si="6"/>
        <v>53.774298148715786</v>
      </c>
      <c r="P24" s="553">
        <f t="shared" ca="1" si="6"/>
        <v>50.336988589509161</v>
      </c>
      <c r="Q24" s="553">
        <f t="shared" ca="1" si="6"/>
        <v>46.899679227020627</v>
      </c>
      <c r="R24" s="553">
        <f t="shared" ca="1" si="6"/>
        <v>43.462369743319812</v>
      </c>
      <c r="S24" s="553">
        <f t="shared" ca="1" si="6"/>
        <v>40.025059913737707</v>
      </c>
      <c r="T24" s="553">
        <f t="shared" ca="1" si="6"/>
        <v>36.587749730344328</v>
      </c>
      <c r="U24" s="553">
        <f t="shared" ca="1" si="6"/>
        <v>33.15043931924729</v>
      </c>
      <c r="V24" s="553">
        <f t="shared" ca="1" si="6"/>
        <v>29.713129372962975</v>
      </c>
      <c r="W24" s="553">
        <f t="shared" ca="1" si="6"/>
        <v>28.418171153177475</v>
      </c>
      <c r="X24" s="553">
        <f t="shared" ca="1" si="6"/>
        <v>20.129181097930534</v>
      </c>
      <c r="Y24" s="553">
        <f t="shared" ca="1" si="6"/>
        <v>20.125601264307953</v>
      </c>
      <c r="Z24" s="553">
        <f t="shared" ca="1" si="6"/>
        <v>20.125600962783526</v>
      </c>
      <c r="AA24" s="553">
        <f t="shared" ca="1" si="6"/>
        <v>20.1255996708671</v>
      </c>
      <c r="AB24" s="553">
        <f t="shared" ca="1" si="6"/>
        <v>20.125597655746216</v>
      </c>
      <c r="AC24" s="553">
        <f t="shared" ca="1" si="6"/>
        <v>20.125596989989329</v>
      </c>
      <c r="AD24" s="553">
        <f t="shared" ca="1" si="6"/>
        <v>20.125598326914371</v>
      </c>
      <c r="AE24" s="553">
        <f t="shared" ca="1" si="6"/>
        <v>20.125601604730178</v>
      </c>
      <c r="AF24" s="553">
        <f t="shared" ca="1" si="6"/>
        <v>20.125603568264314</v>
      </c>
      <c r="AG24" s="553">
        <f t="shared" ca="1" si="6"/>
        <v>20.125602641013693</v>
      </c>
      <c r="AH24" s="554">
        <f t="shared" ca="1" si="6"/>
        <v>20.125598970864093</v>
      </c>
    </row>
    <row r="25" spans="1:34" s="428" customFormat="1">
      <c r="A25" s="720"/>
      <c r="B25" s="1293" t="s">
        <v>526</v>
      </c>
      <c r="C25" s="500"/>
      <c r="D25" s="500">
        <v>0</v>
      </c>
      <c r="E25" s="500">
        <f ca="1">D31</f>
        <v>685.90324821137642</v>
      </c>
      <c r="F25" s="500">
        <f t="shared" ref="F25:AH25" ca="1" si="7">E31</f>
        <v>300.05222646373556</v>
      </c>
      <c r="G25" s="500">
        <f t="shared" ca="1" si="7"/>
        <v>72.193305388193835</v>
      </c>
      <c r="H25" s="500">
        <f t="shared" ca="1" si="7"/>
        <v>-60.614687637232578</v>
      </c>
      <c r="I25" s="500">
        <f t="shared" ca="1" si="7"/>
        <v>-192.35700272808771</v>
      </c>
      <c r="J25" s="500">
        <f t="shared" ca="1" si="7"/>
        <v>-250.11539686244276</v>
      </c>
      <c r="K25" s="500">
        <f t="shared" ca="1" si="7"/>
        <v>-238.83562440154384</v>
      </c>
      <c r="L25" s="500">
        <f t="shared" ca="1" si="7"/>
        <v>-225.93110624072779</v>
      </c>
      <c r="M25" s="500">
        <f t="shared" ca="1" si="7"/>
        <v>-211.32862850830446</v>
      </c>
      <c r="N25" s="500">
        <f t="shared" ca="1" si="7"/>
        <v>-194.31000153877659</v>
      </c>
      <c r="O25" s="500">
        <f t="shared" ca="1" si="7"/>
        <v>-174.61360683028306</v>
      </c>
      <c r="P25" s="500">
        <f t="shared" ca="1" si="7"/>
        <v>-151.77032034010102</v>
      </c>
      <c r="Q25" s="500">
        <f t="shared" ca="1" si="7"/>
        <v>-125.56845582829548</v>
      </c>
      <c r="R25" s="500">
        <f t="shared" ca="1" si="7"/>
        <v>-97.249265422698528</v>
      </c>
      <c r="S25" s="500">
        <f t="shared" ca="1" si="7"/>
        <v>-66.728255344096951</v>
      </c>
      <c r="T25" s="500">
        <f t="shared" ca="1" si="7"/>
        <v>-34.483939612830952</v>
      </c>
      <c r="U25" s="500">
        <f t="shared" ca="1" si="7"/>
        <v>0.69778609084725929</v>
      </c>
      <c r="V25" s="500">
        <f t="shared" ca="1" si="7"/>
        <v>29.713129372962911</v>
      </c>
      <c r="W25" s="500">
        <f t="shared" ca="1" si="7"/>
        <v>28.418171153177411</v>
      </c>
      <c r="X25" s="500">
        <f t="shared" ca="1" si="7"/>
        <v>20.12918109793047</v>
      </c>
      <c r="Y25" s="500">
        <f t="shared" ca="1" si="7"/>
        <v>20.125601264307889</v>
      </c>
      <c r="Z25" s="500">
        <f t="shared" ca="1" si="7"/>
        <v>20.125600962783462</v>
      </c>
      <c r="AA25" s="500">
        <f t="shared" ca="1" si="7"/>
        <v>20.125599670867036</v>
      </c>
      <c r="AB25" s="500">
        <f t="shared" ca="1" si="7"/>
        <v>20.125597655746152</v>
      </c>
      <c r="AC25" s="500">
        <f t="shared" ca="1" si="7"/>
        <v>20.125596989989265</v>
      </c>
      <c r="AD25" s="500">
        <f t="shared" ca="1" si="7"/>
        <v>20.125598326914307</v>
      </c>
      <c r="AE25" s="500">
        <f t="shared" ca="1" si="7"/>
        <v>20.125601604730115</v>
      </c>
      <c r="AF25" s="500">
        <f t="shared" ca="1" si="7"/>
        <v>20.12560356826425</v>
      </c>
      <c r="AG25" s="500">
        <f t="shared" ca="1" si="7"/>
        <v>20.125602641013629</v>
      </c>
      <c r="AH25" s="1294">
        <f t="shared" ca="1" si="7"/>
        <v>20.125598970864029</v>
      </c>
    </row>
    <row r="26" spans="1:34" s="59" customFormat="1">
      <c r="A26" s="720"/>
      <c r="B26" s="629" t="s">
        <v>637</v>
      </c>
      <c r="C26" s="317"/>
      <c r="D26" s="317"/>
      <c r="E26" s="317"/>
      <c r="F26" s="317"/>
      <c r="G26" s="317"/>
      <c r="H26" s="317"/>
      <c r="I26" s="317"/>
      <c r="J26" s="317"/>
      <c r="K26" s="317"/>
      <c r="L26" s="317"/>
      <c r="M26" s="317"/>
      <c r="N26" s="317"/>
      <c r="O26" s="317"/>
      <c r="P26" s="317"/>
      <c r="Q26" s="317"/>
      <c r="R26" s="317"/>
      <c r="S26" s="317"/>
      <c r="T26" s="317"/>
      <c r="U26" s="317"/>
      <c r="V26" s="317"/>
      <c r="W26" s="317"/>
      <c r="X26" s="317"/>
      <c r="Y26" s="317"/>
      <c r="Z26" s="317"/>
      <c r="AA26" s="317"/>
      <c r="AB26" s="317"/>
      <c r="AC26" s="317"/>
      <c r="AD26" s="317"/>
      <c r="AE26" s="317"/>
      <c r="AF26" s="317"/>
      <c r="AG26" s="317"/>
      <c r="AH26" s="318"/>
    </row>
    <row r="27" spans="1:34" s="59" customFormat="1">
      <c r="A27" s="720"/>
      <c r="B27" s="629" t="s">
        <v>638</v>
      </c>
      <c r="C27" s="317"/>
      <c r="D27" s="317">
        <f ca="1">Srcs_Uses!E7</f>
        <v>913.40320994341164</v>
      </c>
      <c r="E27" s="317"/>
      <c r="F27" s="317"/>
      <c r="G27" s="317"/>
      <c r="H27" s="317"/>
      <c r="I27" s="317"/>
      <c r="J27" s="317"/>
      <c r="K27" s="317"/>
      <c r="L27" s="317"/>
      <c r="M27" s="317"/>
      <c r="N27" s="317"/>
      <c r="O27" s="317"/>
      <c r="P27" s="317"/>
      <c r="Q27" s="317"/>
      <c r="R27" s="317"/>
      <c r="S27" s="317"/>
      <c r="T27" s="317"/>
      <c r="U27" s="317"/>
      <c r="V27" s="317"/>
      <c r="W27" s="317"/>
      <c r="X27" s="317"/>
      <c r="Y27" s="317"/>
      <c r="Z27" s="317"/>
      <c r="AA27" s="317"/>
      <c r="AB27" s="317"/>
      <c r="AC27" s="317"/>
      <c r="AD27" s="317"/>
      <c r="AE27" s="317"/>
      <c r="AF27" s="317"/>
      <c r="AG27" s="317"/>
      <c r="AH27" s="318"/>
    </row>
    <row r="28" spans="1:34" s="59" customFormat="1">
      <c r="A28" s="720"/>
      <c r="B28" s="629" t="s">
        <v>484</v>
      </c>
      <c r="C28" s="317"/>
      <c r="D28" s="317">
        <f>CashFlow!E46</f>
        <v>0</v>
      </c>
      <c r="E28" s="317">
        <f>CashFlow!F46</f>
        <v>0</v>
      </c>
      <c r="F28" s="317">
        <f>CashFlow!G46</f>
        <v>0</v>
      </c>
      <c r="G28" s="317">
        <f>CashFlow!H46</f>
        <v>0</v>
      </c>
      <c r="H28" s="317">
        <f>CashFlow!I46</f>
        <v>0</v>
      </c>
      <c r="I28" s="317">
        <f>CashFlow!J46</f>
        <v>0</v>
      </c>
      <c r="J28" s="317">
        <f>CashFlow!K46</f>
        <v>0</v>
      </c>
      <c r="K28" s="317">
        <f>CashFlow!L46</f>
        <v>0</v>
      </c>
      <c r="L28" s="317">
        <f>CashFlow!M46</f>
        <v>0</v>
      </c>
      <c r="M28" s="317">
        <f>CashFlow!N46</f>
        <v>0</v>
      </c>
      <c r="N28" s="317">
        <f>CashFlow!O46</f>
        <v>0</v>
      </c>
      <c r="O28" s="317">
        <f>CashFlow!P46</f>
        <v>0</v>
      </c>
      <c r="P28" s="317">
        <f>CashFlow!Q46</f>
        <v>0</v>
      </c>
      <c r="Q28" s="317">
        <f>CashFlow!R46</f>
        <v>0</v>
      </c>
      <c r="R28" s="317">
        <f>CashFlow!S46</f>
        <v>0</v>
      </c>
      <c r="S28" s="317">
        <f>CashFlow!T46</f>
        <v>0</v>
      </c>
      <c r="T28" s="317">
        <f>CashFlow!U46</f>
        <v>0</v>
      </c>
      <c r="U28" s="317">
        <f>CashFlow!V46</f>
        <v>0</v>
      </c>
      <c r="V28" s="317">
        <f>CashFlow!W46</f>
        <v>0</v>
      </c>
      <c r="W28" s="317">
        <f>CashFlow!X46</f>
        <v>0</v>
      </c>
      <c r="X28" s="317">
        <f>CashFlow!Y46</f>
        <v>0</v>
      </c>
      <c r="Y28" s="317">
        <f>CashFlow!Z46</f>
        <v>0</v>
      </c>
      <c r="Z28" s="317">
        <f>CashFlow!AA46</f>
        <v>0</v>
      </c>
      <c r="AA28" s="317">
        <f>CashFlow!AB46</f>
        <v>0</v>
      </c>
      <c r="AB28" s="317">
        <f>CashFlow!AC46</f>
        <v>0</v>
      </c>
      <c r="AC28" s="317">
        <f>CashFlow!AD46</f>
        <v>0</v>
      </c>
      <c r="AD28" s="317">
        <f>CashFlow!AE46</f>
        <v>0</v>
      </c>
      <c r="AE28" s="317">
        <f>CashFlow!AF46</f>
        <v>0</v>
      </c>
      <c r="AF28" s="317">
        <f>CashFlow!AG46</f>
        <v>0</v>
      </c>
      <c r="AG28" s="317">
        <f>CashFlow!AH46</f>
        <v>0</v>
      </c>
      <c r="AH28" s="318">
        <f>CashFlow!AI46</f>
        <v>0</v>
      </c>
    </row>
    <row r="29" spans="1:34" s="59" customFormat="1">
      <c r="A29" s="720"/>
      <c r="B29" s="629" t="s">
        <v>639</v>
      </c>
      <c r="C29" s="317"/>
      <c r="D29" s="317">
        <f ca="1">SUM(CapAcc!D38:D41)</f>
        <v>109.90102002499999</v>
      </c>
      <c r="E29" s="317">
        <f ca="1">SUM(CapAcc!E38:E41)</f>
        <v>110.207151</v>
      </c>
      <c r="F29" s="317">
        <f ca="1">SUM(CapAcc!F38:F41)</f>
        <v>110.207151</v>
      </c>
      <c r="G29" s="317">
        <f ca="1">SUM(CapAcc!G38:G41)</f>
        <v>110.207151</v>
      </c>
      <c r="H29" s="317">
        <f ca="1">SUM(CapAcc!H38:H41)</f>
        <v>110.207151</v>
      </c>
      <c r="I29" s="317">
        <f ca="1">SUM(CapAcc!I38:I41)</f>
        <v>110.207151</v>
      </c>
      <c r="J29" s="317">
        <f ca="1">SUM(CapAcc!J38:J41)</f>
        <v>110.207151</v>
      </c>
      <c r="K29" s="317">
        <f ca="1">SUM(CapAcc!K38:K41)</f>
        <v>110.207151</v>
      </c>
      <c r="L29" s="317">
        <f ca="1">SUM(CapAcc!L38:L41)</f>
        <v>110.207151</v>
      </c>
      <c r="M29" s="317">
        <f ca="1">SUM(CapAcc!M38:M41)</f>
        <v>110.207151</v>
      </c>
      <c r="N29" s="317">
        <f ca="1">SUM(CapAcc!N38:N41)</f>
        <v>110.207151</v>
      </c>
      <c r="O29" s="317">
        <f ca="1">SUM(CapAcc!O38:O41)</f>
        <v>110.207151</v>
      </c>
      <c r="P29" s="317">
        <f ca="1">SUM(CapAcc!P38:P41)</f>
        <v>110.207151</v>
      </c>
      <c r="Q29" s="317">
        <f ca="1">SUM(CapAcc!Q38:Q41)</f>
        <v>110.207151</v>
      </c>
      <c r="R29" s="317">
        <f ca="1">SUM(CapAcc!R38:R41)</f>
        <v>110.207151</v>
      </c>
      <c r="S29" s="317">
        <f ca="1">SUM(CapAcc!S38:S41)</f>
        <v>110.207151</v>
      </c>
      <c r="T29" s="317">
        <f ca="1">SUM(CapAcc!T38:T41)</f>
        <v>110.207151</v>
      </c>
      <c r="U29" s="317">
        <f ca="1">SUM(CapAcc!U38:U41)</f>
        <v>110.207151</v>
      </c>
      <c r="V29" s="317">
        <f ca="1">SUM(CapAcc!V38:V41)</f>
        <v>110.207151</v>
      </c>
      <c r="W29" s="317">
        <f ca="1">SUM(CapAcc!W38:W41)</f>
        <v>110.207151</v>
      </c>
      <c r="X29" s="317">
        <f ca="1">SUM(CapAcc!X38:X41)</f>
        <v>0.30613097499999892</v>
      </c>
      <c r="Y29" s="317">
        <f ca="1">SUM(CapAcc!Y38:Y41)</f>
        <v>0</v>
      </c>
      <c r="Z29" s="317">
        <f ca="1">SUM(CapAcc!Z38:Z41)</f>
        <v>0</v>
      </c>
      <c r="AA29" s="317">
        <f ca="1">SUM(CapAcc!AA38:AA41)</f>
        <v>0</v>
      </c>
      <c r="AB29" s="317">
        <f ca="1">SUM(CapAcc!AB38:AB41)</f>
        <v>0</v>
      </c>
      <c r="AC29" s="317">
        <f ca="1">SUM(CapAcc!AC38:AC41)</f>
        <v>0</v>
      </c>
      <c r="AD29" s="317">
        <f ca="1">SUM(CapAcc!AD38:AD41)</f>
        <v>0</v>
      </c>
      <c r="AE29" s="317">
        <f ca="1">SUM(CapAcc!AE38:AE41)</f>
        <v>0</v>
      </c>
      <c r="AF29" s="317">
        <f ca="1">SUM(CapAcc!AF38:AF41)</f>
        <v>0</v>
      </c>
      <c r="AG29" s="317">
        <f ca="1">SUM(CapAcc!AG38:AG41)</f>
        <v>0</v>
      </c>
      <c r="AH29" s="318">
        <f ca="1">SUM(CapAcc!AH38:AH41)</f>
        <v>0</v>
      </c>
    </row>
    <row r="30" spans="1:34" s="59" customFormat="1">
      <c r="A30" s="720"/>
      <c r="B30" s="629" t="s">
        <v>640</v>
      </c>
      <c r="C30" s="317"/>
      <c r="D30" s="317">
        <f ca="1">SUM(CapAcc!D42:D49)</f>
        <v>-337.40098174312783</v>
      </c>
      <c r="E30" s="317">
        <f ca="1">SUM(CapAcc!E42:E49)</f>
        <v>-496.05817268873784</v>
      </c>
      <c r="F30" s="317">
        <f ca="1">SUM(CapAcc!F42:F49)</f>
        <v>-338.06607199653166</v>
      </c>
      <c r="G30" s="317">
        <f ca="1">SUM(CapAcc!G42:G49)</f>
        <v>-243.01514400440482</v>
      </c>
      <c r="H30" s="317">
        <f ca="1">SUM(CapAcc!H42:H49)</f>
        <v>-241.94946615231035</v>
      </c>
      <c r="I30" s="317">
        <f ca="1">SUM(CapAcc!I42:I49)</f>
        <v>-167.96554525821634</v>
      </c>
      <c r="J30" s="317">
        <f ca="1">SUM(CapAcc!J42:J49)</f>
        <v>-98.927378625155157</v>
      </c>
      <c r="K30" s="317">
        <f ca="1">SUM(CapAcc!K42:K49)</f>
        <v>-97.30263280536154</v>
      </c>
      <c r="L30" s="317">
        <f ca="1">SUM(CapAcc!L42:L49)</f>
        <v>-95.604673108474358</v>
      </c>
      <c r="M30" s="317">
        <f ca="1">SUM(CapAcc!M42:M49)</f>
        <v>-93.188523800208074</v>
      </c>
      <c r="N30" s="317">
        <f ca="1">SUM(CapAcc!N42:N49)</f>
        <v>-90.510756220464501</v>
      </c>
      <c r="O30" s="317">
        <f ca="1">SUM(CapAcc!O42:O49)</f>
        <v>-87.36386468006414</v>
      </c>
      <c r="P30" s="317">
        <f ca="1">SUM(CapAcc!P42:P49)</f>
        <v>-84.005286855158744</v>
      </c>
      <c r="Q30" s="317">
        <f ca="1">SUM(CapAcc!Q42:Q49)</f>
        <v>-81.887960840155017</v>
      </c>
      <c r="R30" s="317">
        <f ca="1">SUM(CapAcc!R42:R49)</f>
        <v>-79.686140821269134</v>
      </c>
      <c r="S30" s="317">
        <f ca="1">SUM(CapAcc!S42:S49)</f>
        <v>-77.962834814793425</v>
      </c>
      <c r="T30" s="317">
        <f ca="1">SUM(CapAcc!T42:T49)</f>
        <v>-75.02542461467759</v>
      </c>
      <c r="U30" s="317">
        <f ca="1">SUM(CapAcc!U42:U49)</f>
        <v>-81.19180750105285</v>
      </c>
      <c r="V30" s="317">
        <f ca="1">SUM(CapAcc!V42:V49)</f>
        <v>-111.50210970015843</v>
      </c>
      <c r="W30" s="317">
        <f ca="1">SUM(CapAcc!W42:W49)</f>
        <v>-118.49614214854481</v>
      </c>
      <c r="X30" s="317">
        <f ca="1">SUM(CapAcc!X42:X49)</f>
        <v>-0.30971150596817898</v>
      </c>
      <c r="Y30" s="317">
        <f ca="1">SUM(CapAcc!Y42:Y49)</f>
        <v>0</v>
      </c>
      <c r="Z30" s="317">
        <f ca="1">SUM(CapAcc!Z42:Z49)</f>
        <v>0</v>
      </c>
      <c r="AA30" s="317">
        <f ca="1">SUM(CapAcc!AA42:AA49)</f>
        <v>0</v>
      </c>
      <c r="AB30" s="317">
        <f ca="1">SUM(CapAcc!AB42:AB49)</f>
        <v>0</v>
      </c>
      <c r="AC30" s="317">
        <f ca="1">SUM(CapAcc!AC42:AC49)</f>
        <v>0</v>
      </c>
      <c r="AD30" s="317">
        <f ca="1">SUM(CapAcc!AD42:AD49)</f>
        <v>0</v>
      </c>
      <c r="AE30" s="317">
        <f ca="1">SUM(CapAcc!AE42:AE49)</f>
        <v>0</v>
      </c>
      <c r="AF30" s="317">
        <f ca="1">SUM(CapAcc!AF42:AF49)</f>
        <v>0</v>
      </c>
      <c r="AG30" s="317">
        <f ca="1">SUM(CapAcc!AG42:AG49)</f>
        <v>0</v>
      </c>
      <c r="AH30" s="318">
        <f ca="1">SUM(CapAcc!AH42:AH49)</f>
        <v>0</v>
      </c>
    </row>
    <row r="31" spans="1:34" s="428" customFormat="1">
      <c r="A31" s="720"/>
      <c r="B31" s="1293" t="s">
        <v>284</v>
      </c>
      <c r="C31" s="500"/>
      <c r="D31" s="500">
        <f ca="1">SUM(D25:D30)</f>
        <v>685.90324822528373</v>
      </c>
      <c r="E31" s="500">
        <f ca="1">SUM(E25:E30)</f>
        <v>300.05222652263853</v>
      </c>
      <c r="F31" s="500">
        <f t="shared" ref="F31:AH31" ca="1" si="8">SUM(F25:F30)</f>
        <v>72.193305467203913</v>
      </c>
      <c r="G31" s="500">
        <f t="shared" ca="1" si="8"/>
        <v>-60.614687616210972</v>
      </c>
      <c r="H31" s="500">
        <f t="shared" ca="1" si="8"/>
        <v>-192.35700278954295</v>
      </c>
      <c r="I31" s="500">
        <f t="shared" ca="1" si="8"/>
        <v>-250.11539698630406</v>
      </c>
      <c r="J31" s="500">
        <f t="shared" ca="1" si="8"/>
        <v>-238.8356244875979</v>
      </c>
      <c r="K31" s="500">
        <f t="shared" ca="1" si="8"/>
        <v>-225.93110620690538</v>
      </c>
      <c r="L31" s="500">
        <f t="shared" ca="1" si="8"/>
        <v>-211.32862834920215</v>
      </c>
      <c r="M31" s="500">
        <f t="shared" ca="1" si="8"/>
        <v>-194.31000130851254</v>
      </c>
      <c r="N31" s="500">
        <f t="shared" ca="1" si="8"/>
        <v>-174.61360675924109</v>
      </c>
      <c r="O31" s="500">
        <f t="shared" ca="1" si="8"/>
        <v>-151.7703205103472</v>
      </c>
      <c r="P31" s="500">
        <f t="shared" ca="1" si="8"/>
        <v>-125.56845619525977</v>
      </c>
      <c r="Q31" s="500">
        <f t="shared" ca="1" si="8"/>
        <v>-97.249265668450505</v>
      </c>
      <c r="R31" s="500">
        <f t="shared" ca="1" si="8"/>
        <v>-66.728255243967666</v>
      </c>
      <c r="S31" s="500">
        <f t="shared" ca="1" si="8"/>
        <v>-34.483939158890379</v>
      </c>
      <c r="T31" s="500">
        <f t="shared" ca="1" si="8"/>
        <v>0.6977867724914546</v>
      </c>
      <c r="U31" s="500">
        <f t="shared" ca="1" si="8"/>
        <v>29.713129589794406</v>
      </c>
      <c r="V31" s="500">
        <f t="shared" ca="1" si="8"/>
        <v>28.418170672804479</v>
      </c>
      <c r="W31" s="500">
        <f t="shared" ca="1" si="8"/>
        <v>20.129180004632616</v>
      </c>
      <c r="X31" s="500">
        <f t="shared" ca="1" si="8"/>
        <v>20.125600566962291</v>
      </c>
      <c r="Y31" s="500">
        <f t="shared" ca="1" si="8"/>
        <v>20.125601264307889</v>
      </c>
      <c r="Z31" s="500">
        <f t="shared" ca="1" si="8"/>
        <v>20.125600962783462</v>
      </c>
      <c r="AA31" s="500">
        <f t="shared" ca="1" si="8"/>
        <v>20.125599670867036</v>
      </c>
      <c r="AB31" s="500">
        <f t="shared" ca="1" si="8"/>
        <v>20.125597655746152</v>
      </c>
      <c r="AC31" s="500">
        <f t="shared" ca="1" si="8"/>
        <v>20.125596989989265</v>
      </c>
      <c r="AD31" s="500">
        <f t="shared" ca="1" si="8"/>
        <v>20.125598326914307</v>
      </c>
      <c r="AE31" s="500">
        <f t="shared" ca="1" si="8"/>
        <v>20.125601604730115</v>
      </c>
      <c r="AF31" s="500">
        <f t="shared" ca="1" si="8"/>
        <v>20.12560356826425</v>
      </c>
      <c r="AG31" s="500">
        <f t="shared" ca="1" si="8"/>
        <v>20.125602641013629</v>
      </c>
      <c r="AH31" s="1294">
        <f t="shared" ca="1" si="8"/>
        <v>20.125598970864029</v>
      </c>
    </row>
    <row r="32" spans="1:34" s="59" customFormat="1">
      <c r="A32" s="720"/>
      <c r="B32" s="629" t="s">
        <v>509</v>
      </c>
      <c r="C32" s="317"/>
      <c r="D32" s="317">
        <f t="shared" ref="D32:AG32" ca="1" si="9">D76+(D$60-SUM(D$75:D$76))*D57</f>
        <v>381.87742050771578</v>
      </c>
      <c r="E32" s="317">
        <f t="shared" ca="1" si="9"/>
        <v>372.43782330937944</v>
      </c>
      <c r="F32" s="317">
        <f t="shared" ca="1" si="9"/>
        <v>361.74744908188541</v>
      </c>
      <c r="G32" s="317">
        <f t="shared" ca="1" si="9"/>
        <v>350.05094106009381</v>
      </c>
      <c r="H32" s="317">
        <f t="shared" ca="1" si="9"/>
        <v>337.2887551862076</v>
      </c>
      <c r="I32" s="317">
        <f t="shared" ca="1" si="9"/>
        <v>321.07624406659926</v>
      </c>
      <c r="J32" s="317">
        <f t="shared" ca="1" si="9"/>
        <v>306.35916196230164</v>
      </c>
      <c r="K32" s="317">
        <f t="shared" ca="1" si="9"/>
        <v>290.01733403821038</v>
      </c>
      <c r="L32" s="317">
        <f t="shared" ca="1" si="9"/>
        <v>271.97754641723191</v>
      </c>
      <c r="M32" s="317">
        <f t="shared" ca="1" si="9"/>
        <v>251.52160948798718</v>
      </c>
      <c r="N32" s="317">
        <f t="shared" ca="1" si="9"/>
        <v>228.38790497899888</v>
      </c>
      <c r="O32" s="317">
        <f t="shared" ca="1" si="9"/>
        <v>202.10730892961024</v>
      </c>
      <c r="P32" s="317">
        <f t="shared" ca="1" si="9"/>
        <v>172.46813505531617</v>
      </c>
      <c r="Q32" s="317">
        <f t="shared" ca="1" si="9"/>
        <v>140.71163516601837</v>
      </c>
      <c r="R32" s="317">
        <f t="shared" ca="1" si="9"/>
        <v>106.7533152578347</v>
      </c>
      <c r="S32" s="317">
        <f t="shared" ca="1" si="9"/>
        <v>71.071689343175336</v>
      </c>
      <c r="T32" s="317">
        <f t="shared" ca="1" si="9"/>
        <v>32.452653228400031</v>
      </c>
      <c r="U32" s="317">
        <f t="shared" ca="1" si="9"/>
        <v>6.3664629124104983E-14</v>
      </c>
      <c r="V32" s="317">
        <f t="shared" ca="1" si="9"/>
        <v>6.3664629124104983E-14</v>
      </c>
      <c r="W32" s="317">
        <f t="shared" ca="1" si="9"/>
        <v>6.3664629124104983E-14</v>
      </c>
      <c r="X32" s="317">
        <f t="shared" ca="1" si="9"/>
        <v>6.3664629124104983E-14</v>
      </c>
      <c r="Y32" s="317">
        <f t="shared" ca="1" si="9"/>
        <v>6.3664629124104983E-14</v>
      </c>
      <c r="Z32" s="317">
        <f t="shared" ca="1" si="9"/>
        <v>6.3664629124104983E-14</v>
      </c>
      <c r="AA32" s="317">
        <f t="shared" ca="1" si="9"/>
        <v>6.3664629124104983E-14</v>
      </c>
      <c r="AB32" s="317">
        <f t="shared" ca="1" si="9"/>
        <v>6.3664629124104983E-14</v>
      </c>
      <c r="AC32" s="317">
        <f t="shared" ca="1" si="9"/>
        <v>6.3664629124104983E-14</v>
      </c>
      <c r="AD32" s="317">
        <f t="shared" ca="1" si="9"/>
        <v>6.3664629124104983E-14</v>
      </c>
      <c r="AE32" s="317">
        <f t="shared" ca="1" si="9"/>
        <v>6.3664629124104983E-14</v>
      </c>
      <c r="AF32" s="317">
        <f t="shared" ca="1" si="9"/>
        <v>6.3664629124104983E-14</v>
      </c>
      <c r="AG32" s="317">
        <f t="shared" ca="1" si="9"/>
        <v>6.3664629124104983E-14</v>
      </c>
      <c r="AH32" s="317">
        <f ca="1">AH76+(AH$60-SUM(AH$75:AH$76))*AH57</f>
        <v>0</v>
      </c>
    </row>
    <row r="33" spans="1:34" s="59" customFormat="1">
      <c r="A33" s="720"/>
      <c r="B33" s="629"/>
      <c r="C33" s="317"/>
      <c r="D33" s="317"/>
      <c r="E33" s="317"/>
      <c r="F33" s="317"/>
      <c r="G33" s="317"/>
      <c r="H33" s="317"/>
      <c r="I33" s="317"/>
      <c r="J33" s="317"/>
      <c r="K33" s="317"/>
      <c r="L33" s="317"/>
      <c r="M33" s="317"/>
      <c r="N33" s="317"/>
      <c r="O33" s="317"/>
      <c r="P33" s="317"/>
      <c r="Q33" s="317"/>
      <c r="R33" s="317"/>
      <c r="S33" s="317"/>
      <c r="T33" s="317"/>
      <c r="U33" s="317"/>
      <c r="V33" s="317"/>
      <c r="W33" s="317"/>
      <c r="X33" s="317"/>
      <c r="Y33" s="317"/>
      <c r="Z33" s="317"/>
      <c r="AA33" s="317"/>
      <c r="AB33" s="317"/>
      <c r="AC33" s="317"/>
      <c r="AD33" s="317"/>
      <c r="AE33" s="317"/>
      <c r="AF33" s="317"/>
      <c r="AG33" s="317"/>
      <c r="AH33" s="317"/>
    </row>
    <row r="34" spans="1:34" s="59" customFormat="1">
      <c r="A34" s="720"/>
      <c r="B34" s="1296" t="s">
        <v>587</v>
      </c>
      <c r="C34" s="1297"/>
      <c r="D34" s="469">
        <f t="shared" ref="D34:AG34" ca="1" si="10">SUM(D31:D32)</f>
        <v>1067.7806687329994</v>
      </c>
      <c r="E34" s="469">
        <f t="shared" ca="1" si="10"/>
        <v>672.49004983201803</v>
      </c>
      <c r="F34" s="469">
        <f t="shared" ca="1" si="10"/>
        <v>433.94075454908932</v>
      </c>
      <c r="G34" s="469">
        <f t="shared" ca="1" si="10"/>
        <v>289.43625344388283</v>
      </c>
      <c r="H34" s="469">
        <f t="shared" ca="1" si="10"/>
        <v>144.93175239666465</v>
      </c>
      <c r="I34" s="469">
        <f t="shared" ca="1" si="10"/>
        <v>70.960847080295196</v>
      </c>
      <c r="J34" s="469">
        <f t="shared" ca="1" si="10"/>
        <v>67.523537474703744</v>
      </c>
      <c r="K34" s="469">
        <f t="shared" ca="1" si="10"/>
        <v>64.086227831304996</v>
      </c>
      <c r="L34" s="469">
        <f t="shared" ca="1" si="10"/>
        <v>60.648918068029758</v>
      </c>
      <c r="M34" s="469">
        <f t="shared" ca="1" si="10"/>
        <v>57.211608179474638</v>
      </c>
      <c r="N34" s="469">
        <f t="shared" ca="1" si="10"/>
        <v>53.774298219757782</v>
      </c>
      <c r="O34" s="469">
        <f t="shared" ca="1" si="10"/>
        <v>50.336988419263037</v>
      </c>
      <c r="P34" s="469">
        <f t="shared" ca="1" si="10"/>
        <v>46.899678860056397</v>
      </c>
      <c r="Q34" s="469">
        <f t="shared" ca="1" si="10"/>
        <v>43.462369497567863</v>
      </c>
      <c r="R34" s="469">
        <f t="shared" ca="1" si="10"/>
        <v>40.025060013867034</v>
      </c>
      <c r="S34" s="469">
        <f t="shared" ca="1" si="10"/>
        <v>36.587750184284957</v>
      </c>
      <c r="T34" s="469">
        <f t="shared" ca="1" si="10"/>
        <v>33.150440000891486</v>
      </c>
      <c r="U34" s="469">
        <f t="shared" ca="1" si="10"/>
        <v>29.71312958979447</v>
      </c>
      <c r="V34" s="469">
        <f t="shared" ca="1" si="10"/>
        <v>28.418170672804543</v>
      </c>
      <c r="W34" s="469">
        <f t="shared" ca="1" si="10"/>
        <v>20.12918000463268</v>
      </c>
      <c r="X34" s="469">
        <f t="shared" ca="1" si="10"/>
        <v>20.125600566962355</v>
      </c>
      <c r="Y34" s="469">
        <f t="shared" ca="1" si="10"/>
        <v>20.125601264307953</v>
      </c>
      <c r="Z34" s="469">
        <f t="shared" ca="1" si="10"/>
        <v>20.125600962783526</v>
      </c>
      <c r="AA34" s="469">
        <f t="shared" ca="1" si="10"/>
        <v>20.1255996708671</v>
      </c>
      <c r="AB34" s="469">
        <f t="shared" ca="1" si="10"/>
        <v>20.125597655746216</v>
      </c>
      <c r="AC34" s="469">
        <f t="shared" ca="1" si="10"/>
        <v>20.125596989989329</v>
      </c>
      <c r="AD34" s="469">
        <f t="shared" ca="1" si="10"/>
        <v>20.125598326914371</v>
      </c>
      <c r="AE34" s="469">
        <f t="shared" ca="1" si="10"/>
        <v>20.125601604730178</v>
      </c>
      <c r="AF34" s="469">
        <f t="shared" ca="1" si="10"/>
        <v>20.125603568264314</v>
      </c>
      <c r="AG34" s="469">
        <f t="shared" ca="1" si="10"/>
        <v>20.125602641013693</v>
      </c>
      <c r="AH34" s="635">
        <f ca="1">SUM(AH31:AH32)</f>
        <v>20.125598970864029</v>
      </c>
    </row>
    <row r="35" spans="1:34" s="59" customFormat="1">
      <c r="A35" s="720"/>
      <c r="B35" s="1298"/>
      <c r="C35" s="1299"/>
      <c r="D35" s="433"/>
      <c r="E35" s="433"/>
      <c r="F35" s="433"/>
      <c r="G35" s="433"/>
      <c r="H35" s="433"/>
      <c r="I35" s="433"/>
      <c r="J35" s="433"/>
      <c r="K35" s="433"/>
      <c r="L35" s="433"/>
      <c r="M35" s="433"/>
      <c r="N35" s="433"/>
      <c r="O35" s="433"/>
      <c r="P35" s="433"/>
      <c r="Q35" s="433"/>
      <c r="R35" s="433"/>
      <c r="S35" s="433"/>
      <c r="T35" s="433"/>
      <c r="U35" s="433"/>
      <c r="V35" s="433"/>
      <c r="W35" s="433"/>
      <c r="X35" s="433"/>
      <c r="Y35" s="433"/>
      <c r="Z35" s="433"/>
      <c r="AA35" s="433"/>
      <c r="AB35" s="433"/>
      <c r="AC35" s="433"/>
      <c r="AD35" s="433"/>
      <c r="AE35" s="433"/>
      <c r="AF35" s="433"/>
      <c r="AG35" s="433"/>
      <c r="AH35" s="434"/>
    </row>
    <row r="36" spans="1:34" s="59" customFormat="1">
      <c r="A36" s="720"/>
      <c r="B36" s="1300" t="s">
        <v>623</v>
      </c>
      <c r="C36" s="868"/>
      <c r="D36" s="470">
        <f ca="1">+CapAcc!D54</f>
        <v>-207.64785391162073</v>
      </c>
      <c r="E36" s="470">
        <f ca="1">+CapAcc!E54</f>
        <v>-371.04609523856101</v>
      </c>
      <c r="F36" s="470">
        <f ca="1">+CapAcc!F54</f>
        <v>-212.93794792444447</v>
      </c>
      <c r="G36" s="470">
        <f ca="1">+CapAcc!G54</f>
        <v>-117.99425598731005</v>
      </c>
      <c r="H36" s="470">
        <f ca="1">+CapAcc!H54</f>
        <v>-117.03813482327993</v>
      </c>
      <c r="I36" s="470">
        <f ca="1">+CapAcc!I54</f>
        <v>-42.205952994769447</v>
      </c>
      <c r="J36" s="470">
        <f ca="1">+CapAcc!J54</f>
        <v>25.596741287573344</v>
      </c>
      <c r="K36" s="470">
        <f ca="1">+CapAcc!K54</f>
        <v>27.204575372545733</v>
      </c>
      <c r="L36" s="470">
        <f ca="1">+CapAcc!L54</f>
        <v>28.879417189537005</v>
      </c>
      <c r="M36" s="470">
        <f ca="1">+CapAcc!M54</f>
        <v>31.48966812747587</v>
      </c>
      <c r="N36" s="470">
        <f ca="1">+CapAcc!N54</f>
        <v>34.398153779476552</v>
      </c>
      <c r="O36" s="470">
        <f ca="1">+CapAcc!O54</f>
        <v>37.805712263631676</v>
      </c>
      <c r="P36" s="470">
        <f ca="1">+CapAcc!P54</f>
        <v>41.473111859782549</v>
      </c>
      <c r="Q36" s="470">
        <f ca="1">+CapAcc!Q54</f>
        <v>43.270887786639463</v>
      </c>
      <c r="R36" s="470">
        <f ca="1">+CapAcc!R54</f>
        <v>45.115664670850599</v>
      </c>
      <c r="S36" s="470">
        <f ca="1">+CapAcc!S54</f>
        <v>46.152262613664149</v>
      </c>
      <c r="T36" s="470">
        <f ca="1">+CapAcc!T54</f>
        <v>48.885322443524288</v>
      </c>
      <c r="U36" s="470">
        <f ca="1">+CapAcc!U54</f>
        <v>52.220549102968228</v>
      </c>
      <c r="V36" s="470">
        <f ca="1">+CapAcc!V54</f>
        <v>56.874421908990023</v>
      </c>
      <c r="W36" s="470">
        <f ca="1">+CapAcc!W54</f>
        <v>56.116080449743677</v>
      </c>
      <c r="X36" s="470">
        <f ca="1">+CapAcc!X54</f>
        <v>0.16486468016718997</v>
      </c>
      <c r="Y36" s="470">
        <f ca="1">+CapAcc!Y54</f>
        <v>0</v>
      </c>
      <c r="Z36" s="470">
        <f ca="1">+CapAcc!Z54</f>
        <v>0</v>
      </c>
      <c r="AA36" s="470">
        <f ca="1">+CapAcc!AA54</f>
        <v>0</v>
      </c>
      <c r="AB36" s="470">
        <f ca="1">+CapAcc!AB54</f>
        <v>0</v>
      </c>
      <c r="AC36" s="470">
        <f ca="1">+CapAcc!AC54</f>
        <v>0</v>
      </c>
      <c r="AD36" s="470">
        <f ca="1">+CapAcc!AD54</f>
        <v>0</v>
      </c>
      <c r="AE36" s="470">
        <f ca="1">+CapAcc!AE54</f>
        <v>0</v>
      </c>
      <c r="AF36" s="470">
        <f ca="1">+CapAcc!AF54</f>
        <v>0</v>
      </c>
      <c r="AG36" s="470">
        <f ca="1">+CapAcc!AG54</f>
        <v>0</v>
      </c>
      <c r="AH36" s="636">
        <f ca="1">+CapAcc!AH54</f>
        <v>0</v>
      </c>
    </row>
    <row r="37" spans="1:34" s="59" customFormat="1">
      <c r="A37" s="720"/>
      <c r="B37" s="471" t="s">
        <v>624</v>
      </c>
      <c r="C37" s="472"/>
      <c r="D37" s="473">
        <f ca="1">IF(D36&gt;=0,0,IF(D34&lt;0,-D36,IF(ABS(D36)&lt;D34,0,ABS(D36)-D34)))</f>
        <v>0</v>
      </c>
      <c r="E37" s="473">
        <f ca="1">IF(AND(E36&gt;=0,E24&gt;=0),MAX(-E24,-SUM($D37:D37)),IF(AND(E36&lt;0,E24&lt;0),-E36,IF(AND(E36&lt;0,E24&gt;=0),IF(ABS(E36)&lt;=E24,MAX(-E24-E36,-SUM($D37:D37)),ABS(E36)-E24),0)))</f>
        <v>0</v>
      </c>
      <c r="F37" s="473">
        <f ca="1">IF(AND(F36&gt;=0,F24&gt;=0),MAX(-F24,-SUM($D37:E37)),IF(AND(F36&lt;0,F24&lt;0),-F36,IF(AND(F36&lt;0,F24&gt;=0),IF(ABS(F36)&lt;=F24,MAX(-F24-F36,-SUM($D37:E37)),ABS(F36)-F24),0)))</f>
        <v>0</v>
      </c>
      <c r="G37" s="473">
        <f ca="1">IF(AND(G36&gt;=0,G24&gt;=0),MAX(-G24,-SUM($D37:F37)),IF(AND(G36&lt;0,G24&lt;0),-G36,IF(AND(G36&lt;0,G24&gt;=0),IF(ABS(G36)&lt;=G24,MAX(-G24-G36,-SUM($D37:F37)),ABS(G36)-G24),0)))</f>
        <v>0</v>
      </c>
      <c r="H37" s="473">
        <f ca="1">IF(AND(H36&gt;=0,H24&gt;=0),MAX(-H24,-SUM($D37:G37)),IF(AND(H36&lt;0,H24&lt;0),-H36,IF(AND(H36&lt;0,H24&gt;=0),IF(ABS(H36)&lt;=H24,MAX(-H24-H36,-SUM($D37:G37)),ABS(H36)-H24),0)))</f>
        <v>0</v>
      </c>
      <c r="I37" s="473">
        <f ca="1">IF(AND(I36&gt;=0,I24&gt;=0),MAX(-I24,-SUM($D37:H37)),IF(AND(I36&lt;0,I24&lt;0),-I36,IF(AND(I36&lt;0,I24&gt;=0),IF(ABS(I36)&lt;=I24,MAX(-I24-I36,-SUM($D37:H37)),ABS(I36)-I24),0)))</f>
        <v>0</v>
      </c>
      <c r="J37" s="473">
        <f ca="1">IF(AND(J36&gt;=0,J24&gt;=0),MAX(-J24,-SUM($D37:I37)),IF(AND(J36&lt;0,J24&lt;0),-J36,IF(AND(J36&lt;0,J24&gt;=0),IF(ABS(J36)&lt;=J24,MAX(-J24-J36,-SUM($D37:I37)),ABS(J36)-J24),0)))</f>
        <v>0</v>
      </c>
      <c r="K37" s="473">
        <f ca="1">IF(AND(K36&gt;=0,K24&gt;=0),MAX(-K24,-SUM($D37:J37)),IF(AND(K36&lt;0,K24&lt;0),-K36,IF(AND(K36&lt;0,K24&gt;=0),IF(ABS(K36)&lt;=K24,MAX(-K24-K36,-SUM($D37:J37)),ABS(K36)-K24),0)))</f>
        <v>0</v>
      </c>
      <c r="L37" s="473">
        <f ca="1">IF(AND(L36&gt;=0,L24&gt;=0),MAX(-L24,-SUM($D37:K37)),IF(AND(L36&lt;0,L24&lt;0),-L36,IF(AND(L36&lt;0,L24&gt;=0),IF(ABS(L36)&lt;=L24,MAX(-L24-L36,-SUM($D37:K37)),ABS(L36)-L24),0)))</f>
        <v>0</v>
      </c>
      <c r="M37" s="473">
        <f ca="1">IF(AND(M36&gt;=0,M24&gt;=0),MAX(-M24,-SUM($D37:L37)),IF(AND(M36&lt;0,M24&lt;0),-M36,IF(AND(M36&lt;0,M24&gt;=0),IF(ABS(M36)&lt;=M24,MAX(-M24-M36,-SUM($D37:L37)),ABS(M36)-M24),0)))</f>
        <v>0</v>
      </c>
      <c r="N37" s="473">
        <f ca="1">IF(AND(N36&gt;=0,N24&gt;=0),MAX(-N24,-SUM($D37:M37)),IF(AND(N36&lt;0,N24&lt;0),-N36,IF(AND(N36&lt;0,N24&gt;=0),IF(ABS(N36)&lt;=N24,MAX(-N24-N36,-SUM($D37:M37)),ABS(N36)-N24),0)))</f>
        <v>0</v>
      </c>
      <c r="O37" s="473">
        <f ca="1">IF(AND(O36&gt;=0,O24&gt;=0),MAX(-O24,-SUM($D37:N37)),IF(AND(O36&lt;0,O24&lt;0),-O36,IF(AND(O36&lt;0,O24&gt;=0),IF(ABS(O36)&lt;=O24,MAX(-O24-O36,-SUM($D37:N37)),ABS(O36)-O24),0)))</f>
        <v>0</v>
      </c>
      <c r="P37" s="473">
        <f ca="1">IF(AND(P36&gt;=0,P24&gt;=0),MAX(-P24,-SUM($D37:O37)),IF(AND(P36&lt;0,P24&lt;0),-P36,IF(AND(P36&lt;0,P24&gt;=0),IF(ABS(P36)&lt;=P24,MAX(-P24-P36,-SUM($D37:O37)),ABS(P36)-P24),0)))</f>
        <v>0</v>
      </c>
      <c r="Q37" s="473">
        <f ca="1">IF(AND(Q36&gt;=0,Q24&gt;=0),MAX(-Q24,-SUM($D37:P37)),IF(AND(Q36&lt;0,Q24&lt;0),-Q36,IF(AND(Q36&lt;0,Q24&gt;=0),IF(ABS(Q36)&lt;=Q24,MAX(-Q24-Q36,-SUM($D37:P37)),ABS(Q36)-Q24),0)))</f>
        <v>0</v>
      </c>
      <c r="R37" s="473">
        <f ca="1">IF(AND(R36&gt;=0,R24&gt;=0),MAX(-R24,-SUM($D37:Q37)),IF(AND(R36&lt;0,R24&lt;0),-R36,IF(AND(R36&lt;0,R24&gt;=0),IF(ABS(R36)&lt;=R24,MAX(-R24-R36,-SUM($D37:Q37)),ABS(R36)-R24),0)))</f>
        <v>0</v>
      </c>
      <c r="S37" s="473">
        <f ca="1">IF(AND(S36&gt;=0,S24&gt;=0),MAX(-S24,-SUM($D37:R37)),IF(AND(S36&lt;0,S24&lt;0),-S36,IF(AND(S36&lt;0,S24&gt;=0),IF(ABS(S36)&lt;=S24,MAX(-S24-S36,-SUM($D37:R37)),ABS(S36)-S24),0)))</f>
        <v>0</v>
      </c>
      <c r="T37" s="473">
        <f ca="1">IF(AND(T36&gt;=0,T24&gt;=0),MAX(-T24,-SUM($D37:S37)),IF(AND(T36&lt;0,T24&lt;0),-T36,IF(AND(T36&lt;0,T24&gt;=0),IF(ABS(T36)&lt;=T24,MAX(-T24-T36,-SUM($D37:S37)),ABS(T36)-T24),0)))</f>
        <v>0</v>
      </c>
      <c r="U37" s="473">
        <f ca="1">IF(AND(U36&gt;=0,U24&gt;=0),MAX(-U24,-SUM($D37:T37)),IF(AND(U36&lt;0,U24&lt;0),-U36,IF(AND(U36&lt;0,U24&gt;=0),IF(ABS(U36)&lt;=U24,MAX(-U24-U36,-SUM($D37:T37)),ABS(U36)-U24),0)))</f>
        <v>0</v>
      </c>
      <c r="V37" s="473">
        <f ca="1">IF(AND(V36&gt;=0,V24&gt;=0),MAX(-V24,-SUM($D37:U37)),IF(AND(V36&lt;0,V24&lt;0),-V36,IF(AND(V36&lt;0,V24&gt;=0),IF(ABS(V36)&lt;=V24,MAX(-V24-V36,-SUM($D37:U37)),ABS(V36)-V24),0)))</f>
        <v>0</v>
      </c>
      <c r="W37" s="473">
        <f ca="1">IF(AND(W36&gt;=0,W24&gt;=0),MAX(-W24,-SUM($D37:V37)),IF(AND(W36&lt;0,W24&lt;0),-W36,IF(AND(W36&lt;0,W24&gt;=0),IF(ABS(W36)&lt;=W24,MAX(-W24-W36,-SUM($D37:V37)),ABS(W36)-W24),0)))</f>
        <v>0</v>
      </c>
      <c r="X37" s="473">
        <f ca="1">IF(AND(X36&gt;=0,X24&gt;=0),MAX(-X24,-SUM($D37:W37)),IF(AND(X36&lt;0,X24&lt;0),-X36,IF(AND(X36&lt;0,X24&gt;=0),IF(ABS(X36)&lt;=X24,MAX(-X24-X36,-SUM($D37:W37)),ABS(X36)-X24),0)))</f>
        <v>0</v>
      </c>
      <c r="Y37" s="473">
        <f ca="1">IF(AND(Y36&gt;=0,Y24&gt;=0),MAX(-Y24,-SUM($D37:X37)),IF(AND(Y36&lt;0,Y24&lt;0),-Y36,IF(AND(Y36&lt;0,Y24&gt;=0),IF(ABS(Y36)&lt;=Y24,MAX(-Y24-Y36,-SUM($D37:X37)),ABS(Y36)-Y24),0)))</f>
        <v>0</v>
      </c>
      <c r="Z37" s="473">
        <f ca="1">IF(AND(Z36&gt;=0,Z24&gt;=0),MAX(-Z24,-SUM($D37:Y37)),IF(AND(Z36&lt;0,Z24&lt;0),-Z36,IF(AND(Z36&lt;0,Z24&gt;=0),IF(ABS(Z36)&lt;=Z24,MAX(-Z24-Z36,-SUM($D37:Y37)),ABS(Z36)-Z24),0)))</f>
        <v>0</v>
      </c>
      <c r="AA37" s="473">
        <f ca="1">IF(AND(AA36&gt;=0,AA24&gt;=0),MAX(-AA24,-SUM($D37:Z37)),IF(AND(AA36&lt;0,AA24&lt;0),-AA36,IF(AND(AA36&lt;0,AA24&gt;=0),IF(ABS(AA36)&lt;=AA24,MAX(-AA24-AA36,-SUM($D37:Z37)),ABS(AA36)-AA24),0)))</f>
        <v>0</v>
      </c>
      <c r="AB37" s="473">
        <f ca="1">IF(AND(AB36&gt;=0,AB24&gt;=0),MAX(-AB24,-SUM($D37:AA37)),IF(AND(AB36&lt;0,AB24&lt;0),-AB36,IF(AND(AB36&lt;0,AB24&gt;=0),IF(ABS(AB36)&lt;=AB24,MAX(-AB24-AB36,-SUM($D37:AA37)),ABS(AB36)-AB24),0)))</f>
        <v>0</v>
      </c>
      <c r="AC37" s="473">
        <f ca="1">IF(AND(AC36&gt;=0,AC24&gt;=0),MAX(-AC24,-SUM($D37:AB37)),IF(AND(AC36&lt;0,AC24&lt;0),-AC36,IF(AND(AC36&lt;0,AC24&gt;=0),IF(ABS(AC36)&lt;=AC24,MAX(-AC24-AC36,-SUM($D37:AB37)),ABS(AC36)-AC24),0)))</f>
        <v>0</v>
      </c>
      <c r="AD37" s="473">
        <f ca="1">IF(AND(AD36&gt;=0,AD24&gt;=0),MAX(-AD24,-SUM($D37:AC37)),IF(AND(AD36&lt;0,AD24&lt;0),-AD36,IF(AND(AD36&lt;0,AD24&gt;=0),IF(ABS(AD36)&lt;=AD24,MAX(-AD24-AD36,-SUM($D37:AC37)),ABS(AD36)-AD24),0)))</f>
        <v>0</v>
      </c>
      <c r="AE37" s="473">
        <f ca="1">IF(AND(AE36&gt;=0,AE24&gt;=0),MAX(-AE24,-SUM($D37:AD37)),IF(AND(AE36&lt;0,AE24&lt;0),-AE36,IF(AND(AE36&lt;0,AE24&gt;=0),IF(ABS(AE36)&lt;=AE24,MAX(-AE24-AE36,-SUM($D37:AD37)),ABS(AE36)-AE24),0)))</f>
        <v>0</v>
      </c>
      <c r="AF37" s="473">
        <f ca="1">IF(AND(AF36&gt;=0,AF24&gt;=0),MAX(-AF24,-SUM($D37:AE37)),IF(AND(AF36&lt;0,AF24&lt;0),-AF36,IF(AND(AF36&lt;0,AF24&gt;=0),IF(ABS(AF36)&lt;=AF24,MAX(-AF24-AF36,-SUM($D37:AE37)),ABS(AF36)-AF24),0)))</f>
        <v>0</v>
      </c>
      <c r="AG37" s="473">
        <f ca="1">IF(AND(AG36&gt;=0,AG24&gt;=0),MAX(-AG24,-SUM($D37:AF37)),IF(AND(AG36&lt;0,AG24&lt;0),-AG36,IF(AND(AG36&lt;0,AG24&gt;=0),IF(ABS(AG36)&lt;=AG24,MAX(-AG24-AG36,-SUM($D37:AF37)),ABS(AG36)-AG24),0)))</f>
        <v>0</v>
      </c>
      <c r="AH37" s="476">
        <f ca="1">IF(AND(AH36&gt;=0,AH24&gt;=0),MAX(-AH24,-SUM($D37:AG37)),IF(AND(AH36&lt;0,AH24&lt;0),-AH36,IF(AND(AH36&lt;0,AH24&gt;=0),IF(ABS(AH36)&lt;=AH24,MAX(-AH24-AH36,-SUM($D37:AG37)),ABS(AH36)-AH24),0)))</f>
        <v>0</v>
      </c>
    </row>
    <row r="38" spans="1:34" s="59" customFormat="1">
      <c r="A38" s="720"/>
    </row>
    <row r="39" spans="1:34" s="59" customFormat="1">
      <c r="A39" s="720"/>
    </row>
    <row r="40" spans="1:34" s="332" customFormat="1">
      <c r="A40" s="720"/>
    </row>
    <row r="41" spans="1:34" s="59" customFormat="1">
      <c r="A41" s="177"/>
    </row>
    <row r="42" spans="1:34" s="59" customFormat="1">
      <c r="A42" s="177"/>
      <c r="B42" s="428" t="s">
        <v>219</v>
      </c>
    </row>
    <row r="43" spans="1:34" s="59" customFormat="1">
      <c r="A43" s="177"/>
    </row>
    <row r="44" spans="1:34" s="59" customFormat="1">
      <c r="A44" s="177"/>
      <c r="B44" s="1292" t="s">
        <v>641</v>
      </c>
      <c r="C44" s="403"/>
      <c r="D44" s="553">
        <v>0</v>
      </c>
      <c r="E44" s="553">
        <f ca="1">D53</f>
        <v>106778.0668711242</v>
      </c>
      <c r="F44" s="553">
        <f t="shared" ref="F44:AH44" ca="1" si="11">E53</f>
        <v>67249.004976569937</v>
      </c>
      <c r="G44" s="553">
        <f t="shared" ca="1" si="11"/>
        <v>43394.075449137206</v>
      </c>
      <c r="H44" s="553">
        <f t="shared" ca="1" si="11"/>
        <v>28943.625345587352</v>
      </c>
      <c r="I44" s="553">
        <f t="shared" ca="1" si="11"/>
        <v>14493.175248983418</v>
      </c>
      <c r="J44" s="553">
        <f t="shared" ca="1" si="11"/>
        <v>7096.0847204302408</v>
      </c>
      <c r="K44" s="553">
        <f t="shared" ca="1" si="11"/>
        <v>6752.3537535169125</v>
      </c>
      <c r="L44" s="553">
        <f t="shared" ca="1" si="11"/>
        <v>6408.6227773329047</v>
      </c>
      <c r="M44" s="553">
        <f t="shared" ca="1" si="11"/>
        <v>6064.8917876077503</v>
      </c>
      <c r="N44" s="553">
        <f t="shared" ca="1" si="11"/>
        <v>5721.1608009846204</v>
      </c>
      <c r="O44" s="553">
        <f t="shared" ca="1" si="11"/>
        <v>5377.4298255496687</v>
      </c>
      <c r="P44" s="553">
        <f t="shared" ca="1" si="11"/>
        <v>5033.6988697216384</v>
      </c>
      <c r="Q44" s="553">
        <f t="shared" ca="1" si="11"/>
        <v>4689.9679224493175</v>
      </c>
      <c r="R44" s="553">
        <f t="shared" ca="1" si="11"/>
        <v>4346.2369673804478</v>
      </c>
      <c r="S44" s="553">
        <f t="shared" ca="1" si="11"/>
        <v>4002.5059863102406</v>
      </c>
      <c r="T44" s="553">
        <f t="shared" ca="1" si="11"/>
        <v>3658.7749631135093</v>
      </c>
      <c r="U44" s="553">
        <f t="shared" ca="1" si="11"/>
        <v>3315.0439502354502</v>
      </c>
      <c r="V44" s="553">
        <f t="shared" ca="1" si="11"/>
        <v>2971.3129694929967</v>
      </c>
      <c r="W44" s="553">
        <f t="shared" ca="1" si="11"/>
        <v>2841.8171508056357</v>
      </c>
      <c r="X44" s="553">
        <f t="shared" ca="1" si="11"/>
        <v>2012.918107882856</v>
      </c>
      <c r="Y44" s="553">
        <f t="shared" ca="1" si="11"/>
        <v>2012.5601075573854</v>
      </c>
      <c r="Z44" s="553">
        <f t="shared" ca="1" si="11"/>
        <v>2012.5600885026424</v>
      </c>
      <c r="AA44" s="553">
        <f t="shared" ca="1" si="11"/>
        <v>2012.5599378574084</v>
      </c>
      <c r="AB44" s="553">
        <f t="shared" ca="1" si="11"/>
        <v>2012.5598206863649</v>
      </c>
      <c r="AC44" s="553">
        <f t="shared" ca="1" si="11"/>
        <v>2012.5597957759628</v>
      </c>
      <c r="AD44" s="553">
        <f t="shared" ca="1" si="11"/>
        <v>2012.5599520268611</v>
      </c>
      <c r="AE44" s="553">
        <f t="shared" ca="1" si="11"/>
        <v>2012.56015072635</v>
      </c>
      <c r="AF44" s="553">
        <f t="shared" ca="1" si="11"/>
        <v>2012.560305415087</v>
      </c>
      <c r="AG44" s="553">
        <f t="shared" ca="1" si="11"/>
        <v>2012.5602657811526</v>
      </c>
      <c r="AH44" s="554">
        <f t="shared" ca="1" si="11"/>
        <v>2012.5598142471695</v>
      </c>
    </row>
    <row r="45" spans="1:34" s="59" customFormat="1">
      <c r="A45" s="177"/>
      <c r="B45" s="1293" t="s">
        <v>526</v>
      </c>
      <c r="C45" s="500"/>
      <c r="D45" s="500">
        <f>CapAcc!D60</f>
        <v>0</v>
      </c>
      <c r="E45" s="500">
        <f ca="1">D51</f>
        <v>68590.324820352631</v>
      </c>
      <c r="F45" s="500">
        <f t="shared" ref="F45:AH45" ca="1" si="12">E51</f>
        <v>30005.222645631984</v>
      </c>
      <c r="G45" s="500">
        <f t="shared" ca="1" si="12"/>
        <v>7219.3305409486638</v>
      </c>
      <c r="H45" s="500">
        <f t="shared" ca="1" si="12"/>
        <v>-6061.4687604220235</v>
      </c>
      <c r="I45" s="500">
        <f t="shared" ca="1" si="12"/>
        <v>-19235.700269637338</v>
      </c>
      <c r="J45" s="500">
        <f t="shared" ca="1" si="12"/>
        <v>-25011.539686229684</v>
      </c>
      <c r="K45" s="500">
        <f t="shared" ca="1" si="12"/>
        <v>-23883.56244271325</v>
      </c>
      <c r="L45" s="500">
        <f t="shared" ca="1" si="12"/>
        <v>-22593.110626488131</v>
      </c>
      <c r="M45" s="500">
        <f t="shared" ca="1" si="12"/>
        <v>-21132.862854115439</v>
      </c>
      <c r="N45" s="500">
        <f t="shared" ca="1" si="12"/>
        <v>-19431.000147814095</v>
      </c>
      <c r="O45" s="500">
        <f t="shared" ca="1" si="12"/>
        <v>-17461.360672350216</v>
      </c>
      <c r="P45" s="500">
        <f t="shared" ca="1" si="12"/>
        <v>-15177.032023239381</v>
      </c>
      <c r="Q45" s="500">
        <f t="shared" ca="1" si="12"/>
        <v>-12556.845583082295</v>
      </c>
      <c r="R45" s="500">
        <f t="shared" ca="1" si="12"/>
        <v>-9724.9265492213854</v>
      </c>
      <c r="S45" s="500">
        <f t="shared" ca="1" si="12"/>
        <v>-6672.825539473225</v>
      </c>
      <c r="T45" s="500">
        <f t="shared" ca="1" si="12"/>
        <v>-3448.3939712040165</v>
      </c>
      <c r="U45" s="500">
        <f t="shared" ca="1" si="12"/>
        <v>69.778627395447074</v>
      </c>
      <c r="V45" s="500">
        <f t="shared" ca="1" si="12"/>
        <v>2971.3129694929903</v>
      </c>
      <c r="W45" s="500">
        <f t="shared" ca="1" si="12"/>
        <v>2841.8171508056294</v>
      </c>
      <c r="X45" s="500">
        <f t="shared" ca="1" si="12"/>
        <v>2012.9181078828497</v>
      </c>
      <c r="Y45" s="500">
        <f t="shared" ca="1" si="12"/>
        <v>2012.5601075573791</v>
      </c>
      <c r="Z45" s="500">
        <f t="shared" ca="1" si="12"/>
        <v>2012.5600885026361</v>
      </c>
      <c r="AA45" s="500">
        <f t="shared" ca="1" si="12"/>
        <v>2012.559937857402</v>
      </c>
      <c r="AB45" s="500">
        <f t="shared" ca="1" si="12"/>
        <v>2012.5598206863585</v>
      </c>
      <c r="AC45" s="500">
        <f t="shared" ca="1" si="12"/>
        <v>2012.5597957759564</v>
      </c>
      <c r="AD45" s="500">
        <f t="shared" ca="1" si="12"/>
        <v>2012.5599520268547</v>
      </c>
      <c r="AE45" s="500">
        <f t="shared" ca="1" si="12"/>
        <v>2012.5601507263436</v>
      </c>
      <c r="AF45" s="500">
        <f t="shared" ca="1" si="12"/>
        <v>2012.5603054150806</v>
      </c>
      <c r="AG45" s="500">
        <f t="shared" ca="1" si="12"/>
        <v>2012.5602657811462</v>
      </c>
      <c r="AH45" s="1294">
        <f t="shared" ca="1" si="12"/>
        <v>2012.5598142471631</v>
      </c>
    </row>
    <row r="46" spans="1:34" s="59" customFormat="1">
      <c r="A46" s="177"/>
      <c r="B46" s="629" t="s">
        <v>637</v>
      </c>
      <c r="C46" s="317"/>
      <c r="D46" s="317"/>
      <c r="E46" s="317"/>
      <c r="F46" s="317"/>
      <c r="G46" s="317"/>
      <c r="H46" s="317"/>
      <c r="I46" s="317"/>
      <c r="J46" s="317"/>
      <c r="K46" s="317"/>
      <c r="L46" s="317"/>
      <c r="M46" s="317"/>
      <c r="N46" s="317"/>
      <c r="O46" s="317"/>
      <c r="P46" s="317"/>
      <c r="Q46" s="317"/>
      <c r="R46" s="317"/>
      <c r="S46" s="317"/>
      <c r="T46" s="317"/>
      <c r="U46" s="317"/>
      <c r="V46" s="317"/>
      <c r="W46" s="317"/>
      <c r="X46" s="317"/>
      <c r="Y46" s="317"/>
      <c r="Z46" s="317"/>
      <c r="AA46" s="317"/>
      <c r="AB46" s="317"/>
      <c r="AC46" s="317"/>
      <c r="AD46" s="317"/>
      <c r="AE46" s="317"/>
      <c r="AF46" s="317"/>
      <c r="AG46" s="317"/>
      <c r="AH46" s="318"/>
    </row>
    <row r="47" spans="1:34" s="59" customFormat="1">
      <c r="A47" s="177"/>
      <c r="B47" s="629" t="s">
        <v>638</v>
      </c>
      <c r="C47" s="317"/>
      <c r="D47" s="317">
        <f ca="1">CapAcc!D61</f>
        <v>91340.320994420923</v>
      </c>
      <c r="E47" s="317"/>
      <c r="F47" s="317"/>
      <c r="G47" s="317"/>
      <c r="H47" s="317"/>
      <c r="I47" s="317"/>
      <c r="J47" s="317"/>
      <c r="K47" s="317"/>
      <c r="L47" s="317"/>
      <c r="M47" s="317"/>
      <c r="N47" s="317"/>
      <c r="O47" s="317"/>
      <c r="P47" s="317"/>
      <c r="Q47" s="317"/>
      <c r="R47" s="317"/>
      <c r="S47" s="317"/>
      <c r="T47" s="317"/>
      <c r="U47" s="317"/>
      <c r="V47" s="317"/>
      <c r="W47" s="317"/>
      <c r="X47" s="317"/>
      <c r="Y47" s="317"/>
      <c r="Z47" s="317"/>
      <c r="AA47" s="317"/>
      <c r="AB47" s="317"/>
      <c r="AC47" s="317"/>
      <c r="AD47" s="317"/>
      <c r="AE47" s="317"/>
      <c r="AF47" s="317"/>
      <c r="AG47" s="317"/>
      <c r="AH47" s="318"/>
    </row>
    <row r="48" spans="1:34" s="59" customFormat="1">
      <c r="A48" s="177"/>
      <c r="B48" s="629" t="s">
        <v>484</v>
      </c>
      <c r="C48" s="317"/>
      <c r="D48" s="317">
        <f>CapAcc!D62</f>
        <v>0</v>
      </c>
      <c r="E48" s="317">
        <f>CapAcc!E62</f>
        <v>0</v>
      </c>
      <c r="F48" s="317">
        <f>CapAcc!F62</f>
        <v>0</v>
      </c>
      <c r="G48" s="317">
        <f>CapAcc!G62</f>
        <v>0</v>
      </c>
      <c r="H48" s="317">
        <f>CapAcc!H62</f>
        <v>0</v>
      </c>
      <c r="I48" s="317">
        <f>CapAcc!I62</f>
        <v>0</v>
      </c>
      <c r="J48" s="317">
        <f>CapAcc!J62</f>
        <v>0</v>
      </c>
      <c r="K48" s="317">
        <f>CapAcc!K62</f>
        <v>0</v>
      </c>
      <c r="L48" s="317">
        <f>CapAcc!L62</f>
        <v>0</v>
      </c>
      <c r="M48" s="317">
        <f>CapAcc!M62</f>
        <v>0</v>
      </c>
      <c r="N48" s="317">
        <f>CapAcc!N62</f>
        <v>0</v>
      </c>
      <c r="O48" s="317">
        <f>CapAcc!O62</f>
        <v>0</v>
      </c>
      <c r="P48" s="317">
        <f>CapAcc!P62</f>
        <v>0</v>
      </c>
      <c r="Q48" s="317">
        <f>CapAcc!Q62</f>
        <v>0</v>
      </c>
      <c r="R48" s="317">
        <f>CapAcc!R62</f>
        <v>0</v>
      </c>
      <c r="S48" s="317">
        <f>CapAcc!S62</f>
        <v>0</v>
      </c>
      <c r="T48" s="317">
        <f>CapAcc!T62</f>
        <v>0</v>
      </c>
      <c r="U48" s="317">
        <f>CapAcc!U62</f>
        <v>0</v>
      </c>
      <c r="V48" s="317">
        <f>CapAcc!V62</f>
        <v>0</v>
      </c>
      <c r="W48" s="317">
        <f>CapAcc!W62</f>
        <v>0</v>
      </c>
      <c r="X48" s="317">
        <f>CapAcc!X62</f>
        <v>0</v>
      </c>
      <c r="Y48" s="317">
        <f>CapAcc!Y62</f>
        <v>0</v>
      </c>
      <c r="Z48" s="317">
        <f>CapAcc!Z62</f>
        <v>0</v>
      </c>
      <c r="AA48" s="317">
        <f>CapAcc!AA62</f>
        <v>0</v>
      </c>
      <c r="AB48" s="317">
        <f>CapAcc!AB62</f>
        <v>0</v>
      </c>
      <c r="AC48" s="317">
        <f>CapAcc!AC62</f>
        <v>0</v>
      </c>
      <c r="AD48" s="317">
        <f>CapAcc!AD62</f>
        <v>0</v>
      </c>
      <c r="AE48" s="317">
        <f>CapAcc!AE62</f>
        <v>0</v>
      </c>
      <c r="AF48" s="317">
        <f>CapAcc!AF62</f>
        <v>0</v>
      </c>
      <c r="AG48" s="317">
        <f>CapAcc!AG62</f>
        <v>0</v>
      </c>
      <c r="AH48" s="317">
        <f>CapAcc!AH62</f>
        <v>0</v>
      </c>
    </row>
    <row r="49" spans="1:39" s="59" customFormat="1">
      <c r="A49" s="177"/>
      <c r="B49" s="629" t="s">
        <v>639</v>
      </c>
      <c r="C49" s="317"/>
      <c r="D49" s="317">
        <f>SUM(CapAcc!D63:D66)</f>
        <v>10990.1020025</v>
      </c>
      <c r="E49" s="317">
        <f>SUM(CapAcc!E63:E66)</f>
        <v>11020.715099999999</v>
      </c>
      <c r="F49" s="317">
        <f>SUM(CapAcc!F63:F66)</f>
        <v>11020.715099999999</v>
      </c>
      <c r="G49" s="317">
        <f>SUM(CapAcc!G63:G66)</f>
        <v>11020.715099999999</v>
      </c>
      <c r="H49" s="317">
        <f>SUM(CapAcc!H63:H66)</f>
        <v>11020.715099999999</v>
      </c>
      <c r="I49" s="317">
        <f>SUM(CapAcc!I63:I66)</f>
        <v>11020.715099999999</v>
      </c>
      <c r="J49" s="317">
        <f>SUM(CapAcc!J63:J66)</f>
        <v>11020.715099999999</v>
      </c>
      <c r="K49" s="317">
        <f>SUM(CapAcc!K63:K66)</f>
        <v>11020.715099999999</v>
      </c>
      <c r="L49" s="317">
        <f>SUM(CapAcc!L63:L66)</f>
        <v>11020.715099999999</v>
      </c>
      <c r="M49" s="317">
        <f>SUM(CapAcc!M63:M66)</f>
        <v>11020.715099999999</v>
      </c>
      <c r="N49" s="317">
        <f>SUM(CapAcc!N63:N66)</f>
        <v>11020.715099999999</v>
      </c>
      <c r="O49" s="317">
        <f>SUM(CapAcc!O63:O66)</f>
        <v>11020.715099999999</v>
      </c>
      <c r="P49" s="317">
        <f>SUM(CapAcc!P63:P66)</f>
        <v>11020.715099999999</v>
      </c>
      <c r="Q49" s="317">
        <f>SUM(CapAcc!Q63:Q66)</f>
        <v>11020.715099999999</v>
      </c>
      <c r="R49" s="317">
        <f>SUM(CapAcc!R63:R66)</f>
        <v>11020.715099999999</v>
      </c>
      <c r="S49" s="317">
        <f>SUM(CapAcc!S63:S66)</f>
        <v>11020.715099999999</v>
      </c>
      <c r="T49" s="317">
        <f>SUM(CapAcc!T63:T66)</f>
        <v>11020.715099999999</v>
      </c>
      <c r="U49" s="317">
        <f>SUM(CapAcc!U63:U66)</f>
        <v>11020.715099999999</v>
      </c>
      <c r="V49" s="317">
        <f>SUM(CapAcc!V63:V66)</f>
        <v>11020.715099999999</v>
      </c>
      <c r="W49" s="317">
        <f>SUM(CapAcc!W63:W66)</f>
        <v>11020.715099999999</v>
      </c>
      <c r="X49" s="317">
        <f>SUM(CapAcc!X63:X66)</f>
        <v>30.613097499999892</v>
      </c>
      <c r="Y49" s="317">
        <f>SUM(CapAcc!Y63:Y66)</f>
        <v>0</v>
      </c>
      <c r="Z49" s="317">
        <f>SUM(CapAcc!Z63:Z66)</f>
        <v>0</v>
      </c>
      <c r="AA49" s="317">
        <f>SUM(CapAcc!AA63:AA66)</f>
        <v>0</v>
      </c>
      <c r="AB49" s="317">
        <f>SUM(CapAcc!AB63:AB66)</f>
        <v>0</v>
      </c>
      <c r="AC49" s="317">
        <f>SUM(CapAcc!AC63:AC66)</f>
        <v>0</v>
      </c>
      <c r="AD49" s="317">
        <f>SUM(CapAcc!AD63:AD66)</f>
        <v>0</v>
      </c>
      <c r="AE49" s="317">
        <f>SUM(CapAcc!AE63:AE66)</f>
        <v>0</v>
      </c>
      <c r="AF49" s="317">
        <f>SUM(CapAcc!AF63:AF66)</f>
        <v>0</v>
      </c>
      <c r="AG49" s="317">
        <f>SUM(CapAcc!AG63:AG66)</f>
        <v>0</v>
      </c>
      <c r="AH49" s="318">
        <f>SUM(CapAcc!AH63:AH66)</f>
        <v>0</v>
      </c>
    </row>
    <row r="50" spans="1:39" s="59" customFormat="1">
      <c r="A50" s="177"/>
      <c r="B50" s="629" t="s">
        <v>640</v>
      </c>
      <c r="C50" s="317"/>
      <c r="D50" s="317">
        <f ca="1">SUM(CapAcc!D67:D74)</f>
        <v>-33740.098173728111</v>
      </c>
      <c r="E50" s="317">
        <f ca="1">SUM(CapAcc!E67:E74)</f>
        <v>-49605.817267943123</v>
      </c>
      <c r="F50" s="317">
        <f ca="1">SUM(CapAcc!F67:F74)</f>
        <v>-33806.607199091522</v>
      </c>
      <c r="G50" s="317">
        <f ca="1">SUM(CapAcc!G67:G74)</f>
        <v>-24301.514400100266</v>
      </c>
      <c r="H50" s="317">
        <f ca="1">SUM(CapAcc!H67:H74)</f>
        <v>-24194.946614890814</v>
      </c>
      <c r="I50" s="317">
        <f ca="1">SUM(CapAcc!I67:I74)</f>
        <v>-16796.55452564748</v>
      </c>
      <c r="J50" s="317">
        <f ca="1">SUM(CapAcc!J67:J74)</f>
        <v>-9892.7378625074234</v>
      </c>
      <c r="K50" s="317">
        <f ca="1">SUM(CapAcc!K67:K74)</f>
        <v>-9730.2632805280609</v>
      </c>
      <c r="L50" s="317">
        <f ca="1">SUM(CapAcc!L67:L74)</f>
        <v>-9560.4673108393436</v>
      </c>
      <c r="M50" s="317">
        <f ca="1">SUM(CapAcc!M67:M74)</f>
        <v>-9318.852380012715</v>
      </c>
      <c r="N50" s="317">
        <f ca="1">SUM(CapAcc!N67:N74)</f>
        <v>-9051.0756220383555</v>
      </c>
      <c r="O50" s="317">
        <f ca="1">SUM(CapAcc!O67:O74)</f>
        <v>-8736.3864679983217</v>
      </c>
      <c r="P50" s="317">
        <f ca="1">SUM(CapAcc!P67:P74)</f>
        <v>-8400.5286855077811</v>
      </c>
      <c r="Q50" s="317">
        <f ca="1">SUM(CapAcc!Q67:Q74)</f>
        <v>-8188.7960840074102</v>
      </c>
      <c r="R50" s="317">
        <f ca="1">SUM(CapAcc!R67:R74)</f>
        <v>-7968.614082118821</v>
      </c>
      <c r="S50" s="317">
        <f ca="1">SUM(CapAcc!S67:S74)</f>
        <v>-7796.2834814712496</v>
      </c>
      <c r="T50" s="317">
        <f ca="1">SUM(CapAcc!T67:T74)</f>
        <v>-7502.5424614596668</v>
      </c>
      <c r="U50" s="317">
        <f ca="1">SUM(CapAcc!U67:U74)</f>
        <v>-8119.1807500971918</v>
      </c>
      <c r="V50" s="317">
        <f ca="1">SUM(CapAcc!V67:V74)</f>
        <v>-11150.210970012795</v>
      </c>
      <c r="W50" s="317">
        <f ca="1">SUM(CapAcc!W67:W74)</f>
        <v>-11849.614214851445</v>
      </c>
      <c r="X50" s="317">
        <f ca="1">SUM(CapAcc!X67:X74)</f>
        <v>-30.971150596809458</v>
      </c>
      <c r="Y50" s="317">
        <f ca="1">SUM(CapAcc!Y67:Y74)</f>
        <v>0</v>
      </c>
      <c r="Z50" s="317">
        <f ca="1">SUM(CapAcc!Z67:Z74)</f>
        <v>0</v>
      </c>
      <c r="AA50" s="317">
        <f ca="1">SUM(CapAcc!AA67:AA74)</f>
        <v>0</v>
      </c>
      <c r="AB50" s="317">
        <f ca="1">SUM(CapAcc!AB67:AB74)</f>
        <v>0</v>
      </c>
      <c r="AC50" s="317">
        <f ca="1">SUM(CapAcc!AC67:AC74)</f>
        <v>0</v>
      </c>
      <c r="AD50" s="317">
        <f ca="1">SUM(CapAcc!AD67:AD74)</f>
        <v>0</v>
      </c>
      <c r="AE50" s="317">
        <f ca="1">SUM(CapAcc!AE67:AE74)</f>
        <v>0</v>
      </c>
      <c r="AF50" s="317">
        <f ca="1">SUM(CapAcc!AF67:AF74)</f>
        <v>0</v>
      </c>
      <c r="AG50" s="317">
        <f ca="1">SUM(CapAcc!AG67:AG74)</f>
        <v>0</v>
      </c>
      <c r="AH50" s="318">
        <f ca="1">SUM(CapAcc!AH67:AH74)</f>
        <v>0</v>
      </c>
    </row>
    <row r="51" spans="1:39" s="59" customFormat="1">
      <c r="A51" s="177"/>
      <c r="B51" s="1293" t="s">
        <v>284</v>
      </c>
      <c r="C51" s="500"/>
      <c r="D51" s="500">
        <f ca="1">SUM(D45:D50)</f>
        <v>68590.324823192816</v>
      </c>
      <c r="E51" s="500">
        <f ca="1">SUM(E45:E50)</f>
        <v>30005.222652409509</v>
      </c>
      <c r="F51" s="500">
        <f t="shared" ref="F51:AH51" ca="1" si="13">SUM(F45:F50)</f>
        <v>7219.3305465404628</v>
      </c>
      <c r="G51" s="500">
        <f t="shared" ca="1" si="13"/>
        <v>-6061.4687591516013</v>
      </c>
      <c r="H51" s="500">
        <f t="shared" ca="1" si="13"/>
        <v>-19235.70027531284</v>
      </c>
      <c r="I51" s="500">
        <f t="shared" ca="1" si="13"/>
        <v>-25011.539695284817</v>
      </c>
      <c r="J51" s="500">
        <f t="shared" ca="1" si="13"/>
        <v>-23883.56244873711</v>
      </c>
      <c r="K51" s="500">
        <f t="shared" ca="1" si="13"/>
        <v>-22593.110623241311</v>
      </c>
      <c r="L51" s="500">
        <f t="shared" ca="1" si="13"/>
        <v>-21132.862837327477</v>
      </c>
      <c r="M51" s="500">
        <f t="shared" ca="1" si="13"/>
        <v>-19431.000134128153</v>
      </c>
      <c r="N51" s="500">
        <f t="shared" ca="1" si="13"/>
        <v>-17461.360669852453</v>
      </c>
      <c r="O51" s="500">
        <f t="shared" ca="1" si="13"/>
        <v>-15177.032040348538</v>
      </c>
      <c r="P51" s="500">
        <f t="shared" ca="1" si="13"/>
        <v>-12556.845608747162</v>
      </c>
      <c r="Q51" s="500">
        <f t="shared" ca="1" si="13"/>
        <v>-9724.9265670897057</v>
      </c>
      <c r="R51" s="500">
        <f t="shared" ca="1" si="13"/>
        <v>-6672.8255313402069</v>
      </c>
      <c r="S51" s="500">
        <f t="shared" ca="1" si="13"/>
        <v>-3448.3939209444752</v>
      </c>
      <c r="T51" s="500">
        <f t="shared" ca="1" si="13"/>
        <v>69.778667336316175</v>
      </c>
      <c r="U51" s="500">
        <f t="shared" ca="1" si="13"/>
        <v>2971.3129772982538</v>
      </c>
      <c r="V51" s="500">
        <f t="shared" ca="1" si="13"/>
        <v>2841.8170994801949</v>
      </c>
      <c r="W51" s="500">
        <f t="shared" ca="1" si="13"/>
        <v>2012.9180359541842</v>
      </c>
      <c r="X51" s="500">
        <f t="shared" ca="1" si="13"/>
        <v>2012.5600547860402</v>
      </c>
      <c r="Y51" s="500">
        <f t="shared" ca="1" si="13"/>
        <v>2012.5601075573791</v>
      </c>
      <c r="Z51" s="500">
        <f t="shared" ca="1" si="13"/>
        <v>2012.5600885026361</v>
      </c>
      <c r="AA51" s="500">
        <f t="shared" ca="1" si="13"/>
        <v>2012.559937857402</v>
      </c>
      <c r="AB51" s="500">
        <f t="shared" ca="1" si="13"/>
        <v>2012.5598206863585</v>
      </c>
      <c r="AC51" s="500">
        <f t="shared" ca="1" si="13"/>
        <v>2012.5597957759564</v>
      </c>
      <c r="AD51" s="500">
        <f t="shared" ca="1" si="13"/>
        <v>2012.5599520268547</v>
      </c>
      <c r="AE51" s="500">
        <f t="shared" ca="1" si="13"/>
        <v>2012.5601507263436</v>
      </c>
      <c r="AF51" s="500">
        <f t="shared" ca="1" si="13"/>
        <v>2012.5603054150806</v>
      </c>
      <c r="AG51" s="500">
        <f t="shared" ca="1" si="13"/>
        <v>2012.5602657811462</v>
      </c>
      <c r="AH51" s="1294">
        <f t="shared" ca="1" si="13"/>
        <v>2012.5598142471631</v>
      </c>
    </row>
    <row r="52" spans="1:39" s="59" customFormat="1">
      <c r="A52" s="177"/>
      <c r="B52" s="629" t="s">
        <v>508</v>
      </c>
      <c r="C52" s="317"/>
      <c r="D52" s="317">
        <f>(SrDebt!E124+JrDebt!D71)</f>
        <v>38187.74205077158</v>
      </c>
      <c r="E52" s="317">
        <f>(SrDebt!F124+JrDebt!E71)</f>
        <v>37243.782330937946</v>
      </c>
      <c r="F52" s="317">
        <f>(SrDebt!G124+JrDebt!F71)</f>
        <v>36174.744908188542</v>
      </c>
      <c r="G52" s="317">
        <f>(SrDebt!H124+JrDebt!G71)</f>
        <v>35005.094106009376</v>
      </c>
      <c r="H52" s="317">
        <f>(SrDebt!I124+JrDebt!H71)</f>
        <v>33728.875518620756</v>
      </c>
      <c r="I52" s="317">
        <f>(SrDebt!J124+JrDebt!I71)</f>
        <v>32107.624406659925</v>
      </c>
      <c r="J52" s="317">
        <f>(SrDebt!K124+JrDebt!J71)</f>
        <v>30635.916196230162</v>
      </c>
      <c r="K52" s="317">
        <f>(SrDebt!L124+JrDebt!K71)</f>
        <v>29001.733403821036</v>
      </c>
      <c r="L52" s="317">
        <f>(SrDebt!M124+JrDebt!L71)</f>
        <v>27197.75464172319</v>
      </c>
      <c r="M52" s="317">
        <f>(SrDebt!N124+JrDebt!M71)</f>
        <v>25152.160948798715</v>
      </c>
      <c r="N52" s="317">
        <f>(SrDebt!O124+JrDebt!N71)</f>
        <v>22838.790497899885</v>
      </c>
      <c r="O52" s="317">
        <f>(SrDebt!P124+JrDebt!O71)</f>
        <v>20210.730892961019</v>
      </c>
      <c r="P52" s="317">
        <f>(SrDebt!Q124+JrDebt!P71)</f>
        <v>17246.813505531612</v>
      </c>
      <c r="Q52" s="317">
        <f>(SrDebt!R124+JrDebt!Q71)</f>
        <v>14071.163516601833</v>
      </c>
      <c r="R52" s="317">
        <f>(SrDebt!S124+JrDebt!R71)</f>
        <v>10675.331525783466</v>
      </c>
      <c r="S52" s="317">
        <f>(SrDebt!T124+JrDebt!S71)</f>
        <v>7107.1689343175258</v>
      </c>
      <c r="T52" s="317">
        <f>(SrDebt!U124+JrDebt!T71)</f>
        <v>3245.2653228400031</v>
      </c>
      <c r="U52" s="317">
        <f>(SrDebt!V124+JrDebt!U71)</f>
        <v>6.3664629124104977E-12</v>
      </c>
      <c r="V52" s="317">
        <f>(SrDebt!W124+JrDebt!V71)</f>
        <v>6.3664629124104977E-12</v>
      </c>
      <c r="W52" s="317">
        <f>(SrDebt!X124+JrDebt!W71)</f>
        <v>6.3664629124104977E-12</v>
      </c>
      <c r="X52" s="317">
        <f>(SrDebt!Y124+JrDebt!X71)</f>
        <v>6.3664629124104977E-12</v>
      </c>
      <c r="Y52" s="317">
        <f>(SrDebt!Z124+JrDebt!Y71)</f>
        <v>6.3664629124104977E-12</v>
      </c>
      <c r="Z52" s="317">
        <f>(SrDebt!AA124+JrDebt!Z71)</f>
        <v>6.3664629124104977E-12</v>
      </c>
      <c r="AA52" s="317">
        <f>(SrDebt!AB124+JrDebt!AA71)</f>
        <v>6.3664629124104977E-12</v>
      </c>
      <c r="AB52" s="317">
        <f>(SrDebt!AC124+JrDebt!AB71)</f>
        <v>6.3664629124104977E-12</v>
      </c>
      <c r="AC52" s="317">
        <f>(SrDebt!AD124+JrDebt!AC71)</f>
        <v>6.3664629124104977E-12</v>
      </c>
      <c r="AD52" s="317">
        <f>(SrDebt!AE124+JrDebt!AD71)</f>
        <v>6.3664629124104977E-12</v>
      </c>
      <c r="AE52" s="317">
        <f>(SrDebt!AF124+JrDebt!AE71)</f>
        <v>6.3664629124104977E-12</v>
      </c>
      <c r="AF52" s="317">
        <f>(SrDebt!AG124+JrDebt!AF71)</f>
        <v>6.3664629124104977E-12</v>
      </c>
      <c r="AG52" s="317">
        <f>(SrDebt!AH124+JrDebt!AG71)</f>
        <v>6.3664629124104977E-12</v>
      </c>
      <c r="AH52" s="317">
        <f>(SrDebt!AI124+JrDebt!AH71)</f>
        <v>6.3664629124104977E-12</v>
      </c>
    </row>
    <row r="53" spans="1:39" s="59" customFormat="1">
      <c r="A53" s="177"/>
      <c r="B53" s="1301" t="s">
        <v>587</v>
      </c>
      <c r="C53" s="1302"/>
      <c r="D53" s="1196">
        <f t="shared" ref="D53:AH53" ca="1" si="14">SUM(D51:D52)</f>
        <v>106778.06687396439</v>
      </c>
      <c r="E53" s="1196">
        <f t="shared" ca="1" si="14"/>
        <v>67249.004983347462</v>
      </c>
      <c r="F53" s="1196">
        <f t="shared" ca="1" si="14"/>
        <v>43394.075454729005</v>
      </c>
      <c r="G53" s="1196">
        <f t="shared" ca="1" si="14"/>
        <v>28943.625346857774</v>
      </c>
      <c r="H53" s="1196">
        <f t="shared" ca="1" si="14"/>
        <v>14493.175243307916</v>
      </c>
      <c r="I53" s="1196">
        <f t="shared" ca="1" si="14"/>
        <v>7096.0847113751079</v>
      </c>
      <c r="J53" s="1196">
        <f t="shared" ca="1" si="14"/>
        <v>6752.3537474930527</v>
      </c>
      <c r="K53" s="1196">
        <f t="shared" ca="1" si="14"/>
        <v>6408.6227805797243</v>
      </c>
      <c r="L53" s="1196">
        <f t="shared" ca="1" si="14"/>
        <v>6064.8918043957128</v>
      </c>
      <c r="M53" s="1196">
        <f t="shared" ca="1" si="14"/>
        <v>5721.1608146705621</v>
      </c>
      <c r="N53" s="1196">
        <f t="shared" ca="1" si="14"/>
        <v>5377.4298280474322</v>
      </c>
      <c r="O53" s="1196">
        <f t="shared" ca="1" si="14"/>
        <v>5033.6988526124806</v>
      </c>
      <c r="P53" s="1196">
        <f t="shared" ca="1" si="14"/>
        <v>4689.9678967844502</v>
      </c>
      <c r="Q53" s="1196">
        <f t="shared" ca="1" si="14"/>
        <v>4346.2369495121275</v>
      </c>
      <c r="R53" s="1196">
        <f t="shared" ca="1" si="14"/>
        <v>4002.5059944432587</v>
      </c>
      <c r="S53" s="1196">
        <f t="shared" ca="1" si="14"/>
        <v>3658.7750133730506</v>
      </c>
      <c r="T53" s="1196">
        <f t="shared" ca="1" si="14"/>
        <v>3315.0439901763193</v>
      </c>
      <c r="U53" s="1196">
        <f t="shared" ca="1" si="14"/>
        <v>2971.3129772982602</v>
      </c>
      <c r="V53" s="1196">
        <f t="shared" ca="1" si="14"/>
        <v>2841.8170994802013</v>
      </c>
      <c r="W53" s="1196">
        <f t="shared" ca="1" si="14"/>
        <v>2012.9180359541906</v>
      </c>
      <c r="X53" s="1196">
        <f t="shared" ca="1" si="14"/>
        <v>2012.5600547860465</v>
      </c>
      <c r="Y53" s="1196">
        <f t="shared" ca="1" si="14"/>
        <v>2012.5601075573854</v>
      </c>
      <c r="Z53" s="1196">
        <f t="shared" ca="1" si="14"/>
        <v>2012.5600885026424</v>
      </c>
      <c r="AA53" s="1196">
        <f t="shared" ca="1" si="14"/>
        <v>2012.5599378574084</v>
      </c>
      <c r="AB53" s="1196">
        <f t="shared" ca="1" si="14"/>
        <v>2012.5598206863649</v>
      </c>
      <c r="AC53" s="1196">
        <f t="shared" ca="1" si="14"/>
        <v>2012.5597957759628</v>
      </c>
      <c r="AD53" s="1196">
        <f t="shared" ca="1" si="14"/>
        <v>2012.5599520268611</v>
      </c>
      <c r="AE53" s="1196">
        <f t="shared" ca="1" si="14"/>
        <v>2012.56015072635</v>
      </c>
      <c r="AF53" s="1196">
        <f t="shared" ca="1" si="14"/>
        <v>2012.560305415087</v>
      </c>
      <c r="AG53" s="1196">
        <f t="shared" ca="1" si="14"/>
        <v>2012.5602657811526</v>
      </c>
      <c r="AH53" s="1197">
        <f t="shared" ca="1" si="14"/>
        <v>2012.5598142471695</v>
      </c>
    </row>
    <row r="54" spans="1:39" s="59" customFormat="1">
      <c r="A54" s="177"/>
    </row>
    <row r="55" spans="1:39" s="59" customFormat="1" ht="13.5" thickBot="1">
      <c r="A55" s="177"/>
    </row>
    <row r="56" spans="1:39" s="59" customFormat="1">
      <c r="A56" s="177"/>
      <c r="B56" s="1303" t="s">
        <v>655</v>
      </c>
      <c r="C56" s="1304"/>
      <c r="D56" s="1304">
        <f>CapAcc!D7</f>
        <v>0.99</v>
      </c>
      <c r="E56" s="1304">
        <f>CapAcc!E7</f>
        <v>0.99</v>
      </c>
      <c r="F56" s="1304">
        <f>CapAcc!F7</f>
        <v>0.99</v>
      </c>
      <c r="G56" s="1304">
        <f>CapAcc!G7</f>
        <v>0.99</v>
      </c>
      <c r="H56" s="1304">
        <f>CapAcc!H7</f>
        <v>0.99</v>
      </c>
      <c r="I56" s="1304">
        <f>CapAcc!I7</f>
        <v>0.99</v>
      </c>
      <c r="J56" s="1304">
        <f>CapAcc!J7</f>
        <v>0.99</v>
      </c>
      <c r="K56" s="1304">
        <f>CapAcc!K7</f>
        <v>0.99</v>
      </c>
      <c r="L56" s="1304">
        <f>CapAcc!L7</f>
        <v>0.99</v>
      </c>
      <c r="M56" s="1304">
        <f>CapAcc!M7</f>
        <v>0.99</v>
      </c>
      <c r="N56" s="1304">
        <f>CapAcc!N7</f>
        <v>0.99</v>
      </c>
      <c r="O56" s="1304">
        <f>CapAcc!O7</f>
        <v>0.99</v>
      </c>
      <c r="P56" s="1304">
        <f>CapAcc!P7</f>
        <v>0.99</v>
      </c>
      <c r="Q56" s="1304">
        <f>CapAcc!Q7</f>
        <v>0.99</v>
      </c>
      <c r="R56" s="1304">
        <f>CapAcc!R7</f>
        <v>0.99</v>
      </c>
      <c r="S56" s="1304">
        <f>CapAcc!S7</f>
        <v>0.99</v>
      </c>
      <c r="T56" s="1304">
        <f>CapAcc!T7</f>
        <v>0.99</v>
      </c>
      <c r="U56" s="1304">
        <f>CapAcc!U7</f>
        <v>0.99</v>
      </c>
      <c r="V56" s="1304">
        <f>CapAcc!V7</f>
        <v>0.99</v>
      </c>
      <c r="W56" s="1304">
        <f>CapAcc!W7</f>
        <v>0.99</v>
      </c>
      <c r="X56" s="1304">
        <f>CapAcc!X7</f>
        <v>0.99</v>
      </c>
      <c r="Y56" s="1304">
        <f>CapAcc!Y7</f>
        <v>0.99</v>
      </c>
      <c r="Z56" s="1304">
        <f>CapAcc!Z7</f>
        <v>0.99</v>
      </c>
      <c r="AA56" s="1304">
        <f>CapAcc!AA7</f>
        <v>0.99</v>
      </c>
      <c r="AB56" s="1304">
        <f>CapAcc!AB7</f>
        <v>0.99</v>
      </c>
      <c r="AC56" s="1304">
        <f>CapAcc!AC7</f>
        <v>0.99</v>
      </c>
      <c r="AD56" s="1304">
        <f>CapAcc!AD7</f>
        <v>0.99</v>
      </c>
      <c r="AE56" s="1304">
        <f>CapAcc!AE7</f>
        <v>0.99</v>
      </c>
      <c r="AF56" s="1304">
        <f>CapAcc!AF7</f>
        <v>0.99</v>
      </c>
      <c r="AG56" s="1304">
        <f>CapAcc!AG7</f>
        <v>0.99</v>
      </c>
      <c r="AH56" s="1304">
        <f>CapAcc!AH7</f>
        <v>0</v>
      </c>
      <c r="AI56" s="1304">
        <f>CapAcc!AI7</f>
        <v>0</v>
      </c>
      <c r="AJ56" s="1304">
        <f>CapAcc!AJ7</f>
        <v>0</v>
      </c>
      <c r="AK56" s="1304">
        <f>CapAcc!AK7</f>
        <v>0</v>
      </c>
      <c r="AL56" s="1304">
        <f>CapAcc!AL7</f>
        <v>0</v>
      </c>
      <c r="AM56" s="1305">
        <f>CapAcc!AM7</f>
        <v>0</v>
      </c>
    </row>
    <row r="57" spans="1:39" s="59" customFormat="1">
      <c r="A57" s="177"/>
      <c r="B57" s="1306" t="s">
        <v>656</v>
      </c>
      <c r="C57" s="317"/>
      <c r="D57" s="317">
        <f>CapAcc!D33</f>
        <v>0.01</v>
      </c>
      <c r="E57" s="317">
        <f>CapAcc!E33</f>
        <v>0.01</v>
      </c>
      <c r="F57" s="317">
        <f>CapAcc!F33</f>
        <v>0.01</v>
      </c>
      <c r="G57" s="317">
        <f>CapAcc!G33</f>
        <v>0.01</v>
      </c>
      <c r="H57" s="317">
        <f>CapAcc!H33</f>
        <v>0.01</v>
      </c>
      <c r="I57" s="317">
        <f>CapAcc!I33</f>
        <v>0.01</v>
      </c>
      <c r="J57" s="317">
        <f>CapAcc!J33</f>
        <v>0.01</v>
      </c>
      <c r="K57" s="317">
        <f>CapAcc!K33</f>
        <v>0.01</v>
      </c>
      <c r="L57" s="317">
        <f>CapAcc!L33</f>
        <v>0.01</v>
      </c>
      <c r="M57" s="317">
        <f>CapAcc!M33</f>
        <v>0.01</v>
      </c>
      <c r="N57" s="317">
        <f>CapAcc!N33</f>
        <v>0.01</v>
      </c>
      <c r="O57" s="317">
        <f>CapAcc!O33</f>
        <v>0.01</v>
      </c>
      <c r="P57" s="317">
        <f>CapAcc!P33</f>
        <v>0.01</v>
      </c>
      <c r="Q57" s="317">
        <f>CapAcc!Q33</f>
        <v>0.01</v>
      </c>
      <c r="R57" s="317">
        <f>CapAcc!R33</f>
        <v>0.01</v>
      </c>
      <c r="S57" s="317">
        <f>CapAcc!S33</f>
        <v>0.01</v>
      </c>
      <c r="T57" s="317">
        <f>CapAcc!T33</f>
        <v>0.01</v>
      </c>
      <c r="U57" s="317">
        <f>CapAcc!U33</f>
        <v>0.01</v>
      </c>
      <c r="V57" s="317">
        <f>CapAcc!V33</f>
        <v>0.01</v>
      </c>
      <c r="W57" s="317">
        <f>CapAcc!W33</f>
        <v>0.01</v>
      </c>
      <c r="X57" s="317">
        <f>CapAcc!X33</f>
        <v>0.01</v>
      </c>
      <c r="Y57" s="317">
        <f>CapAcc!Y33</f>
        <v>0.01</v>
      </c>
      <c r="Z57" s="317">
        <f>CapAcc!Z33</f>
        <v>0.01</v>
      </c>
      <c r="AA57" s="317">
        <f>CapAcc!AA33</f>
        <v>0.01</v>
      </c>
      <c r="AB57" s="317">
        <f>CapAcc!AB33</f>
        <v>0.01</v>
      </c>
      <c r="AC57" s="317">
        <f>CapAcc!AC33</f>
        <v>0.01</v>
      </c>
      <c r="AD57" s="317">
        <f>CapAcc!AD33</f>
        <v>0.01</v>
      </c>
      <c r="AE57" s="317">
        <f>CapAcc!AE33</f>
        <v>0.01</v>
      </c>
      <c r="AF57" s="317">
        <f>CapAcc!AF33</f>
        <v>0.01</v>
      </c>
      <c r="AG57" s="317">
        <f>CapAcc!AG33</f>
        <v>0.01</v>
      </c>
      <c r="AH57" s="317">
        <f>CapAcc!AH33</f>
        <v>0</v>
      </c>
      <c r="AI57" s="317">
        <f>CapAcc!AI33</f>
        <v>0</v>
      </c>
      <c r="AJ57" s="317">
        <f>CapAcc!AJ33</f>
        <v>0</v>
      </c>
      <c r="AK57" s="317">
        <f>CapAcc!AK33</f>
        <v>0</v>
      </c>
      <c r="AL57" s="317">
        <f>CapAcc!AL33</f>
        <v>0</v>
      </c>
      <c r="AM57" s="1006">
        <f>CapAcc!AM33</f>
        <v>0</v>
      </c>
    </row>
    <row r="58" spans="1:39" s="59" customFormat="1">
      <c r="A58" s="177"/>
      <c r="B58" s="1306"/>
      <c r="C58" s="317"/>
      <c r="D58" s="317"/>
      <c r="E58" s="317"/>
      <c r="F58" s="317"/>
      <c r="G58" s="317"/>
      <c r="H58" s="317"/>
      <c r="I58" s="317"/>
      <c r="J58" s="317"/>
      <c r="K58" s="317"/>
      <c r="L58" s="317"/>
      <c r="M58" s="317"/>
      <c r="N58" s="317"/>
      <c r="O58" s="317"/>
      <c r="P58" s="317"/>
      <c r="Q58" s="317"/>
      <c r="R58" s="317"/>
      <c r="S58" s="317"/>
      <c r="T58" s="317"/>
      <c r="U58" s="317"/>
      <c r="V58" s="317"/>
      <c r="W58" s="317"/>
      <c r="X58" s="317"/>
      <c r="Y58" s="317"/>
      <c r="Z58" s="317"/>
      <c r="AA58" s="317"/>
      <c r="AB58" s="317"/>
      <c r="AC58" s="317"/>
      <c r="AD58" s="317"/>
      <c r="AE58" s="317"/>
      <c r="AF58" s="317"/>
      <c r="AG58" s="317"/>
      <c r="AH58" s="317"/>
      <c r="AI58" s="317"/>
      <c r="AJ58" s="317"/>
      <c r="AK58" s="317"/>
      <c r="AL58" s="317"/>
      <c r="AM58" s="1006"/>
    </row>
    <row r="59" spans="1:39" s="59" customFormat="1">
      <c r="A59" s="177"/>
      <c r="B59" s="1307" t="s">
        <v>437</v>
      </c>
      <c r="C59" s="1308"/>
      <c r="D59" s="317"/>
      <c r="E59" s="317"/>
      <c r="F59" s="317"/>
      <c r="G59" s="317"/>
      <c r="H59" s="317"/>
      <c r="I59" s="317"/>
      <c r="J59" s="317"/>
      <c r="K59" s="317"/>
      <c r="L59" s="317"/>
      <c r="M59" s="317"/>
      <c r="N59" s="317"/>
      <c r="O59" s="439"/>
      <c r="P59" s="317"/>
      <c r="Q59" s="317"/>
      <c r="R59" s="317"/>
      <c r="S59" s="317"/>
      <c r="T59" s="317"/>
      <c r="U59" s="317"/>
      <c r="V59" s="317"/>
      <c r="W59" s="317"/>
      <c r="X59" s="317"/>
      <c r="Y59" s="317"/>
      <c r="Z59" s="317"/>
      <c r="AA59" s="317"/>
      <c r="AB59" s="317"/>
      <c r="AC59" s="317"/>
      <c r="AD59" s="317"/>
      <c r="AE59" s="317"/>
      <c r="AF59" s="317"/>
      <c r="AG59" s="317"/>
      <c r="AH59" s="317"/>
      <c r="AI59" s="317"/>
      <c r="AJ59" s="317"/>
      <c r="AK59" s="317"/>
      <c r="AL59" s="317"/>
      <c r="AM59" s="1006"/>
    </row>
    <row r="60" spans="1:39" s="59" customFormat="1">
      <c r="A60" s="177"/>
      <c r="B60" s="1306" t="s">
        <v>653</v>
      </c>
      <c r="C60" s="1308"/>
      <c r="D60" s="317">
        <f>D52</f>
        <v>38187.74205077158</v>
      </c>
      <c r="E60" s="317">
        <f t="shared" ref="E60:AL60" si="15">E52</f>
        <v>37243.782330937946</v>
      </c>
      <c r="F60" s="317">
        <f t="shared" si="15"/>
        <v>36174.744908188542</v>
      </c>
      <c r="G60" s="317">
        <f t="shared" si="15"/>
        <v>35005.094106009376</v>
      </c>
      <c r="H60" s="317">
        <f t="shared" si="15"/>
        <v>33728.875518620756</v>
      </c>
      <c r="I60" s="317">
        <f t="shared" si="15"/>
        <v>32107.624406659925</v>
      </c>
      <c r="J60" s="317">
        <f t="shared" si="15"/>
        <v>30635.916196230162</v>
      </c>
      <c r="K60" s="317">
        <f t="shared" si="15"/>
        <v>29001.733403821036</v>
      </c>
      <c r="L60" s="317">
        <f t="shared" si="15"/>
        <v>27197.75464172319</v>
      </c>
      <c r="M60" s="317">
        <f t="shared" si="15"/>
        <v>25152.160948798715</v>
      </c>
      <c r="N60" s="317">
        <f t="shared" si="15"/>
        <v>22838.790497899885</v>
      </c>
      <c r="O60" s="317">
        <f t="shared" si="15"/>
        <v>20210.730892961019</v>
      </c>
      <c r="P60" s="317">
        <f t="shared" si="15"/>
        <v>17246.813505531612</v>
      </c>
      <c r="Q60" s="317">
        <f t="shared" si="15"/>
        <v>14071.163516601833</v>
      </c>
      <c r="R60" s="317">
        <f t="shared" si="15"/>
        <v>10675.331525783466</v>
      </c>
      <c r="S60" s="317">
        <f t="shared" si="15"/>
        <v>7107.1689343175258</v>
      </c>
      <c r="T60" s="317">
        <f t="shared" si="15"/>
        <v>3245.2653228400031</v>
      </c>
      <c r="U60" s="317">
        <f t="shared" si="15"/>
        <v>6.3664629124104977E-12</v>
      </c>
      <c r="V60" s="317">
        <f t="shared" si="15"/>
        <v>6.3664629124104977E-12</v>
      </c>
      <c r="W60" s="317">
        <f t="shared" si="15"/>
        <v>6.3664629124104977E-12</v>
      </c>
      <c r="X60" s="317">
        <f t="shared" si="15"/>
        <v>6.3664629124104977E-12</v>
      </c>
      <c r="Y60" s="317">
        <f t="shared" si="15"/>
        <v>6.3664629124104977E-12</v>
      </c>
      <c r="Z60" s="317">
        <f t="shared" si="15"/>
        <v>6.3664629124104977E-12</v>
      </c>
      <c r="AA60" s="317">
        <f t="shared" si="15"/>
        <v>6.3664629124104977E-12</v>
      </c>
      <c r="AB60" s="317">
        <f t="shared" si="15"/>
        <v>6.3664629124104977E-12</v>
      </c>
      <c r="AC60" s="317">
        <f t="shared" si="15"/>
        <v>6.3664629124104977E-12</v>
      </c>
      <c r="AD60" s="317">
        <f t="shared" si="15"/>
        <v>6.3664629124104977E-12</v>
      </c>
      <c r="AE60" s="317">
        <f t="shared" si="15"/>
        <v>6.3664629124104977E-12</v>
      </c>
      <c r="AF60" s="317">
        <f t="shared" si="15"/>
        <v>6.3664629124104977E-12</v>
      </c>
      <c r="AG60" s="317">
        <f t="shared" si="15"/>
        <v>6.3664629124104977E-12</v>
      </c>
      <c r="AH60" s="317">
        <f t="shared" si="15"/>
        <v>6.3664629124104977E-12</v>
      </c>
      <c r="AI60" s="317">
        <f t="shared" si="15"/>
        <v>0</v>
      </c>
      <c r="AJ60" s="317">
        <f t="shared" si="15"/>
        <v>0</v>
      </c>
      <c r="AK60" s="317">
        <f t="shared" si="15"/>
        <v>0</v>
      </c>
      <c r="AL60" s="317">
        <f t="shared" si="15"/>
        <v>0</v>
      </c>
      <c r="AM60" s="1006"/>
    </row>
    <row r="61" spans="1:39" s="59" customFormat="1">
      <c r="A61" s="177"/>
      <c r="B61" s="1309" t="s">
        <v>438</v>
      </c>
      <c r="C61" s="1308"/>
      <c r="D61" s="317">
        <f ca="1">D53</f>
        <v>106778.06687396439</v>
      </c>
      <c r="E61" s="317">
        <f t="shared" ref="E61:AL61" ca="1" si="16">E53</f>
        <v>67249.004983347462</v>
      </c>
      <c r="F61" s="317">
        <f t="shared" ca="1" si="16"/>
        <v>43394.075454729005</v>
      </c>
      <c r="G61" s="317">
        <f t="shared" ca="1" si="16"/>
        <v>28943.625346857774</v>
      </c>
      <c r="H61" s="317">
        <f t="shared" ca="1" si="16"/>
        <v>14493.175243307916</v>
      </c>
      <c r="I61" s="317">
        <f t="shared" ca="1" si="16"/>
        <v>7096.0847113751079</v>
      </c>
      <c r="J61" s="317">
        <f t="shared" ca="1" si="16"/>
        <v>6752.3537474930527</v>
      </c>
      <c r="K61" s="317">
        <f t="shared" ca="1" si="16"/>
        <v>6408.6227805797243</v>
      </c>
      <c r="L61" s="317">
        <f t="shared" ca="1" si="16"/>
        <v>6064.8918043957128</v>
      </c>
      <c r="M61" s="317">
        <f t="shared" ca="1" si="16"/>
        <v>5721.1608146705621</v>
      </c>
      <c r="N61" s="317">
        <f t="shared" ca="1" si="16"/>
        <v>5377.4298280474322</v>
      </c>
      <c r="O61" s="317">
        <f t="shared" ca="1" si="16"/>
        <v>5033.6988526124806</v>
      </c>
      <c r="P61" s="317">
        <f t="shared" ca="1" si="16"/>
        <v>4689.9678967844502</v>
      </c>
      <c r="Q61" s="317">
        <f t="shared" ca="1" si="16"/>
        <v>4346.2369495121275</v>
      </c>
      <c r="R61" s="317">
        <f t="shared" ca="1" si="16"/>
        <v>4002.5059944432587</v>
      </c>
      <c r="S61" s="317">
        <f t="shared" ca="1" si="16"/>
        <v>3658.7750133730506</v>
      </c>
      <c r="T61" s="317">
        <f t="shared" ca="1" si="16"/>
        <v>3315.0439901763193</v>
      </c>
      <c r="U61" s="317">
        <f t="shared" ca="1" si="16"/>
        <v>2971.3129772982602</v>
      </c>
      <c r="V61" s="317">
        <f t="shared" ca="1" si="16"/>
        <v>2841.8170994802013</v>
      </c>
      <c r="W61" s="317">
        <f t="shared" ca="1" si="16"/>
        <v>2012.9180359541906</v>
      </c>
      <c r="X61" s="317">
        <f t="shared" ca="1" si="16"/>
        <v>2012.5600547860465</v>
      </c>
      <c r="Y61" s="317">
        <f t="shared" ca="1" si="16"/>
        <v>2012.5601075573854</v>
      </c>
      <c r="Z61" s="317">
        <f t="shared" ca="1" si="16"/>
        <v>2012.5600885026424</v>
      </c>
      <c r="AA61" s="317">
        <f t="shared" ca="1" si="16"/>
        <v>2012.5599378574084</v>
      </c>
      <c r="AB61" s="317">
        <f t="shared" ca="1" si="16"/>
        <v>2012.5598206863649</v>
      </c>
      <c r="AC61" s="317">
        <f t="shared" ca="1" si="16"/>
        <v>2012.5597957759628</v>
      </c>
      <c r="AD61" s="317">
        <f t="shared" ca="1" si="16"/>
        <v>2012.5599520268611</v>
      </c>
      <c r="AE61" s="317">
        <f t="shared" ca="1" si="16"/>
        <v>2012.56015072635</v>
      </c>
      <c r="AF61" s="317">
        <f t="shared" ca="1" si="16"/>
        <v>2012.560305415087</v>
      </c>
      <c r="AG61" s="317">
        <f t="shared" ca="1" si="16"/>
        <v>2012.5602657811526</v>
      </c>
      <c r="AH61" s="317">
        <f t="shared" ca="1" si="16"/>
        <v>2012.5598142471695</v>
      </c>
      <c r="AI61" s="317">
        <f t="shared" si="16"/>
        <v>0</v>
      </c>
      <c r="AJ61" s="317">
        <f t="shared" si="16"/>
        <v>0</v>
      </c>
      <c r="AK61" s="317">
        <f t="shared" si="16"/>
        <v>0</v>
      </c>
      <c r="AL61" s="317">
        <f t="shared" si="16"/>
        <v>0</v>
      </c>
      <c r="AM61" s="1006"/>
    </row>
    <row r="62" spans="1:39" s="59" customFormat="1" ht="13.5" thickBot="1">
      <c r="A62" s="177"/>
      <c r="B62" s="1310" t="s">
        <v>439</v>
      </c>
      <c r="C62" s="1311"/>
      <c r="D62" s="911">
        <f ca="1">IF(D61&gt;D60,0,D60-D61)</f>
        <v>0</v>
      </c>
      <c r="E62" s="911">
        <f t="shared" ref="E62:K62" ca="1" si="17">IF(E61&gt;E60,0,E60-E61)</f>
        <v>0</v>
      </c>
      <c r="F62" s="911">
        <f t="shared" ca="1" si="17"/>
        <v>0</v>
      </c>
      <c r="G62" s="911">
        <f t="shared" ca="1" si="17"/>
        <v>6061.4687591516013</v>
      </c>
      <c r="H62" s="911">
        <f t="shared" ca="1" si="17"/>
        <v>19235.70027531284</v>
      </c>
      <c r="I62" s="911">
        <f t="shared" ca="1" si="17"/>
        <v>25011.539695284817</v>
      </c>
      <c r="J62" s="911">
        <f t="shared" ca="1" si="17"/>
        <v>23883.56244873711</v>
      </c>
      <c r="K62" s="911">
        <f t="shared" ca="1" si="17"/>
        <v>22593.110623241311</v>
      </c>
      <c r="L62" s="911">
        <f t="shared" ref="L62:AL62" ca="1" si="18">IF(L61&gt;L60,0,L60-L61)</f>
        <v>21132.862837327477</v>
      </c>
      <c r="M62" s="911">
        <f t="shared" ca="1" si="18"/>
        <v>19431.000134128153</v>
      </c>
      <c r="N62" s="911">
        <f t="shared" ca="1" si="18"/>
        <v>17461.360669852453</v>
      </c>
      <c r="O62" s="911">
        <f t="shared" ca="1" si="18"/>
        <v>15177.032040348538</v>
      </c>
      <c r="P62" s="911">
        <f t="shared" ca="1" si="18"/>
        <v>12556.845608747162</v>
      </c>
      <c r="Q62" s="911">
        <f t="shared" ca="1" si="18"/>
        <v>9724.9265670897057</v>
      </c>
      <c r="R62" s="911">
        <f t="shared" ca="1" si="18"/>
        <v>6672.8255313402069</v>
      </c>
      <c r="S62" s="911">
        <f t="shared" ca="1" si="18"/>
        <v>3448.3939209444752</v>
      </c>
      <c r="T62" s="911">
        <f t="shared" ca="1" si="18"/>
        <v>0</v>
      </c>
      <c r="U62" s="911">
        <f t="shared" ca="1" si="18"/>
        <v>0</v>
      </c>
      <c r="V62" s="911">
        <f t="shared" ca="1" si="18"/>
        <v>0</v>
      </c>
      <c r="W62" s="911">
        <f t="shared" ca="1" si="18"/>
        <v>0</v>
      </c>
      <c r="X62" s="911">
        <f t="shared" ca="1" si="18"/>
        <v>0</v>
      </c>
      <c r="Y62" s="911">
        <f t="shared" ca="1" si="18"/>
        <v>0</v>
      </c>
      <c r="Z62" s="911">
        <f t="shared" ca="1" si="18"/>
        <v>0</v>
      </c>
      <c r="AA62" s="911">
        <f t="shared" ca="1" si="18"/>
        <v>0</v>
      </c>
      <c r="AB62" s="911">
        <f t="shared" ca="1" si="18"/>
        <v>0</v>
      </c>
      <c r="AC62" s="911">
        <f t="shared" ca="1" si="18"/>
        <v>0</v>
      </c>
      <c r="AD62" s="911">
        <f t="shared" ca="1" si="18"/>
        <v>0</v>
      </c>
      <c r="AE62" s="911">
        <f t="shared" ca="1" si="18"/>
        <v>0</v>
      </c>
      <c r="AF62" s="911">
        <f t="shared" ca="1" si="18"/>
        <v>0</v>
      </c>
      <c r="AG62" s="911">
        <f t="shared" ca="1" si="18"/>
        <v>0</v>
      </c>
      <c r="AH62" s="911">
        <f t="shared" ca="1" si="18"/>
        <v>0</v>
      </c>
      <c r="AI62" s="911">
        <f t="shared" si="18"/>
        <v>0</v>
      </c>
      <c r="AJ62" s="911">
        <f t="shared" si="18"/>
        <v>0</v>
      </c>
      <c r="AK62" s="911">
        <f t="shared" si="18"/>
        <v>0</v>
      </c>
      <c r="AL62" s="911">
        <f t="shared" si="18"/>
        <v>0</v>
      </c>
      <c r="AM62" s="1006"/>
    </row>
    <row r="63" spans="1:39" s="59" customFormat="1">
      <c r="A63" s="177"/>
      <c r="B63" s="1306"/>
      <c r="C63" s="1308"/>
      <c r="D63" s="317"/>
      <c r="E63" s="317"/>
      <c r="F63" s="317"/>
      <c r="G63" s="317"/>
      <c r="H63" s="317"/>
      <c r="I63" s="317"/>
      <c r="J63" s="317"/>
      <c r="K63" s="317"/>
      <c r="L63" s="317"/>
      <c r="M63" s="317"/>
      <c r="N63" s="317"/>
      <c r="O63" s="439"/>
      <c r="P63" s="317"/>
      <c r="Q63" s="317"/>
      <c r="R63" s="317"/>
      <c r="S63" s="317"/>
      <c r="T63" s="317"/>
      <c r="U63" s="317"/>
      <c r="V63" s="317"/>
      <c r="W63" s="317"/>
      <c r="X63" s="317"/>
      <c r="Y63" s="317"/>
      <c r="Z63" s="317"/>
      <c r="AA63" s="317"/>
      <c r="AB63" s="317"/>
      <c r="AC63" s="317"/>
      <c r="AD63" s="317"/>
      <c r="AE63" s="317"/>
      <c r="AF63" s="317"/>
      <c r="AG63" s="317"/>
      <c r="AH63" s="317"/>
      <c r="AI63" s="317"/>
      <c r="AJ63" s="317"/>
      <c r="AK63" s="317"/>
      <c r="AL63" s="317"/>
      <c r="AM63" s="1006"/>
    </row>
    <row r="64" spans="1:39" s="59" customFormat="1">
      <c r="A64" s="177"/>
      <c r="B64" s="1307" t="s">
        <v>654</v>
      </c>
      <c r="C64" s="1312"/>
      <c r="D64" s="500">
        <f ca="1">D62-C62</f>
        <v>0</v>
      </c>
      <c r="E64" s="500">
        <f t="shared" ref="E64:AL64" ca="1" si="19">E62-D62</f>
        <v>0</v>
      </c>
      <c r="F64" s="500">
        <f t="shared" ca="1" si="19"/>
        <v>0</v>
      </c>
      <c r="G64" s="500">
        <f t="shared" ca="1" si="19"/>
        <v>6061.4687591516013</v>
      </c>
      <c r="H64" s="500">
        <f t="shared" ca="1" si="19"/>
        <v>13174.231516161239</v>
      </c>
      <c r="I64" s="500">
        <f t="shared" ca="1" si="19"/>
        <v>5775.8394199719769</v>
      </c>
      <c r="J64" s="500">
        <f t="shared" ca="1" si="19"/>
        <v>-1127.9772465477072</v>
      </c>
      <c r="K64" s="500">
        <f t="shared" ca="1" si="19"/>
        <v>-1290.4518254957984</v>
      </c>
      <c r="L64" s="500">
        <f t="shared" ca="1" si="19"/>
        <v>-1460.2477859138344</v>
      </c>
      <c r="M64" s="500">
        <f t="shared" ca="1" si="19"/>
        <v>-1701.8627031993237</v>
      </c>
      <c r="N64" s="500">
        <f t="shared" ca="1" si="19"/>
        <v>-1969.6394642757004</v>
      </c>
      <c r="O64" s="500">
        <f t="shared" ca="1" si="19"/>
        <v>-2284.3286295039143</v>
      </c>
      <c r="P64" s="500">
        <f t="shared" ca="1" si="19"/>
        <v>-2620.1864316013762</v>
      </c>
      <c r="Q64" s="500">
        <f t="shared" ca="1" si="19"/>
        <v>-2831.9190416574565</v>
      </c>
      <c r="R64" s="500">
        <f t="shared" ca="1" si="19"/>
        <v>-3052.1010357494988</v>
      </c>
      <c r="S64" s="500">
        <f t="shared" ca="1" si="19"/>
        <v>-3224.4316103957317</v>
      </c>
      <c r="T64" s="500">
        <f t="shared" ca="1" si="19"/>
        <v>-3448.3939209444752</v>
      </c>
      <c r="U64" s="500">
        <f t="shared" ca="1" si="19"/>
        <v>0</v>
      </c>
      <c r="V64" s="500">
        <f t="shared" ca="1" si="19"/>
        <v>0</v>
      </c>
      <c r="W64" s="500">
        <f t="shared" ca="1" si="19"/>
        <v>0</v>
      </c>
      <c r="X64" s="500">
        <f t="shared" ca="1" si="19"/>
        <v>0</v>
      </c>
      <c r="Y64" s="500">
        <f t="shared" ca="1" si="19"/>
        <v>0</v>
      </c>
      <c r="Z64" s="500">
        <f t="shared" ca="1" si="19"/>
        <v>0</v>
      </c>
      <c r="AA64" s="500">
        <f t="shared" ca="1" si="19"/>
        <v>0</v>
      </c>
      <c r="AB64" s="500">
        <f t="shared" ca="1" si="19"/>
        <v>0</v>
      </c>
      <c r="AC64" s="500">
        <f t="shared" ca="1" si="19"/>
        <v>0</v>
      </c>
      <c r="AD64" s="500">
        <f t="shared" ca="1" si="19"/>
        <v>0</v>
      </c>
      <c r="AE64" s="500">
        <f t="shared" ca="1" si="19"/>
        <v>0</v>
      </c>
      <c r="AF64" s="500">
        <f t="shared" ca="1" si="19"/>
        <v>0</v>
      </c>
      <c r="AG64" s="500">
        <f t="shared" ca="1" si="19"/>
        <v>0</v>
      </c>
      <c r="AH64" s="500">
        <f t="shared" ca="1" si="19"/>
        <v>0</v>
      </c>
      <c r="AI64" s="500">
        <f t="shared" ca="1" si="19"/>
        <v>0</v>
      </c>
      <c r="AJ64" s="500">
        <f t="shared" si="19"/>
        <v>0</v>
      </c>
      <c r="AK64" s="500">
        <f t="shared" si="19"/>
        <v>0</v>
      </c>
      <c r="AL64" s="500">
        <f t="shared" si="19"/>
        <v>0</v>
      </c>
      <c r="AM64" s="1006"/>
    </row>
    <row r="65" spans="1:39" s="59" customFormat="1">
      <c r="A65" s="177"/>
      <c r="B65" s="1313"/>
      <c r="C65" s="1312"/>
      <c r="D65" s="500"/>
      <c r="E65" s="500"/>
      <c r="F65" s="500"/>
      <c r="G65" s="500"/>
      <c r="H65" s="500"/>
      <c r="I65" s="500"/>
      <c r="J65" s="500"/>
      <c r="K65" s="500"/>
      <c r="L65" s="500"/>
      <c r="M65" s="500"/>
      <c r="N65" s="500"/>
      <c r="O65" s="627"/>
      <c r="P65" s="500"/>
      <c r="Q65" s="500"/>
      <c r="R65" s="500"/>
      <c r="S65" s="500"/>
      <c r="T65" s="500"/>
      <c r="U65" s="500"/>
      <c r="V65" s="500"/>
      <c r="W65" s="500"/>
      <c r="X65" s="500"/>
      <c r="Y65" s="500"/>
      <c r="Z65" s="500"/>
      <c r="AA65" s="500"/>
      <c r="AB65" s="500"/>
      <c r="AC65" s="500"/>
      <c r="AD65" s="500"/>
      <c r="AE65" s="500"/>
      <c r="AF65" s="500"/>
      <c r="AG65" s="500"/>
      <c r="AH65" s="500"/>
      <c r="AI65" s="500"/>
      <c r="AJ65" s="500"/>
      <c r="AK65" s="500"/>
      <c r="AL65" s="500"/>
      <c r="AM65" s="1006"/>
    </row>
    <row r="66" spans="1:39" s="59" customFormat="1">
      <c r="A66" s="177"/>
      <c r="B66" s="1307" t="s">
        <v>440</v>
      </c>
      <c r="C66" s="1314" t="s">
        <v>441</v>
      </c>
      <c r="D66" s="317"/>
      <c r="E66" s="317"/>
      <c r="F66" s="317"/>
      <c r="G66" s="317"/>
      <c r="H66" s="317"/>
      <c r="I66" s="317"/>
      <c r="J66" s="317"/>
      <c r="K66" s="317"/>
      <c r="L66" s="317"/>
      <c r="M66" s="317"/>
      <c r="N66" s="317"/>
      <c r="O66" s="439"/>
      <c r="P66" s="317"/>
      <c r="Q66" s="317"/>
      <c r="R66" s="317"/>
      <c r="S66" s="317"/>
      <c r="T66" s="317"/>
      <c r="U66" s="317"/>
      <c r="V66" s="317"/>
      <c r="W66" s="317"/>
      <c r="X66" s="317"/>
      <c r="Y66" s="317"/>
      <c r="Z66" s="317"/>
      <c r="AA66" s="317"/>
      <c r="AB66" s="317"/>
      <c r="AC66" s="317"/>
      <c r="AD66" s="317"/>
      <c r="AE66" s="317"/>
      <c r="AF66" s="317"/>
      <c r="AG66" s="317"/>
      <c r="AH66" s="317"/>
      <c r="AI66" s="317"/>
      <c r="AJ66" s="317"/>
      <c r="AK66" s="317"/>
      <c r="AL66" s="317"/>
      <c r="AM66" s="1006"/>
    </row>
    <row r="67" spans="1:39" s="59" customFormat="1">
      <c r="A67" s="177"/>
      <c r="B67" s="1306" t="s">
        <v>648</v>
      </c>
      <c r="C67" s="1312">
        <f ca="1">SUM(D67:AL67)</f>
        <v>24761.424289367387</v>
      </c>
      <c r="D67" s="317">
        <f t="shared" ref="D67:AL67" ca="1" si="20">IF(D$64&gt;0,D$64*D56,0)</f>
        <v>0</v>
      </c>
      <c r="E67" s="317">
        <f t="shared" ca="1" si="20"/>
        <v>0</v>
      </c>
      <c r="F67" s="317">
        <f t="shared" ca="1" si="20"/>
        <v>0</v>
      </c>
      <c r="G67" s="317">
        <f t="shared" ca="1" si="20"/>
        <v>6000.8540715600848</v>
      </c>
      <c r="H67" s="317">
        <f t="shared" ca="1" si="20"/>
        <v>13042.489200999626</v>
      </c>
      <c r="I67" s="317">
        <f t="shared" ca="1" si="20"/>
        <v>5718.0810257722569</v>
      </c>
      <c r="J67" s="317">
        <f t="shared" ca="1" si="20"/>
        <v>0</v>
      </c>
      <c r="K67" s="317">
        <f t="shared" ca="1" si="20"/>
        <v>0</v>
      </c>
      <c r="L67" s="317">
        <f t="shared" ca="1" si="20"/>
        <v>0</v>
      </c>
      <c r="M67" s="317">
        <f t="shared" ca="1" si="20"/>
        <v>0</v>
      </c>
      <c r="N67" s="317">
        <f t="shared" ca="1" si="20"/>
        <v>0</v>
      </c>
      <c r="O67" s="317">
        <f t="shared" ca="1" si="20"/>
        <v>0</v>
      </c>
      <c r="P67" s="317">
        <f t="shared" ca="1" si="20"/>
        <v>0</v>
      </c>
      <c r="Q67" s="317">
        <f t="shared" ca="1" si="20"/>
        <v>0</v>
      </c>
      <c r="R67" s="317">
        <f t="shared" ca="1" si="20"/>
        <v>0</v>
      </c>
      <c r="S67" s="317">
        <f t="shared" ca="1" si="20"/>
        <v>0</v>
      </c>
      <c r="T67" s="317">
        <f t="shared" ca="1" si="20"/>
        <v>0</v>
      </c>
      <c r="U67" s="317">
        <f t="shared" ca="1" si="20"/>
        <v>0</v>
      </c>
      <c r="V67" s="317">
        <f t="shared" ca="1" si="20"/>
        <v>0</v>
      </c>
      <c r="W67" s="317">
        <f t="shared" ca="1" si="20"/>
        <v>0</v>
      </c>
      <c r="X67" s="317">
        <f t="shared" ca="1" si="20"/>
        <v>0</v>
      </c>
      <c r="Y67" s="317">
        <f t="shared" ca="1" si="20"/>
        <v>0</v>
      </c>
      <c r="Z67" s="317">
        <f t="shared" ca="1" si="20"/>
        <v>0</v>
      </c>
      <c r="AA67" s="317">
        <f t="shared" ca="1" si="20"/>
        <v>0</v>
      </c>
      <c r="AB67" s="317">
        <f t="shared" ca="1" si="20"/>
        <v>0</v>
      </c>
      <c r="AC67" s="317">
        <f t="shared" ca="1" si="20"/>
        <v>0</v>
      </c>
      <c r="AD67" s="317">
        <f t="shared" ca="1" si="20"/>
        <v>0</v>
      </c>
      <c r="AE67" s="317">
        <f t="shared" ca="1" si="20"/>
        <v>0</v>
      </c>
      <c r="AF67" s="317">
        <f t="shared" ca="1" si="20"/>
        <v>0</v>
      </c>
      <c r="AG67" s="317">
        <f t="shared" ca="1" si="20"/>
        <v>0</v>
      </c>
      <c r="AH67" s="317">
        <f t="shared" ca="1" si="20"/>
        <v>0</v>
      </c>
      <c r="AI67" s="317">
        <f t="shared" ca="1" si="20"/>
        <v>0</v>
      </c>
      <c r="AJ67" s="317">
        <f t="shared" si="20"/>
        <v>0</v>
      </c>
      <c r="AK67" s="317">
        <f t="shared" si="20"/>
        <v>0</v>
      </c>
      <c r="AL67" s="317">
        <f t="shared" si="20"/>
        <v>0</v>
      </c>
      <c r="AM67" s="1006"/>
    </row>
    <row r="68" spans="1:39" s="59" customFormat="1">
      <c r="A68" s="177"/>
      <c r="B68" s="1306" t="s">
        <v>649</v>
      </c>
      <c r="C68" s="1312">
        <f ca="1">SUM(D68:AL68)</f>
        <v>250.11539686229685</v>
      </c>
      <c r="D68" s="317">
        <f t="shared" ref="D68:AL68" ca="1" si="21">IF(D$64&gt;0,D$64*D57,0)</f>
        <v>0</v>
      </c>
      <c r="E68" s="317">
        <f t="shared" ca="1" si="21"/>
        <v>0</v>
      </c>
      <c r="F68" s="317">
        <f t="shared" ca="1" si="21"/>
        <v>0</v>
      </c>
      <c r="G68" s="317">
        <f t="shared" ca="1" si="21"/>
        <v>60.614687591516017</v>
      </c>
      <c r="H68" s="317">
        <f t="shared" ca="1" si="21"/>
        <v>131.7423151616124</v>
      </c>
      <c r="I68" s="317">
        <f t="shared" ca="1" si="21"/>
        <v>57.758394199719767</v>
      </c>
      <c r="J68" s="317">
        <f t="shared" ca="1" si="21"/>
        <v>0</v>
      </c>
      <c r="K68" s="317">
        <f t="shared" ca="1" si="21"/>
        <v>0</v>
      </c>
      <c r="L68" s="317">
        <f t="shared" ca="1" si="21"/>
        <v>0</v>
      </c>
      <c r="M68" s="317">
        <f t="shared" ca="1" si="21"/>
        <v>0</v>
      </c>
      <c r="N68" s="317">
        <f t="shared" ca="1" si="21"/>
        <v>0</v>
      </c>
      <c r="O68" s="317">
        <f t="shared" ca="1" si="21"/>
        <v>0</v>
      </c>
      <c r="P68" s="317">
        <f t="shared" ca="1" si="21"/>
        <v>0</v>
      </c>
      <c r="Q68" s="317">
        <f t="shared" ca="1" si="21"/>
        <v>0</v>
      </c>
      <c r="R68" s="317">
        <f t="shared" ca="1" si="21"/>
        <v>0</v>
      </c>
      <c r="S68" s="317">
        <f t="shared" ca="1" si="21"/>
        <v>0</v>
      </c>
      <c r="T68" s="317">
        <f t="shared" ca="1" si="21"/>
        <v>0</v>
      </c>
      <c r="U68" s="317">
        <f t="shared" ca="1" si="21"/>
        <v>0</v>
      </c>
      <c r="V68" s="317">
        <f t="shared" ca="1" si="21"/>
        <v>0</v>
      </c>
      <c r="W68" s="317">
        <f t="shared" ca="1" si="21"/>
        <v>0</v>
      </c>
      <c r="X68" s="317">
        <f t="shared" ca="1" si="21"/>
        <v>0</v>
      </c>
      <c r="Y68" s="317">
        <f t="shared" ca="1" si="21"/>
        <v>0</v>
      </c>
      <c r="Z68" s="317">
        <f t="shared" ca="1" si="21"/>
        <v>0</v>
      </c>
      <c r="AA68" s="317">
        <f t="shared" ca="1" si="21"/>
        <v>0</v>
      </c>
      <c r="AB68" s="317">
        <f t="shared" ca="1" si="21"/>
        <v>0</v>
      </c>
      <c r="AC68" s="317">
        <f t="shared" ca="1" si="21"/>
        <v>0</v>
      </c>
      <c r="AD68" s="317">
        <f t="shared" ca="1" si="21"/>
        <v>0</v>
      </c>
      <c r="AE68" s="317">
        <f t="shared" ca="1" si="21"/>
        <v>0</v>
      </c>
      <c r="AF68" s="317">
        <f t="shared" ca="1" si="21"/>
        <v>0</v>
      </c>
      <c r="AG68" s="317">
        <f t="shared" ca="1" si="21"/>
        <v>0</v>
      </c>
      <c r="AH68" s="317">
        <f t="shared" ca="1" si="21"/>
        <v>0</v>
      </c>
      <c r="AI68" s="317">
        <f t="shared" ca="1" si="21"/>
        <v>0</v>
      </c>
      <c r="AJ68" s="317">
        <f t="shared" si="21"/>
        <v>0</v>
      </c>
      <c r="AK68" s="317">
        <f t="shared" si="21"/>
        <v>0</v>
      </c>
      <c r="AL68" s="317">
        <f t="shared" si="21"/>
        <v>0</v>
      </c>
      <c r="AM68" s="1006"/>
    </row>
    <row r="69" spans="1:39" s="59" customFormat="1">
      <c r="A69" s="177"/>
      <c r="B69" s="1306"/>
      <c r="C69" s="1312"/>
      <c r="D69" s="317"/>
      <c r="E69" s="317"/>
      <c r="F69" s="317"/>
      <c r="G69" s="317"/>
      <c r="H69" s="317"/>
      <c r="I69" s="317"/>
      <c r="J69" s="317"/>
      <c r="K69" s="317"/>
      <c r="L69" s="317"/>
      <c r="M69" s="317"/>
      <c r="N69" s="317"/>
      <c r="O69" s="439"/>
      <c r="P69" s="317"/>
      <c r="Q69" s="317"/>
      <c r="R69" s="317"/>
      <c r="S69" s="317"/>
      <c r="T69" s="317"/>
      <c r="U69" s="317"/>
      <c r="V69" s="317"/>
      <c r="W69" s="317"/>
      <c r="X69" s="317"/>
      <c r="Y69" s="317"/>
      <c r="Z69" s="317"/>
      <c r="AA69" s="317"/>
      <c r="AB69" s="317"/>
      <c r="AC69" s="317"/>
      <c r="AD69" s="317"/>
      <c r="AE69" s="317"/>
      <c r="AF69" s="317"/>
      <c r="AG69" s="317"/>
      <c r="AH69" s="317"/>
      <c r="AI69" s="317"/>
      <c r="AJ69" s="317"/>
      <c r="AK69" s="317"/>
      <c r="AL69" s="317"/>
      <c r="AM69" s="1006"/>
    </row>
    <row r="70" spans="1:39" s="59" customFormat="1">
      <c r="A70" s="177"/>
      <c r="B70" s="1307" t="s">
        <v>650</v>
      </c>
      <c r="C70" s="1308"/>
      <c r="D70" s="317"/>
      <c r="E70" s="317"/>
      <c r="F70" s="317"/>
      <c r="G70" s="317"/>
      <c r="H70" s="317"/>
      <c r="I70" s="317"/>
      <c r="J70" s="317"/>
      <c r="K70" s="317"/>
      <c r="L70" s="317"/>
      <c r="M70" s="317"/>
      <c r="N70" s="317"/>
      <c r="O70" s="439"/>
      <c r="P70" s="317"/>
      <c r="Q70" s="317"/>
      <c r="R70" s="317"/>
      <c r="S70" s="317"/>
      <c r="T70" s="317"/>
      <c r="U70" s="317"/>
      <c r="V70" s="317"/>
      <c r="W70" s="317"/>
      <c r="X70" s="317"/>
      <c r="Y70" s="317"/>
      <c r="Z70" s="317"/>
      <c r="AA70" s="317"/>
      <c r="AB70" s="317"/>
      <c r="AC70" s="317"/>
      <c r="AD70" s="317"/>
      <c r="AE70" s="317"/>
      <c r="AF70" s="317"/>
      <c r="AG70" s="317"/>
      <c r="AH70" s="317"/>
      <c r="AI70" s="317"/>
      <c r="AJ70" s="317"/>
      <c r="AK70" s="317"/>
      <c r="AL70" s="317"/>
      <c r="AM70" s="1006"/>
    </row>
    <row r="71" spans="1:39" s="325" customFormat="1">
      <c r="A71" s="895"/>
      <c r="B71" s="1309" t="s">
        <v>651</v>
      </c>
      <c r="C71" s="1312">
        <f ca="1">SUM(D71:AL71)</f>
        <v>24761.424289367395</v>
      </c>
      <c r="D71" s="631">
        <v>0</v>
      </c>
      <c r="E71" s="561">
        <f ca="1">IF(E$64&gt;0,0,-E$64*D77)</f>
        <v>0</v>
      </c>
      <c r="F71" s="561">
        <f t="shared" ref="F71:AL71" ca="1" si="22">IF(F$64&gt;0,0,-F$64*E77)</f>
        <v>0</v>
      </c>
      <c r="G71" s="561">
        <f t="shared" ca="1" si="22"/>
        <v>0</v>
      </c>
      <c r="H71" s="561">
        <f t="shared" ca="1" si="22"/>
        <v>0</v>
      </c>
      <c r="I71" s="561">
        <f t="shared" ca="1" si="22"/>
        <v>0</v>
      </c>
      <c r="J71" s="561">
        <f t="shared" ca="1" si="22"/>
        <v>1116.6974740822302</v>
      </c>
      <c r="K71" s="561">
        <f t="shared" ca="1" si="22"/>
        <v>1277.5473072408406</v>
      </c>
      <c r="L71" s="561">
        <f t="shared" ca="1" si="22"/>
        <v>1445.645308054696</v>
      </c>
      <c r="M71" s="561">
        <f t="shared" ca="1" si="22"/>
        <v>1684.8440761673303</v>
      </c>
      <c r="N71" s="561">
        <f t="shared" ca="1" si="22"/>
        <v>1949.9430696329434</v>
      </c>
      <c r="O71" s="561">
        <f t="shared" ca="1" si="22"/>
        <v>2261.4853432088753</v>
      </c>
      <c r="P71" s="561">
        <f t="shared" ca="1" si="22"/>
        <v>2593.9845672853626</v>
      </c>
      <c r="Q71" s="561">
        <f t="shared" ca="1" si="22"/>
        <v>2803.5998512408823</v>
      </c>
      <c r="R71" s="561">
        <f t="shared" ca="1" si="22"/>
        <v>3021.5800253920038</v>
      </c>
      <c r="S71" s="561">
        <f t="shared" ca="1" si="22"/>
        <v>3192.1872942917744</v>
      </c>
      <c r="T71" s="561">
        <f t="shared" ca="1" si="22"/>
        <v>3413.9099817350302</v>
      </c>
      <c r="U71" s="561">
        <f t="shared" ca="1" si="22"/>
        <v>0</v>
      </c>
      <c r="V71" s="561">
        <f t="shared" ca="1" si="22"/>
        <v>0</v>
      </c>
      <c r="W71" s="561">
        <f t="shared" ca="1" si="22"/>
        <v>0</v>
      </c>
      <c r="X71" s="561">
        <f t="shared" ca="1" si="22"/>
        <v>0</v>
      </c>
      <c r="Y71" s="561">
        <f t="shared" ca="1" si="22"/>
        <v>0</v>
      </c>
      <c r="Z71" s="561">
        <f t="shared" ca="1" si="22"/>
        <v>0</v>
      </c>
      <c r="AA71" s="561">
        <f t="shared" ca="1" si="22"/>
        <v>0</v>
      </c>
      <c r="AB71" s="561">
        <f t="shared" ca="1" si="22"/>
        <v>0</v>
      </c>
      <c r="AC71" s="561">
        <f t="shared" ca="1" si="22"/>
        <v>0</v>
      </c>
      <c r="AD71" s="561">
        <f t="shared" ca="1" si="22"/>
        <v>0</v>
      </c>
      <c r="AE71" s="561">
        <f t="shared" ca="1" si="22"/>
        <v>0</v>
      </c>
      <c r="AF71" s="561">
        <f t="shared" ca="1" si="22"/>
        <v>0</v>
      </c>
      <c r="AG71" s="561">
        <f t="shared" ca="1" si="22"/>
        <v>0</v>
      </c>
      <c r="AH71" s="561">
        <f t="shared" ca="1" si="22"/>
        <v>0</v>
      </c>
      <c r="AI71" s="561">
        <f t="shared" ca="1" si="22"/>
        <v>0</v>
      </c>
      <c r="AJ71" s="561">
        <f t="shared" ca="1" si="22"/>
        <v>0</v>
      </c>
      <c r="AK71" s="561">
        <f t="shared" ca="1" si="22"/>
        <v>0</v>
      </c>
      <c r="AL71" s="561">
        <f t="shared" ca="1" si="22"/>
        <v>0</v>
      </c>
      <c r="AM71" s="1315"/>
    </row>
    <row r="72" spans="1:39" s="325" customFormat="1">
      <c r="A72" s="895"/>
      <c r="B72" s="1309" t="s">
        <v>244</v>
      </c>
      <c r="C72" s="1312">
        <f ca="1">SUM(D72:AL72)</f>
        <v>250.11539686229685</v>
      </c>
      <c r="D72" s="631">
        <v>0</v>
      </c>
      <c r="E72" s="561">
        <f ca="1">IF(E$64&gt;0,0,-E$64*D78)</f>
        <v>0</v>
      </c>
      <c r="F72" s="561">
        <f t="shared" ref="F72:AL72" ca="1" si="23">IF(F$64&gt;0,0,-F$64*E78)</f>
        <v>0</v>
      </c>
      <c r="G72" s="561">
        <f t="shared" ca="1" si="23"/>
        <v>0</v>
      </c>
      <c r="H72" s="561">
        <f t="shared" ca="1" si="23"/>
        <v>0</v>
      </c>
      <c r="I72" s="561">
        <f t="shared" ca="1" si="23"/>
        <v>0</v>
      </c>
      <c r="J72" s="561">
        <f t="shared" ca="1" si="23"/>
        <v>11.279772465477071</v>
      </c>
      <c r="K72" s="561">
        <f t="shared" ca="1" si="23"/>
        <v>12.904518254957985</v>
      </c>
      <c r="L72" s="561">
        <f t="shared" ca="1" si="23"/>
        <v>14.602477859138345</v>
      </c>
      <c r="M72" s="561">
        <f t="shared" ca="1" si="23"/>
        <v>17.018627031993233</v>
      </c>
      <c r="N72" s="561">
        <f t="shared" ca="1" si="23"/>
        <v>19.69639464275701</v>
      </c>
      <c r="O72" s="561">
        <f t="shared" ca="1" si="23"/>
        <v>22.843286295039146</v>
      </c>
      <c r="P72" s="561">
        <f t="shared" ca="1" si="23"/>
        <v>26.201864316013769</v>
      </c>
      <c r="Q72" s="561">
        <f t="shared" ca="1" si="23"/>
        <v>28.319190416574575</v>
      </c>
      <c r="R72" s="561">
        <f t="shared" ca="1" si="23"/>
        <v>30.521010357494998</v>
      </c>
      <c r="S72" s="561">
        <f t="shared" ca="1" si="23"/>
        <v>32.244316103957338</v>
      </c>
      <c r="T72" s="561">
        <f t="shared" ca="1" si="23"/>
        <v>34.483939209444827</v>
      </c>
      <c r="U72" s="561">
        <f t="shared" ca="1" si="23"/>
        <v>0</v>
      </c>
      <c r="V72" s="561">
        <f t="shared" ca="1" si="23"/>
        <v>0</v>
      </c>
      <c r="W72" s="561">
        <f t="shared" ca="1" si="23"/>
        <v>0</v>
      </c>
      <c r="X72" s="561">
        <f t="shared" ca="1" si="23"/>
        <v>0</v>
      </c>
      <c r="Y72" s="561">
        <f t="shared" ca="1" si="23"/>
        <v>0</v>
      </c>
      <c r="Z72" s="561">
        <f t="shared" ca="1" si="23"/>
        <v>0</v>
      </c>
      <c r="AA72" s="561">
        <f t="shared" ca="1" si="23"/>
        <v>0</v>
      </c>
      <c r="AB72" s="561">
        <f t="shared" ca="1" si="23"/>
        <v>0</v>
      </c>
      <c r="AC72" s="561">
        <f t="shared" ca="1" si="23"/>
        <v>0</v>
      </c>
      <c r="AD72" s="561">
        <f t="shared" ca="1" si="23"/>
        <v>0</v>
      </c>
      <c r="AE72" s="561">
        <f t="shared" ca="1" si="23"/>
        <v>0</v>
      </c>
      <c r="AF72" s="561">
        <f t="shared" ca="1" si="23"/>
        <v>0</v>
      </c>
      <c r="AG72" s="561">
        <f t="shared" ca="1" si="23"/>
        <v>0</v>
      </c>
      <c r="AH72" s="561">
        <f t="shared" ca="1" si="23"/>
        <v>0</v>
      </c>
      <c r="AI72" s="561">
        <f t="shared" ca="1" si="23"/>
        <v>0</v>
      </c>
      <c r="AJ72" s="561">
        <f t="shared" ca="1" si="23"/>
        <v>0</v>
      </c>
      <c r="AK72" s="561">
        <f t="shared" ca="1" si="23"/>
        <v>0</v>
      </c>
      <c r="AL72" s="561">
        <f t="shared" ca="1" si="23"/>
        <v>0</v>
      </c>
      <c r="AM72" s="1315"/>
    </row>
    <row r="73" spans="1:39" s="59" customFormat="1">
      <c r="A73" s="177"/>
      <c r="B73" s="1306"/>
      <c r="C73" s="1308"/>
      <c r="D73" s="317"/>
      <c r="E73" s="317"/>
      <c r="F73" s="317"/>
      <c r="G73" s="317"/>
      <c r="H73" s="317"/>
      <c r="I73" s="317"/>
      <c r="J73" s="317"/>
      <c r="K73" s="317"/>
      <c r="L73" s="317"/>
      <c r="M73" s="317"/>
      <c r="N73" s="317"/>
      <c r="O73" s="439"/>
      <c r="P73" s="317"/>
      <c r="Q73" s="317"/>
      <c r="R73" s="317"/>
      <c r="S73" s="317"/>
      <c r="T73" s="317"/>
      <c r="U73" s="317"/>
      <c r="V73" s="317"/>
      <c r="W73" s="317"/>
      <c r="X73" s="317"/>
      <c r="Y73" s="317"/>
      <c r="Z73" s="317"/>
      <c r="AA73" s="317"/>
      <c r="AB73" s="317"/>
      <c r="AC73" s="317"/>
      <c r="AD73" s="317"/>
      <c r="AE73" s="317"/>
      <c r="AF73" s="317"/>
      <c r="AG73" s="317"/>
      <c r="AH73" s="317"/>
      <c r="AI73" s="317"/>
      <c r="AJ73" s="317"/>
      <c r="AK73" s="317"/>
      <c r="AL73" s="317"/>
      <c r="AM73" s="1006"/>
    </row>
    <row r="74" spans="1:39" s="59" customFormat="1">
      <c r="A74" s="177"/>
      <c r="B74" s="1307" t="s">
        <v>657</v>
      </c>
      <c r="C74" s="1308"/>
      <c r="D74" s="317"/>
      <c r="E74" s="317"/>
      <c r="F74" s="317"/>
      <c r="G74" s="317"/>
      <c r="H74" s="317"/>
      <c r="I74" s="317"/>
      <c r="J74" s="317"/>
      <c r="K74" s="317"/>
      <c r="L74" s="317"/>
      <c r="M74" s="317"/>
      <c r="N74" s="317"/>
      <c r="O74" s="439"/>
      <c r="P74" s="317"/>
      <c r="Q74" s="317"/>
      <c r="R74" s="317"/>
      <c r="S74" s="317"/>
      <c r="T74" s="317"/>
      <c r="U74" s="317"/>
      <c r="V74" s="317"/>
      <c r="W74" s="317"/>
      <c r="X74" s="317"/>
      <c r="Y74" s="317"/>
      <c r="Z74" s="317"/>
      <c r="AA74" s="317"/>
      <c r="AB74" s="317"/>
      <c r="AC74" s="317"/>
      <c r="AD74" s="317"/>
      <c r="AE74" s="317"/>
      <c r="AF74" s="317"/>
      <c r="AG74" s="317"/>
      <c r="AH74" s="317"/>
      <c r="AI74" s="317"/>
      <c r="AJ74" s="317"/>
      <c r="AK74" s="317"/>
      <c r="AL74" s="317"/>
      <c r="AM74" s="1006"/>
    </row>
    <row r="75" spans="1:39" s="59" customFormat="1">
      <c r="A75" s="177"/>
      <c r="B75" s="1309" t="s">
        <v>651</v>
      </c>
      <c r="C75" s="1316"/>
      <c r="D75" s="561">
        <f ca="1">SUM($D$67:D67)-SUM($D$71:D71)</f>
        <v>0</v>
      </c>
      <c r="E75" s="561">
        <f ca="1">SUM($D$67:E67)-SUM($D$71:E71)</f>
        <v>0</v>
      </c>
      <c r="F75" s="561">
        <f ca="1">SUM($D$67:F67)-SUM($D$71:F71)</f>
        <v>0</v>
      </c>
      <c r="G75" s="561">
        <f ca="1">SUM($D$67:G67)-SUM($D$71:G71)</f>
        <v>6000.8540715600848</v>
      </c>
      <c r="H75" s="561">
        <f ca="1">SUM($D$67:H67)-SUM($D$71:H71)</f>
        <v>19043.343272559709</v>
      </c>
      <c r="I75" s="561">
        <f ca="1">SUM($D$67:I67)-SUM($D$71:I71)</f>
        <v>24761.424298331964</v>
      </c>
      <c r="J75" s="561">
        <f ca="1">SUM($D$67:J67)-SUM($D$71:J71)</f>
        <v>23644.726824249734</v>
      </c>
      <c r="K75" s="561">
        <f ca="1">SUM($D$67:K67)-SUM($D$71:K71)</f>
        <v>22367.179517008892</v>
      </c>
      <c r="L75" s="561">
        <f ca="1">SUM($D$67:L67)-SUM($D$71:L71)</f>
        <v>20921.534208954195</v>
      </c>
      <c r="M75" s="561">
        <f ca="1">SUM($D$67:M67)-SUM($D$71:M71)</f>
        <v>19236.690132786865</v>
      </c>
      <c r="N75" s="561">
        <f ca="1">SUM($D$67:N67)-SUM($D$71:N71)</f>
        <v>17286.747063153922</v>
      </c>
      <c r="O75" s="561">
        <f ca="1">SUM($D$67:O67)-SUM($D$71:O71)</f>
        <v>15025.261719945047</v>
      </c>
      <c r="P75" s="561">
        <f ca="1">SUM($D$67:P67)-SUM($D$71:P71)</f>
        <v>12431.277152659684</v>
      </c>
      <c r="Q75" s="561">
        <f ca="1">SUM($D$67:Q67)-SUM($D$71:Q71)</f>
        <v>9627.677301418802</v>
      </c>
      <c r="R75" s="561">
        <f ca="1">SUM($D$67:R67)-SUM($D$71:R71)</f>
        <v>6606.0972760267978</v>
      </c>
      <c r="S75" s="561">
        <f ca="1">SUM($D$67:S67)-SUM($D$71:S71)</f>
        <v>3413.9099817350216</v>
      </c>
      <c r="T75" s="561">
        <f ca="1">SUM($D$67:T67)-SUM($D$71:T71)</f>
        <v>0</v>
      </c>
      <c r="U75" s="561">
        <f ca="1">SUM($D$67:U67)-SUM($D$71:U71)</f>
        <v>0</v>
      </c>
      <c r="V75" s="561">
        <f ca="1">SUM($D$67:V67)-SUM($D$71:V71)</f>
        <v>0</v>
      </c>
      <c r="W75" s="561">
        <f ca="1">SUM($D$67:W67)-SUM($D$71:W71)</f>
        <v>0</v>
      </c>
      <c r="X75" s="561">
        <f ca="1">SUM($D$67:X67)-SUM($D$71:X71)</f>
        <v>0</v>
      </c>
      <c r="Y75" s="561">
        <f ca="1">SUM($D$67:Y67)-SUM($D$71:Y71)</f>
        <v>0</v>
      </c>
      <c r="Z75" s="561">
        <f ca="1">SUM($D$67:Z67)-SUM($D$71:Z71)</f>
        <v>0</v>
      </c>
      <c r="AA75" s="561">
        <f ca="1">SUM($D$67:AA67)-SUM($D$71:AA71)</f>
        <v>0</v>
      </c>
      <c r="AB75" s="561">
        <f ca="1">SUM($D$67:AB67)-SUM($D$71:AB71)</f>
        <v>0</v>
      </c>
      <c r="AC75" s="561">
        <f ca="1">SUM($D$67:AC67)-SUM($D$71:AC71)</f>
        <v>0</v>
      </c>
      <c r="AD75" s="561">
        <f ca="1">SUM($D$67:AD67)-SUM($D$71:AD71)</f>
        <v>0</v>
      </c>
      <c r="AE75" s="561">
        <f ca="1">SUM($D$67:AE67)-SUM($D$71:AE71)</f>
        <v>0</v>
      </c>
      <c r="AF75" s="561">
        <f ca="1">SUM($D$67:AF67)-SUM($D$71:AF71)</f>
        <v>0</v>
      </c>
      <c r="AG75" s="561">
        <f ca="1">SUM($D$67:AG67)-SUM($D$71:AG71)</f>
        <v>0</v>
      </c>
      <c r="AH75" s="561">
        <f ca="1">SUM($D$67:AH67)-SUM($D$71:AH71)</f>
        <v>0</v>
      </c>
      <c r="AI75" s="561">
        <f ca="1">SUM($D$67:AI67)-SUM($D$71:AI71)</f>
        <v>0</v>
      </c>
      <c r="AJ75" s="561">
        <f ca="1">SUM($D$67:AJ67)-SUM($D$71:AJ71)</f>
        <v>0</v>
      </c>
      <c r="AK75" s="561">
        <f ca="1">SUM($D$67:AK67)-SUM($D$71:AK71)</f>
        <v>0</v>
      </c>
      <c r="AL75" s="561">
        <f ca="1">SUM($D$67:AL67)-SUM($D$71:AL71)</f>
        <v>0</v>
      </c>
      <c r="AM75" s="1006"/>
    </row>
    <row r="76" spans="1:39" s="59" customFormat="1">
      <c r="A76" s="177"/>
      <c r="B76" s="1309" t="s">
        <v>244</v>
      </c>
      <c r="C76" s="1316"/>
      <c r="D76" s="561">
        <f ca="1">SUM($D$68:D68)-SUM($D$72:D72)</f>
        <v>0</v>
      </c>
      <c r="E76" s="561">
        <f ca="1">SUM($D$68:E68)-SUM($D$72:E72)</f>
        <v>0</v>
      </c>
      <c r="F76" s="561">
        <f ca="1">SUM($D$68:F68)-SUM($D$72:F72)</f>
        <v>0</v>
      </c>
      <c r="G76" s="561">
        <f ca="1">SUM($D$68:G68)-SUM($D$72:G72)</f>
        <v>60.614687591516017</v>
      </c>
      <c r="H76" s="561">
        <f ca="1">SUM($D$68:H68)-SUM($D$72:H72)</f>
        <v>192.35700275312843</v>
      </c>
      <c r="I76" s="561">
        <f ca="1">SUM($D$68:I68)-SUM($D$72:I72)</f>
        <v>250.11539695284819</v>
      </c>
      <c r="J76" s="561">
        <f ca="1">SUM($D$68:J68)-SUM($D$72:J72)</f>
        <v>238.83562448737112</v>
      </c>
      <c r="K76" s="561">
        <f ca="1">SUM($D$68:K68)-SUM($D$72:K72)</f>
        <v>225.93110623241313</v>
      </c>
      <c r="L76" s="561">
        <f ca="1">SUM($D$68:L68)-SUM($D$72:L72)</f>
        <v>211.3286283732748</v>
      </c>
      <c r="M76" s="561">
        <f ca="1">SUM($D$68:M68)-SUM($D$72:M72)</f>
        <v>194.31000134128155</v>
      </c>
      <c r="N76" s="561">
        <f ca="1">SUM($D$68:N68)-SUM($D$72:N72)</f>
        <v>174.61360669852453</v>
      </c>
      <c r="O76" s="561">
        <f ca="1">SUM($D$68:O68)-SUM($D$72:O72)</f>
        <v>151.77032040348539</v>
      </c>
      <c r="P76" s="561">
        <f ca="1">SUM($D$68:P68)-SUM($D$72:P72)</f>
        <v>125.56845608747162</v>
      </c>
      <c r="Q76" s="561">
        <f ca="1">SUM($D$68:Q68)-SUM($D$72:Q72)</f>
        <v>97.249265670897046</v>
      </c>
      <c r="R76" s="561">
        <f ca="1">SUM($D$68:R68)-SUM($D$72:R72)</f>
        <v>66.728255313402059</v>
      </c>
      <c r="S76" s="561">
        <f ca="1">SUM($D$68:S68)-SUM($D$72:S72)</f>
        <v>34.483939209444713</v>
      </c>
      <c r="T76" s="561">
        <f ca="1">SUM($D$68:T68)-SUM($D$72:T72)</f>
        <v>0</v>
      </c>
      <c r="U76" s="561">
        <f ca="1">SUM($D$68:U68)-SUM($D$72:U72)</f>
        <v>0</v>
      </c>
      <c r="V76" s="561">
        <f ca="1">SUM($D$68:V68)-SUM($D$72:V72)</f>
        <v>0</v>
      </c>
      <c r="W76" s="561">
        <f ca="1">SUM($D$68:W68)-SUM($D$72:W72)</f>
        <v>0</v>
      </c>
      <c r="X76" s="561">
        <f ca="1">SUM($D$68:X68)-SUM($D$72:X72)</f>
        <v>0</v>
      </c>
      <c r="Y76" s="561">
        <f ca="1">SUM($D$68:Y68)-SUM($D$72:Y72)</f>
        <v>0</v>
      </c>
      <c r="Z76" s="561">
        <f ca="1">SUM($D$68:Z68)-SUM($D$72:Z72)</f>
        <v>0</v>
      </c>
      <c r="AA76" s="561">
        <f ca="1">SUM($D$68:AA68)-SUM($D$72:AA72)</f>
        <v>0</v>
      </c>
      <c r="AB76" s="561">
        <f ca="1">SUM($D$68:AB68)-SUM($D$72:AB72)</f>
        <v>0</v>
      </c>
      <c r="AC76" s="561">
        <f ca="1">SUM($D$68:AC68)-SUM($D$72:AC72)</f>
        <v>0</v>
      </c>
      <c r="AD76" s="561">
        <f ca="1">SUM($D$68:AD68)-SUM($D$72:AD72)</f>
        <v>0</v>
      </c>
      <c r="AE76" s="561">
        <f ca="1">SUM($D$68:AE68)-SUM($D$72:AE72)</f>
        <v>0</v>
      </c>
      <c r="AF76" s="561">
        <f ca="1">SUM($D$68:AF68)-SUM($D$72:AF72)</f>
        <v>0</v>
      </c>
      <c r="AG76" s="561">
        <f ca="1">SUM($D$68:AG68)-SUM($D$72:AG72)</f>
        <v>0</v>
      </c>
      <c r="AH76" s="561">
        <f ca="1">SUM($D$68:AH68)-SUM($D$72:AH72)</f>
        <v>0</v>
      </c>
      <c r="AI76" s="561">
        <f ca="1">SUM($D$68:AI68)-SUM($D$72:AI72)</f>
        <v>0</v>
      </c>
      <c r="AJ76" s="561">
        <f ca="1">SUM($D$68:AJ68)-SUM($D$72:AJ72)</f>
        <v>0</v>
      </c>
      <c r="AK76" s="561">
        <f ca="1">SUM($D$68:AK68)-SUM($D$72:AK72)</f>
        <v>0</v>
      </c>
      <c r="AL76" s="561">
        <f ca="1">SUM($D$68:AL68)-SUM($D$72:AL72)</f>
        <v>0</v>
      </c>
      <c r="AM76" s="1006"/>
    </row>
    <row r="77" spans="1:39" s="59" customFormat="1">
      <c r="A77" s="177"/>
      <c r="B77" s="1313" t="s">
        <v>652</v>
      </c>
      <c r="C77" s="1312"/>
      <c r="D77" s="500">
        <f ca="1">IF(SUM(D$75:D$76)=0,0,D75/(SUM(D$75:D$76)))</f>
        <v>0</v>
      </c>
      <c r="E77" s="500">
        <f t="shared" ref="E77:AL77" ca="1" si="24">IF(SUM(E$75:E$76)=0,0,E75/(SUM(E$75:E$76)))</f>
        <v>0</v>
      </c>
      <c r="F77" s="500">
        <f t="shared" ca="1" si="24"/>
        <v>0</v>
      </c>
      <c r="G77" s="500">
        <f t="shared" ca="1" si="24"/>
        <v>0.9900000000000001</v>
      </c>
      <c r="H77" s="500">
        <f t="shared" ca="1" si="24"/>
        <v>0.99</v>
      </c>
      <c r="I77" s="500">
        <f t="shared" ca="1" si="24"/>
        <v>0.99</v>
      </c>
      <c r="J77" s="500">
        <f t="shared" ca="1" si="24"/>
        <v>0.99</v>
      </c>
      <c r="K77" s="500">
        <f t="shared" ca="1" si="24"/>
        <v>0.99</v>
      </c>
      <c r="L77" s="500">
        <f t="shared" ca="1" si="24"/>
        <v>0.99</v>
      </c>
      <c r="M77" s="500">
        <f t="shared" ca="1" si="24"/>
        <v>0.9900000000000001</v>
      </c>
      <c r="N77" s="500">
        <f t="shared" ca="1" si="24"/>
        <v>0.99</v>
      </c>
      <c r="O77" s="500">
        <f t="shared" ca="1" si="24"/>
        <v>0.99</v>
      </c>
      <c r="P77" s="500">
        <f t="shared" ca="1" si="24"/>
        <v>0.98999999999999988</v>
      </c>
      <c r="Q77" s="500">
        <f t="shared" ca="1" si="24"/>
        <v>0.9900000000000001</v>
      </c>
      <c r="R77" s="500">
        <f t="shared" ca="1" si="24"/>
        <v>0.99</v>
      </c>
      <c r="S77" s="500">
        <f t="shared" ca="1" si="24"/>
        <v>0.99</v>
      </c>
      <c r="T77" s="500">
        <f t="shared" ca="1" si="24"/>
        <v>0</v>
      </c>
      <c r="U77" s="500">
        <f t="shared" ca="1" si="24"/>
        <v>0</v>
      </c>
      <c r="V77" s="500">
        <f t="shared" ca="1" si="24"/>
        <v>0</v>
      </c>
      <c r="W77" s="500">
        <f t="shared" ca="1" si="24"/>
        <v>0</v>
      </c>
      <c r="X77" s="500">
        <f t="shared" ca="1" si="24"/>
        <v>0</v>
      </c>
      <c r="Y77" s="500">
        <f t="shared" ca="1" si="24"/>
        <v>0</v>
      </c>
      <c r="Z77" s="500">
        <f t="shared" ca="1" si="24"/>
        <v>0</v>
      </c>
      <c r="AA77" s="500">
        <f t="shared" ca="1" si="24"/>
        <v>0</v>
      </c>
      <c r="AB77" s="500">
        <f t="shared" ca="1" si="24"/>
        <v>0</v>
      </c>
      <c r="AC77" s="500">
        <f t="shared" ca="1" si="24"/>
        <v>0</v>
      </c>
      <c r="AD77" s="500">
        <f t="shared" ca="1" si="24"/>
        <v>0</v>
      </c>
      <c r="AE77" s="500">
        <f t="shared" ca="1" si="24"/>
        <v>0</v>
      </c>
      <c r="AF77" s="500">
        <f t="shared" ca="1" si="24"/>
        <v>0</v>
      </c>
      <c r="AG77" s="500">
        <f t="shared" ca="1" si="24"/>
        <v>0</v>
      </c>
      <c r="AH77" s="500">
        <f t="shared" ca="1" si="24"/>
        <v>0</v>
      </c>
      <c r="AI77" s="500">
        <f t="shared" ca="1" si="24"/>
        <v>0</v>
      </c>
      <c r="AJ77" s="500">
        <f t="shared" ca="1" si="24"/>
        <v>0</v>
      </c>
      <c r="AK77" s="500">
        <f t="shared" ca="1" si="24"/>
        <v>0</v>
      </c>
      <c r="AL77" s="500">
        <f t="shared" ca="1" si="24"/>
        <v>0</v>
      </c>
      <c r="AM77" s="1006"/>
    </row>
    <row r="78" spans="1:39" s="59" customFormat="1">
      <c r="A78" s="177"/>
      <c r="B78" s="1313" t="s">
        <v>652</v>
      </c>
      <c r="C78" s="1312"/>
      <c r="D78" s="500">
        <f ca="1">IF(SUM(D$75:D$76)=0,0,D76/(SUM(D$75:D$76)))</f>
        <v>0</v>
      </c>
      <c r="E78" s="500">
        <f t="shared" ref="E78:AL78" ca="1" si="25">IF(SUM(E$75:E$76)=0,0,E76/(SUM(E$75:E$76)))</f>
        <v>0</v>
      </c>
      <c r="F78" s="500">
        <f t="shared" ca="1" si="25"/>
        <v>0</v>
      </c>
      <c r="G78" s="500">
        <f t="shared" ca="1" si="25"/>
        <v>1.0000000000000002E-2</v>
      </c>
      <c r="H78" s="500">
        <f t="shared" ca="1" si="25"/>
        <v>1.0000000000000004E-2</v>
      </c>
      <c r="I78" s="500">
        <f t="shared" ca="1" si="25"/>
        <v>1.0000000000000002E-2</v>
      </c>
      <c r="J78" s="500">
        <f t="shared" ca="1" si="25"/>
        <v>1.0000000000000002E-2</v>
      </c>
      <c r="K78" s="500">
        <f t="shared" ca="1" si="25"/>
        <v>1.0000000000000004E-2</v>
      </c>
      <c r="L78" s="500">
        <f t="shared" ca="1" si="25"/>
        <v>1.0000000000000005E-2</v>
      </c>
      <c r="M78" s="500">
        <f t="shared" ca="1" si="25"/>
        <v>1.0000000000000005E-2</v>
      </c>
      <c r="N78" s="500">
        <f t="shared" ca="1" si="25"/>
        <v>1.0000000000000005E-2</v>
      </c>
      <c r="O78" s="500">
        <f t="shared" ca="1" si="25"/>
        <v>1.0000000000000004E-2</v>
      </c>
      <c r="P78" s="500">
        <f t="shared" ca="1" si="25"/>
        <v>1.0000000000000004E-2</v>
      </c>
      <c r="Q78" s="500">
        <f t="shared" ca="1" si="25"/>
        <v>1.0000000000000007E-2</v>
      </c>
      <c r="R78" s="500">
        <f t="shared" ca="1" si="25"/>
        <v>1.0000000000000009E-2</v>
      </c>
      <c r="S78" s="500">
        <f t="shared" ca="1" si="25"/>
        <v>1.0000000000000016E-2</v>
      </c>
      <c r="T78" s="500">
        <f t="shared" ca="1" si="25"/>
        <v>0</v>
      </c>
      <c r="U78" s="500">
        <f t="shared" ca="1" si="25"/>
        <v>0</v>
      </c>
      <c r="V78" s="500">
        <f t="shared" ca="1" si="25"/>
        <v>0</v>
      </c>
      <c r="W78" s="500">
        <f t="shared" ca="1" si="25"/>
        <v>0</v>
      </c>
      <c r="X78" s="500">
        <f t="shared" ca="1" si="25"/>
        <v>0</v>
      </c>
      <c r="Y78" s="500">
        <f t="shared" ca="1" si="25"/>
        <v>0</v>
      </c>
      <c r="Z78" s="500">
        <f t="shared" ca="1" si="25"/>
        <v>0</v>
      </c>
      <c r="AA78" s="500">
        <f t="shared" ca="1" si="25"/>
        <v>0</v>
      </c>
      <c r="AB78" s="500">
        <f t="shared" ca="1" si="25"/>
        <v>0</v>
      </c>
      <c r="AC78" s="500">
        <f t="shared" ca="1" si="25"/>
        <v>0</v>
      </c>
      <c r="AD78" s="500">
        <f t="shared" ca="1" si="25"/>
        <v>0</v>
      </c>
      <c r="AE78" s="500">
        <f t="shared" ca="1" si="25"/>
        <v>0</v>
      </c>
      <c r="AF78" s="500">
        <f t="shared" ca="1" si="25"/>
        <v>0</v>
      </c>
      <c r="AG78" s="500">
        <f t="shared" ca="1" si="25"/>
        <v>0</v>
      </c>
      <c r="AH78" s="500">
        <f t="shared" ca="1" si="25"/>
        <v>0</v>
      </c>
      <c r="AI78" s="500">
        <f t="shared" ca="1" si="25"/>
        <v>0</v>
      </c>
      <c r="AJ78" s="500">
        <f t="shared" ca="1" si="25"/>
        <v>0</v>
      </c>
      <c r="AK78" s="500">
        <f t="shared" ca="1" si="25"/>
        <v>0</v>
      </c>
      <c r="AL78" s="500">
        <f t="shared" ca="1" si="25"/>
        <v>0</v>
      </c>
      <c r="AM78" s="1006"/>
    </row>
    <row r="79" spans="1:39" s="59" customFormat="1">
      <c r="A79" s="177"/>
      <c r="B79" s="1306"/>
      <c r="C79" s="1308"/>
      <c r="D79" s="317"/>
      <c r="E79" s="317"/>
      <c r="F79" s="317"/>
      <c r="G79" s="317"/>
      <c r="H79" s="317"/>
      <c r="I79" s="317"/>
      <c r="J79" s="317"/>
      <c r="K79" s="317"/>
      <c r="L79" s="317"/>
      <c r="M79" s="317"/>
      <c r="N79" s="317"/>
      <c r="O79" s="439"/>
      <c r="P79" s="317"/>
      <c r="Q79" s="317"/>
      <c r="R79" s="317"/>
      <c r="S79" s="317"/>
      <c r="T79" s="317"/>
      <c r="U79" s="317"/>
      <c r="V79" s="317"/>
      <c r="W79" s="317"/>
      <c r="X79" s="317"/>
      <c r="Y79" s="317"/>
      <c r="Z79" s="317"/>
      <c r="AA79" s="317"/>
      <c r="AB79" s="317"/>
      <c r="AC79" s="317"/>
      <c r="AD79" s="317"/>
      <c r="AE79" s="317"/>
      <c r="AF79" s="317"/>
      <c r="AG79" s="317"/>
      <c r="AH79" s="317"/>
      <c r="AI79" s="317"/>
      <c r="AJ79" s="317"/>
      <c r="AK79" s="317"/>
      <c r="AL79" s="317"/>
      <c r="AM79" s="1006"/>
    </row>
    <row r="80" spans="1:39" s="59" customFormat="1">
      <c r="A80" s="177"/>
      <c r="B80" s="1307" t="s">
        <v>658</v>
      </c>
      <c r="C80" s="1316"/>
      <c r="D80" s="561"/>
      <c r="E80" s="561"/>
      <c r="F80" s="561"/>
      <c r="G80" s="561"/>
      <c r="H80" s="561"/>
      <c r="I80" s="561"/>
      <c r="J80" s="561"/>
      <c r="K80" s="561"/>
      <c r="L80" s="561"/>
      <c r="M80" s="561"/>
      <c r="N80" s="561"/>
      <c r="O80" s="884"/>
      <c r="P80" s="561"/>
      <c r="Q80" s="561"/>
      <c r="R80" s="561"/>
      <c r="S80" s="561"/>
      <c r="T80" s="561"/>
      <c r="U80" s="561"/>
      <c r="V80" s="561"/>
      <c r="W80" s="561"/>
      <c r="X80" s="561"/>
      <c r="Y80" s="561"/>
      <c r="Z80" s="561"/>
      <c r="AA80" s="561"/>
      <c r="AB80" s="561"/>
      <c r="AC80" s="561"/>
      <c r="AD80" s="561"/>
      <c r="AE80" s="561"/>
      <c r="AF80" s="561"/>
      <c r="AG80" s="561"/>
      <c r="AH80" s="561"/>
      <c r="AI80" s="561"/>
      <c r="AJ80" s="561"/>
      <c r="AK80" s="561"/>
      <c r="AL80" s="561"/>
      <c r="AM80" s="1006"/>
    </row>
    <row r="81" spans="1:39" s="59" customFormat="1">
      <c r="A81" s="177"/>
      <c r="B81" s="1306" t="s">
        <v>651</v>
      </c>
      <c r="C81" s="1312">
        <f ca="1">SUM(D81:AL81)</f>
        <v>49522.848578734774</v>
      </c>
      <c r="D81" s="561">
        <f t="shared" ref="D81:AL81" ca="1" si="26">ABS(D$64)*D56</f>
        <v>0</v>
      </c>
      <c r="E81" s="561">
        <f t="shared" ca="1" si="26"/>
        <v>0</v>
      </c>
      <c r="F81" s="561">
        <f t="shared" ca="1" si="26"/>
        <v>0</v>
      </c>
      <c r="G81" s="561">
        <f t="shared" ca="1" si="26"/>
        <v>6000.8540715600848</v>
      </c>
      <c r="H81" s="561">
        <f t="shared" ca="1" si="26"/>
        <v>13042.489200999626</v>
      </c>
      <c r="I81" s="561">
        <f t="shared" ca="1" si="26"/>
        <v>5718.0810257722569</v>
      </c>
      <c r="J81" s="561">
        <f t="shared" ca="1" si="26"/>
        <v>1116.6974740822302</v>
      </c>
      <c r="K81" s="561">
        <f t="shared" ca="1" si="26"/>
        <v>1277.5473072408404</v>
      </c>
      <c r="L81" s="561">
        <f t="shared" ca="1" si="26"/>
        <v>1445.645308054696</v>
      </c>
      <c r="M81" s="561">
        <f t="shared" ca="1" si="26"/>
        <v>1684.8440761673305</v>
      </c>
      <c r="N81" s="561">
        <f t="shared" ca="1" si="26"/>
        <v>1949.9430696329434</v>
      </c>
      <c r="O81" s="561">
        <f t="shared" ca="1" si="26"/>
        <v>2261.4853432088753</v>
      </c>
      <c r="P81" s="561">
        <f t="shared" ca="1" si="26"/>
        <v>2593.9845672853626</v>
      </c>
      <c r="Q81" s="561">
        <f t="shared" ca="1" si="26"/>
        <v>2803.5998512408819</v>
      </c>
      <c r="R81" s="561">
        <f t="shared" ca="1" si="26"/>
        <v>3021.5800253920038</v>
      </c>
      <c r="S81" s="561">
        <f t="shared" ca="1" si="26"/>
        <v>3192.1872942917744</v>
      </c>
      <c r="T81" s="561">
        <f t="shared" ca="1" si="26"/>
        <v>3413.9099817350302</v>
      </c>
      <c r="U81" s="561">
        <f t="shared" ca="1" si="26"/>
        <v>0</v>
      </c>
      <c r="V81" s="561">
        <f t="shared" ca="1" si="26"/>
        <v>0</v>
      </c>
      <c r="W81" s="561">
        <f t="shared" ca="1" si="26"/>
        <v>0</v>
      </c>
      <c r="X81" s="561">
        <f t="shared" ca="1" si="26"/>
        <v>0</v>
      </c>
      <c r="Y81" s="561">
        <f t="shared" ca="1" si="26"/>
        <v>0</v>
      </c>
      <c r="Z81" s="561">
        <f t="shared" ca="1" si="26"/>
        <v>0</v>
      </c>
      <c r="AA81" s="561">
        <f t="shared" ca="1" si="26"/>
        <v>0</v>
      </c>
      <c r="AB81" s="561">
        <f t="shared" ca="1" si="26"/>
        <v>0</v>
      </c>
      <c r="AC81" s="561">
        <f t="shared" ca="1" si="26"/>
        <v>0</v>
      </c>
      <c r="AD81" s="561">
        <f t="shared" ca="1" si="26"/>
        <v>0</v>
      </c>
      <c r="AE81" s="561">
        <f t="shared" ca="1" si="26"/>
        <v>0</v>
      </c>
      <c r="AF81" s="561">
        <f t="shared" ca="1" si="26"/>
        <v>0</v>
      </c>
      <c r="AG81" s="561">
        <f t="shared" ca="1" si="26"/>
        <v>0</v>
      </c>
      <c r="AH81" s="561">
        <f t="shared" ca="1" si="26"/>
        <v>0</v>
      </c>
      <c r="AI81" s="561">
        <f t="shared" ca="1" si="26"/>
        <v>0</v>
      </c>
      <c r="AJ81" s="561">
        <f t="shared" si="26"/>
        <v>0</v>
      </c>
      <c r="AK81" s="561">
        <f t="shared" si="26"/>
        <v>0</v>
      </c>
      <c r="AL81" s="561">
        <f t="shared" si="26"/>
        <v>0</v>
      </c>
      <c r="AM81" s="1006"/>
    </row>
    <row r="82" spans="1:39" s="59" customFormat="1">
      <c r="A82" s="177"/>
      <c r="B82" s="1306" t="s">
        <v>244</v>
      </c>
      <c r="C82" s="1312">
        <f ca="1">SUM(D82:AL82)</f>
        <v>500.2307937245937</v>
      </c>
      <c r="D82" s="561">
        <f t="shared" ref="D82:AL82" ca="1" si="27">ABS(D$64)*D57</f>
        <v>0</v>
      </c>
      <c r="E82" s="561">
        <f t="shared" ca="1" si="27"/>
        <v>0</v>
      </c>
      <c r="F82" s="561">
        <f t="shared" ca="1" si="27"/>
        <v>0</v>
      </c>
      <c r="G82" s="561">
        <f t="shared" ca="1" si="27"/>
        <v>60.614687591516017</v>
      </c>
      <c r="H82" s="561">
        <f t="shared" ca="1" si="27"/>
        <v>131.7423151616124</v>
      </c>
      <c r="I82" s="561">
        <f t="shared" ca="1" si="27"/>
        <v>57.758394199719767</v>
      </c>
      <c r="J82" s="561">
        <f t="shared" ca="1" si="27"/>
        <v>11.279772465477071</v>
      </c>
      <c r="K82" s="561">
        <f t="shared" ca="1" si="27"/>
        <v>12.904518254957985</v>
      </c>
      <c r="L82" s="561">
        <f t="shared" ca="1" si="27"/>
        <v>14.602477859138345</v>
      </c>
      <c r="M82" s="561">
        <f t="shared" ca="1" si="27"/>
        <v>17.018627031993237</v>
      </c>
      <c r="N82" s="561">
        <f t="shared" ca="1" si="27"/>
        <v>19.696394642757006</v>
      </c>
      <c r="O82" s="561">
        <f t="shared" ca="1" si="27"/>
        <v>22.843286295039142</v>
      </c>
      <c r="P82" s="561">
        <f t="shared" ca="1" si="27"/>
        <v>26.201864316013761</v>
      </c>
      <c r="Q82" s="561">
        <f t="shared" ca="1" si="27"/>
        <v>28.319190416574568</v>
      </c>
      <c r="R82" s="561">
        <f t="shared" ca="1" si="27"/>
        <v>30.521010357494987</v>
      </c>
      <c r="S82" s="561">
        <f t="shared" ca="1" si="27"/>
        <v>32.244316103957317</v>
      </c>
      <c r="T82" s="561">
        <f t="shared" ca="1" si="27"/>
        <v>34.483939209444756</v>
      </c>
      <c r="U82" s="561">
        <f t="shared" ca="1" si="27"/>
        <v>0</v>
      </c>
      <c r="V82" s="561">
        <f t="shared" ca="1" si="27"/>
        <v>0</v>
      </c>
      <c r="W82" s="561">
        <f t="shared" ca="1" si="27"/>
        <v>0</v>
      </c>
      <c r="X82" s="561">
        <f t="shared" ca="1" si="27"/>
        <v>0</v>
      </c>
      <c r="Y82" s="561">
        <f t="shared" ca="1" si="27"/>
        <v>0</v>
      </c>
      <c r="Z82" s="561">
        <f t="shared" ca="1" si="27"/>
        <v>0</v>
      </c>
      <c r="AA82" s="561">
        <f t="shared" ca="1" si="27"/>
        <v>0</v>
      </c>
      <c r="AB82" s="561">
        <f t="shared" ca="1" si="27"/>
        <v>0</v>
      </c>
      <c r="AC82" s="561">
        <f t="shared" ca="1" si="27"/>
        <v>0</v>
      </c>
      <c r="AD82" s="561">
        <f t="shared" ca="1" si="27"/>
        <v>0</v>
      </c>
      <c r="AE82" s="561">
        <f t="shared" ca="1" si="27"/>
        <v>0</v>
      </c>
      <c r="AF82" s="561">
        <f t="shared" ca="1" si="27"/>
        <v>0</v>
      </c>
      <c r="AG82" s="561">
        <f t="shared" ca="1" si="27"/>
        <v>0</v>
      </c>
      <c r="AH82" s="561">
        <f t="shared" ca="1" si="27"/>
        <v>0</v>
      </c>
      <c r="AI82" s="561">
        <f t="shared" ca="1" si="27"/>
        <v>0</v>
      </c>
      <c r="AJ82" s="561">
        <f t="shared" si="27"/>
        <v>0</v>
      </c>
      <c r="AK82" s="561">
        <f t="shared" si="27"/>
        <v>0</v>
      </c>
      <c r="AL82" s="561">
        <f t="shared" si="27"/>
        <v>0</v>
      </c>
      <c r="AM82" s="1006"/>
    </row>
    <row r="83" spans="1:39" s="59" customFormat="1">
      <c r="A83" s="177"/>
      <c r="B83" s="1309"/>
      <c r="C83" s="1316"/>
      <c r="D83" s="561"/>
      <c r="E83" s="561"/>
      <c r="F83" s="561"/>
      <c r="G83" s="561"/>
      <c r="H83" s="561"/>
      <c r="I83" s="561"/>
      <c r="J83" s="561"/>
      <c r="K83" s="561"/>
      <c r="L83" s="561"/>
      <c r="M83" s="561"/>
      <c r="N83" s="561"/>
      <c r="O83" s="884"/>
      <c r="P83" s="561"/>
      <c r="Q83" s="561"/>
      <c r="R83" s="561"/>
      <c r="S83" s="561"/>
      <c r="T83" s="561"/>
      <c r="U83" s="561"/>
      <c r="V83" s="561"/>
      <c r="W83" s="561"/>
      <c r="X83" s="561"/>
      <c r="Y83" s="561"/>
      <c r="Z83" s="561"/>
      <c r="AA83" s="561"/>
      <c r="AB83" s="561"/>
      <c r="AC83" s="561"/>
      <c r="AD83" s="561"/>
      <c r="AE83" s="561"/>
      <c r="AF83" s="561"/>
      <c r="AG83" s="561"/>
      <c r="AH83" s="561"/>
      <c r="AI83" s="561"/>
      <c r="AJ83" s="561"/>
      <c r="AK83" s="561"/>
      <c r="AL83" s="561"/>
      <c r="AM83" s="1006"/>
    </row>
    <row r="84" spans="1:39" s="59" customFormat="1">
      <c r="A84" s="177"/>
      <c r="B84" s="1307" t="s">
        <v>507</v>
      </c>
      <c r="C84" s="1316"/>
      <c r="D84" s="561"/>
      <c r="E84" s="561"/>
      <c r="F84" s="561"/>
      <c r="G84" s="561"/>
      <c r="H84" s="561"/>
      <c r="I84" s="561"/>
      <c r="J84" s="561"/>
      <c r="K84" s="561"/>
      <c r="L84" s="561"/>
      <c r="M84" s="561"/>
      <c r="N84" s="561"/>
      <c r="O84" s="884"/>
      <c r="P84" s="561"/>
      <c r="Q84" s="561"/>
      <c r="R84" s="561"/>
      <c r="S84" s="561"/>
      <c r="T84" s="561"/>
      <c r="U84" s="561"/>
      <c r="V84" s="561"/>
      <c r="W84" s="561"/>
      <c r="X84" s="561"/>
      <c r="Y84" s="561"/>
      <c r="Z84" s="561"/>
      <c r="AA84" s="561"/>
      <c r="AB84" s="561"/>
      <c r="AC84" s="561"/>
      <c r="AD84" s="561"/>
      <c r="AE84" s="561"/>
      <c r="AF84" s="561"/>
      <c r="AG84" s="561"/>
      <c r="AH84" s="561"/>
      <c r="AI84" s="561"/>
      <c r="AJ84" s="561"/>
      <c r="AK84" s="561"/>
      <c r="AL84" s="561"/>
      <c r="AM84" s="1006"/>
    </row>
    <row r="85" spans="1:39" s="59" customFormat="1">
      <c r="A85" s="177"/>
      <c r="B85" s="1306" t="s">
        <v>651</v>
      </c>
      <c r="C85" s="1316">
        <f ca="1">SUM(D85:AL85)</f>
        <v>0</v>
      </c>
      <c r="D85" s="561">
        <f t="shared" ref="D85:AL85" ca="1" si="28">D67+D71-D81</f>
        <v>0</v>
      </c>
      <c r="E85" s="561">
        <f t="shared" ca="1" si="28"/>
        <v>0</v>
      </c>
      <c r="F85" s="561">
        <f t="shared" ca="1" si="28"/>
        <v>0</v>
      </c>
      <c r="G85" s="561">
        <f t="shared" ca="1" si="28"/>
        <v>0</v>
      </c>
      <c r="H85" s="561">
        <f t="shared" ca="1" si="28"/>
        <v>0</v>
      </c>
      <c r="I85" s="561">
        <f t="shared" ca="1" si="28"/>
        <v>0</v>
      </c>
      <c r="J85" s="561">
        <f t="shared" ca="1" si="28"/>
        <v>0</v>
      </c>
      <c r="K85" s="561">
        <f t="shared" ca="1" si="28"/>
        <v>0</v>
      </c>
      <c r="L85" s="561">
        <f t="shared" ca="1" si="28"/>
        <v>0</v>
      </c>
      <c r="M85" s="561">
        <f t="shared" ca="1" si="28"/>
        <v>0</v>
      </c>
      <c r="N85" s="561">
        <f t="shared" ca="1" si="28"/>
        <v>0</v>
      </c>
      <c r="O85" s="561">
        <f t="shared" ca="1" si="28"/>
        <v>0</v>
      </c>
      <c r="P85" s="561">
        <f t="shared" ca="1" si="28"/>
        <v>0</v>
      </c>
      <c r="Q85" s="561">
        <f t="shared" ca="1" si="28"/>
        <v>0</v>
      </c>
      <c r="R85" s="561">
        <f t="shared" ca="1" si="28"/>
        <v>0</v>
      </c>
      <c r="S85" s="561">
        <f t="shared" ca="1" si="28"/>
        <v>0</v>
      </c>
      <c r="T85" s="561">
        <f t="shared" ca="1" si="28"/>
        <v>0</v>
      </c>
      <c r="U85" s="561">
        <f t="shared" ca="1" si="28"/>
        <v>0</v>
      </c>
      <c r="V85" s="561">
        <f t="shared" ca="1" si="28"/>
        <v>0</v>
      </c>
      <c r="W85" s="561">
        <f t="shared" ca="1" si="28"/>
        <v>0</v>
      </c>
      <c r="X85" s="561">
        <f t="shared" ca="1" si="28"/>
        <v>0</v>
      </c>
      <c r="Y85" s="561">
        <f t="shared" ca="1" si="28"/>
        <v>0</v>
      </c>
      <c r="Z85" s="561">
        <f t="shared" ca="1" si="28"/>
        <v>0</v>
      </c>
      <c r="AA85" s="561">
        <f t="shared" ca="1" si="28"/>
        <v>0</v>
      </c>
      <c r="AB85" s="561">
        <f t="shared" ca="1" si="28"/>
        <v>0</v>
      </c>
      <c r="AC85" s="561">
        <f t="shared" ca="1" si="28"/>
        <v>0</v>
      </c>
      <c r="AD85" s="561">
        <f t="shared" ca="1" si="28"/>
        <v>0</v>
      </c>
      <c r="AE85" s="561">
        <f t="shared" ca="1" si="28"/>
        <v>0</v>
      </c>
      <c r="AF85" s="561">
        <f t="shared" ca="1" si="28"/>
        <v>0</v>
      </c>
      <c r="AG85" s="561">
        <f t="shared" ca="1" si="28"/>
        <v>0</v>
      </c>
      <c r="AH85" s="561">
        <f t="shared" ca="1" si="28"/>
        <v>0</v>
      </c>
      <c r="AI85" s="561">
        <f t="shared" ca="1" si="28"/>
        <v>0</v>
      </c>
      <c r="AJ85" s="561">
        <f t="shared" ca="1" si="28"/>
        <v>0</v>
      </c>
      <c r="AK85" s="561">
        <f t="shared" ca="1" si="28"/>
        <v>0</v>
      </c>
      <c r="AL85" s="561">
        <f t="shared" ca="1" si="28"/>
        <v>0</v>
      </c>
      <c r="AM85" s="1006"/>
    </row>
    <row r="86" spans="1:39" s="59" customFormat="1" ht="13.5" thickBot="1">
      <c r="A86" s="177"/>
      <c r="B86" s="1317" t="s">
        <v>244</v>
      </c>
      <c r="C86" s="1318">
        <f ca="1">SUM(D86:AL86)</f>
        <v>0</v>
      </c>
      <c r="D86" s="619">
        <f t="shared" ref="D86:AL86" ca="1" si="29">D68+D72-D82</f>
        <v>0</v>
      </c>
      <c r="E86" s="619">
        <f t="shared" ca="1" si="29"/>
        <v>0</v>
      </c>
      <c r="F86" s="619">
        <f t="shared" ca="1" si="29"/>
        <v>0</v>
      </c>
      <c r="G86" s="619">
        <f t="shared" ca="1" si="29"/>
        <v>0</v>
      </c>
      <c r="H86" s="619">
        <f t="shared" ca="1" si="29"/>
        <v>0</v>
      </c>
      <c r="I86" s="619">
        <f t="shared" ca="1" si="29"/>
        <v>0</v>
      </c>
      <c r="J86" s="619">
        <f t="shared" ca="1" si="29"/>
        <v>0</v>
      </c>
      <c r="K86" s="619">
        <f t="shared" ca="1" si="29"/>
        <v>0</v>
      </c>
      <c r="L86" s="619">
        <f t="shared" ca="1" si="29"/>
        <v>0</v>
      </c>
      <c r="M86" s="619">
        <f t="shared" ca="1" si="29"/>
        <v>0</v>
      </c>
      <c r="N86" s="619">
        <f t="shared" ca="1" si="29"/>
        <v>0</v>
      </c>
      <c r="O86" s="619">
        <f t="shared" ca="1" si="29"/>
        <v>0</v>
      </c>
      <c r="P86" s="619">
        <f t="shared" ca="1" si="29"/>
        <v>0</v>
      </c>
      <c r="Q86" s="619">
        <f t="shared" ca="1" si="29"/>
        <v>0</v>
      </c>
      <c r="R86" s="619">
        <f t="shared" ca="1" si="29"/>
        <v>0</v>
      </c>
      <c r="S86" s="619">
        <f t="shared" ca="1" si="29"/>
        <v>0</v>
      </c>
      <c r="T86" s="619">
        <f t="shared" ca="1" si="29"/>
        <v>7.1054273576010019E-14</v>
      </c>
      <c r="U86" s="619">
        <f t="shared" ca="1" si="29"/>
        <v>0</v>
      </c>
      <c r="V86" s="619">
        <f t="shared" ca="1" si="29"/>
        <v>0</v>
      </c>
      <c r="W86" s="619">
        <f t="shared" ca="1" si="29"/>
        <v>0</v>
      </c>
      <c r="X86" s="619">
        <f t="shared" ca="1" si="29"/>
        <v>0</v>
      </c>
      <c r="Y86" s="619">
        <f t="shared" ca="1" si="29"/>
        <v>0</v>
      </c>
      <c r="Z86" s="619">
        <f t="shared" ca="1" si="29"/>
        <v>0</v>
      </c>
      <c r="AA86" s="619">
        <f t="shared" ca="1" si="29"/>
        <v>0</v>
      </c>
      <c r="AB86" s="619">
        <f t="shared" ca="1" si="29"/>
        <v>0</v>
      </c>
      <c r="AC86" s="619">
        <f t="shared" ca="1" si="29"/>
        <v>0</v>
      </c>
      <c r="AD86" s="619">
        <f t="shared" ca="1" si="29"/>
        <v>0</v>
      </c>
      <c r="AE86" s="619">
        <f t="shared" ca="1" si="29"/>
        <v>0</v>
      </c>
      <c r="AF86" s="619">
        <f t="shared" ca="1" si="29"/>
        <v>0</v>
      </c>
      <c r="AG86" s="619">
        <f t="shared" ca="1" si="29"/>
        <v>0</v>
      </c>
      <c r="AH86" s="619">
        <f t="shared" ca="1" si="29"/>
        <v>0</v>
      </c>
      <c r="AI86" s="619">
        <f t="shared" ca="1" si="29"/>
        <v>0</v>
      </c>
      <c r="AJ86" s="619">
        <f t="shared" ca="1" si="29"/>
        <v>0</v>
      </c>
      <c r="AK86" s="619">
        <f t="shared" ca="1" si="29"/>
        <v>0</v>
      </c>
      <c r="AL86" s="619">
        <f t="shared" ca="1" si="29"/>
        <v>0</v>
      </c>
      <c r="AM86" s="1319"/>
    </row>
    <row r="87" spans="1:39">
      <c r="B87" s="519"/>
      <c r="C87" s="862"/>
      <c r="D87" s="561"/>
      <c r="E87" s="561"/>
      <c r="F87" s="561"/>
      <c r="G87" s="561"/>
      <c r="H87" s="561"/>
      <c r="I87" s="561"/>
      <c r="J87" s="561"/>
      <c r="K87" s="561"/>
      <c r="L87" s="561"/>
      <c r="M87" s="561"/>
      <c r="N87" s="561"/>
      <c r="O87" s="884"/>
      <c r="P87" s="561"/>
      <c r="Q87" s="561"/>
      <c r="R87" s="561"/>
      <c r="S87" s="561"/>
      <c r="T87" s="561"/>
      <c r="U87" s="561"/>
      <c r="V87" s="561"/>
      <c r="W87" s="561"/>
      <c r="X87" s="561"/>
      <c r="Y87" s="561"/>
      <c r="Z87" s="561"/>
      <c r="AA87" s="561"/>
      <c r="AB87" s="561"/>
      <c r="AC87" s="561"/>
      <c r="AD87" s="561"/>
      <c r="AE87" s="561"/>
      <c r="AF87" s="561"/>
      <c r="AG87" s="561"/>
      <c r="AH87" s="561"/>
      <c r="AI87" s="561"/>
      <c r="AJ87" s="561"/>
      <c r="AK87" s="561"/>
      <c r="AL87" s="561"/>
    </row>
    <row r="89" spans="1:39">
      <c r="C89" s="475">
        <f ca="1">C81-C67-C71</f>
        <v>0</v>
      </c>
    </row>
  </sheetData>
  <printOptions headings="1"/>
  <pageMargins left="0.32" right="0.28000000000000003" top="0.6" bottom="0.67" header="0.5" footer="0.5"/>
  <pageSetup scale="50" orientation="landscape" r:id="rId1"/>
  <headerFooter alignWithMargins="0"/>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pageSetUpPr fitToPage="1"/>
  </sheetPr>
  <dimension ref="A1:EL101"/>
  <sheetViews>
    <sheetView zoomScale="75" workbookViewId="0">
      <pane ySplit="660" activePane="bottomLeft"/>
      <selection activeCell="A15" sqref="A15"/>
      <selection pane="bottomLeft" sqref="A1:X75"/>
    </sheetView>
  </sheetViews>
  <sheetFormatPr defaultColWidth="8.7109375" defaultRowHeight="12.75"/>
  <cols>
    <col min="1" max="1" width="4.7109375" style="188" customWidth="1"/>
    <col min="2" max="2" width="47.7109375" customWidth="1"/>
    <col min="3" max="3" width="11.28515625" customWidth="1"/>
    <col min="4" max="4" width="11.7109375" customWidth="1"/>
    <col min="5" max="5" width="11" customWidth="1"/>
    <col min="6" max="6" width="12.28515625" customWidth="1"/>
    <col min="7" max="37" width="11" customWidth="1"/>
  </cols>
  <sheetData>
    <row r="1" spans="1:142" ht="15.75">
      <c r="B1" s="338" t="str">
        <f>ExecSum!$E$4</f>
        <v>Sweetwater 129.00MW Project</v>
      </c>
      <c r="D1" s="18"/>
      <c r="E1" s="244">
        <v>1</v>
      </c>
      <c r="F1" s="245">
        <v>2</v>
      </c>
      <c r="G1" s="245">
        <v>3</v>
      </c>
      <c r="H1" s="245">
        <v>4</v>
      </c>
      <c r="I1" s="245">
        <v>5</v>
      </c>
      <c r="J1" s="245">
        <v>6</v>
      </c>
      <c r="K1" s="245">
        <v>7</v>
      </c>
      <c r="L1" s="245">
        <v>8</v>
      </c>
      <c r="M1" s="245">
        <v>9</v>
      </c>
      <c r="N1" s="245">
        <v>10</v>
      </c>
      <c r="O1" s="245">
        <v>11</v>
      </c>
      <c r="P1" s="245">
        <v>12</v>
      </c>
      <c r="Q1" s="245">
        <v>13</v>
      </c>
      <c r="R1" s="245">
        <v>14</v>
      </c>
      <c r="S1" s="245">
        <v>15</v>
      </c>
      <c r="T1" s="245">
        <v>16</v>
      </c>
      <c r="U1" s="245">
        <v>17</v>
      </c>
      <c r="V1" s="245">
        <v>18</v>
      </c>
      <c r="W1" s="245">
        <v>19</v>
      </c>
      <c r="X1" s="245">
        <v>20</v>
      </c>
      <c r="Y1" s="245">
        <v>21</v>
      </c>
      <c r="Z1" s="245">
        <v>22</v>
      </c>
      <c r="AA1" s="245">
        <v>23</v>
      </c>
      <c r="AB1" s="245">
        <v>24</v>
      </c>
      <c r="AC1" s="245">
        <v>25</v>
      </c>
      <c r="AD1" s="245">
        <v>26</v>
      </c>
      <c r="AE1" s="245">
        <v>27</v>
      </c>
      <c r="AF1" s="245">
        <v>28</v>
      </c>
      <c r="AG1" s="245">
        <v>29</v>
      </c>
      <c r="AH1" s="245">
        <v>30</v>
      </c>
      <c r="AI1" s="246">
        <v>31</v>
      </c>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c r="CL1" s="38"/>
      <c r="CM1" s="38"/>
      <c r="CN1" s="38"/>
      <c r="CO1" s="38"/>
      <c r="CP1" s="38"/>
      <c r="CQ1" s="38"/>
      <c r="CR1" s="38"/>
      <c r="CS1" s="38"/>
      <c r="CT1" s="38"/>
      <c r="CU1" s="38"/>
      <c r="CV1" s="38"/>
      <c r="CW1" s="38"/>
      <c r="CX1" s="38"/>
      <c r="CY1" s="38"/>
      <c r="CZ1" s="38"/>
      <c r="DA1" s="38"/>
      <c r="DB1" s="38"/>
      <c r="DC1" s="38"/>
      <c r="DD1" s="38"/>
      <c r="DE1" s="38"/>
      <c r="DF1" s="38"/>
      <c r="DG1" s="38"/>
      <c r="DH1" s="38"/>
      <c r="DI1" s="38"/>
      <c r="DJ1" s="38"/>
      <c r="DK1" s="38"/>
      <c r="DL1" s="38"/>
      <c r="DM1" s="38"/>
      <c r="DN1" s="38"/>
      <c r="DO1" s="38"/>
      <c r="DP1" s="38"/>
      <c r="DQ1" s="38"/>
      <c r="DR1" s="38"/>
      <c r="DS1" s="38"/>
      <c r="DT1" s="38"/>
      <c r="DU1" s="38"/>
      <c r="DV1" s="38"/>
      <c r="DW1" s="38"/>
      <c r="DX1" s="38"/>
      <c r="DY1" s="38"/>
      <c r="DZ1" s="38"/>
      <c r="EA1" s="38"/>
      <c r="EB1" s="38"/>
      <c r="EC1" s="38"/>
      <c r="ED1" s="38"/>
      <c r="EE1" s="38"/>
      <c r="EF1" s="38"/>
      <c r="EG1" s="38"/>
      <c r="EH1" s="38"/>
      <c r="EI1" s="38"/>
      <c r="EJ1" s="38"/>
      <c r="EK1" s="38"/>
      <c r="EL1" s="38"/>
    </row>
    <row r="2" spans="1:142" ht="15.75">
      <c r="B2" s="335" t="s">
        <v>398</v>
      </c>
      <c r="D2" s="18"/>
      <c r="E2" s="247">
        <f>Assum!$H$25</f>
        <v>2002</v>
      </c>
      <c r="F2" s="248">
        <f>E2+1</f>
        <v>2003</v>
      </c>
      <c r="G2" s="248">
        <f t="shared" ref="G2:X2" si="0">F2+1</f>
        <v>2004</v>
      </c>
      <c r="H2" s="248">
        <f t="shared" si="0"/>
        <v>2005</v>
      </c>
      <c r="I2" s="248">
        <f t="shared" si="0"/>
        <v>2006</v>
      </c>
      <c r="J2" s="248">
        <f t="shared" si="0"/>
        <v>2007</v>
      </c>
      <c r="K2" s="248">
        <f t="shared" si="0"/>
        <v>2008</v>
      </c>
      <c r="L2" s="248">
        <f t="shared" si="0"/>
        <v>2009</v>
      </c>
      <c r="M2" s="248">
        <f t="shared" si="0"/>
        <v>2010</v>
      </c>
      <c r="N2" s="248">
        <f t="shared" si="0"/>
        <v>2011</v>
      </c>
      <c r="O2" s="248">
        <f t="shared" si="0"/>
        <v>2012</v>
      </c>
      <c r="P2" s="248">
        <f t="shared" si="0"/>
        <v>2013</v>
      </c>
      <c r="Q2" s="248">
        <f t="shared" si="0"/>
        <v>2014</v>
      </c>
      <c r="R2" s="248">
        <f t="shared" si="0"/>
        <v>2015</v>
      </c>
      <c r="S2" s="248">
        <f t="shared" si="0"/>
        <v>2016</v>
      </c>
      <c r="T2" s="248">
        <f t="shared" si="0"/>
        <v>2017</v>
      </c>
      <c r="U2" s="248">
        <f t="shared" si="0"/>
        <v>2018</v>
      </c>
      <c r="V2" s="248">
        <f t="shared" si="0"/>
        <v>2019</v>
      </c>
      <c r="W2" s="248">
        <f t="shared" si="0"/>
        <v>2020</v>
      </c>
      <c r="X2" s="248">
        <f t="shared" si="0"/>
        <v>2021</v>
      </c>
      <c r="Y2" s="248">
        <f t="shared" ref="Y2:AH2" si="1">X2+1</f>
        <v>2022</v>
      </c>
      <c r="Z2" s="248">
        <f t="shared" si="1"/>
        <v>2023</v>
      </c>
      <c r="AA2" s="248">
        <f t="shared" si="1"/>
        <v>2024</v>
      </c>
      <c r="AB2" s="248">
        <f t="shared" si="1"/>
        <v>2025</v>
      </c>
      <c r="AC2" s="248">
        <f t="shared" si="1"/>
        <v>2026</v>
      </c>
      <c r="AD2" s="248">
        <f t="shared" si="1"/>
        <v>2027</v>
      </c>
      <c r="AE2" s="248">
        <f t="shared" si="1"/>
        <v>2028</v>
      </c>
      <c r="AF2" s="248">
        <f t="shared" si="1"/>
        <v>2029</v>
      </c>
      <c r="AG2" s="248">
        <f t="shared" si="1"/>
        <v>2030</v>
      </c>
      <c r="AH2" s="248">
        <f t="shared" si="1"/>
        <v>2031</v>
      </c>
      <c r="AI2" s="249">
        <f>AH2+1</f>
        <v>2032</v>
      </c>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row>
    <row r="3" spans="1:142" s="59" customFormat="1">
      <c r="A3" s="188"/>
      <c r="B3" s="234"/>
      <c r="D3" s="63"/>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4"/>
      <c r="AK3" s="64"/>
      <c r="AL3" s="64"/>
      <c r="AM3" s="64"/>
      <c r="AN3" s="64"/>
      <c r="AO3" s="64"/>
      <c r="AP3" s="64"/>
      <c r="AQ3" s="64"/>
      <c r="AR3" s="64"/>
      <c r="AS3" s="64"/>
      <c r="AT3" s="64"/>
      <c r="AU3" s="64"/>
      <c r="AV3" s="64"/>
      <c r="AW3" s="64"/>
      <c r="AX3" s="64"/>
      <c r="AY3" s="64"/>
      <c r="AZ3" s="64"/>
      <c r="BA3" s="64"/>
      <c r="BB3" s="64"/>
      <c r="BC3" s="64"/>
      <c r="BD3" s="64"/>
      <c r="BE3" s="64"/>
      <c r="BF3" s="64"/>
      <c r="BG3" s="64"/>
      <c r="BH3" s="64"/>
      <c r="BI3" s="64"/>
      <c r="BJ3" s="64"/>
      <c r="BK3" s="64"/>
      <c r="BL3" s="64"/>
      <c r="BM3" s="64"/>
      <c r="BN3" s="64"/>
      <c r="BO3" s="64"/>
      <c r="BP3" s="64"/>
      <c r="BQ3" s="64"/>
      <c r="BR3" s="64"/>
      <c r="BS3" s="64"/>
      <c r="BT3" s="64"/>
      <c r="BU3" s="64"/>
      <c r="BV3" s="64"/>
      <c r="BW3" s="64"/>
      <c r="BX3" s="64"/>
      <c r="BY3" s="64"/>
      <c r="BZ3" s="64"/>
      <c r="CA3" s="64"/>
      <c r="CB3" s="64"/>
      <c r="CC3" s="64"/>
      <c r="CD3" s="64"/>
      <c r="CE3" s="64"/>
      <c r="CF3" s="64"/>
      <c r="CG3" s="64"/>
      <c r="CH3" s="64"/>
      <c r="CI3" s="64"/>
      <c r="CJ3" s="64"/>
      <c r="CK3" s="64"/>
      <c r="CL3" s="64"/>
      <c r="CM3" s="64"/>
      <c r="CN3" s="64"/>
      <c r="CO3" s="64"/>
      <c r="CP3" s="64"/>
      <c r="CQ3" s="64"/>
      <c r="CR3" s="64"/>
      <c r="CS3" s="64"/>
      <c r="CT3" s="64"/>
      <c r="CU3" s="64"/>
      <c r="CV3" s="64"/>
      <c r="CW3" s="64"/>
      <c r="CX3" s="64"/>
      <c r="CY3" s="64"/>
      <c r="CZ3" s="64"/>
      <c r="DA3" s="64"/>
      <c r="DB3" s="64"/>
      <c r="DC3" s="64"/>
      <c r="DD3" s="64"/>
      <c r="DE3" s="64"/>
      <c r="DF3" s="64"/>
      <c r="DG3" s="64"/>
      <c r="DH3" s="64"/>
      <c r="DI3" s="64"/>
      <c r="DJ3" s="64"/>
      <c r="DK3" s="64"/>
      <c r="DL3" s="64"/>
      <c r="DM3" s="64"/>
      <c r="DN3" s="64"/>
      <c r="DO3" s="64"/>
      <c r="DP3" s="64"/>
      <c r="DQ3" s="64"/>
      <c r="DR3" s="64"/>
      <c r="DS3" s="64"/>
      <c r="DT3" s="64"/>
      <c r="DU3" s="64"/>
      <c r="DV3" s="64"/>
      <c r="DW3" s="64"/>
      <c r="DX3" s="64"/>
      <c r="DY3" s="64"/>
      <c r="DZ3" s="64"/>
      <c r="EA3" s="64"/>
      <c r="EB3" s="64"/>
      <c r="EC3" s="64"/>
      <c r="ED3" s="64"/>
      <c r="EE3" s="64"/>
      <c r="EF3" s="64"/>
      <c r="EG3" s="64"/>
      <c r="EH3" s="64"/>
      <c r="EI3" s="64"/>
      <c r="EJ3" s="64"/>
      <c r="EK3" s="64"/>
      <c r="EL3" s="64"/>
    </row>
    <row r="4" spans="1:142" s="235" customFormat="1">
      <c r="A4" s="188"/>
      <c r="B4" s="496" t="s">
        <v>390</v>
      </c>
      <c r="C4"/>
      <c r="D4" s="202"/>
      <c r="E4" s="202"/>
      <c r="F4" s="202"/>
      <c r="G4" s="202"/>
      <c r="H4" s="202"/>
      <c r="I4" s="202"/>
      <c r="J4" s="202"/>
      <c r="K4" s="202"/>
      <c r="L4" s="202"/>
      <c r="M4" s="202"/>
      <c r="N4" s="202"/>
      <c r="O4" s="202"/>
      <c r="P4" s="202"/>
      <c r="Q4" s="202"/>
      <c r="R4" s="202"/>
      <c r="S4" s="202"/>
      <c r="T4" s="202"/>
      <c r="U4" s="202"/>
      <c r="V4" s="202"/>
      <c r="W4" s="202"/>
      <c r="X4" s="202"/>
      <c r="Y4" s="202"/>
      <c r="Z4" s="202"/>
      <c r="AA4" s="202"/>
      <c r="AB4" s="202"/>
      <c r="AC4" s="202"/>
      <c r="AD4" s="202"/>
      <c r="AE4" s="202"/>
      <c r="AF4" s="202"/>
      <c r="AG4" s="202"/>
      <c r="AH4" s="202"/>
      <c r="AI4" s="202"/>
      <c r="AJ4" s="202"/>
      <c r="AK4" s="202"/>
      <c r="AL4" s="202"/>
      <c r="AM4" s="202"/>
      <c r="AN4" s="202"/>
      <c r="AO4" s="202"/>
      <c r="AP4" s="202"/>
      <c r="AQ4" s="202"/>
      <c r="AR4" s="202"/>
      <c r="AS4" s="202"/>
      <c r="AT4" s="202"/>
      <c r="AU4" s="202"/>
      <c r="AV4" s="202"/>
      <c r="AW4" s="202"/>
      <c r="AX4" s="202"/>
      <c r="AY4" s="202"/>
      <c r="AZ4" s="202"/>
      <c r="BA4" s="202"/>
      <c r="BB4" s="202"/>
      <c r="BC4" s="202"/>
      <c r="BD4" s="202"/>
      <c r="BE4" s="202"/>
      <c r="BF4" s="202"/>
      <c r="BG4" s="202"/>
      <c r="BH4" s="202"/>
      <c r="BI4" s="202"/>
      <c r="BJ4" s="202"/>
      <c r="BK4" s="202"/>
      <c r="BL4" s="202"/>
      <c r="BM4" s="202"/>
      <c r="BN4" s="202"/>
      <c r="BO4" s="202"/>
      <c r="BP4" s="202"/>
      <c r="BQ4" s="202"/>
      <c r="BR4" s="202"/>
      <c r="BS4" s="202"/>
      <c r="BT4" s="202"/>
      <c r="BU4" s="202"/>
      <c r="BV4" s="202"/>
      <c r="BW4" s="202"/>
      <c r="BX4" s="202"/>
      <c r="BY4" s="202"/>
      <c r="BZ4" s="202"/>
      <c r="CA4" s="202"/>
      <c r="CB4" s="202"/>
      <c r="CC4" s="202"/>
      <c r="CD4" s="202"/>
      <c r="CE4" s="202"/>
      <c r="CF4" s="202"/>
      <c r="CG4" s="202"/>
      <c r="CH4" s="202"/>
      <c r="CI4" s="202"/>
      <c r="CJ4" s="202"/>
      <c r="CK4" s="202"/>
      <c r="CL4" s="202"/>
      <c r="CM4" s="202"/>
      <c r="CN4" s="202"/>
      <c r="CO4" s="202"/>
      <c r="CP4" s="202"/>
      <c r="CQ4" s="202"/>
      <c r="CR4" s="202"/>
      <c r="CS4" s="202"/>
      <c r="CT4" s="202"/>
      <c r="CU4" s="202"/>
      <c r="CV4" s="202"/>
      <c r="CW4" s="202"/>
      <c r="CX4" s="202"/>
      <c r="CY4" s="202"/>
      <c r="CZ4" s="202"/>
      <c r="DA4" s="202"/>
      <c r="DB4" s="202"/>
      <c r="DC4" s="202"/>
      <c r="DD4" s="202"/>
      <c r="DE4" s="202"/>
      <c r="DF4" s="202"/>
      <c r="DG4" s="202"/>
      <c r="DH4" s="202"/>
      <c r="DI4" s="202"/>
      <c r="DJ4" s="202"/>
      <c r="DK4" s="202"/>
      <c r="DL4" s="202"/>
      <c r="DM4" s="202"/>
      <c r="DN4" s="202"/>
      <c r="DO4" s="202"/>
      <c r="DP4" s="202"/>
      <c r="DQ4" s="202"/>
      <c r="DR4" s="202"/>
      <c r="DS4" s="202"/>
      <c r="DT4" s="202"/>
      <c r="DU4" s="202"/>
      <c r="DV4" s="202"/>
      <c r="DW4" s="202"/>
      <c r="DX4" s="202"/>
      <c r="DY4" s="202"/>
      <c r="DZ4" s="202"/>
      <c r="EA4" s="202"/>
      <c r="EB4" s="202"/>
      <c r="EC4" s="202"/>
      <c r="ED4" s="202"/>
      <c r="EE4" s="202"/>
      <c r="EF4" s="202"/>
      <c r="EG4" s="202"/>
      <c r="EH4" s="202"/>
      <c r="EI4" s="202"/>
      <c r="EJ4" s="202"/>
      <c r="EK4" s="202"/>
      <c r="EL4" s="202"/>
    </row>
    <row r="5" spans="1:142" s="235" customFormat="1">
      <c r="A5" s="188"/>
      <c r="B5" t="s">
        <v>623</v>
      </c>
      <c r="C5"/>
      <c r="D5" s="202"/>
      <c r="E5" s="324">
        <f ca="1">Basis!D18</f>
        <v>-20557.137537250452</v>
      </c>
      <c r="F5" s="324">
        <f ca="1">Basis!E18</f>
        <v>-36733.563428617541</v>
      </c>
      <c r="G5" s="324">
        <f ca="1">Basis!F18</f>
        <v>-21080.85684452</v>
      </c>
      <c r="H5" s="324">
        <f ca="1">Basis!G18</f>
        <v>-11681.431342743695</v>
      </c>
      <c r="I5" s="324">
        <f ca="1">Basis!H18</f>
        <v>-11586.775347504714</v>
      </c>
      <c r="J5" s="324">
        <f ca="1">Basis!I18</f>
        <v>-4178.3893464821758</v>
      </c>
      <c r="K5" s="324">
        <f ca="1">Basis!J18</f>
        <v>2534.0773874697607</v>
      </c>
      <c r="L5" s="324">
        <f ca="1">Basis!K18</f>
        <v>2693.2529618820276</v>
      </c>
      <c r="M5" s="324">
        <f ca="1">Basis!L18</f>
        <v>2859.0623017641642</v>
      </c>
      <c r="N5" s="324">
        <f ca="1">Basis!M18</f>
        <v>3117.4771446201112</v>
      </c>
      <c r="O5" s="324">
        <f ca="1">Basis!N18</f>
        <v>3405.4172241681786</v>
      </c>
      <c r="P5" s="324">
        <f ca="1">Basis!O18</f>
        <v>3742.7655140995366</v>
      </c>
      <c r="Q5" s="324">
        <f ca="1">Basis!P18</f>
        <v>4105.8380741184719</v>
      </c>
      <c r="R5" s="324">
        <f ca="1">Basis!Q18</f>
        <v>4283.817890877307</v>
      </c>
      <c r="S5" s="324">
        <f ca="1">Basis!R18</f>
        <v>4466.4508024142096</v>
      </c>
      <c r="T5" s="324">
        <f ca="1">Basis!S18</f>
        <v>4569.0739987527504</v>
      </c>
      <c r="U5" s="324">
        <f ca="1">Basis!T18</f>
        <v>4839.6469219089031</v>
      </c>
      <c r="V5" s="324">
        <f ca="1">Basis!U18</f>
        <v>5169.8343611938535</v>
      </c>
      <c r="W5" s="324">
        <f ca="1">Basis!V18</f>
        <v>5630.5677689900122</v>
      </c>
      <c r="X5" s="324">
        <f ca="1">Basis!W18</f>
        <v>5555.4919645246246</v>
      </c>
      <c r="Y5" s="324">
        <f ca="1">Basis!X18</f>
        <v>16.321603336551807</v>
      </c>
      <c r="Z5" s="324">
        <f ca="1">Basis!Y18</f>
        <v>0</v>
      </c>
      <c r="AA5" s="324">
        <f ca="1">Basis!Z18</f>
        <v>0</v>
      </c>
      <c r="AB5" s="324">
        <f ca="1">Basis!AA18</f>
        <v>0</v>
      </c>
      <c r="AC5" s="324">
        <f ca="1">Basis!AB18</f>
        <v>0</v>
      </c>
      <c r="AD5" s="324">
        <f ca="1">Basis!AC18</f>
        <v>0</v>
      </c>
      <c r="AE5" s="324">
        <f ca="1">Basis!AD18</f>
        <v>0</v>
      </c>
      <c r="AF5" s="324">
        <f ca="1">Basis!AE18</f>
        <v>0</v>
      </c>
      <c r="AG5" s="324">
        <f ca="1">Basis!AF18</f>
        <v>0</v>
      </c>
      <c r="AH5" s="324">
        <f ca="1">Basis!AG18</f>
        <v>0</v>
      </c>
      <c r="AI5" s="324">
        <f ca="1">Basis!AH18</f>
        <v>0</v>
      </c>
      <c r="AJ5" s="202"/>
      <c r="AK5" s="202"/>
      <c r="AL5" s="202"/>
      <c r="AM5" s="202"/>
      <c r="AN5" s="202"/>
      <c r="AO5" s="202"/>
      <c r="AP5" s="202"/>
      <c r="AQ5" s="202"/>
      <c r="AR5" s="202"/>
      <c r="AS5" s="202"/>
      <c r="AT5" s="202"/>
      <c r="AU5" s="202"/>
      <c r="AV5" s="202"/>
      <c r="AW5" s="202"/>
      <c r="AX5" s="202"/>
      <c r="AY5" s="202"/>
      <c r="AZ5" s="202"/>
      <c r="BA5" s="202"/>
      <c r="BB5" s="202"/>
      <c r="BC5" s="202"/>
      <c r="BD5" s="202"/>
      <c r="BE5" s="202"/>
      <c r="BF5" s="202"/>
      <c r="BG5" s="202"/>
      <c r="BH5" s="202"/>
      <c r="BI5" s="202"/>
      <c r="BJ5" s="202"/>
      <c r="BK5" s="202"/>
      <c r="BL5" s="202"/>
      <c r="BM5" s="202"/>
      <c r="BN5" s="202"/>
      <c r="BO5" s="202"/>
      <c r="BP5" s="202"/>
      <c r="BQ5" s="202"/>
      <c r="BR5" s="202"/>
      <c r="BS5" s="202"/>
      <c r="BT5" s="202"/>
      <c r="BU5" s="202"/>
      <c r="BV5" s="202"/>
      <c r="BW5" s="202"/>
      <c r="BX5" s="202"/>
      <c r="BY5" s="202"/>
      <c r="BZ5" s="202"/>
      <c r="CA5" s="202"/>
      <c r="CB5" s="202"/>
      <c r="CC5" s="202"/>
      <c r="CD5" s="202"/>
      <c r="CE5" s="202"/>
      <c r="CF5" s="202"/>
      <c r="CG5" s="202"/>
      <c r="CH5" s="202"/>
      <c r="CI5" s="202"/>
      <c r="CJ5" s="202"/>
      <c r="CK5" s="202"/>
      <c r="CL5" s="202"/>
      <c r="CM5" s="202"/>
      <c r="CN5" s="202"/>
      <c r="CO5" s="202"/>
      <c r="CP5" s="202"/>
      <c r="CQ5" s="202"/>
      <c r="CR5" s="202"/>
      <c r="CS5" s="202"/>
      <c r="CT5" s="202"/>
      <c r="CU5" s="202"/>
      <c r="CV5" s="202"/>
      <c r="CW5" s="202"/>
      <c r="CX5" s="202"/>
      <c r="CY5" s="202"/>
      <c r="CZ5" s="202"/>
      <c r="DA5" s="202"/>
      <c r="DB5" s="202"/>
      <c r="DC5" s="202"/>
      <c r="DD5" s="202"/>
      <c r="DE5" s="202"/>
      <c r="DF5" s="202"/>
      <c r="DG5" s="202"/>
      <c r="DH5" s="202"/>
      <c r="DI5" s="202"/>
      <c r="DJ5" s="202"/>
      <c r="DK5" s="202"/>
      <c r="DL5" s="202"/>
      <c r="DM5" s="202"/>
      <c r="DN5" s="202"/>
      <c r="DO5" s="202"/>
      <c r="DP5" s="202"/>
      <c r="DQ5" s="202"/>
      <c r="DR5" s="202"/>
      <c r="DS5" s="202"/>
      <c r="DT5" s="202"/>
      <c r="DU5" s="202"/>
      <c r="DV5" s="202"/>
      <c r="DW5" s="202"/>
      <c r="DX5" s="202"/>
      <c r="DY5" s="202"/>
      <c r="DZ5" s="202"/>
      <c r="EA5" s="202"/>
      <c r="EB5" s="202"/>
      <c r="EC5" s="202"/>
      <c r="ED5" s="202"/>
      <c r="EE5" s="202"/>
      <c r="EF5" s="202"/>
      <c r="EG5" s="202"/>
      <c r="EH5" s="202"/>
      <c r="EI5" s="202"/>
      <c r="EJ5" s="202"/>
      <c r="EK5" s="202"/>
      <c r="EL5" s="202"/>
    </row>
    <row r="6" spans="1:142" s="235" customFormat="1">
      <c r="A6" s="188"/>
      <c r="B6" t="s">
        <v>624</v>
      </c>
      <c r="C6"/>
      <c r="D6" s="202"/>
      <c r="E6" s="324">
        <f ca="1">Basis!D19</f>
        <v>0</v>
      </c>
      <c r="F6" s="324">
        <f ca="1">Basis!E19</f>
        <v>0</v>
      </c>
      <c r="G6" s="324">
        <f ca="1">Basis!F19</f>
        <v>0</v>
      </c>
      <c r="H6" s="324">
        <f ca="1">Basis!G19</f>
        <v>0</v>
      </c>
      <c r="I6" s="324">
        <f ca="1">Basis!H19</f>
        <v>0</v>
      </c>
      <c r="J6" s="324">
        <f ca="1">Basis!I19</f>
        <v>0</v>
      </c>
      <c r="K6" s="324">
        <f ca="1">Basis!J19</f>
        <v>0</v>
      </c>
      <c r="L6" s="324">
        <f ca="1">Basis!K19</f>
        <v>0</v>
      </c>
      <c r="M6" s="324">
        <f ca="1">Basis!L19</f>
        <v>0</v>
      </c>
      <c r="N6" s="324">
        <f ca="1">Basis!M19</f>
        <v>0</v>
      </c>
      <c r="O6" s="324">
        <f ca="1">Basis!N19</f>
        <v>0</v>
      </c>
      <c r="P6" s="324">
        <f ca="1">Basis!O19</f>
        <v>0</v>
      </c>
      <c r="Q6" s="324">
        <f ca="1">Basis!P19</f>
        <v>0</v>
      </c>
      <c r="R6" s="324">
        <f ca="1">Basis!Q19</f>
        <v>0</v>
      </c>
      <c r="S6" s="324">
        <f ca="1">Basis!R19</f>
        <v>0</v>
      </c>
      <c r="T6" s="324">
        <f ca="1">Basis!S19</f>
        <v>0</v>
      </c>
      <c r="U6" s="324">
        <f ca="1">Basis!T19</f>
        <v>0</v>
      </c>
      <c r="V6" s="324">
        <f ca="1">Basis!U19</f>
        <v>0</v>
      </c>
      <c r="W6" s="324">
        <f ca="1">Basis!V19</f>
        <v>0</v>
      </c>
      <c r="X6" s="324">
        <f ca="1">Basis!W19</f>
        <v>0</v>
      </c>
      <c r="Y6" s="324">
        <f ca="1">Basis!X19</f>
        <v>0</v>
      </c>
      <c r="Z6" s="324">
        <f ca="1">Basis!Y19</f>
        <v>0</v>
      </c>
      <c r="AA6" s="324">
        <f ca="1">Basis!Z19</f>
        <v>0</v>
      </c>
      <c r="AB6" s="324">
        <f ca="1">Basis!AA19</f>
        <v>0</v>
      </c>
      <c r="AC6" s="324">
        <f ca="1">Basis!AB19</f>
        <v>0</v>
      </c>
      <c r="AD6" s="324">
        <f ca="1">Basis!AC19</f>
        <v>0</v>
      </c>
      <c r="AE6" s="324">
        <f ca="1">Basis!AD19</f>
        <v>0</v>
      </c>
      <c r="AF6" s="324">
        <f ca="1">Basis!AE19</f>
        <v>0</v>
      </c>
      <c r="AG6" s="324">
        <f ca="1">Basis!AF19</f>
        <v>0</v>
      </c>
      <c r="AH6" s="324">
        <f ca="1">Basis!AG19</f>
        <v>0</v>
      </c>
      <c r="AI6" s="324">
        <f ca="1">Basis!AH19</f>
        <v>0</v>
      </c>
      <c r="AJ6" s="202"/>
      <c r="AK6" s="202"/>
      <c r="AL6" s="202"/>
      <c r="AM6" s="202"/>
      <c r="AN6" s="202"/>
      <c r="AO6" s="202"/>
      <c r="AP6" s="202"/>
      <c r="AQ6" s="202"/>
      <c r="AR6" s="202"/>
      <c r="AS6" s="202"/>
      <c r="AT6" s="202"/>
      <c r="AU6" s="202"/>
      <c r="AV6" s="202"/>
      <c r="AW6" s="202"/>
      <c r="AX6" s="202"/>
      <c r="AY6" s="202"/>
      <c r="AZ6" s="202"/>
      <c r="BA6" s="202"/>
      <c r="BB6" s="202"/>
      <c r="BC6" s="202"/>
      <c r="BD6" s="202"/>
      <c r="BE6" s="202"/>
      <c r="BF6" s="202"/>
      <c r="BG6" s="202"/>
      <c r="BH6" s="202"/>
      <c r="BI6" s="202"/>
      <c r="BJ6" s="202"/>
      <c r="BK6" s="202"/>
      <c r="BL6" s="202"/>
      <c r="BM6" s="202"/>
      <c r="BN6" s="202"/>
      <c r="BO6" s="202"/>
      <c r="BP6" s="202"/>
      <c r="BQ6" s="202"/>
      <c r="BR6" s="202"/>
      <c r="BS6" s="202"/>
      <c r="BT6" s="202"/>
      <c r="BU6" s="202"/>
      <c r="BV6" s="202"/>
      <c r="BW6" s="202"/>
      <c r="BX6" s="202"/>
      <c r="BY6" s="202"/>
      <c r="BZ6" s="202"/>
      <c r="CA6" s="202"/>
      <c r="CB6" s="202"/>
      <c r="CC6" s="202"/>
      <c r="CD6" s="202"/>
      <c r="CE6" s="202"/>
      <c r="CF6" s="202"/>
      <c r="CG6" s="202"/>
      <c r="CH6" s="202"/>
      <c r="CI6" s="202"/>
      <c r="CJ6" s="202"/>
      <c r="CK6" s="202"/>
      <c r="CL6" s="202"/>
      <c r="CM6" s="202"/>
      <c r="CN6" s="202"/>
      <c r="CO6" s="202"/>
      <c r="CP6" s="202"/>
      <c r="CQ6" s="202"/>
      <c r="CR6" s="202"/>
      <c r="CS6" s="202"/>
      <c r="CT6" s="202"/>
      <c r="CU6" s="202"/>
      <c r="CV6" s="202"/>
      <c r="CW6" s="202"/>
      <c r="CX6" s="202"/>
      <c r="CY6" s="202"/>
      <c r="CZ6" s="202"/>
      <c r="DA6" s="202"/>
      <c r="DB6" s="202"/>
      <c r="DC6" s="202"/>
      <c r="DD6" s="202"/>
      <c r="DE6" s="202"/>
      <c r="DF6" s="202"/>
      <c r="DG6" s="202"/>
      <c r="DH6" s="202"/>
      <c r="DI6" s="202"/>
      <c r="DJ6" s="202"/>
      <c r="DK6" s="202"/>
      <c r="DL6" s="202"/>
      <c r="DM6" s="202"/>
      <c r="DN6" s="202"/>
      <c r="DO6" s="202"/>
      <c r="DP6" s="202"/>
      <c r="DQ6" s="202"/>
      <c r="DR6" s="202"/>
      <c r="DS6" s="202"/>
      <c r="DT6" s="202"/>
      <c r="DU6" s="202"/>
      <c r="DV6" s="202"/>
      <c r="DW6" s="202"/>
      <c r="DX6" s="202"/>
      <c r="DY6" s="202"/>
      <c r="DZ6" s="202"/>
      <c r="EA6" s="202"/>
      <c r="EB6" s="202"/>
      <c r="EC6" s="202"/>
      <c r="ED6" s="202"/>
      <c r="EE6" s="202"/>
      <c r="EF6" s="202"/>
      <c r="EG6" s="202"/>
      <c r="EH6" s="202"/>
      <c r="EI6" s="202"/>
      <c r="EJ6" s="202"/>
      <c r="EK6" s="202"/>
      <c r="EL6" s="202"/>
    </row>
    <row r="7" spans="1:142" s="235" customFormat="1">
      <c r="A7" s="188"/>
      <c r="B7" t="s">
        <v>393</v>
      </c>
      <c r="C7"/>
      <c r="D7" s="202"/>
      <c r="E7" s="324">
        <f ca="1">SUM(E5:E6)</f>
        <v>-20557.137537250452</v>
      </c>
      <c r="F7" s="324">
        <f t="shared" ref="F7:AI7" ca="1" si="2">SUM(F5:F6)</f>
        <v>-36733.563428617541</v>
      </c>
      <c r="G7" s="324">
        <f t="shared" ca="1" si="2"/>
        <v>-21080.85684452</v>
      </c>
      <c r="H7" s="324">
        <f t="shared" ca="1" si="2"/>
        <v>-11681.431342743695</v>
      </c>
      <c r="I7" s="324">
        <f t="shared" ca="1" si="2"/>
        <v>-11586.775347504714</v>
      </c>
      <c r="J7" s="324">
        <f t="shared" ca="1" si="2"/>
        <v>-4178.3893464821758</v>
      </c>
      <c r="K7" s="324">
        <f t="shared" ca="1" si="2"/>
        <v>2534.0773874697607</v>
      </c>
      <c r="L7" s="324">
        <f t="shared" ca="1" si="2"/>
        <v>2693.2529618820276</v>
      </c>
      <c r="M7" s="324">
        <f t="shared" ca="1" si="2"/>
        <v>2859.0623017641642</v>
      </c>
      <c r="N7" s="324">
        <f t="shared" ca="1" si="2"/>
        <v>3117.4771446201112</v>
      </c>
      <c r="O7" s="324">
        <f t="shared" ca="1" si="2"/>
        <v>3405.4172241681786</v>
      </c>
      <c r="P7" s="324">
        <f t="shared" ca="1" si="2"/>
        <v>3742.7655140995366</v>
      </c>
      <c r="Q7" s="324">
        <f t="shared" ca="1" si="2"/>
        <v>4105.8380741184719</v>
      </c>
      <c r="R7" s="324">
        <f t="shared" ca="1" si="2"/>
        <v>4283.817890877307</v>
      </c>
      <c r="S7" s="324">
        <f t="shared" ca="1" si="2"/>
        <v>4466.4508024142096</v>
      </c>
      <c r="T7" s="324">
        <f t="shared" ca="1" si="2"/>
        <v>4569.0739987527504</v>
      </c>
      <c r="U7" s="324">
        <f t="shared" ca="1" si="2"/>
        <v>4839.6469219089031</v>
      </c>
      <c r="V7" s="324">
        <f t="shared" ca="1" si="2"/>
        <v>5169.8343611938535</v>
      </c>
      <c r="W7" s="324">
        <f t="shared" ca="1" si="2"/>
        <v>5630.5677689900122</v>
      </c>
      <c r="X7" s="324">
        <f t="shared" ca="1" si="2"/>
        <v>5555.4919645246246</v>
      </c>
      <c r="Y7" s="324">
        <f t="shared" ca="1" si="2"/>
        <v>16.321603336551807</v>
      </c>
      <c r="Z7" s="324">
        <f t="shared" ca="1" si="2"/>
        <v>0</v>
      </c>
      <c r="AA7" s="324">
        <f t="shared" ca="1" si="2"/>
        <v>0</v>
      </c>
      <c r="AB7" s="324">
        <f t="shared" ca="1" si="2"/>
        <v>0</v>
      </c>
      <c r="AC7" s="324">
        <f t="shared" ca="1" si="2"/>
        <v>0</v>
      </c>
      <c r="AD7" s="324">
        <f t="shared" ca="1" si="2"/>
        <v>0</v>
      </c>
      <c r="AE7" s="324">
        <f t="shared" ca="1" si="2"/>
        <v>0</v>
      </c>
      <c r="AF7" s="324">
        <f t="shared" ca="1" si="2"/>
        <v>0</v>
      </c>
      <c r="AG7" s="324">
        <f t="shared" ca="1" si="2"/>
        <v>0</v>
      </c>
      <c r="AH7" s="324">
        <f t="shared" ca="1" si="2"/>
        <v>0</v>
      </c>
      <c r="AI7" s="324">
        <f t="shared" ca="1" si="2"/>
        <v>0</v>
      </c>
      <c r="AJ7" s="202"/>
      <c r="AK7" s="202"/>
      <c r="AL7" s="202"/>
      <c r="AM7" s="202"/>
      <c r="AN7" s="202"/>
      <c r="AO7" s="202"/>
      <c r="AP7" s="202"/>
      <c r="AQ7" s="202"/>
      <c r="AR7" s="202"/>
      <c r="AS7" s="202"/>
      <c r="AT7" s="202"/>
      <c r="AU7" s="202"/>
      <c r="AV7" s="202"/>
      <c r="AW7" s="202"/>
      <c r="AX7" s="202"/>
      <c r="AY7" s="202"/>
      <c r="AZ7" s="202"/>
      <c r="BA7" s="202"/>
      <c r="BB7" s="202"/>
      <c r="BC7" s="202"/>
      <c r="BD7" s="202"/>
      <c r="BE7" s="202"/>
      <c r="BF7" s="202"/>
      <c r="BG7" s="202"/>
      <c r="BH7" s="202"/>
      <c r="BI7" s="202"/>
      <c r="BJ7" s="202"/>
      <c r="BK7" s="202"/>
      <c r="BL7" s="202"/>
      <c r="BM7" s="202"/>
      <c r="BN7" s="202"/>
      <c r="BO7" s="202"/>
      <c r="BP7" s="202"/>
      <c r="BQ7" s="202"/>
      <c r="BR7" s="202"/>
      <c r="BS7" s="202"/>
      <c r="BT7" s="202"/>
      <c r="BU7" s="202"/>
      <c r="BV7" s="202"/>
      <c r="BW7" s="202"/>
      <c r="BX7" s="202"/>
      <c r="BY7" s="202"/>
      <c r="BZ7" s="202"/>
      <c r="CA7" s="202"/>
      <c r="CB7" s="202"/>
      <c r="CC7" s="202"/>
      <c r="CD7" s="202"/>
      <c r="CE7" s="202"/>
      <c r="CF7" s="202"/>
      <c r="CG7" s="202"/>
      <c r="CH7" s="202"/>
      <c r="CI7" s="202"/>
      <c r="CJ7" s="202"/>
      <c r="CK7" s="202"/>
      <c r="CL7" s="202"/>
      <c r="CM7" s="202"/>
      <c r="CN7" s="202"/>
      <c r="CO7" s="202"/>
      <c r="CP7" s="202"/>
      <c r="CQ7" s="202"/>
      <c r="CR7" s="202"/>
      <c r="CS7" s="202"/>
      <c r="CT7" s="202"/>
      <c r="CU7" s="202"/>
      <c r="CV7" s="202"/>
      <c r="CW7" s="202"/>
      <c r="CX7" s="202"/>
      <c r="CY7" s="202"/>
      <c r="CZ7" s="202"/>
      <c r="DA7" s="202"/>
      <c r="DB7" s="202"/>
      <c r="DC7" s="202"/>
      <c r="DD7" s="202"/>
      <c r="DE7" s="202"/>
      <c r="DF7" s="202"/>
      <c r="DG7" s="202"/>
      <c r="DH7" s="202"/>
      <c r="DI7" s="202"/>
      <c r="DJ7" s="202"/>
      <c r="DK7" s="202"/>
      <c r="DL7" s="202"/>
      <c r="DM7" s="202"/>
      <c r="DN7" s="202"/>
      <c r="DO7" s="202"/>
      <c r="DP7" s="202"/>
      <c r="DQ7" s="202"/>
      <c r="DR7" s="202"/>
      <c r="DS7" s="202"/>
      <c r="DT7" s="202"/>
      <c r="DU7" s="202"/>
      <c r="DV7" s="202"/>
      <c r="DW7" s="202"/>
      <c r="DX7" s="202"/>
      <c r="DY7" s="202"/>
      <c r="DZ7" s="202"/>
      <c r="EA7" s="202"/>
      <c r="EB7" s="202"/>
      <c r="EC7" s="202"/>
      <c r="ED7" s="202"/>
      <c r="EE7" s="202"/>
      <c r="EF7" s="202"/>
      <c r="EG7" s="202"/>
      <c r="EH7" s="202"/>
      <c r="EI7" s="202"/>
      <c r="EJ7" s="202"/>
      <c r="EK7" s="202"/>
      <c r="EL7" s="202"/>
    </row>
    <row r="8" spans="1:142" s="205" customFormat="1">
      <c r="A8" s="188"/>
      <c r="B8" t="s">
        <v>536</v>
      </c>
      <c r="C8"/>
      <c r="D8" s="212"/>
      <c r="E8" s="1475">
        <f>Assum!E202</f>
        <v>0.39549999999999996</v>
      </c>
      <c r="F8" s="1475">
        <f>Assum!E202</f>
        <v>0.39549999999999996</v>
      </c>
      <c r="G8" s="1475">
        <f>Assum!E202</f>
        <v>0.39549999999999996</v>
      </c>
      <c r="H8" s="1475">
        <f>Assum!E202</f>
        <v>0.39549999999999996</v>
      </c>
      <c r="I8" s="1475">
        <f>Assum!E202</f>
        <v>0.39549999999999996</v>
      </c>
      <c r="J8" s="1475">
        <f>Assum!E202</f>
        <v>0.39549999999999996</v>
      </c>
      <c r="K8" s="1475">
        <f>Assum!E202</f>
        <v>0.39549999999999996</v>
      </c>
      <c r="L8" s="1475">
        <f>Assum!E202</f>
        <v>0.39549999999999996</v>
      </c>
      <c r="M8" s="1475">
        <f>Assum!E202</f>
        <v>0.39549999999999996</v>
      </c>
      <c r="N8" s="1475">
        <f>Assum!E202</f>
        <v>0.39549999999999996</v>
      </c>
      <c r="O8" s="1475">
        <f>Assum!E202</f>
        <v>0.39549999999999996</v>
      </c>
      <c r="P8" s="1475">
        <f>Assum!E202</f>
        <v>0.39549999999999996</v>
      </c>
      <c r="Q8" s="1475">
        <f>Assum!E202</f>
        <v>0.39549999999999996</v>
      </c>
      <c r="R8" s="1475">
        <f>Assum!E202</f>
        <v>0.39549999999999996</v>
      </c>
      <c r="S8" s="1475">
        <f>Assum!E202</f>
        <v>0.39549999999999996</v>
      </c>
      <c r="T8" s="1475">
        <f>Assum!E202</f>
        <v>0.39549999999999996</v>
      </c>
      <c r="U8" s="1475">
        <f>Assum!E202</f>
        <v>0.39549999999999996</v>
      </c>
      <c r="V8" s="1475">
        <f>Assum!E202</f>
        <v>0.39549999999999996</v>
      </c>
      <c r="W8" s="1475">
        <f>Assum!E202</f>
        <v>0.39549999999999996</v>
      </c>
      <c r="X8" s="1475">
        <f>Assum!E202</f>
        <v>0.39549999999999996</v>
      </c>
      <c r="Y8" s="1475">
        <f>Assum!E202</f>
        <v>0.39549999999999996</v>
      </c>
      <c r="Z8" s="1475">
        <f>Assum!E202</f>
        <v>0.39549999999999996</v>
      </c>
      <c r="AA8" s="1475">
        <f>Assum!E202</f>
        <v>0.39549999999999996</v>
      </c>
      <c r="AB8" s="1475">
        <f>Assum!E202</f>
        <v>0.39549999999999996</v>
      </c>
      <c r="AC8" s="1475">
        <f>Assum!E202</f>
        <v>0.39549999999999996</v>
      </c>
      <c r="AD8" s="1475">
        <f>Assum!E202</f>
        <v>0.39549999999999996</v>
      </c>
      <c r="AE8" s="1475">
        <f>Assum!E202</f>
        <v>0.39549999999999996</v>
      </c>
      <c r="AF8" s="1475">
        <f>Assum!E202</f>
        <v>0.39549999999999996</v>
      </c>
      <c r="AG8" s="1475">
        <f>Assum!E202</f>
        <v>0.39549999999999996</v>
      </c>
      <c r="AH8" s="1475">
        <f>Assum!E202</f>
        <v>0.39549999999999996</v>
      </c>
      <c r="AI8" s="1475">
        <f>Assum!F202</f>
        <v>0.35</v>
      </c>
      <c r="AJ8" s="213"/>
      <c r="AK8" s="213"/>
      <c r="AL8" s="213"/>
      <c r="AM8" s="213"/>
      <c r="AN8" s="213"/>
      <c r="AO8" s="213"/>
      <c r="AP8" s="213"/>
      <c r="AQ8" s="213"/>
      <c r="AR8" s="213"/>
      <c r="AS8" s="213"/>
      <c r="AT8" s="213"/>
      <c r="AU8" s="213"/>
      <c r="AV8" s="213"/>
      <c r="AW8" s="213"/>
      <c r="AX8" s="213"/>
      <c r="AY8" s="213"/>
      <c r="AZ8" s="213"/>
      <c r="BA8" s="213"/>
      <c r="BB8" s="213"/>
      <c r="BC8" s="213"/>
      <c r="BD8" s="213"/>
      <c r="BE8" s="213"/>
      <c r="BF8" s="213"/>
      <c r="BG8" s="213"/>
      <c r="BH8" s="213"/>
      <c r="BI8" s="213"/>
      <c r="BJ8" s="213"/>
      <c r="BK8" s="213"/>
      <c r="BL8" s="213"/>
      <c r="BM8" s="213"/>
      <c r="BN8" s="213"/>
      <c r="BO8" s="213"/>
      <c r="BP8" s="213"/>
      <c r="BQ8" s="213"/>
      <c r="BR8" s="213"/>
      <c r="BS8" s="213"/>
      <c r="BT8" s="213"/>
      <c r="BU8" s="213"/>
      <c r="BV8" s="213"/>
      <c r="BW8" s="213"/>
      <c r="BX8" s="213"/>
      <c r="BY8" s="213"/>
      <c r="BZ8" s="213"/>
      <c r="CA8" s="213"/>
      <c r="CB8" s="213"/>
      <c r="CC8" s="213"/>
      <c r="CD8" s="213"/>
      <c r="CE8" s="213"/>
      <c r="CF8" s="213"/>
      <c r="CG8" s="213"/>
      <c r="CH8" s="213"/>
      <c r="CI8" s="213"/>
      <c r="CJ8" s="213"/>
      <c r="CK8" s="213"/>
      <c r="CL8" s="213"/>
      <c r="CM8" s="213"/>
      <c r="CN8" s="213"/>
      <c r="CO8" s="213"/>
      <c r="CP8" s="213"/>
      <c r="CQ8" s="213"/>
      <c r="CR8" s="213"/>
      <c r="CS8" s="213"/>
      <c r="CT8" s="213"/>
      <c r="CU8" s="213"/>
      <c r="CV8" s="213"/>
      <c r="CW8" s="213"/>
      <c r="CX8" s="213"/>
      <c r="CY8" s="213"/>
      <c r="CZ8" s="213"/>
      <c r="DA8" s="213"/>
      <c r="DB8" s="213"/>
      <c r="DC8" s="213"/>
      <c r="DD8" s="213"/>
      <c r="DE8" s="213"/>
      <c r="DF8" s="213"/>
      <c r="DG8" s="213"/>
      <c r="DH8" s="213"/>
      <c r="DI8" s="213"/>
      <c r="DJ8" s="213"/>
      <c r="DK8" s="213"/>
      <c r="DL8" s="213"/>
      <c r="DM8" s="213"/>
      <c r="DN8" s="213"/>
      <c r="DO8" s="213"/>
      <c r="DP8" s="213"/>
      <c r="DQ8" s="213"/>
      <c r="DR8" s="213"/>
      <c r="DS8" s="213"/>
      <c r="DT8" s="213"/>
      <c r="DU8" s="213"/>
      <c r="DV8" s="213"/>
      <c r="DW8" s="213"/>
      <c r="DX8" s="213"/>
      <c r="DY8" s="213"/>
      <c r="DZ8" s="213"/>
      <c r="EA8" s="213"/>
      <c r="EB8" s="213"/>
      <c r="EC8" s="213"/>
      <c r="ED8" s="213"/>
      <c r="EE8" s="213"/>
      <c r="EF8" s="213"/>
      <c r="EG8" s="213"/>
      <c r="EH8" s="213"/>
      <c r="EI8" s="213"/>
      <c r="EJ8" s="213"/>
      <c r="EK8" s="213"/>
      <c r="EL8" s="213"/>
    </row>
    <row r="9" spans="1:142" s="235" customFormat="1">
      <c r="A9" s="188"/>
      <c r="B9" s="450" t="s">
        <v>394</v>
      </c>
      <c r="C9"/>
      <c r="D9" s="492"/>
      <c r="E9" s="492">
        <f t="shared" ref="E9:AI9" ca="1" si="3">-E7*E8</f>
        <v>8130.3478959825525</v>
      </c>
      <c r="F9" s="492">
        <f t="shared" ca="1" si="3"/>
        <v>14528.124336018236</v>
      </c>
      <c r="G9" s="492">
        <f t="shared" ca="1" si="3"/>
        <v>8337.4788820076592</v>
      </c>
      <c r="H9" s="492">
        <f t="shared" ca="1" si="3"/>
        <v>4620.0060960551309</v>
      </c>
      <c r="I9" s="492">
        <f t="shared" ca="1" si="3"/>
        <v>4582.5696499381138</v>
      </c>
      <c r="J9" s="492">
        <f t="shared" ca="1" si="3"/>
        <v>1652.5529865337003</v>
      </c>
      <c r="K9" s="492">
        <f t="shared" ca="1" si="3"/>
        <v>-1002.2276067442903</v>
      </c>
      <c r="L9" s="492">
        <f t="shared" ca="1" si="3"/>
        <v>-1065.1815464243418</v>
      </c>
      <c r="M9" s="492">
        <f t="shared" ca="1" si="3"/>
        <v>-1130.7591403477268</v>
      </c>
      <c r="N9" s="492">
        <f t="shared" ca="1" si="3"/>
        <v>-1232.9622106972538</v>
      </c>
      <c r="O9" s="492">
        <f t="shared" ca="1" si="3"/>
        <v>-1346.8425121585144</v>
      </c>
      <c r="P9" s="492">
        <f t="shared" ca="1" si="3"/>
        <v>-1480.2637608263667</v>
      </c>
      <c r="Q9" s="492">
        <f t="shared" ca="1" si="3"/>
        <v>-1623.8589583138555</v>
      </c>
      <c r="R9" s="492">
        <f t="shared" ca="1" si="3"/>
        <v>-1694.2499758419747</v>
      </c>
      <c r="S9" s="492">
        <f t="shared" ca="1" si="3"/>
        <v>-1766.4812923548197</v>
      </c>
      <c r="T9" s="492">
        <f t="shared" ca="1" si="3"/>
        <v>-1807.0687665067126</v>
      </c>
      <c r="U9" s="492">
        <f t="shared" ca="1" si="3"/>
        <v>-1914.080357614971</v>
      </c>
      <c r="V9" s="492">
        <f t="shared" ca="1" si="3"/>
        <v>-2044.6694898521689</v>
      </c>
      <c r="W9" s="492">
        <f t="shared" ca="1" si="3"/>
        <v>-2226.8895526355495</v>
      </c>
      <c r="X9" s="492">
        <f t="shared" ca="1" si="3"/>
        <v>-2197.1970719694887</v>
      </c>
      <c r="Y9" s="492">
        <f t="shared" ca="1" si="3"/>
        <v>-6.4551941196062392</v>
      </c>
      <c r="Z9" s="492">
        <f t="shared" ca="1" si="3"/>
        <v>0</v>
      </c>
      <c r="AA9" s="492">
        <f t="shared" ca="1" si="3"/>
        <v>0</v>
      </c>
      <c r="AB9" s="492">
        <f t="shared" ca="1" si="3"/>
        <v>0</v>
      </c>
      <c r="AC9" s="492">
        <f t="shared" ca="1" si="3"/>
        <v>0</v>
      </c>
      <c r="AD9" s="492">
        <f t="shared" ca="1" si="3"/>
        <v>0</v>
      </c>
      <c r="AE9" s="492">
        <f t="shared" ca="1" si="3"/>
        <v>0</v>
      </c>
      <c r="AF9" s="492">
        <f t="shared" ca="1" si="3"/>
        <v>0</v>
      </c>
      <c r="AG9" s="492">
        <f t="shared" ca="1" si="3"/>
        <v>0</v>
      </c>
      <c r="AH9" s="492">
        <f t="shared" ca="1" si="3"/>
        <v>0</v>
      </c>
      <c r="AI9" s="492">
        <f t="shared" ca="1" si="3"/>
        <v>0</v>
      </c>
      <c r="AJ9" s="202"/>
      <c r="AK9" s="202"/>
      <c r="AL9" s="202"/>
      <c r="AM9" s="202"/>
      <c r="AN9" s="202"/>
      <c r="AO9" s="202"/>
      <c r="AP9" s="202"/>
      <c r="AQ9" s="202"/>
      <c r="AR9" s="202"/>
      <c r="AS9" s="202"/>
      <c r="AT9" s="202"/>
      <c r="AU9" s="202"/>
      <c r="AV9" s="202"/>
      <c r="AW9" s="202"/>
      <c r="AX9" s="202"/>
      <c r="AY9" s="202"/>
      <c r="AZ9" s="202"/>
      <c r="BA9" s="202"/>
      <c r="BB9" s="202"/>
      <c r="BC9" s="202"/>
      <c r="BD9" s="202"/>
      <c r="BE9" s="202"/>
      <c r="BF9" s="202"/>
      <c r="BG9" s="202"/>
      <c r="BH9" s="202"/>
      <c r="BI9" s="202"/>
      <c r="BJ9" s="202"/>
      <c r="BK9" s="202"/>
      <c r="BL9" s="202"/>
      <c r="BM9" s="202"/>
      <c r="BN9" s="202"/>
      <c r="BO9" s="202"/>
      <c r="BP9" s="202"/>
      <c r="BQ9" s="202"/>
      <c r="BR9" s="202"/>
      <c r="BS9" s="202"/>
      <c r="BT9" s="202"/>
      <c r="BU9" s="202"/>
      <c r="BV9" s="202"/>
      <c r="BW9" s="202"/>
      <c r="BX9" s="202"/>
      <c r="BY9" s="202"/>
      <c r="BZ9" s="202"/>
      <c r="CA9" s="202"/>
      <c r="CB9" s="202"/>
      <c r="CC9" s="202"/>
      <c r="CD9" s="202"/>
      <c r="CE9" s="202"/>
      <c r="CF9" s="202"/>
      <c r="CG9" s="202"/>
      <c r="CH9" s="202"/>
      <c r="CI9" s="202"/>
      <c r="CJ9" s="202"/>
      <c r="CK9" s="202"/>
      <c r="CL9" s="202"/>
      <c r="CM9" s="202"/>
      <c r="CN9" s="202"/>
      <c r="CO9" s="202"/>
      <c r="CP9" s="202"/>
      <c r="CQ9" s="202"/>
      <c r="CR9" s="202"/>
      <c r="CS9" s="202"/>
      <c r="CT9" s="202"/>
      <c r="CU9" s="202"/>
      <c r="CV9" s="202"/>
      <c r="CW9" s="202"/>
      <c r="CX9" s="202"/>
      <c r="CY9" s="202"/>
      <c r="CZ9" s="202"/>
      <c r="DA9" s="202"/>
      <c r="DB9" s="202"/>
      <c r="DC9" s="202"/>
      <c r="DD9" s="202"/>
      <c r="DE9" s="202"/>
      <c r="DF9" s="202"/>
      <c r="DG9" s="202"/>
      <c r="DH9" s="202"/>
      <c r="DI9" s="202"/>
      <c r="DJ9" s="202"/>
      <c r="DK9" s="202"/>
      <c r="DL9" s="202"/>
      <c r="DM9" s="202"/>
      <c r="DN9" s="202"/>
      <c r="DO9" s="202"/>
      <c r="DP9" s="202"/>
      <c r="DQ9" s="202"/>
      <c r="DR9" s="202"/>
      <c r="DS9" s="202"/>
      <c r="DT9" s="202"/>
      <c r="DU9" s="202"/>
      <c r="DV9" s="202"/>
      <c r="DW9" s="202"/>
      <c r="DX9" s="202"/>
      <c r="DY9" s="202"/>
      <c r="DZ9" s="202"/>
      <c r="EA9" s="202"/>
      <c r="EB9" s="202"/>
      <c r="EC9" s="202"/>
      <c r="ED9" s="202"/>
      <c r="EE9" s="202"/>
      <c r="EF9" s="202"/>
      <c r="EG9" s="202"/>
      <c r="EH9" s="202"/>
      <c r="EI9" s="202"/>
      <c r="EJ9" s="202"/>
      <c r="EK9" s="202"/>
      <c r="EL9" s="202"/>
    </row>
    <row r="10" spans="1:142" s="235" customFormat="1">
      <c r="A10" s="188"/>
      <c r="B10" s="241"/>
      <c r="C10"/>
      <c r="D10" s="492"/>
      <c r="E10" s="431"/>
      <c r="F10" s="431"/>
      <c r="G10" s="431"/>
      <c r="H10" s="431"/>
      <c r="I10" s="431"/>
      <c r="J10" s="431"/>
      <c r="K10" s="431"/>
      <c r="L10" s="431"/>
      <c r="M10" s="431"/>
      <c r="N10" s="431"/>
      <c r="O10" s="431"/>
      <c r="P10" s="431"/>
      <c r="Q10" s="431"/>
      <c r="R10" s="431"/>
      <c r="S10" s="431"/>
      <c r="T10" s="431"/>
      <c r="U10" s="431"/>
      <c r="V10" s="431"/>
      <c r="W10" s="431"/>
      <c r="X10" s="431"/>
      <c r="Y10" s="431"/>
      <c r="Z10" s="431"/>
      <c r="AA10" s="431"/>
      <c r="AB10" s="431"/>
      <c r="AC10" s="431"/>
      <c r="AD10" s="431"/>
      <c r="AE10" s="431"/>
      <c r="AF10" s="431"/>
      <c r="AG10" s="431"/>
      <c r="AH10" s="431"/>
      <c r="AI10" s="431"/>
      <c r="AJ10" s="202"/>
      <c r="AK10" s="202"/>
      <c r="AL10" s="202"/>
      <c r="AM10" s="202"/>
      <c r="AN10" s="202"/>
      <c r="AO10" s="202"/>
      <c r="AP10" s="202"/>
      <c r="AQ10" s="202"/>
      <c r="AR10" s="202"/>
      <c r="AS10" s="202"/>
      <c r="AT10" s="202"/>
      <c r="AU10" s="202"/>
      <c r="AV10" s="202"/>
      <c r="AW10" s="202"/>
      <c r="AX10" s="202"/>
      <c r="AY10" s="202"/>
      <c r="AZ10" s="202"/>
      <c r="BA10" s="202"/>
      <c r="BB10" s="202"/>
      <c r="BC10" s="202"/>
      <c r="BD10" s="202"/>
      <c r="BE10" s="202"/>
      <c r="BF10" s="202"/>
      <c r="BG10" s="202"/>
      <c r="BH10" s="202"/>
      <c r="BI10" s="202"/>
      <c r="BJ10" s="202"/>
      <c r="BK10" s="202"/>
      <c r="BL10" s="202"/>
      <c r="BM10" s="202"/>
      <c r="BN10" s="202"/>
      <c r="BO10" s="202"/>
      <c r="BP10" s="202"/>
      <c r="BQ10" s="202"/>
      <c r="BR10" s="202"/>
      <c r="BS10" s="202"/>
      <c r="BT10" s="202"/>
      <c r="BU10" s="202"/>
      <c r="BV10" s="202"/>
      <c r="BW10" s="202"/>
      <c r="BX10" s="202"/>
      <c r="BY10" s="202"/>
      <c r="BZ10" s="202"/>
      <c r="CA10" s="202"/>
      <c r="CB10" s="202"/>
      <c r="CC10" s="202"/>
      <c r="CD10" s="202"/>
      <c r="CE10" s="202"/>
      <c r="CF10" s="202"/>
      <c r="CG10" s="202"/>
      <c r="CH10" s="202"/>
      <c r="CI10" s="202"/>
      <c r="CJ10" s="202"/>
      <c r="CK10" s="202"/>
      <c r="CL10" s="202"/>
      <c r="CM10" s="202"/>
      <c r="CN10" s="202"/>
      <c r="CO10" s="202"/>
      <c r="CP10" s="202"/>
      <c r="CQ10" s="202"/>
      <c r="CR10" s="202"/>
      <c r="CS10" s="202"/>
      <c r="CT10" s="202"/>
      <c r="CU10" s="202"/>
      <c r="CV10" s="202"/>
      <c r="CW10" s="202"/>
      <c r="CX10" s="202"/>
      <c r="CY10" s="202"/>
      <c r="CZ10" s="202"/>
      <c r="DA10" s="202"/>
      <c r="DB10" s="202"/>
      <c r="DC10" s="202"/>
      <c r="DD10" s="202"/>
      <c r="DE10" s="202"/>
      <c r="DF10" s="202"/>
      <c r="DG10" s="202"/>
      <c r="DH10" s="202"/>
      <c r="DI10" s="202"/>
      <c r="DJ10" s="202"/>
      <c r="DK10" s="202"/>
      <c r="DL10" s="202"/>
      <c r="DM10" s="202"/>
      <c r="DN10" s="202"/>
      <c r="DO10" s="202"/>
      <c r="DP10" s="202"/>
      <c r="DQ10" s="202"/>
      <c r="DR10" s="202"/>
      <c r="DS10" s="202"/>
      <c r="DT10" s="202"/>
      <c r="DU10" s="202"/>
      <c r="DV10" s="202"/>
      <c r="DW10" s="202"/>
      <c r="DX10" s="202"/>
      <c r="DY10" s="202"/>
      <c r="DZ10" s="202"/>
      <c r="EA10" s="202"/>
      <c r="EB10" s="202"/>
      <c r="EC10" s="202"/>
      <c r="ED10" s="202"/>
      <c r="EE10" s="202"/>
      <c r="EF10" s="202"/>
      <c r="EG10" s="202"/>
      <c r="EH10" s="202"/>
      <c r="EI10" s="202"/>
      <c r="EJ10" s="202"/>
      <c r="EK10" s="202"/>
      <c r="EL10" s="202"/>
    </row>
    <row r="11" spans="1:142">
      <c r="B11" s="495" t="s">
        <v>396</v>
      </c>
      <c r="D11" s="12"/>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c r="CL11" s="38"/>
      <c r="CM11" s="38"/>
      <c r="CN11" s="38"/>
      <c r="CO11" s="38"/>
      <c r="CP11" s="38"/>
      <c r="CQ11" s="38"/>
      <c r="CR11" s="38"/>
      <c r="CS11" s="38"/>
      <c r="CT11" s="38"/>
      <c r="CU11" s="38"/>
      <c r="CV11" s="38"/>
      <c r="CW11" s="38"/>
      <c r="CX11" s="38"/>
      <c r="CY11" s="38"/>
      <c r="CZ11" s="38"/>
      <c r="DA11" s="38"/>
      <c r="DB11" s="38"/>
      <c r="DC11" s="38"/>
      <c r="DD11" s="38"/>
      <c r="DE11" s="38"/>
      <c r="DF11" s="38"/>
      <c r="DG11" s="38"/>
      <c r="DH11" s="38"/>
      <c r="DI11" s="38"/>
      <c r="DJ11" s="38"/>
      <c r="DK11" s="38"/>
      <c r="DL11" s="38"/>
      <c r="DM11" s="38"/>
      <c r="DN11" s="38"/>
      <c r="DO11" s="38"/>
      <c r="DP11" s="38"/>
      <c r="DQ11" s="38"/>
      <c r="DR11" s="38"/>
      <c r="DS11" s="38"/>
      <c r="DT11" s="38"/>
      <c r="DU11" s="38"/>
      <c r="DV11" s="38"/>
      <c r="DW11" s="38"/>
      <c r="DX11" s="38"/>
      <c r="DY11" s="38"/>
      <c r="DZ11" s="38"/>
      <c r="EA11" s="38"/>
      <c r="EB11" s="38"/>
      <c r="EC11" s="38"/>
      <c r="ED11" s="38"/>
      <c r="EE11" s="38"/>
      <c r="EF11" s="38"/>
      <c r="EG11" s="38"/>
      <c r="EH11" s="38"/>
      <c r="EI11" s="38"/>
      <c r="EJ11" s="38"/>
      <c r="EK11" s="38"/>
      <c r="EL11" s="38"/>
    </row>
    <row r="12" spans="1:142">
      <c r="B12" s="603" t="s">
        <v>113</v>
      </c>
      <c r="D12" s="12"/>
      <c r="E12" s="38">
        <f>CashFlow!E70</f>
        <v>8417.9504699999998</v>
      </c>
      <c r="F12" s="38">
        <f>CashFlow!F70</f>
        <v>8441.3988000000008</v>
      </c>
      <c r="G12" s="38">
        <f>CashFlow!G70</f>
        <v>8441.3988000000008</v>
      </c>
      <c r="H12" s="38">
        <f>CashFlow!H70</f>
        <v>8910.3653999999988</v>
      </c>
      <c r="I12" s="38">
        <f>CashFlow!I70</f>
        <v>8910.3653999999988</v>
      </c>
      <c r="J12" s="38">
        <f>CashFlow!J70</f>
        <v>8910.3653999999988</v>
      </c>
      <c r="K12" s="38">
        <f>CashFlow!K70</f>
        <v>9379.3320000000003</v>
      </c>
      <c r="L12" s="38">
        <f>CashFlow!L70</f>
        <v>9379.3320000000003</v>
      </c>
      <c r="M12" s="38">
        <f>CashFlow!M70</f>
        <v>9848.2986000000001</v>
      </c>
      <c r="N12" s="38">
        <f>CashFlow!N70</f>
        <v>9848.2986000000001</v>
      </c>
      <c r="O12" s="38">
        <f>CashFlow!O70</f>
        <v>28.659069999999897</v>
      </c>
      <c r="P12" s="38">
        <f>CashFlow!P70</f>
        <v>0</v>
      </c>
      <c r="Q12" s="38">
        <f>CashFlow!Q70</f>
        <v>0</v>
      </c>
      <c r="R12" s="38">
        <f>CashFlow!R70</f>
        <v>0</v>
      </c>
      <c r="S12" s="38">
        <f>CashFlow!S70</f>
        <v>0</v>
      </c>
      <c r="T12" s="38">
        <f>CashFlow!T70</f>
        <v>0</v>
      </c>
      <c r="U12" s="38">
        <f>CashFlow!U70</f>
        <v>0</v>
      </c>
      <c r="V12" s="38">
        <f>CashFlow!V70</f>
        <v>0</v>
      </c>
      <c r="W12" s="38">
        <f>CashFlow!W70</f>
        <v>0</v>
      </c>
      <c r="X12" s="38">
        <f>CashFlow!X70</f>
        <v>0</v>
      </c>
      <c r="Y12" s="38">
        <f>CashFlow!Y70</f>
        <v>0</v>
      </c>
      <c r="Z12" s="38">
        <f>CashFlow!Z70</f>
        <v>0</v>
      </c>
      <c r="AA12" s="38">
        <f>CashFlow!AA70</f>
        <v>0</v>
      </c>
      <c r="AB12" s="38">
        <f>CashFlow!AB70</f>
        <v>0</v>
      </c>
      <c r="AC12" s="38">
        <f>CashFlow!AC70</f>
        <v>0</v>
      </c>
      <c r="AD12" s="38">
        <f>CashFlow!AD70</f>
        <v>0</v>
      </c>
      <c r="AE12" s="38">
        <f>CashFlow!AE70</f>
        <v>0</v>
      </c>
      <c r="AF12" s="38">
        <f>CashFlow!AF70</f>
        <v>0</v>
      </c>
      <c r="AG12" s="38">
        <f>CashFlow!AG70</f>
        <v>0</v>
      </c>
      <c r="AH12" s="38">
        <f>CashFlow!AH70</f>
        <v>0</v>
      </c>
      <c r="AI12" s="38">
        <f>CashFlow!AI70</f>
        <v>0</v>
      </c>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c r="CL12" s="38"/>
      <c r="CM12" s="38"/>
      <c r="CN12" s="38"/>
      <c r="CO12" s="38"/>
      <c r="CP12" s="38"/>
      <c r="CQ12" s="38"/>
      <c r="CR12" s="38"/>
      <c r="CS12" s="38"/>
      <c r="CT12" s="38"/>
      <c r="CU12" s="38"/>
      <c r="CV12" s="38"/>
      <c r="CW12" s="38"/>
      <c r="CX12" s="38"/>
      <c r="CY12" s="38"/>
      <c r="CZ12" s="38"/>
      <c r="DA12" s="38"/>
      <c r="DB12" s="38"/>
      <c r="DC12" s="38"/>
      <c r="DD12" s="38"/>
      <c r="DE12" s="38"/>
      <c r="DF12" s="38"/>
      <c r="DG12" s="38"/>
      <c r="DH12" s="38"/>
      <c r="DI12" s="38"/>
      <c r="DJ12" s="38"/>
      <c r="DK12" s="38"/>
      <c r="DL12" s="38"/>
      <c r="DM12" s="38"/>
      <c r="DN12" s="38"/>
      <c r="DO12" s="38"/>
      <c r="DP12" s="38"/>
      <c r="DQ12" s="38"/>
      <c r="DR12" s="38"/>
      <c r="DS12" s="38"/>
      <c r="DT12" s="38"/>
      <c r="DU12" s="38"/>
      <c r="DV12" s="38"/>
      <c r="DW12" s="38"/>
      <c r="DX12" s="38"/>
      <c r="DY12" s="38"/>
      <c r="DZ12" s="38"/>
      <c r="EA12" s="38"/>
      <c r="EB12" s="38"/>
      <c r="EC12" s="38"/>
      <c r="ED12" s="38"/>
      <c r="EE12" s="38"/>
      <c r="EF12" s="38"/>
      <c r="EG12" s="38"/>
      <c r="EH12" s="38"/>
      <c r="EI12" s="38"/>
      <c r="EJ12" s="38"/>
      <c r="EK12" s="38"/>
      <c r="EL12" s="38"/>
    </row>
    <row r="13" spans="1:142">
      <c r="B13" t="s">
        <v>632</v>
      </c>
      <c r="D13" s="38"/>
      <c r="E13" s="1476">
        <f>Assum!E345</f>
        <v>0.99</v>
      </c>
      <c r="F13" s="1476">
        <f>Assum!F345</f>
        <v>0.99</v>
      </c>
      <c r="G13" s="1476">
        <f>Assum!G345</f>
        <v>0.99</v>
      </c>
      <c r="H13" s="1476">
        <f>Assum!H345</f>
        <v>0.99</v>
      </c>
      <c r="I13" s="1476">
        <f>Assum!I345</f>
        <v>0.99</v>
      </c>
      <c r="J13" s="1476">
        <f>Assum!J345</f>
        <v>0.99</v>
      </c>
      <c r="K13" s="1476">
        <f>Assum!K345</f>
        <v>0.99</v>
      </c>
      <c r="L13" s="1476">
        <f>Assum!L345</f>
        <v>0.99</v>
      </c>
      <c r="M13" s="1476">
        <f>Assum!M345</f>
        <v>0.99</v>
      </c>
      <c r="N13" s="1476">
        <f>Assum!N345</f>
        <v>0.99</v>
      </c>
      <c r="O13" s="1476">
        <f>Assum!O345</f>
        <v>0.99</v>
      </c>
      <c r="P13" s="1476">
        <f>Assum!P345</f>
        <v>0.99</v>
      </c>
      <c r="Q13" s="1476">
        <f>Assum!Q345</f>
        <v>0.99</v>
      </c>
      <c r="R13" s="1476">
        <f>Assum!R345</f>
        <v>0.99</v>
      </c>
      <c r="S13" s="1476">
        <f>Assum!S345</f>
        <v>0.99</v>
      </c>
      <c r="T13" s="1476">
        <f>Assum!T345</f>
        <v>0.99</v>
      </c>
      <c r="U13" s="1476">
        <f>Assum!U345</f>
        <v>0.99</v>
      </c>
      <c r="V13" s="1476">
        <f>Assum!V345</f>
        <v>0.99</v>
      </c>
      <c r="W13" s="1476">
        <f>Assum!W345</f>
        <v>0.99</v>
      </c>
      <c r="X13" s="1476">
        <f>Assum!X345</f>
        <v>0.99</v>
      </c>
      <c r="Y13" s="1476">
        <f>Assum!Y345</f>
        <v>0.99</v>
      </c>
      <c r="Z13" s="1476">
        <f>Assum!Z345</f>
        <v>0.99</v>
      </c>
      <c r="AA13" s="1476">
        <f>Assum!AA345</f>
        <v>0.99</v>
      </c>
      <c r="AB13" s="1476">
        <f>Assum!AB345</f>
        <v>0.99</v>
      </c>
      <c r="AC13" s="1476">
        <f>Assum!AC345</f>
        <v>0.99</v>
      </c>
      <c r="AD13" s="1476">
        <f>Assum!AD345</f>
        <v>0.99</v>
      </c>
      <c r="AE13" s="1476">
        <f>Assum!AE345</f>
        <v>0.99</v>
      </c>
      <c r="AF13" s="1476">
        <f>Assum!AF345</f>
        <v>0.99</v>
      </c>
      <c r="AG13" s="1476">
        <f>Assum!AG345</f>
        <v>0.99</v>
      </c>
      <c r="AH13" s="1476">
        <f>Assum!AH345</f>
        <v>0.99</v>
      </c>
      <c r="AI13" s="1476">
        <f>Assum!AI345</f>
        <v>0</v>
      </c>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c r="CL13" s="38"/>
      <c r="CM13" s="38"/>
      <c r="CN13" s="38"/>
      <c r="CO13" s="38"/>
      <c r="CP13" s="38"/>
      <c r="CQ13" s="38"/>
      <c r="CR13" s="38"/>
      <c r="CS13" s="38"/>
      <c r="CT13" s="38"/>
      <c r="CU13" s="38"/>
      <c r="CV13" s="38"/>
      <c r="CW13" s="38"/>
      <c r="CX13" s="38"/>
      <c r="CY13" s="38"/>
      <c r="CZ13" s="38"/>
      <c r="DA13" s="38"/>
      <c r="DB13" s="38"/>
      <c r="DC13" s="38"/>
      <c r="DD13" s="38"/>
      <c r="DE13" s="38"/>
      <c r="DF13" s="38"/>
      <c r="DG13" s="38"/>
      <c r="DH13" s="38"/>
      <c r="DI13" s="38"/>
      <c r="DJ13" s="38"/>
      <c r="DK13" s="38"/>
      <c r="DL13" s="38"/>
      <c r="DM13" s="38"/>
      <c r="DN13" s="38"/>
      <c r="DO13" s="38"/>
      <c r="DP13" s="38"/>
      <c r="DQ13" s="38"/>
      <c r="DR13" s="38"/>
      <c r="DS13" s="38"/>
      <c r="DT13" s="38"/>
      <c r="DU13" s="38"/>
      <c r="DV13" s="38"/>
      <c r="DW13" s="38"/>
      <c r="DX13" s="38"/>
      <c r="DY13" s="38"/>
      <c r="DZ13" s="38"/>
      <c r="EA13" s="38"/>
      <c r="EB13" s="38"/>
      <c r="EC13" s="38"/>
      <c r="ED13" s="38"/>
      <c r="EE13" s="38"/>
      <c r="EF13" s="38"/>
      <c r="EG13" s="38"/>
      <c r="EH13" s="38"/>
      <c r="EI13" s="38"/>
      <c r="EJ13" s="38"/>
      <c r="EK13" s="38"/>
      <c r="EL13" s="38"/>
    </row>
    <row r="14" spans="1:142">
      <c r="B14" s="487" t="s">
        <v>395</v>
      </c>
      <c r="D14" s="493"/>
      <c r="E14" s="494">
        <f>E12*Assum!E345</f>
        <v>8333.7709653000002</v>
      </c>
      <c r="F14" s="494">
        <f>F12*Assum!F345</f>
        <v>8356.9848120000006</v>
      </c>
      <c r="G14" s="494">
        <f>G12*Assum!G345</f>
        <v>8356.9848120000006</v>
      </c>
      <c r="H14" s="494">
        <f>H12*Assum!H345</f>
        <v>8821.2617459999983</v>
      </c>
      <c r="I14" s="494">
        <f>I12*Assum!I345</f>
        <v>8821.2617459999983</v>
      </c>
      <c r="J14" s="494">
        <f>J12*Assum!J345</f>
        <v>8821.2617459999983</v>
      </c>
      <c r="K14" s="494">
        <f>K12*Assum!K345</f>
        <v>9285.5386799999997</v>
      </c>
      <c r="L14" s="494">
        <f>L12*Assum!L345</f>
        <v>9285.5386799999997</v>
      </c>
      <c r="M14" s="494">
        <f>M12*Assum!M345</f>
        <v>9749.8156139999992</v>
      </c>
      <c r="N14" s="494">
        <f>N12*Assum!N345</f>
        <v>9749.8156139999992</v>
      </c>
      <c r="O14" s="494">
        <f>O12*Assum!O345</f>
        <v>28.372479299999899</v>
      </c>
      <c r="P14" s="494">
        <f>P12*Assum!P345</f>
        <v>0</v>
      </c>
      <c r="Q14" s="494">
        <f>Q12*Assum!Q345</f>
        <v>0</v>
      </c>
      <c r="R14" s="494">
        <f>R12*Assum!R345</f>
        <v>0</v>
      </c>
      <c r="S14" s="494">
        <f>S12*Assum!S345</f>
        <v>0</v>
      </c>
      <c r="T14" s="494">
        <f>T12*Assum!T345</f>
        <v>0</v>
      </c>
      <c r="U14" s="494">
        <f>U12*Assum!U345</f>
        <v>0</v>
      </c>
      <c r="V14" s="494">
        <f>V12*Assum!V345</f>
        <v>0</v>
      </c>
      <c r="W14" s="494">
        <f>W12*Assum!W345</f>
        <v>0</v>
      </c>
      <c r="X14" s="494">
        <f>X12*Assum!X345</f>
        <v>0</v>
      </c>
      <c r="Y14" s="494">
        <f>Y12*Assum!Y345</f>
        <v>0</v>
      </c>
      <c r="Z14" s="494">
        <f>Z12*Assum!Z345</f>
        <v>0</v>
      </c>
      <c r="AA14" s="494">
        <f>AA12*Assum!AA345</f>
        <v>0</v>
      </c>
      <c r="AB14" s="494">
        <f>AB12*Assum!AB345</f>
        <v>0</v>
      </c>
      <c r="AC14" s="494">
        <f>AC12*Assum!AC345</f>
        <v>0</v>
      </c>
      <c r="AD14" s="494">
        <f>AD12*Assum!AD345</f>
        <v>0</v>
      </c>
      <c r="AE14" s="494">
        <f>AE12*Assum!AE345</f>
        <v>0</v>
      </c>
      <c r="AF14" s="494">
        <f>AF12*Assum!AF345</f>
        <v>0</v>
      </c>
      <c r="AG14" s="494">
        <f>AG12*Assum!AG345</f>
        <v>0</v>
      </c>
      <c r="AH14" s="494">
        <f>AH12*Assum!AH345</f>
        <v>0</v>
      </c>
      <c r="AI14" s="494">
        <f>AI12*Assum!AI345</f>
        <v>0</v>
      </c>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c r="CL14" s="38"/>
      <c r="CM14" s="38"/>
      <c r="CN14" s="38"/>
      <c r="CO14" s="38"/>
      <c r="CP14" s="38"/>
      <c r="CQ14" s="38"/>
      <c r="CR14" s="38"/>
      <c r="CS14" s="38"/>
      <c r="CT14" s="38"/>
      <c r="CU14" s="38"/>
      <c r="CV14" s="38"/>
      <c r="CW14" s="38"/>
      <c r="CX14" s="38"/>
      <c r="CY14" s="38"/>
      <c r="CZ14" s="38"/>
      <c r="DA14" s="38"/>
      <c r="DB14" s="38"/>
      <c r="DC14" s="38"/>
      <c r="DD14" s="38"/>
      <c r="DE14" s="38"/>
      <c r="DF14" s="38"/>
      <c r="DG14" s="38"/>
      <c r="DH14" s="38"/>
      <c r="DI14" s="38"/>
      <c r="DJ14" s="38"/>
      <c r="DK14" s="38"/>
      <c r="DL14" s="38"/>
      <c r="DM14" s="38"/>
      <c r="DN14" s="38"/>
      <c r="DO14" s="38"/>
      <c r="DP14" s="38"/>
      <c r="DQ14" s="38"/>
      <c r="DR14" s="38"/>
      <c r="DS14" s="38"/>
      <c r="DT14" s="38"/>
      <c r="DU14" s="38"/>
      <c r="DV14" s="38"/>
      <c r="DW14" s="38"/>
      <c r="DX14" s="38"/>
      <c r="DY14" s="38"/>
      <c r="DZ14" s="38"/>
      <c r="EA14" s="38"/>
      <c r="EB14" s="38"/>
      <c r="EC14" s="38"/>
      <c r="ED14" s="38"/>
      <c r="EE14" s="38"/>
      <c r="EF14" s="38"/>
      <c r="EG14" s="38"/>
      <c r="EH14" s="38"/>
      <c r="EI14" s="38"/>
      <c r="EJ14" s="38"/>
      <c r="EK14" s="38"/>
      <c r="EL14" s="38"/>
    </row>
    <row r="15" spans="1:142" s="235" customFormat="1">
      <c r="A15" s="188"/>
      <c r="B15" s="241"/>
      <c r="C15" s="491"/>
      <c r="D15" s="492"/>
      <c r="E15" s="431"/>
      <c r="F15" s="431"/>
      <c r="G15" s="431"/>
      <c r="H15" s="431"/>
      <c r="I15" s="431"/>
      <c r="J15" s="431"/>
      <c r="K15" s="431"/>
      <c r="L15" s="431"/>
      <c r="M15" s="431"/>
      <c r="N15" s="431"/>
      <c r="O15" s="431"/>
      <c r="P15" s="431"/>
      <c r="Q15" s="431"/>
      <c r="R15" s="431"/>
      <c r="S15" s="431"/>
      <c r="T15" s="431"/>
      <c r="U15" s="431"/>
      <c r="V15" s="431"/>
      <c r="W15" s="431"/>
      <c r="X15" s="431"/>
      <c r="Y15" s="431"/>
      <c r="Z15" s="431"/>
      <c r="AA15" s="431"/>
      <c r="AB15" s="431"/>
      <c r="AC15" s="431"/>
      <c r="AD15" s="431"/>
      <c r="AE15" s="431"/>
      <c r="AF15" s="431"/>
      <c r="AG15" s="431"/>
      <c r="AH15" s="431"/>
      <c r="AI15" s="431"/>
      <c r="AJ15" s="202"/>
      <c r="AK15" s="202"/>
      <c r="AL15" s="202"/>
      <c r="AM15" s="202"/>
      <c r="AN15" s="202"/>
      <c r="AO15" s="202"/>
      <c r="AP15" s="202"/>
      <c r="AQ15" s="202"/>
      <c r="AR15" s="202"/>
      <c r="AS15" s="202"/>
      <c r="AT15" s="202"/>
      <c r="AU15" s="202"/>
      <c r="AV15" s="202"/>
      <c r="AW15" s="202"/>
      <c r="AX15" s="202"/>
      <c r="AY15" s="202"/>
      <c r="AZ15" s="202"/>
      <c r="BA15" s="202"/>
      <c r="BB15" s="202"/>
      <c r="BC15" s="202"/>
      <c r="BD15" s="202"/>
      <c r="BE15" s="202"/>
      <c r="BF15" s="202"/>
      <c r="BG15" s="202"/>
      <c r="BH15" s="202"/>
      <c r="BI15" s="202"/>
      <c r="BJ15" s="202"/>
      <c r="BK15" s="202"/>
      <c r="BL15" s="202"/>
      <c r="BM15" s="202"/>
      <c r="BN15" s="202"/>
      <c r="BO15" s="202"/>
      <c r="BP15" s="202"/>
      <c r="BQ15" s="202"/>
      <c r="BR15" s="202"/>
      <c r="BS15" s="202"/>
      <c r="BT15" s="202"/>
      <c r="BU15" s="202"/>
      <c r="BV15" s="202"/>
      <c r="BW15" s="202"/>
      <c r="BX15" s="202"/>
      <c r="BY15" s="202"/>
      <c r="BZ15" s="202"/>
      <c r="CA15" s="202"/>
      <c r="CB15" s="202"/>
      <c r="CC15" s="202"/>
      <c r="CD15" s="202"/>
      <c r="CE15" s="202"/>
      <c r="CF15" s="202"/>
      <c r="CG15" s="202"/>
      <c r="CH15" s="202"/>
      <c r="CI15" s="202"/>
      <c r="CJ15" s="202"/>
      <c r="CK15" s="202"/>
      <c r="CL15" s="202"/>
      <c r="CM15" s="202"/>
      <c r="CN15" s="202"/>
      <c r="CO15" s="202"/>
      <c r="CP15" s="202"/>
      <c r="CQ15" s="202"/>
      <c r="CR15" s="202"/>
      <c r="CS15" s="202"/>
      <c r="CT15" s="202"/>
      <c r="CU15" s="202"/>
      <c r="CV15" s="202"/>
      <c r="CW15" s="202"/>
      <c r="CX15" s="202"/>
      <c r="CY15" s="202"/>
      <c r="CZ15" s="202"/>
      <c r="DA15" s="202"/>
      <c r="DB15" s="202"/>
      <c r="DC15" s="202"/>
      <c r="DD15" s="202"/>
      <c r="DE15" s="202"/>
      <c r="DF15" s="202"/>
      <c r="DG15" s="202"/>
      <c r="DH15" s="202"/>
      <c r="DI15" s="202"/>
      <c r="DJ15" s="202"/>
      <c r="DK15" s="202"/>
      <c r="DL15" s="202"/>
      <c r="DM15" s="202"/>
      <c r="DN15" s="202"/>
      <c r="DO15" s="202"/>
      <c r="DP15" s="202"/>
      <c r="DQ15" s="202"/>
      <c r="DR15" s="202"/>
      <c r="DS15" s="202"/>
      <c r="DT15" s="202"/>
      <c r="DU15" s="202"/>
      <c r="DV15" s="202"/>
      <c r="DW15" s="202"/>
      <c r="DX15" s="202"/>
      <c r="DY15" s="202"/>
      <c r="DZ15" s="202"/>
      <c r="EA15" s="202"/>
      <c r="EB15" s="202"/>
      <c r="EC15" s="202"/>
      <c r="ED15" s="202"/>
      <c r="EE15" s="202"/>
      <c r="EF15" s="202"/>
      <c r="EG15" s="202"/>
      <c r="EH15" s="202"/>
      <c r="EI15" s="202"/>
      <c r="EJ15" s="202"/>
      <c r="EK15" s="202"/>
      <c r="EL15" s="202"/>
    </row>
    <row r="17" spans="1:142" ht="13.5" thickBot="1">
      <c r="B17" s="497" t="s">
        <v>392</v>
      </c>
      <c r="D17" s="38"/>
      <c r="E17" s="6"/>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8"/>
      <c r="BK17" s="38"/>
      <c r="BL17" s="38"/>
      <c r="BM17" s="38"/>
      <c r="BN17" s="38"/>
      <c r="BO17" s="38"/>
      <c r="BP17" s="38"/>
      <c r="BQ17" s="38"/>
      <c r="BR17" s="38"/>
      <c r="BS17" s="38"/>
      <c r="BT17" s="38"/>
      <c r="BU17" s="38"/>
      <c r="BV17" s="38"/>
      <c r="BW17" s="38"/>
      <c r="BX17" s="38"/>
      <c r="BY17" s="38"/>
      <c r="BZ17" s="38"/>
      <c r="CA17" s="38"/>
      <c r="CB17" s="38"/>
      <c r="CC17" s="38"/>
      <c r="CD17" s="38"/>
      <c r="CE17" s="38"/>
      <c r="CF17" s="38"/>
      <c r="CG17" s="38"/>
      <c r="CH17" s="38"/>
      <c r="CI17" s="38"/>
      <c r="CJ17" s="38"/>
      <c r="CK17" s="38"/>
      <c r="CL17" s="38"/>
      <c r="CM17" s="38"/>
      <c r="CN17" s="38"/>
      <c r="CO17" s="38"/>
      <c r="CP17" s="38"/>
      <c r="CQ17" s="38"/>
      <c r="CR17" s="38"/>
      <c r="CS17" s="38"/>
      <c r="CT17" s="38"/>
      <c r="CU17" s="38"/>
      <c r="CV17" s="38"/>
      <c r="CW17" s="38"/>
      <c r="CX17" s="38"/>
      <c r="CY17" s="38"/>
      <c r="CZ17" s="38"/>
      <c r="DA17" s="38"/>
      <c r="DB17" s="38"/>
      <c r="DC17" s="38"/>
      <c r="DD17" s="38"/>
      <c r="DE17" s="38"/>
      <c r="DF17" s="38"/>
      <c r="DG17" s="38"/>
      <c r="DH17" s="38"/>
      <c r="DI17" s="38"/>
      <c r="DJ17" s="38"/>
      <c r="DK17" s="38"/>
      <c r="DL17" s="38"/>
      <c r="DM17" s="38"/>
      <c r="DN17" s="38"/>
      <c r="DO17" s="38"/>
      <c r="DP17" s="38"/>
      <c r="DQ17" s="38"/>
      <c r="DR17" s="38"/>
      <c r="DS17" s="38"/>
      <c r="DT17" s="38"/>
      <c r="DU17" s="38"/>
      <c r="DV17" s="38"/>
      <c r="DW17" s="38"/>
      <c r="DX17" s="38"/>
      <c r="DY17" s="38"/>
      <c r="DZ17" s="38"/>
      <c r="EA17" s="38"/>
      <c r="EB17" s="38"/>
      <c r="EC17" s="38"/>
      <c r="ED17" s="38"/>
      <c r="EE17" s="38"/>
      <c r="EF17" s="38"/>
      <c r="EG17" s="38"/>
      <c r="EH17" s="38"/>
      <c r="EI17" s="38"/>
      <c r="EJ17" s="38"/>
      <c r="EK17" s="38"/>
      <c r="EL17" s="38"/>
    </row>
    <row r="18" spans="1:142">
      <c r="B18" s="290"/>
      <c r="C18" s="489"/>
      <c r="D18" s="489"/>
      <c r="E18" s="489"/>
      <c r="F18" s="489"/>
      <c r="G18" s="489"/>
      <c r="H18" s="489"/>
      <c r="I18" s="489"/>
      <c r="J18" s="489"/>
      <c r="K18" s="489"/>
      <c r="L18" s="489"/>
      <c r="M18" s="489"/>
      <c r="N18" s="489"/>
      <c r="O18" s="489"/>
      <c r="P18" s="489"/>
      <c r="Q18" s="489"/>
      <c r="R18" s="489"/>
      <c r="S18" s="489"/>
      <c r="T18" s="489"/>
      <c r="U18" s="489"/>
      <c r="V18" s="489"/>
      <c r="W18" s="489"/>
      <c r="X18" s="489"/>
      <c r="Y18" s="489"/>
      <c r="Z18" s="489"/>
      <c r="AA18" s="489"/>
      <c r="AB18" s="489"/>
      <c r="AC18" s="489"/>
      <c r="AD18" s="489"/>
      <c r="AE18" s="489"/>
      <c r="AF18" s="489"/>
      <c r="AG18" s="489"/>
      <c r="AH18" s="489"/>
      <c r="AI18" s="1482"/>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c r="BM18" s="38"/>
      <c r="BN18" s="38"/>
      <c r="BO18" s="38"/>
      <c r="BP18" s="38"/>
      <c r="BQ18" s="38"/>
      <c r="BR18" s="38"/>
      <c r="BS18" s="38"/>
      <c r="BT18" s="38"/>
      <c r="BU18" s="38"/>
      <c r="BV18" s="38"/>
      <c r="BW18" s="38"/>
      <c r="BX18" s="38"/>
      <c r="BY18" s="38"/>
      <c r="BZ18" s="38"/>
      <c r="CA18" s="38"/>
      <c r="CB18" s="38"/>
      <c r="CC18" s="38"/>
      <c r="CD18" s="38"/>
      <c r="CE18" s="38"/>
      <c r="CF18" s="38"/>
      <c r="CG18" s="38"/>
      <c r="CH18" s="38"/>
      <c r="CI18" s="38"/>
      <c r="CJ18" s="38"/>
      <c r="CK18" s="38"/>
      <c r="CL18" s="38"/>
      <c r="CM18" s="38"/>
      <c r="CN18" s="38"/>
      <c r="CO18" s="38"/>
      <c r="CP18" s="38"/>
      <c r="CQ18" s="38"/>
      <c r="CR18" s="38"/>
      <c r="CS18" s="38"/>
      <c r="CT18" s="38"/>
      <c r="CU18" s="38"/>
      <c r="CV18" s="38"/>
      <c r="CW18" s="38"/>
      <c r="CX18" s="38"/>
      <c r="CY18" s="38"/>
      <c r="CZ18" s="38"/>
      <c r="DA18" s="38"/>
      <c r="DB18" s="38"/>
      <c r="DC18" s="38"/>
      <c r="DD18" s="38"/>
      <c r="DE18" s="38"/>
      <c r="DF18" s="38"/>
      <c r="DG18" s="38"/>
      <c r="DH18" s="38"/>
      <c r="DI18" s="38"/>
      <c r="DJ18" s="38"/>
      <c r="DK18" s="38"/>
      <c r="DL18" s="38"/>
      <c r="DM18" s="38"/>
      <c r="DN18" s="38"/>
      <c r="DO18" s="38"/>
      <c r="DP18" s="38"/>
      <c r="DQ18" s="38"/>
      <c r="DR18" s="38"/>
      <c r="DS18" s="38"/>
      <c r="DT18" s="38"/>
      <c r="DU18" s="38"/>
      <c r="DV18" s="38"/>
      <c r="DW18" s="38"/>
      <c r="DX18" s="38"/>
      <c r="DY18" s="38"/>
      <c r="DZ18" s="38"/>
      <c r="EA18" s="38"/>
      <c r="EB18" s="38"/>
      <c r="EC18" s="38"/>
      <c r="ED18" s="38"/>
      <c r="EE18" s="38"/>
      <c r="EF18" s="38"/>
      <c r="EG18" s="38"/>
      <c r="EH18" s="38"/>
      <c r="EI18" s="38"/>
      <c r="EJ18" s="38"/>
      <c r="EK18" s="38"/>
      <c r="EL18" s="38"/>
    </row>
    <row r="19" spans="1:142" s="59" customFormat="1">
      <c r="A19" s="188"/>
      <c r="B19" s="272" t="s">
        <v>391</v>
      </c>
      <c r="C19" s="317"/>
      <c r="D19" s="251">
        <f ca="1">-Srcs_Uses!E6</f>
        <v>-90426.917784397752</v>
      </c>
      <c r="E19" s="252"/>
      <c r="F19" s="253"/>
      <c r="G19" s="253"/>
      <c r="H19" s="253"/>
      <c r="I19" s="253"/>
      <c r="J19" s="253"/>
      <c r="K19" s="253"/>
      <c r="L19" s="253"/>
      <c r="M19" s="253"/>
      <c r="N19" s="253"/>
      <c r="O19" s="253"/>
      <c r="P19" s="253"/>
      <c r="Q19" s="253"/>
      <c r="R19" s="253"/>
      <c r="S19" s="253"/>
      <c r="T19" s="253"/>
      <c r="U19" s="253"/>
      <c r="V19" s="253"/>
      <c r="W19" s="253"/>
      <c r="X19" s="253"/>
      <c r="Y19" s="253"/>
      <c r="Z19" s="253"/>
      <c r="AA19" s="253"/>
      <c r="AB19" s="253"/>
      <c r="AC19" s="253"/>
      <c r="AD19" s="253"/>
      <c r="AE19" s="253"/>
      <c r="AF19" s="253"/>
      <c r="AG19" s="253"/>
      <c r="AH19" s="253"/>
      <c r="AI19" s="254"/>
      <c r="AJ19" s="64"/>
      <c r="AK19" s="64"/>
      <c r="AL19" s="64"/>
      <c r="AM19" s="64"/>
      <c r="AN19" s="64"/>
      <c r="AO19" s="64"/>
      <c r="AP19" s="64"/>
      <c r="AQ19" s="64"/>
      <c r="AR19" s="64"/>
      <c r="AS19" s="64"/>
      <c r="AT19" s="64"/>
      <c r="AU19" s="64"/>
      <c r="AV19" s="64"/>
      <c r="AW19" s="64"/>
      <c r="AX19" s="64"/>
      <c r="AY19" s="64"/>
      <c r="AZ19" s="64"/>
      <c r="BA19" s="64"/>
      <c r="BB19" s="64"/>
      <c r="BC19" s="64"/>
      <c r="BD19" s="64"/>
      <c r="BE19" s="64"/>
      <c r="BF19" s="64"/>
      <c r="BG19" s="64"/>
      <c r="BH19" s="64"/>
      <c r="BI19" s="64"/>
      <c r="BJ19" s="64"/>
      <c r="BK19" s="64"/>
      <c r="BL19" s="64"/>
      <c r="BM19" s="64"/>
      <c r="BN19" s="64"/>
      <c r="BO19" s="64"/>
      <c r="BP19" s="64"/>
      <c r="BQ19" s="64"/>
      <c r="BR19" s="64"/>
      <c r="BS19" s="64"/>
      <c r="BT19" s="64"/>
      <c r="BU19" s="64"/>
      <c r="BV19" s="64"/>
      <c r="BW19" s="64"/>
      <c r="BX19" s="64"/>
      <c r="BY19" s="64"/>
      <c r="BZ19" s="64"/>
      <c r="CA19" s="64"/>
      <c r="CB19" s="64"/>
      <c r="CC19" s="64"/>
      <c r="CD19" s="64"/>
      <c r="CE19" s="64"/>
      <c r="CF19" s="64"/>
      <c r="CG19" s="64"/>
      <c r="CH19" s="64"/>
      <c r="CI19" s="64"/>
      <c r="CJ19" s="64"/>
      <c r="CK19" s="64"/>
      <c r="CL19" s="64"/>
      <c r="CM19" s="64"/>
      <c r="CN19" s="64"/>
      <c r="CO19" s="64"/>
      <c r="CP19" s="64"/>
      <c r="CQ19" s="64"/>
      <c r="CR19" s="64"/>
      <c r="CS19" s="64"/>
      <c r="CT19" s="64"/>
      <c r="CU19" s="64"/>
      <c r="CV19" s="64"/>
      <c r="CW19" s="64"/>
      <c r="CX19" s="64"/>
      <c r="CY19" s="64"/>
      <c r="CZ19" s="64"/>
      <c r="DA19" s="64"/>
      <c r="DB19" s="64"/>
      <c r="DC19" s="64"/>
      <c r="DD19" s="64"/>
      <c r="DE19" s="64"/>
      <c r="DF19" s="64"/>
      <c r="DG19" s="64"/>
      <c r="DH19" s="64"/>
      <c r="DI19" s="64"/>
      <c r="DJ19" s="64"/>
      <c r="DK19" s="64"/>
      <c r="DL19" s="64"/>
      <c r="DM19" s="64"/>
      <c r="DN19" s="64"/>
      <c r="DO19" s="64"/>
      <c r="DP19" s="64"/>
      <c r="DQ19" s="64"/>
      <c r="DR19" s="64"/>
      <c r="DS19" s="64"/>
      <c r="DT19" s="64"/>
      <c r="DU19" s="64"/>
      <c r="DV19" s="64"/>
      <c r="DW19" s="64"/>
      <c r="DX19" s="64"/>
      <c r="DY19" s="64"/>
      <c r="DZ19" s="64"/>
      <c r="EA19" s="64"/>
      <c r="EB19" s="64"/>
      <c r="EC19" s="64"/>
      <c r="ED19" s="64"/>
      <c r="EE19" s="64"/>
      <c r="EF19" s="64"/>
      <c r="EG19" s="64"/>
      <c r="EH19" s="64"/>
      <c r="EI19" s="64"/>
      <c r="EJ19" s="64"/>
      <c r="EK19" s="64"/>
      <c r="EL19" s="64"/>
    </row>
    <row r="20" spans="1:142" s="59" customFormat="1">
      <c r="A20" s="188"/>
      <c r="B20" s="250" t="s">
        <v>127</v>
      </c>
      <c r="C20" s="317"/>
      <c r="D20" s="255"/>
      <c r="E20" s="251">
        <f>-CashFlow!E45</f>
        <v>0</v>
      </c>
      <c r="F20" s="251">
        <f>-CashFlow!F45</f>
        <v>0</v>
      </c>
      <c r="G20" s="251">
        <f>-CashFlow!G45</f>
        <v>0</v>
      </c>
      <c r="H20" s="251">
        <f>-CashFlow!H45</f>
        <v>0</v>
      </c>
      <c r="I20" s="251">
        <f>-CashFlow!I45</f>
        <v>0</v>
      </c>
      <c r="J20" s="251">
        <f>-CashFlow!J45</f>
        <v>0</v>
      </c>
      <c r="K20" s="251">
        <f>-CashFlow!K45</f>
        <v>0</v>
      </c>
      <c r="L20" s="251">
        <f>-CashFlow!L45</f>
        <v>0</v>
      </c>
      <c r="M20" s="251">
        <f>-CashFlow!M45</f>
        <v>0</v>
      </c>
      <c r="N20" s="251">
        <f>-CashFlow!N45</f>
        <v>0</v>
      </c>
      <c r="O20" s="251">
        <f>-CashFlow!O45</f>
        <v>0</v>
      </c>
      <c r="P20" s="251">
        <f>-CashFlow!P45</f>
        <v>0</v>
      </c>
      <c r="Q20" s="251">
        <f>-CashFlow!Q45</f>
        <v>0</v>
      </c>
      <c r="R20" s="251">
        <f>-CashFlow!R45</f>
        <v>0</v>
      </c>
      <c r="S20" s="251">
        <f>-CashFlow!S45</f>
        <v>0</v>
      </c>
      <c r="T20" s="251">
        <f>-CashFlow!T45</f>
        <v>0</v>
      </c>
      <c r="U20" s="251">
        <f>-CashFlow!U45</f>
        <v>0</v>
      </c>
      <c r="V20" s="251">
        <f>-CashFlow!V45</f>
        <v>0</v>
      </c>
      <c r="W20" s="251">
        <f>-CashFlow!W45</f>
        <v>0</v>
      </c>
      <c r="X20" s="251">
        <f>-CashFlow!X45</f>
        <v>0</v>
      </c>
      <c r="Y20" s="251">
        <f>-CashFlow!Y45</f>
        <v>0</v>
      </c>
      <c r="Z20" s="251">
        <f>-CashFlow!Z45</f>
        <v>0</v>
      </c>
      <c r="AA20" s="251">
        <f>-CashFlow!AA45</f>
        <v>0</v>
      </c>
      <c r="AB20" s="251">
        <f>-CashFlow!AB45</f>
        <v>0</v>
      </c>
      <c r="AC20" s="251">
        <f>-CashFlow!AC45</f>
        <v>0</v>
      </c>
      <c r="AD20" s="251">
        <f>-CashFlow!AD45</f>
        <v>0</v>
      </c>
      <c r="AE20" s="251">
        <f>-CashFlow!AE45</f>
        <v>0</v>
      </c>
      <c r="AF20" s="251">
        <f>-CashFlow!AF45</f>
        <v>0</v>
      </c>
      <c r="AG20" s="251">
        <f>-CashFlow!AG45</f>
        <v>0</v>
      </c>
      <c r="AH20" s="251">
        <f>-CashFlow!AH45</f>
        <v>0</v>
      </c>
      <c r="AI20" s="256">
        <f>-CashFlow!AI45</f>
        <v>0</v>
      </c>
      <c r="AJ20" s="64"/>
      <c r="AK20" s="64"/>
      <c r="AL20" s="64"/>
      <c r="AM20" s="64"/>
      <c r="AN20" s="64"/>
      <c r="AO20" s="64"/>
      <c r="AP20" s="64"/>
      <c r="AQ20" s="64"/>
      <c r="AR20" s="64"/>
      <c r="AS20" s="64"/>
      <c r="AT20" s="64"/>
      <c r="AU20" s="64"/>
      <c r="AV20" s="64"/>
      <c r="AW20" s="64"/>
      <c r="AX20" s="64"/>
      <c r="AY20" s="64"/>
      <c r="AZ20" s="64"/>
      <c r="BA20" s="64"/>
      <c r="BB20" s="64"/>
      <c r="BC20" s="64"/>
      <c r="BD20" s="64"/>
      <c r="BE20" s="64"/>
      <c r="BF20" s="64"/>
      <c r="BG20" s="64"/>
      <c r="BH20" s="64"/>
      <c r="BI20" s="64"/>
      <c r="BJ20" s="64"/>
      <c r="BK20" s="64"/>
      <c r="BL20" s="64"/>
      <c r="BM20" s="64"/>
      <c r="BN20" s="64"/>
      <c r="BO20" s="64"/>
      <c r="BP20" s="64"/>
      <c r="BQ20" s="64"/>
      <c r="BR20" s="64"/>
      <c r="BS20" s="64"/>
      <c r="BT20" s="64"/>
      <c r="BU20" s="64"/>
      <c r="BV20" s="64"/>
      <c r="BW20" s="64"/>
      <c r="BX20" s="64"/>
      <c r="BY20" s="64"/>
      <c r="BZ20" s="64"/>
      <c r="CA20" s="64"/>
      <c r="CB20" s="64"/>
      <c r="CC20" s="64"/>
      <c r="CD20" s="64"/>
      <c r="CE20" s="64"/>
      <c r="CF20" s="64"/>
      <c r="CG20" s="64"/>
      <c r="CH20" s="64"/>
      <c r="CI20" s="64"/>
      <c r="CJ20" s="64"/>
      <c r="CK20" s="64"/>
      <c r="CL20" s="64"/>
      <c r="CM20" s="64"/>
      <c r="CN20" s="64"/>
      <c r="CO20" s="64"/>
      <c r="CP20" s="64"/>
      <c r="CQ20" s="64"/>
      <c r="CR20" s="64"/>
      <c r="CS20" s="64"/>
      <c r="CT20" s="64"/>
      <c r="CU20" s="64"/>
      <c r="CV20" s="64"/>
      <c r="CW20" s="64"/>
      <c r="CX20" s="64"/>
      <c r="CY20" s="64"/>
      <c r="CZ20" s="64"/>
      <c r="DA20" s="64"/>
      <c r="DB20" s="64"/>
      <c r="DC20" s="64"/>
      <c r="DD20" s="64"/>
      <c r="DE20" s="64"/>
      <c r="DF20" s="64"/>
      <c r="DG20" s="64"/>
      <c r="DH20" s="64"/>
      <c r="DI20" s="64"/>
      <c r="DJ20" s="64"/>
      <c r="DK20" s="64"/>
      <c r="DL20" s="64"/>
      <c r="DM20" s="64"/>
      <c r="DN20" s="64"/>
      <c r="DO20" s="64"/>
      <c r="DP20" s="64"/>
      <c r="DQ20" s="64"/>
      <c r="DR20" s="64"/>
      <c r="DS20" s="64"/>
      <c r="DT20" s="64"/>
      <c r="DU20" s="64"/>
      <c r="DV20" s="64"/>
      <c r="DW20" s="64"/>
      <c r="DX20" s="64"/>
      <c r="DY20" s="64"/>
      <c r="DZ20" s="64"/>
      <c r="EA20" s="64"/>
      <c r="EB20" s="64"/>
      <c r="EC20" s="64"/>
      <c r="ED20" s="64"/>
      <c r="EE20" s="64"/>
      <c r="EF20" s="64"/>
      <c r="EG20" s="64"/>
      <c r="EH20" s="64"/>
      <c r="EI20" s="64"/>
      <c r="EJ20" s="64"/>
      <c r="EK20" s="64"/>
      <c r="EL20" s="64"/>
    </row>
    <row r="21" spans="1:142" s="59" customFormat="1">
      <c r="A21" s="188"/>
      <c r="B21" s="250" t="s">
        <v>452</v>
      </c>
      <c r="C21" s="317"/>
      <c r="D21" s="255"/>
      <c r="E21" s="251">
        <f>CashFlow!E64</f>
        <v>1965.3586728442081</v>
      </c>
      <c r="F21" s="251">
        <f>CashFlow!F64</f>
        <v>1465.6877185675075</v>
      </c>
      <c r="G21" s="251">
        <f>CashFlow!G64</f>
        <v>1477.1763341366304</v>
      </c>
      <c r="H21" s="251">
        <f>CashFlow!H64</f>
        <v>1466.5599646923833</v>
      </c>
      <c r="I21" s="251">
        <f>CashFlow!I64</f>
        <v>1455.7138525740093</v>
      </c>
      <c r="J21" s="251">
        <f>CashFlow!J64</f>
        <v>1539.6916850812433</v>
      </c>
      <c r="K21" s="251">
        <f>CashFlow!K64</f>
        <v>1417.3799223601231</v>
      </c>
      <c r="L21" s="251">
        <f>CashFlow!L64</f>
        <v>1415.7056606128201</v>
      </c>
      <c r="M21" s="251">
        <f>CashFlow!M64</f>
        <v>1413.416990503126</v>
      </c>
      <c r="N21" s="251">
        <f>CashFlow!N64</f>
        <v>1432.6330518407108</v>
      </c>
      <c r="O21" s="251">
        <f>CashFlow!O64</f>
        <v>1455.4741409941637</v>
      </c>
      <c r="P21" s="251">
        <f>CashFlow!P64</f>
        <v>1481.2801684258877</v>
      </c>
      <c r="Q21" s="251">
        <f>CashFlow!Q64</f>
        <v>1511.8535237791871</v>
      </c>
      <c r="R21" s="251">
        <f>CashFlow!R64</f>
        <v>1480.2180650526552</v>
      </c>
      <c r="S21" s="251">
        <f>CashFlow!S64</f>
        <v>1444.8707947198545</v>
      </c>
      <c r="T21" s="251">
        <f>CashFlow!T64</f>
        <v>1376.8866964173005</v>
      </c>
      <c r="U21" s="251">
        <f>CashFlow!U64</f>
        <v>1356.6560097619861</v>
      </c>
      <c r="V21" s="251">
        <f>CashFlow!V64</f>
        <v>2297.3153547980874</v>
      </c>
      <c r="W21" s="251">
        <f>CashFlow!W64</f>
        <v>5758.7686803056968</v>
      </c>
      <c r="X21" s="251">
        <f>CashFlow!X64</f>
        <v>6376.1020882305602</v>
      </c>
      <c r="Y21" s="251">
        <f>CashFlow!Y64</f>
        <v>16.676075902401628</v>
      </c>
      <c r="Z21" s="251">
        <f>CashFlow!Z64</f>
        <v>0</v>
      </c>
      <c r="AA21" s="251">
        <f>CashFlow!AA64</f>
        <v>0</v>
      </c>
      <c r="AB21" s="251">
        <f>CashFlow!AB64</f>
        <v>0</v>
      </c>
      <c r="AC21" s="251">
        <f>CashFlow!AC64</f>
        <v>0</v>
      </c>
      <c r="AD21" s="251">
        <f>CashFlow!AD64</f>
        <v>0</v>
      </c>
      <c r="AE21" s="251">
        <f>CashFlow!AE64</f>
        <v>0</v>
      </c>
      <c r="AF21" s="251">
        <f>CashFlow!AF64</f>
        <v>0</v>
      </c>
      <c r="AG21" s="251">
        <f>CashFlow!AG64</f>
        <v>0</v>
      </c>
      <c r="AH21" s="251">
        <f>CashFlow!AH64</f>
        <v>0</v>
      </c>
      <c r="AI21" s="256">
        <f>CashFlow!AI64</f>
        <v>0</v>
      </c>
      <c r="AJ21" s="64"/>
      <c r="AK21" s="64"/>
      <c r="AL21" s="64"/>
      <c r="AM21" s="64"/>
      <c r="AN21" s="64"/>
      <c r="AO21" s="64"/>
      <c r="AP21" s="64"/>
      <c r="AQ21" s="64"/>
      <c r="AR21" s="64"/>
      <c r="AS21" s="64"/>
      <c r="AT21" s="64"/>
      <c r="AU21" s="64"/>
      <c r="AV21" s="64"/>
      <c r="AW21" s="64"/>
      <c r="AX21" s="64"/>
      <c r="AY21" s="64"/>
      <c r="AZ21" s="64"/>
      <c r="BA21" s="64"/>
      <c r="BB21" s="64"/>
      <c r="BC21" s="64"/>
      <c r="BD21" s="64"/>
      <c r="BE21" s="64"/>
      <c r="BF21" s="64"/>
      <c r="BG21" s="64"/>
      <c r="BH21" s="64"/>
      <c r="BI21" s="64"/>
      <c r="BJ21" s="64"/>
      <c r="BK21" s="64"/>
      <c r="BL21" s="64"/>
      <c r="BM21" s="64"/>
      <c r="BN21" s="64"/>
      <c r="BO21" s="64"/>
      <c r="BP21" s="64"/>
      <c r="BQ21" s="64"/>
      <c r="BR21" s="64"/>
      <c r="BS21" s="64"/>
      <c r="BT21" s="64"/>
      <c r="BU21" s="64"/>
      <c r="BV21" s="64"/>
      <c r="BW21" s="64"/>
      <c r="BX21" s="64"/>
      <c r="BY21" s="64"/>
      <c r="BZ21" s="64"/>
      <c r="CA21" s="64"/>
      <c r="CB21" s="64"/>
      <c r="CC21" s="64"/>
      <c r="CD21" s="64"/>
      <c r="CE21" s="64"/>
      <c r="CF21" s="64"/>
      <c r="CG21" s="64"/>
      <c r="CH21" s="64"/>
      <c r="CI21" s="64"/>
      <c r="CJ21" s="64"/>
      <c r="CK21" s="64"/>
      <c r="CL21" s="64"/>
      <c r="CM21" s="64"/>
      <c r="CN21" s="64"/>
      <c r="CO21" s="64"/>
      <c r="CP21" s="64"/>
      <c r="CQ21" s="64"/>
      <c r="CR21" s="64"/>
      <c r="CS21" s="64"/>
      <c r="CT21" s="64"/>
      <c r="CU21" s="64"/>
      <c r="CV21" s="64"/>
      <c r="CW21" s="64"/>
      <c r="CX21" s="64"/>
      <c r="CY21" s="64"/>
      <c r="CZ21" s="64"/>
      <c r="DA21" s="64"/>
      <c r="DB21" s="64"/>
      <c r="DC21" s="64"/>
      <c r="DD21" s="64"/>
      <c r="DE21" s="64"/>
      <c r="DF21" s="64"/>
      <c r="DG21" s="64"/>
      <c r="DH21" s="64"/>
      <c r="DI21" s="64"/>
      <c r="DJ21" s="64"/>
      <c r="DK21" s="64"/>
      <c r="DL21" s="64"/>
      <c r="DM21" s="64"/>
      <c r="DN21" s="64"/>
      <c r="DO21" s="64"/>
      <c r="DP21" s="64"/>
      <c r="DQ21" s="64"/>
      <c r="DR21" s="64"/>
      <c r="DS21" s="64"/>
      <c r="DT21" s="64"/>
      <c r="DU21" s="64"/>
      <c r="DV21" s="64"/>
      <c r="DW21" s="64"/>
      <c r="DX21" s="64"/>
      <c r="DY21" s="64"/>
      <c r="DZ21" s="64"/>
      <c r="EA21" s="64"/>
      <c r="EB21" s="64"/>
      <c r="EC21" s="64"/>
      <c r="ED21" s="64"/>
      <c r="EE21" s="64"/>
      <c r="EF21" s="64"/>
      <c r="EG21" s="64"/>
      <c r="EH21" s="64"/>
      <c r="EI21" s="64"/>
      <c r="EJ21" s="64"/>
      <c r="EK21" s="64"/>
      <c r="EL21" s="64"/>
    </row>
    <row r="22" spans="1:142" s="59" customFormat="1">
      <c r="A22" s="188"/>
      <c r="B22" s="481" t="s">
        <v>389</v>
      </c>
      <c r="C22" s="317"/>
      <c r="D22" s="454"/>
      <c r="E22" s="454">
        <f ca="1">E9</f>
        <v>8130.3478959825525</v>
      </c>
      <c r="F22" s="454">
        <f t="shared" ref="F22:AH22" ca="1" si="4">F9</f>
        <v>14528.124336018236</v>
      </c>
      <c r="G22" s="454">
        <f t="shared" ca="1" si="4"/>
        <v>8337.4788820076592</v>
      </c>
      <c r="H22" s="454">
        <f t="shared" ca="1" si="4"/>
        <v>4620.0060960551309</v>
      </c>
      <c r="I22" s="454">
        <f t="shared" ca="1" si="4"/>
        <v>4582.5696499381138</v>
      </c>
      <c r="J22" s="454">
        <f t="shared" ca="1" si="4"/>
        <v>1652.5529865337003</v>
      </c>
      <c r="K22" s="454">
        <f t="shared" ca="1" si="4"/>
        <v>-1002.2276067442903</v>
      </c>
      <c r="L22" s="454">
        <f t="shared" ca="1" si="4"/>
        <v>-1065.1815464243418</v>
      </c>
      <c r="M22" s="454">
        <f t="shared" ca="1" si="4"/>
        <v>-1130.7591403477268</v>
      </c>
      <c r="N22" s="454">
        <f t="shared" ca="1" si="4"/>
        <v>-1232.9622106972538</v>
      </c>
      <c r="O22" s="454">
        <f t="shared" ca="1" si="4"/>
        <v>-1346.8425121585144</v>
      </c>
      <c r="P22" s="454">
        <f t="shared" ca="1" si="4"/>
        <v>-1480.2637608263667</v>
      </c>
      <c r="Q22" s="454">
        <f t="shared" ca="1" si="4"/>
        <v>-1623.8589583138555</v>
      </c>
      <c r="R22" s="454">
        <f t="shared" ca="1" si="4"/>
        <v>-1694.2499758419747</v>
      </c>
      <c r="S22" s="454">
        <f t="shared" ca="1" si="4"/>
        <v>-1766.4812923548197</v>
      </c>
      <c r="T22" s="454">
        <f t="shared" ca="1" si="4"/>
        <v>-1807.0687665067126</v>
      </c>
      <c r="U22" s="454">
        <f t="shared" ca="1" si="4"/>
        <v>-1914.080357614971</v>
      </c>
      <c r="V22" s="454">
        <f t="shared" ca="1" si="4"/>
        <v>-2044.6694898521689</v>
      </c>
      <c r="W22" s="454">
        <f t="shared" ca="1" si="4"/>
        <v>-2226.8895526355495</v>
      </c>
      <c r="X22" s="454">
        <f t="shared" ca="1" si="4"/>
        <v>-2197.1970719694887</v>
      </c>
      <c r="Y22" s="454">
        <f t="shared" ca="1" si="4"/>
        <v>-6.4551941196062392</v>
      </c>
      <c r="Z22" s="454">
        <f t="shared" ca="1" si="4"/>
        <v>0</v>
      </c>
      <c r="AA22" s="454">
        <f t="shared" ca="1" si="4"/>
        <v>0</v>
      </c>
      <c r="AB22" s="454">
        <f t="shared" ca="1" si="4"/>
        <v>0</v>
      </c>
      <c r="AC22" s="454">
        <f t="shared" ca="1" si="4"/>
        <v>0</v>
      </c>
      <c r="AD22" s="454">
        <f t="shared" ca="1" si="4"/>
        <v>0</v>
      </c>
      <c r="AE22" s="454">
        <f t="shared" ca="1" si="4"/>
        <v>0</v>
      </c>
      <c r="AF22" s="454">
        <f t="shared" ca="1" si="4"/>
        <v>0</v>
      </c>
      <c r="AG22" s="454">
        <f t="shared" ca="1" si="4"/>
        <v>0</v>
      </c>
      <c r="AH22" s="454">
        <f t="shared" ca="1" si="4"/>
        <v>0</v>
      </c>
      <c r="AI22" s="486">
        <f ca="1">AI9</f>
        <v>0</v>
      </c>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3"/>
      <c r="BM22" s="64"/>
      <c r="BN22" s="64"/>
      <c r="BO22" s="64"/>
      <c r="BP22" s="64"/>
      <c r="BQ22" s="64"/>
      <c r="BR22" s="64"/>
      <c r="BS22" s="64"/>
      <c r="BT22" s="64"/>
      <c r="BU22" s="64"/>
      <c r="BV22" s="64"/>
      <c r="BW22" s="64"/>
      <c r="BX22" s="64"/>
      <c r="BY22" s="64"/>
      <c r="BZ22" s="64"/>
      <c r="CA22" s="64"/>
      <c r="CB22" s="64"/>
      <c r="CC22" s="64"/>
      <c r="CD22" s="64"/>
      <c r="CE22" s="64"/>
      <c r="CF22" s="64"/>
      <c r="CG22" s="64"/>
      <c r="CH22" s="64"/>
      <c r="CI22" s="64"/>
      <c r="CJ22" s="64"/>
      <c r="CK22" s="64"/>
      <c r="CL22" s="64"/>
      <c r="CM22" s="64"/>
      <c r="CN22" s="64"/>
      <c r="CO22" s="64"/>
      <c r="CP22" s="64"/>
      <c r="CQ22" s="64"/>
      <c r="CR22" s="64"/>
      <c r="CS22" s="64"/>
      <c r="CT22" s="64"/>
      <c r="CU22" s="64"/>
      <c r="CV22" s="64"/>
      <c r="CW22" s="64"/>
      <c r="CX22" s="64"/>
      <c r="CY22" s="64"/>
      <c r="CZ22" s="64"/>
      <c r="DA22" s="64"/>
      <c r="DB22" s="64"/>
      <c r="DC22" s="64"/>
      <c r="DD22" s="64"/>
      <c r="DE22" s="64"/>
      <c r="DF22" s="64"/>
      <c r="DG22" s="64"/>
      <c r="DH22" s="64"/>
      <c r="DI22" s="64"/>
      <c r="DJ22" s="64"/>
      <c r="DK22" s="64"/>
      <c r="DL22" s="64"/>
      <c r="DM22" s="64"/>
      <c r="DN22" s="64"/>
      <c r="DO22" s="64"/>
      <c r="DP22" s="64"/>
      <c r="DQ22" s="64"/>
      <c r="DR22" s="64"/>
      <c r="DS22" s="64"/>
      <c r="DT22" s="64"/>
      <c r="DU22" s="64"/>
      <c r="DV22" s="64"/>
      <c r="DW22" s="64"/>
      <c r="DX22" s="64"/>
      <c r="DY22" s="64"/>
      <c r="DZ22" s="64"/>
      <c r="EA22" s="64"/>
      <c r="EB22" s="64"/>
      <c r="EC22" s="64"/>
      <c r="ED22" s="64"/>
      <c r="EE22" s="64"/>
      <c r="EF22" s="64"/>
      <c r="EG22" s="64"/>
      <c r="EH22" s="64"/>
      <c r="EI22" s="64"/>
      <c r="EJ22" s="64"/>
      <c r="EK22" s="64"/>
      <c r="EL22" s="64"/>
    </row>
    <row r="23" spans="1:142" s="59" customFormat="1" ht="13.5" thickBot="1">
      <c r="A23" s="188"/>
      <c r="B23" s="482" t="s">
        <v>83</v>
      </c>
      <c r="C23" s="490"/>
      <c r="D23" s="484"/>
      <c r="E23" s="484">
        <f t="shared" ref="E23:AH23" si="5">E14</f>
        <v>8333.7709653000002</v>
      </c>
      <c r="F23" s="484">
        <f t="shared" si="5"/>
        <v>8356.9848120000006</v>
      </c>
      <c r="G23" s="484">
        <f t="shared" si="5"/>
        <v>8356.9848120000006</v>
      </c>
      <c r="H23" s="484">
        <f t="shared" si="5"/>
        <v>8821.2617459999983</v>
      </c>
      <c r="I23" s="484">
        <f t="shared" si="5"/>
        <v>8821.2617459999983</v>
      </c>
      <c r="J23" s="484">
        <f t="shared" si="5"/>
        <v>8821.2617459999983</v>
      </c>
      <c r="K23" s="484">
        <f t="shared" si="5"/>
        <v>9285.5386799999997</v>
      </c>
      <c r="L23" s="484">
        <f t="shared" si="5"/>
        <v>9285.5386799999997</v>
      </c>
      <c r="M23" s="484">
        <f t="shared" si="5"/>
        <v>9749.8156139999992</v>
      </c>
      <c r="N23" s="484">
        <f t="shared" si="5"/>
        <v>9749.8156139999992</v>
      </c>
      <c r="O23" s="484">
        <f t="shared" si="5"/>
        <v>28.372479299999899</v>
      </c>
      <c r="P23" s="484">
        <f t="shared" si="5"/>
        <v>0</v>
      </c>
      <c r="Q23" s="484">
        <f t="shared" si="5"/>
        <v>0</v>
      </c>
      <c r="R23" s="484">
        <f t="shared" si="5"/>
        <v>0</v>
      </c>
      <c r="S23" s="484">
        <f t="shared" si="5"/>
        <v>0</v>
      </c>
      <c r="T23" s="484">
        <f t="shared" si="5"/>
        <v>0</v>
      </c>
      <c r="U23" s="484">
        <f t="shared" si="5"/>
        <v>0</v>
      </c>
      <c r="V23" s="484">
        <f t="shared" si="5"/>
        <v>0</v>
      </c>
      <c r="W23" s="484">
        <f t="shared" si="5"/>
        <v>0</v>
      </c>
      <c r="X23" s="484">
        <f t="shared" si="5"/>
        <v>0</v>
      </c>
      <c r="Y23" s="484">
        <f t="shared" si="5"/>
        <v>0</v>
      </c>
      <c r="Z23" s="484">
        <f t="shared" si="5"/>
        <v>0</v>
      </c>
      <c r="AA23" s="484">
        <f t="shared" si="5"/>
        <v>0</v>
      </c>
      <c r="AB23" s="484">
        <f t="shared" si="5"/>
        <v>0</v>
      </c>
      <c r="AC23" s="484">
        <f t="shared" si="5"/>
        <v>0</v>
      </c>
      <c r="AD23" s="484">
        <f t="shared" si="5"/>
        <v>0</v>
      </c>
      <c r="AE23" s="484">
        <f t="shared" si="5"/>
        <v>0</v>
      </c>
      <c r="AF23" s="484">
        <f t="shared" si="5"/>
        <v>0</v>
      </c>
      <c r="AG23" s="484">
        <f t="shared" si="5"/>
        <v>0</v>
      </c>
      <c r="AH23" s="484">
        <f t="shared" si="5"/>
        <v>0</v>
      </c>
      <c r="AI23" s="485">
        <f>AI14</f>
        <v>0</v>
      </c>
      <c r="AJ23" s="236"/>
      <c r="AK23" s="236"/>
      <c r="AL23" s="236"/>
      <c r="AM23" s="236"/>
      <c r="AN23" s="236"/>
      <c r="AO23" s="236"/>
      <c r="AP23" s="236"/>
      <c r="AQ23" s="236"/>
      <c r="AR23" s="236"/>
      <c r="AS23" s="236"/>
      <c r="AT23" s="236"/>
      <c r="AU23" s="236"/>
      <c r="AV23" s="236"/>
      <c r="AW23" s="236"/>
      <c r="AX23" s="236"/>
      <c r="AY23" s="236"/>
      <c r="AZ23" s="236"/>
      <c r="BA23" s="236"/>
      <c r="BB23" s="236"/>
      <c r="BC23" s="236"/>
      <c r="BD23" s="236"/>
      <c r="BE23" s="236"/>
      <c r="BF23" s="236"/>
      <c r="BG23" s="236"/>
      <c r="BH23" s="236"/>
      <c r="BI23" s="236"/>
      <c r="BJ23" s="236"/>
      <c r="BK23" s="236"/>
      <c r="BL23" s="236"/>
      <c r="BM23" s="236"/>
      <c r="BN23" s="236"/>
      <c r="BO23" s="236"/>
      <c r="BP23" s="236"/>
      <c r="BQ23" s="236"/>
      <c r="BR23" s="236"/>
      <c r="BS23" s="236"/>
      <c r="BT23" s="236"/>
      <c r="BU23" s="236"/>
      <c r="BV23" s="236"/>
      <c r="BW23" s="236"/>
      <c r="BX23" s="236"/>
      <c r="BY23" s="236"/>
      <c r="BZ23" s="236"/>
      <c r="CA23" s="236"/>
      <c r="CB23" s="236"/>
      <c r="CC23" s="236"/>
      <c r="CD23" s="236"/>
      <c r="CE23" s="236"/>
      <c r="CF23" s="236"/>
      <c r="CG23" s="236"/>
      <c r="CH23" s="236"/>
      <c r="CI23" s="236"/>
      <c r="CJ23" s="236"/>
      <c r="CK23" s="236"/>
      <c r="CL23" s="236"/>
      <c r="CM23" s="236"/>
      <c r="CN23" s="236"/>
      <c r="CO23" s="236"/>
      <c r="CP23" s="236"/>
      <c r="CQ23" s="236"/>
      <c r="CR23" s="236"/>
      <c r="CS23" s="236"/>
      <c r="CT23" s="236"/>
      <c r="CU23" s="236"/>
      <c r="CV23" s="236"/>
      <c r="CW23" s="236"/>
      <c r="CX23" s="236"/>
      <c r="CY23" s="236"/>
      <c r="CZ23" s="236"/>
      <c r="DA23" s="236"/>
      <c r="DB23" s="236"/>
      <c r="DC23" s="236"/>
      <c r="DD23" s="236"/>
      <c r="DE23" s="236"/>
      <c r="DF23" s="236"/>
      <c r="DG23" s="236"/>
      <c r="DH23" s="236"/>
      <c r="DI23" s="236"/>
      <c r="DJ23" s="236"/>
      <c r="DK23" s="236"/>
      <c r="DL23" s="236"/>
      <c r="DM23" s="236"/>
      <c r="DN23" s="236"/>
      <c r="DO23" s="236"/>
      <c r="DP23" s="236"/>
      <c r="DQ23" s="236"/>
      <c r="DR23" s="236"/>
      <c r="DS23" s="236"/>
      <c r="DT23" s="236"/>
      <c r="DU23" s="236"/>
      <c r="DV23" s="236"/>
      <c r="DW23" s="236"/>
      <c r="DX23" s="236"/>
      <c r="DY23" s="236"/>
      <c r="DZ23" s="236"/>
      <c r="EA23" s="236"/>
      <c r="EB23" s="236"/>
      <c r="EC23" s="236"/>
      <c r="ED23" s="236"/>
      <c r="EE23" s="236"/>
      <c r="EF23" s="236"/>
      <c r="EG23" s="236"/>
      <c r="EH23" s="236"/>
      <c r="EI23" s="236"/>
      <c r="EJ23" s="236"/>
      <c r="EK23" s="236"/>
      <c r="EL23" s="236"/>
    </row>
    <row r="24" spans="1:142" s="59" customFormat="1" ht="13.5" thickTop="1">
      <c r="A24" s="188"/>
      <c r="B24" s="250"/>
      <c r="C24" s="317"/>
      <c r="D24" s="255"/>
      <c r="E24" s="255"/>
      <c r="F24" s="255"/>
      <c r="G24" s="255"/>
      <c r="H24" s="255"/>
      <c r="I24" s="255"/>
      <c r="J24" s="255"/>
      <c r="K24" s="255"/>
      <c r="L24" s="255"/>
      <c r="M24" s="255"/>
      <c r="N24" s="255"/>
      <c r="O24" s="255"/>
      <c r="P24" s="255"/>
      <c r="Q24" s="255"/>
      <c r="R24" s="255"/>
      <c r="S24" s="255"/>
      <c r="T24" s="255"/>
      <c r="U24" s="255"/>
      <c r="V24" s="255"/>
      <c r="W24" s="255"/>
      <c r="X24" s="255"/>
      <c r="Y24" s="255"/>
      <c r="Z24" s="255"/>
      <c r="AA24" s="255"/>
      <c r="AB24" s="255"/>
      <c r="AC24" s="255"/>
      <c r="AD24" s="255"/>
      <c r="AE24" s="255"/>
      <c r="AF24" s="255"/>
      <c r="AG24" s="255"/>
      <c r="AH24" s="255"/>
      <c r="AI24" s="257"/>
      <c r="AJ24" s="64"/>
      <c r="AK24" s="64"/>
      <c r="AL24" s="64"/>
      <c r="AM24" s="64"/>
      <c r="AN24" s="64"/>
      <c r="AO24" s="64"/>
      <c r="AP24" s="64"/>
      <c r="AQ24" s="64"/>
      <c r="AR24" s="64"/>
      <c r="AS24" s="64"/>
      <c r="AT24" s="64"/>
      <c r="AU24" s="64"/>
      <c r="AV24" s="64"/>
      <c r="AW24" s="64"/>
      <c r="AX24" s="64"/>
      <c r="AY24" s="64"/>
      <c r="AZ24" s="64"/>
      <c r="BA24" s="64"/>
      <c r="BB24" s="64"/>
      <c r="BC24" s="64"/>
      <c r="BD24" s="64"/>
      <c r="BE24" s="64"/>
      <c r="BF24" s="64"/>
      <c r="BG24" s="64"/>
      <c r="BH24" s="64"/>
      <c r="BI24" s="64"/>
      <c r="BJ24" s="64"/>
      <c r="BK24" s="64"/>
      <c r="BL24" s="64"/>
      <c r="BM24" s="64"/>
      <c r="BN24" s="64"/>
      <c r="BO24" s="64"/>
      <c r="BP24" s="64"/>
      <c r="BQ24" s="64"/>
      <c r="BR24" s="64"/>
      <c r="BS24" s="64"/>
      <c r="BT24" s="64"/>
      <c r="BU24" s="64"/>
      <c r="BV24" s="64"/>
      <c r="BW24" s="64"/>
      <c r="BX24" s="64"/>
      <c r="BY24" s="64"/>
      <c r="BZ24" s="64"/>
      <c r="CA24" s="64"/>
      <c r="CB24" s="64"/>
      <c r="CC24" s="64"/>
      <c r="CD24" s="64"/>
      <c r="CE24" s="64"/>
      <c r="CF24" s="64"/>
      <c r="CG24" s="64"/>
      <c r="CH24" s="64"/>
      <c r="CI24" s="64"/>
      <c r="CJ24" s="64"/>
      <c r="CK24" s="64"/>
      <c r="CL24" s="64"/>
      <c r="CM24" s="64"/>
      <c r="CN24" s="64"/>
      <c r="CO24" s="64"/>
      <c r="CP24" s="64"/>
      <c r="CQ24" s="64"/>
      <c r="CR24" s="64"/>
      <c r="CS24" s="64"/>
      <c r="CT24" s="64"/>
      <c r="CU24" s="64"/>
      <c r="CV24" s="64"/>
      <c r="CW24" s="64"/>
      <c r="CX24" s="64"/>
      <c r="CY24" s="64"/>
      <c r="CZ24" s="64"/>
      <c r="DA24" s="64"/>
      <c r="DB24" s="64"/>
      <c r="DC24" s="64"/>
      <c r="DD24" s="64"/>
      <c r="DE24" s="64"/>
      <c r="DF24" s="64"/>
      <c r="DG24" s="64"/>
      <c r="DH24" s="64"/>
      <c r="DI24" s="64"/>
      <c r="DJ24" s="64"/>
      <c r="DK24" s="64"/>
      <c r="DL24" s="64"/>
      <c r="DM24" s="64"/>
      <c r="DN24" s="64"/>
      <c r="DO24" s="64"/>
      <c r="DP24" s="64"/>
      <c r="DQ24" s="64"/>
      <c r="DR24" s="64"/>
      <c r="DS24" s="64"/>
      <c r="DT24" s="64"/>
      <c r="DU24" s="64"/>
      <c r="DV24" s="64"/>
      <c r="DW24" s="64"/>
      <c r="DX24" s="64"/>
      <c r="DY24" s="64"/>
      <c r="DZ24" s="64"/>
      <c r="EA24" s="64"/>
      <c r="EB24" s="64"/>
      <c r="EC24" s="64"/>
      <c r="ED24" s="64"/>
      <c r="EE24" s="64"/>
      <c r="EF24" s="64"/>
      <c r="EG24" s="64"/>
      <c r="EH24" s="64"/>
      <c r="EI24" s="64"/>
      <c r="EJ24" s="64"/>
      <c r="EK24" s="64"/>
      <c r="EL24" s="64"/>
    </row>
    <row r="25" spans="1:142" s="59" customFormat="1">
      <c r="A25" s="188"/>
      <c r="B25" s="480" t="s">
        <v>128</v>
      </c>
      <c r="C25" s="317"/>
      <c r="D25" s="440">
        <f ca="1">SUM(D19:D20)</f>
        <v>-90426.917784397752</v>
      </c>
      <c r="E25" s="470">
        <f>E21</f>
        <v>1965.3586728442081</v>
      </c>
      <c r="F25" s="470">
        <f t="shared" ref="F25:AH25" si="6">F21</f>
        <v>1465.6877185675075</v>
      </c>
      <c r="G25" s="470">
        <f t="shared" si="6"/>
        <v>1477.1763341366304</v>
      </c>
      <c r="H25" s="470">
        <f t="shared" si="6"/>
        <v>1466.5599646923833</v>
      </c>
      <c r="I25" s="470">
        <f t="shared" si="6"/>
        <v>1455.7138525740093</v>
      </c>
      <c r="J25" s="470">
        <f t="shared" si="6"/>
        <v>1539.6916850812433</v>
      </c>
      <c r="K25" s="470">
        <f t="shared" si="6"/>
        <v>1417.3799223601231</v>
      </c>
      <c r="L25" s="470">
        <f t="shared" si="6"/>
        <v>1415.7056606128201</v>
      </c>
      <c r="M25" s="470">
        <f t="shared" si="6"/>
        <v>1413.416990503126</v>
      </c>
      <c r="N25" s="470">
        <f t="shared" si="6"/>
        <v>1432.6330518407108</v>
      </c>
      <c r="O25" s="470">
        <f t="shared" si="6"/>
        <v>1455.4741409941637</v>
      </c>
      <c r="P25" s="470">
        <f t="shared" si="6"/>
        <v>1481.2801684258877</v>
      </c>
      <c r="Q25" s="470">
        <f t="shared" si="6"/>
        <v>1511.8535237791871</v>
      </c>
      <c r="R25" s="470">
        <f t="shared" si="6"/>
        <v>1480.2180650526552</v>
      </c>
      <c r="S25" s="470">
        <f t="shared" si="6"/>
        <v>1444.8707947198545</v>
      </c>
      <c r="T25" s="470">
        <f t="shared" si="6"/>
        <v>1376.8866964173005</v>
      </c>
      <c r="U25" s="470">
        <f t="shared" si="6"/>
        <v>1356.6560097619861</v>
      </c>
      <c r="V25" s="470">
        <f t="shared" si="6"/>
        <v>2297.3153547980874</v>
      </c>
      <c r="W25" s="470">
        <f t="shared" si="6"/>
        <v>5758.7686803056968</v>
      </c>
      <c r="X25" s="470">
        <f t="shared" si="6"/>
        <v>6376.1020882305602</v>
      </c>
      <c r="Y25" s="470">
        <f t="shared" si="6"/>
        <v>16.676075902401628</v>
      </c>
      <c r="Z25" s="470">
        <f t="shared" si="6"/>
        <v>0</v>
      </c>
      <c r="AA25" s="470">
        <f t="shared" si="6"/>
        <v>0</v>
      </c>
      <c r="AB25" s="470">
        <f t="shared" si="6"/>
        <v>0</v>
      </c>
      <c r="AC25" s="470">
        <f t="shared" si="6"/>
        <v>0</v>
      </c>
      <c r="AD25" s="470">
        <f t="shared" si="6"/>
        <v>0</v>
      </c>
      <c r="AE25" s="470">
        <f t="shared" si="6"/>
        <v>0</v>
      </c>
      <c r="AF25" s="470">
        <f t="shared" si="6"/>
        <v>0</v>
      </c>
      <c r="AG25" s="470">
        <f t="shared" si="6"/>
        <v>0</v>
      </c>
      <c r="AH25" s="470">
        <f t="shared" si="6"/>
        <v>0</v>
      </c>
      <c r="AI25" s="618">
        <f>AI21</f>
        <v>0</v>
      </c>
      <c r="AJ25" s="64"/>
      <c r="AK25" s="64"/>
      <c r="AL25" s="64"/>
      <c r="AM25" s="64"/>
      <c r="AN25" s="64"/>
      <c r="AO25" s="64"/>
      <c r="AP25" s="64"/>
      <c r="AQ25" s="64"/>
      <c r="AR25" s="64"/>
      <c r="AS25" s="64"/>
      <c r="AT25" s="64"/>
      <c r="AU25" s="64"/>
      <c r="AV25" s="64"/>
      <c r="AW25" s="64"/>
      <c r="AX25" s="64"/>
      <c r="AY25" s="64"/>
      <c r="AZ25" s="64"/>
      <c r="BA25" s="64"/>
      <c r="BB25" s="64"/>
      <c r="BC25" s="64"/>
      <c r="BD25" s="64"/>
      <c r="BE25" s="64"/>
      <c r="BF25" s="64"/>
      <c r="BG25" s="64"/>
      <c r="BH25" s="64"/>
      <c r="BI25" s="64"/>
      <c r="BJ25" s="64"/>
      <c r="BK25" s="64"/>
      <c r="BL25" s="64"/>
      <c r="BM25" s="64"/>
      <c r="BN25" s="64"/>
      <c r="BO25" s="64"/>
      <c r="BP25" s="64"/>
      <c r="BQ25" s="64"/>
      <c r="BR25" s="64"/>
      <c r="BS25" s="64"/>
      <c r="BT25" s="64"/>
      <c r="BU25" s="64"/>
      <c r="BV25" s="64"/>
      <c r="BW25" s="64"/>
      <c r="BX25" s="64"/>
      <c r="BY25" s="64"/>
      <c r="BZ25" s="64"/>
      <c r="CA25" s="64"/>
      <c r="CB25" s="64"/>
      <c r="CC25" s="64"/>
      <c r="CD25" s="64"/>
      <c r="CE25" s="64"/>
      <c r="CF25" s="64"/>
      <c r="CG25" s="64"/>
      <c r="CH25" s="64"/>
      <c r="CI25" s="64"/>
      <c r="CJ25" s="64"/>
      <c r="CK25" s="64"/>
      <c r="CL25" s="64"/>
      <c r="CM25" s="64"/>
      <c r="CN25" s="64"/>
      <c r="CO25" s="64"/>
      <c r="CP25" s="64"/>
      <c r="CQ25" s="64"/>
      <c r="CR25" s="64"/>
      <c r="CS25" s="64"/>
      <c r="CT25" s="64"/>
      <c r="CU25" s="64"/>
      <c r="CV25" s="64"/>
      <c r="CW25" s="64"/>
      <c r="CX25" s="64"/>
      <c r="CY25" s="64"/>
      <c r="CZ25" s="64"/>
      <c r="DA25" s="64"/>
      <c r="DB25" s="64"/>
      <c r="DC25" s="64"/>
      <c r="DD25" s="64"/>
      <c r="DE25" s="64"/>
      <c r="DF25" s="64"/>
      <c r="DG25" s="64"/>
      <c r="DH25" s="64"/>
      <c r="DI25" s="64"/>
      <c r="DJ25" s="64"/>
      <c r="DK25" s="64"/>
      <c r="DL25" s="64"/>
      <c r="DM25" s="64"/>
      <c r="DN25" s="64"/>
      <c r="DO25" s="64"/>
      <c r="DP25" s="64"/>
      <c r="DQ25" s="64"/>
      <c r="DR25" s="64"/>
      <c r="DS25" s="64"/>
      <c r="DT25" s="64"/>
      <c r="DU25" s="64"/>
      <c r="DV25" s="64"/>
      <c r="DW25" s="64"/>
      <c r="DX25" s="64"/>
      <c r="DY25" s="64"/>
      <c r="DZ25" s="64"/>
      <c r="EA25" s="64"/>
      <c r="EB25" s="64"/>
      <c r="EC25" s="64"/>
      <c r="ED25" s="64"/>
      <c r="EE25" s="64"/>
      <c r="EF25" s="64"/>
      <c r="EG25" s="64"/>
      <c r="EH25" s="64"/>
      <c r="EI25" s="64"/>
      <c r="EJ25" s="64"/>
      <c r="EK25" s="64"/>
      <c r="EL25" s="64"/>
    </row>
    <row r="26" spans="1:142" s="59" customFormat="1">
      <c r="A26" s="188"/>
      <c r="B26" s="498" t="s">
        <v>129</v>
      </c>
      <c r="C26" s="317"/>
      <c r="D26" s="255">
        <f ca="1">D25</f>
        <v>-90426.917784397752</v>
      </c>
      <c r="E26" s="255">
        <f t="shared" ref="E26:AI26" ca="1" si="7">D26+E25</f>
        <v>-88461.55911155355</v>
      </c>
      <c r="F26" s="255">
        <f t="shared" ca="1" si="7"/>
        <v>-86995.871392986039</v>
      </c>
      <c r="G26" s="255">
        <f t="shared" ca="1" si="7"/>
        <v>-85518.695058849407</v>
      </c>
      <c r="H26" s="255">
        <f t="shared" ca="1" si="7"/>
        <v>-84052.135094157027</v>
      </c>
      <c r="I26" s="255">
        <f t="shared" ca="1" si="7"/>
        <v>-82596.421241583012</v>
      </c>
      <c r="J26" s="255">
        <f t="shared" ca="1" si="7"/>
        <v>-81056.72955650177</v>
      </c>
      <c r="K26" s="255">
        <f t="shared" ca="1" si="7"/>
        <v>-79639.349634141647</v>
      </c>
      <c r="L26" s="255">
        <f t="shared" ca="1" si="7"/>
        <v>-78223.64397352883</v>
      </c>
      <c r="M26" s="255">
        <f t="shared" ca="1" si="7"/>
        <v>-76810.226983025699</v>
      </c>
      <c r="N26" s="255">
        <f t="shared" ca="1" si="7"/>
        <v>-75377.593931184994</v>
      </c>
      <c r="O26" s="255">
        <f t="shared" ca="1" si="7"/>
        <v>-73922.119790190831</v>
      </c>
      <c r="P26" s="255">
        <f t="shared" ca="1" si="7"/>
        <v>-72440.839621764942</v>
      </c>
      <c r="Q26" s="255">
        <f t="shared" ca="1" si="7"/>
        <v>-70928.986097985762</v>
      </c>
      <c r="R26" s="255">
        <f t="shared" ca="1" si="7"/>
        <v>-69448.768032933105</v>
      </c>
      <c r="S26" s="255">
        <f t="shared" ca="1" si="7"/>
        <v>-68003.897238213249</v>
      </c>
      <c r="T26" s="255">
        <f t="shared" ca="1" si="7"/>
        <v>-66627.010541795942</v>
      </c>
      <c r="U26" s="255">
        <f t="shared" ca="1" si="7"/>
        <v>-65270.354532033954</v>
      </c>
      <c r="V26" s="255">
        <f t="shared" ca="1" si="7"/>
        <v>-62973.039177235871</v>
      </c>
      <c r="W26" s="255">
        <f t="shared" ca="1" si="7"/>
        <v>-57214.27049693017</v>
      </c>
      <c r="X26" s="255">
        <f t="shared" ca="1" si="7"/>
        <v>-50838.16840869961</v>
      </c>
      <c r="Y26" s="255">
        <f t="shared" ca="1" si="7"/>
        <v>-50821.492332797206</v>
      </c>
      <c r="Z26" s="255">
        <f t="shared" ca="1" si="7"/>
        <v>-50821.492332797206</v>
      </c>
      <c r="AA26" s="255">
        <f t="shared" ca="1" si="7"/>
        <v>-50821.492332797206</v>
      </c>
      <c r="AB26" s="255">
        <f t="shared" ca="1" si="7"/>
        <v>-50821.492332797206</v>
      </c>
      <c r="AC26" s="255">
        <f t="shared" ca="1" si="7"/>
        <v>-50821.492332797206</v>
      </c>
      <c r="AD26" s="255">
        <f t="shared" ca="1" si="7"/>
        <v>-50821.492332797206</v>
      </c>
      <c r="AE26" s="255">
        <f t="shared" ca="1" si="7"/>
        <v>-50821.492332797206</v>
      </c>
      <c r="AF26" s="255">
        <f t="shared" ca="1" si="7"/>
        <v>-50821.492332797206</v>
      </c>
      <c r="AG26" s="255">
        <f t="shared" ca="1" si="7"/>
        <v>-50821.492332797206</v>
      </c>
      <c r="AH26" s="255">
        <f t="shared" ca="1" si="7"/>
        <v>-50821.492332797206</v>
      </c>
      <c r="AI26" s="257">
        <f t="shared" ca="1" si="7"/>
        <v>-50821.492332797206</v>
      </c>
      <c r="AJ26" s="64"/>
      <c r="AK26" s="64"/>
      <c r="AL26" s="64"/>
      <c r="AM26" s="64"/>
      <c r="AN26" s="64"/>
      <c r="AO26" s="64"/>
      <c r="AP26" s="64"/>
      <c r="AQ26" s="64"/>
      <c r="AR26" s="64"/>
      <c r="AS26" s="64"/>
      <c r="AT26" s="64"/>
      <c r="AU26" s="64"/>
      <c r="AV26" s="64"/>
      <c r="AW26" s="64"/>
      <c r="AX26" s="64"/>
      <c r="AY26" s="64"/>
      <c r="AZ26" s="64"/>
      <c r="BA26" s="64"/>
      <c r="BB26" s="64"/>
      <c r="BC26" s="64"/>
      <c r="BD26" s="64"/>
      <c r="BE26" s="64"/>
      <c r="BF26" s="64"/>
      <c r="BG26" s="64"/>
      <c r="BH26" s="64"/>
      <c r="BI26" s="64"/>
      <c r="BJ26" s="64"/>
      <c r="BK26" s="64"/>
      <c r="BL26" s="64"/>
      <c r="BM26" s="64"/>
      <c r="BN26" s="64"/>
      <c r="BO26" s="64"/>
      <c r="BP26" s="64"/>
      <c r="BQ26" s="64"/>
      <c r="BR26" s="64"/>
      <c r="BS26" s="64"/>
      <c r="BT26" s="64"/>
      <c r="BU26" s="64"/>
      <c r="BV26" s="64"/>
      <c r="BW26" s="64"/>
      <c r="BX26" s="64"/>
      <c r="BY26" s="64"/>
      <c r="BZ26" s="64"/>
      <c r="CA26" s="64"/>
      <c r="CB26" s="64"/>
      <c r="CC26" s="64"/>
      <c r="CD26" s="64"/>
      <c r="CE26" s="64"/>
      <c r="CF26" s="64"/>
      <c r="CG26" s="64"/>
      <c r="CH26" s="64"/>
      <c r="CI26" s="64"/>
      <c r="CJ26" s="64"/>
      <c r="CK26" s="64"/>
      <c r="CL26" s="64"/>
      <c r="CM26" s="64"/>
      <c r="CN26" s="64"/>
      <c r="CO26" s="64"/>
      <c r="CP26" s="64"/>
      <c r="CQ26" s="64"/>
      <c r="CR26" s="64"/>
      <c r="CS26" s="64"/>
      <c r="CT26" s="64"/>
      <c r="CU26" s="64"/>
      <c r="CV26" s="64"/>
      <c r="CW26" s="64"/>
      <c r="CX26" s="64"/>
      <c r="CY26" s="64"/>
      <c r="CZ26" s="64"/>
      <c r="DA26" s="64"/>
      <c r="DB26" s="64"/>
      <c r="DC26" s="64"/>
      <c r="DD26" s="64"/>
      <c r="DE26" s="64"/>
      <c r="DF26" s="64"/>
      <c r="DG26" s="64"/>
      <c r="DH26" s="64"/>
      <c r="DI26" s="64"/>
      <c r="DJ26" s="64"/>
      <c r="DK26" s="64"/>
      <c r="DL26" s="64"/>
      <c r="DM26" s="64"/>
      <c r="DN26" s="64"/>
      <c r="DO26" s="64"/>
      <c r="DP26" s="64"/>
      <c r="DQ26" s="64"/>
      <c r="DR26" s="64"/>
      <c r="DS26" s="64"/>
      <c r="DT26" s="64"/>
      <c r="DU26" s="64"/>
      <c r="DV26" s="64"/>
      <c r="DW26" s="64"/>
      <c r="DX26" s="64"/>
      <c r="DY26" s="64"/>
      <c r="DZ26" s="64"/>
      <c r="EA26" s="64"/>
      <c r="EB26" s="64"/>
      <c r="EC26" s="64"/>
      <c r="ED26" s="64"/>
      <c r="EE26" s="64"/>
      <c r="EF26" s="64"/>
      <c r="EG26" s="64"/>
      <c r="EH26" s="64"/>
      <c r="EI26" s="64"/>
      <c r="EJ26" s="64"/>
      <c r="EK26" s="64"/>
      <c r="EL26" s="64"/>
    </row>
    <row r="27" spans="1:142" s="59" customFormat="1">
      <c r="A27" s="188"/>
      <c r="B27" s="250"/>
      <c r="C27" s="317"/>
      <c r="D27" s="255"/>
      <c r="E27" s="255"/>
      <c r="F27" s="255"/>
      <c r="G27" s="255"/>
      <c r="H27" s="255"/>
      <c r="I27" s="255"/>
      <c r="J27" s="255"/>
      <c r="K27" s="255"/>
      <c r="L27" s="255"/>
      <c r="M27" s="255"/>
      <c r="N27" s="255"/>
      <c r="O27" s="255"/>
      <c r="P27" s="255"/>
      <c r="Q27" s="255"/>
      <c r="R27" s="255"/>
      <c r="S27" s="255"/>
      <c r="T27" s="255"/>
      <c r="U27" s="255"/>
      <c r="V27" s="255"/>
      <c r="W27" s="255"/>
      <c r="X27" s="255"/>
      <c r="Y27" s="255"/>
      <c r="Z27" s="255"/>
      <c r="AA27" s="255"/>
      <c r="AB27" s="255"/>
      <c r="AC27" s="255"/>
      <c r="AD27" s="255"/>
      <c r="AE27" s="255"/>
      <c r="AF27" s="255"/>
      <c r="AG27" s="255"/>
      <c r="AH27" s="255"/>
      <c r="AI27" s="257"/>
      <c r="AJ27" s="64"/>
      <c r="AK27" s="64"/>
      <c r="AL27" s="64"/>
      <c r="AM27" s="64"/>
      <c r="AN27" s="64"/>
      <c r="AO27" s="64"/>
      <c r="AP27" s="64"/>
      <c r="AQ27" s="64"/>
      <c r="AR27" s="64"/>
      <c r="AS27" s="64"/>
      <c r="AT27" s="64"/>
      <c r="AU27" s="64"/>
      <c r="AV27" s="64"/>
      <c r="AW27" s="64"/>
      <c r="AX27" s="64"/>
      <c r="AY27" s="64"/>
      <c r="AZ27" s="64"/>
      <c r="BA27" s="64"/>
      <c r="BB27" s="64"/>
      <c r="BC27" s="64"/>
      <c r="BD27" s="64"/>
      <c r="BE27" s="64"/>
      <c r="BF27" s="64"/>
      <c r="BG27" s="64"/>
      <c r="BH27" s="64"/>
      <c r="BI27" s="64"/>
      <c r="BJ27" s="64"/>
      <c r="BK27" s="64"/>
      <c r="BL27" s="64"/>
      <c r="BM27" s="64"/>
      <c r="BN27" s="64"/>
      <c r="BO27" s="64"/>
      <c r="BP27" s="64"/>
      <c r="BQ27" s="64"/>
      <c r="BR27" s="64"/>
      <c r="BS27" s="64"/>
      <c r="BT27" s="64"/>
      <c r="BU27" s="64"/>
      <c r="BV27" s="64"/>
      <c r="BW27" s="64"/>
      <c r="BX27" s="64"/>
      <c r="BY27" s="64"/>
      <c r="BZ27" s="64"/>
      <c r="CA27" s="64"/>
      <c r="CB27" s="64"/>
      <c r="CC27" s="64"/>
      <c r="CD27" s="64"/>
      <c r="CE27" s="64"/>
      <c r="CF27" s="64"/>
      <c r="CG27" s="64"/>
      <c r="CH27" s="64"/>
      <c r="CI27" s="64"/>
      <c r="CJ27" s="64"/>
      <c r="CK27" s="64"/>
      <c r="CL27" s="64"/>
      <c r="CM27" s="64"/>
      <c r="CN27" s="64"/>
      <c r="CO27" s="64"/>
      <c r="CP27" s="64"/>
      <c r="CQ27" s="64"/>
      <c r="CR27" s="64"/>
      <c r="CS27" s="64"/>
      <c r="CT27" s="64"/>
      <c r="CU27" s="64"/>
      <c r="CV27" s="64"/>
      <c r="CW27" s="64"/>
      <c r="CX27" s="64"/>
      <c r="CY27" s="64"/>
      <c r="CZ27" s="64"/>
      <c r="DA27" s="64"/>
      <c r="DB27" s="64"/>
      <c r="DC27" s="64"/>
      <c r="DD27" s="64"/>
      <c r="DE27" s="64"/>
      <c r="DF27" s="64"/>
      <c r="DG27" s="64"/>
      <c r="DH27" s="64"/>
      <c r="DI27" s="64"/>
      <c r="DJ27" s="64"/>
      <c r="DK27" s="64"/>
      <c r="DL27" s="64"/>
      <c r="DM27" s="64"/>
      <c r="DN27" s="64"/>
      <c r="DO27" s="64"/>
      <c r="DP27" s="64"/>
      <c r="DQ27" s="64"/>
      <c r="DR27" s="64"/>
      <c r="DS27" s="64"/>
      <c r="DT27" s="64"/>
      <c r="DU27" s="64"/>
      <c r="DV27" s="64"/>
      <c r="DW27" s="64"/>
      <c r="DX27" s="64"/>
      <c r="DY27" s="64"/>
      <c r="DZ27" s="64"/>
      <c r="EA27" s="64"/>
      <c r="EB27" s="64"/>
      <c r="EC27" s="64"/>
      <c r="ED27" s="64"/>
      <c r="EE27" s="64"/>
      <c r="EF27" s="64"/>
      <c r="EG27" s="64"/>
      <c r="EH27" s="64"/>
      <c r="EI27" s="64"/>
      <c r="EJ27" s="64"/>
      <c r="EK27" s="64"/>
      <c r="EL27" s="64"/>
    </row>
    <row r="28" spans="1:142" s="59" customFormat="1">
      <c r="A28" s="188"/>
      <c r="B28" s="480" t="s">
        <v>130</v>
      </c>
      <c r="C28" s="317"/>
      <c r="D28" s="440">
        <f ca="1">SUM(D19:D23)</f>
        <v>-90426.917784397752</v>
      </c>
      <c r="E28" s="470">
        <f ca="1">SUM(E20:E23)</f>
        <v>18429.47753412676</v>
      </c>
      <c r="F28" s="470">
        <f ca="1">SUM(F20:F23)</f>
        <v>24350.796866585744</v>
      </c>
      <c r="G28" s="470">
        <f t="shared" ref="G28:AH28" ca="1" si="8">SUM(G20:G23)</f>
        <v>18171.640028144291</v>
      </c>
      <c r="H28" s="470">
        <f t="shared" ca="1" si="8"/>
        <v>14907.827806747513</v>
      </c>
      <c r="I28" s="470">
        <f t="shared" ca="1" si="8"/>
        <v>14859.54524851212</v>
      </c>
      <c r="J28" s="470">
        <f t="shared" ca="1" si="8"/>
        <v>12013.506417614943</v>
      </c>
      <c r="K28" s="470">
        <f t="shared" ca="1" si="8"/>
        <v>9700.6909956158324</v>
      </c>
      <c r="L28" s="470">
        <f t="shared" ca="1" si="8"/>
        <v>9636.0627941884777</v>
      </c>
      <c r="M28" s="470">
        <f t="shared" ca="1" si="8"/>
        <v>10032.473464155399</v>
      </c>
      <c r="N28" s="470">
        <f t="shared" ca="1" si="8"/>
        <v>9949.4864551434566</v>
      </c>
      <c r="O28" s="470">
        <f t="shared" ca="1" si="8"/>
        <v>137.00410813564918</v>
      </c>
      <c r="P28" s="470">
        <f t="shared" ca="1" si="8"/>
        <v>1.0164075995210169</v>
      </c>
      <c r="Q28" s="470">
        <f t="shared" ca="1" si="8"/>
        <v>-112.00543453466844</v>
      </c>
      <c r="R28" s="470">
        <f t="shared" ca="1" si="8"/>
        <v>-214.03191078931945</v>
      </c>
      <c r="S28" s="470">
        <f t="shared" ca="1" si="8"/>
        <v>-321.61049763496521</v>
      </c>
      <c r="T28" s="470">
        <f t="shared" ca="1" si="8"/>
        <v>-430.18207008941204</v>
      </c>
      <c r="U28" s="470">
        <f t="shared" ca="1" si="8"/>
        <v>-557.42434785298497</v>
      </c>
      <c r="V28" s="470">
        <f t="shared" ca="1" si="8"/>
        <v>252.64586494591845</v>
      </c>
      <c r="W28" s="470">
        <f t="shared" ca="1" si="8"/>
        <v>3531.8791276701472</v>
      </c>
      <c r="X28" s="470">
        <f t="shared" ca="1" si="8"/>
        <v>4178.9050162610711</v>
      </c>
      <c r="Y28" s="470">
        <f t="shared" ca="1" si="8"/>
        <v>10.220881782795388</v>
      </c>
      <c r="Z28" s="470">
        <f t="shared" ca="1" si="8"/>
        <v>0</v>
      </c>
      <c r="AA28" s="470">
        <f t="shared" ca="1" si="8"/>
        <v>0</v>
      </c>
      <c r="AB28" s="470">
        <f t="shared" ca="1" si="8"/>
        <v>0</v>
      </c>
      <c r="AC28" s="470">
        <f t="shared" ca="1" si="8"/>
        <v>0</v>
      </c>
      <c r="AD28" s="470">
        <f t="shared" ca="1" si="8"/>
        <v>0</v>
      </c>
      <c r="AE28" s="470">
        <f t="shared" ca="1" si="8"/>
        <v>0</v>
      </c>
      <c r="AF28" s="470">
        <f t="shared" ca="1" si="8"/>
        <v>0</v>
      </c>
      <c r="AG28" s="470">
        <f t="shared" ca="1" si="8"/>
        <v>0</v>
      </c>
      <c r="AH28" s="470">
        <f t="shared" ca="1" si="8"/>
        <v>0</v>
      </c>
      <c r="AI28" s="618">
        <f ca="1">SUM(AI20:AI23)</f>
        <v>0</v>
      </c>
      <c r="AJ28" s="64"/>
      <c r="AK28" s="64"/>
      <c r="AL28" s="64"/>
      <c r="AM28" s="64"/>
      <c r="AN28" s="64"/>
      <c r="AO28" s="64"/>
      <c r="AP28" s="64"/>
      <c r="AQ28" s="64"/>
      <c r="AR28" s="64"/>
      <c r="AS28" s="64"/>
      <c r="AT28" s="64"/>
      <c r="AU28" s="64"/>
      <c r="AV28" s="64"/>
      <c r="AW28" s="64"/>
      <c r="AX28" s="64"/>
      <c r="AY28" s="64"/>
      <c r="AZ28" s="64"/>
      <c r="BA28" s="64"/>
      <c r="BB28" s="64"/>
      <c r="BC28" s="64"/>
      <c r="BD28" s="64"/>
      <c r="BE28" s="64"/>
      <c r="BF28" s="64"/>
      <c r="BG28" s="64"/>
      <c r="BH28" s="64"/>
      <c r="BI28" s="64"/>
      <c r="BJ28" s="64"/>
      <c r="BK28" s="64"/>
      <c r="BL28" s="64"/>
      <c r="BM28" s="64"/>
      <c r="BN28" s="64"/>
      <c r="BO28" s="64"/>
      <c r="BP28" s="64"/>
      <c r="BQ28" s="64"/>
      <c r="BR28" s="64"/>
      <c r="BS28" s="64"/>
      <c r="BT28" s="64"/>
      <c r="BU28" s="64"/>
      <c r="BV28" s="64"/>
      <c r="BW28" s="64"/>
      <c r="BX28" s="64"/>
      <c r="BY28" s="64"/>
      <c r="BZ28" s="64"/>
      <c r="CA28" s="64"/>
      <c r="CB28" s="64"/>
      <c r="CC28" s="64"/>
      <c r="CD28" s="64"/>
      <c r="CE28" s="64"/>
      <c r="CF28" s="64"/>
      <c r="CG28" s="64"/>
      <c r="CH28" s="64"/>
      <c r="CI28" s="64"/>
      <c r="CJ28" s="64"/>
      <c r="CK28" s="64"/>
      <c r="CL28" s="64"/>
      <c r="CM28" s="64"/>
      <c r="CN28" s="64"/>
      <c r="CO28" s="64"/>
      <c r="CP28" s="64"/>
      <c r="CQ28" s="64"/>
      <c r="CR28" s="64"/>
      <c r="CS28" s="64"/>
      <c r="CT28" s="64"/>
      <c r="CU28" s="64"/>
      <c r="CV28" s="64"/>
      <c r="CW28" s="64"/>
      <c r="CX28" s="64"/>
      <c r="CY28" s="64"/>
      <c r="CZ28" s="64"/>
      <c r="DA28" s="64"/>
      <c r="DB28" s="64"/>
      <c r="DC28" s="64"/>
      <c r="DD28" s="64"/>
      <c r="DE28" s="64"/>
      <c r="DF28" s="64"/>
      <c r="DG28" s="64"/>
      <c r="DH28" s="64"/>
      <c r="DI28" s="64"/>
      <c r="DJ28" s="64"/>
      <c r="DK28" s="64"/>
      <c r="DL28" s="64"/>
      <c r="DM28" s="64"/>
      <c r="DN28" s="64"/>
      <c r="DO28" s="64"/>
      <c r="DP28" s="64"/>
      <c r="DQ28" s="64"/>
      <c r="DR28" s="64"/>
      <c r="DS28" s="64"/>
      <c r="DT28" s="64"/>
      <c r="DU28" s="64"/>
      <c r="DV28" s="64"/>
      <c r="DW28" s="64"/>
      <c r="DX28" s="64"/>
      <c r="DY28" s="64"/>
      <c r="DZ28" s="64"/>
      <c r="EA28" s="64"/>
      <c r="EB28" s="64"/>
      <c r="EC28" s="64"/>
      <c r="ED28" s="64"/>
      <c r="EE28" s="64"/>
      <c r="EF28" s="64"/>
      <c r="EG28" s="64"/>
      <c r="EH28" s="64"/>
      <c r="EI28" s="64"/>
      <c r="EJ28" s="64"/>
      <c r="EK28" s="64"/>
      <c r="EL28" s="64"/>
    </row>
    <row r="29" spans="1:142" s="59" customFormat="1">
      <c r="A29" s="188"/>
      <c r="B29" s="498" t="s">
        <v>131</v>
      </c>
      <c r="C29" s="317"/>
      <c r="D29" s="255">
        <f ca="1">D28</f>
        <v>-90426.917784397752</v>
      </c>
      <c r="E29" s="255">
        <f t="shared" ref="E29:AI29" ca="1" si="9">D29+E28</f>
        <v>-71997.440250271</v>
      </c>
      <c r="F29" s="255">
        <f t="shared" ca="1" si="9"/>
        <v>-47646.643383685252</v>
      </c>
      <c r="G29" s="255">
        <f t="shared" ca="1" si="9"/>
        <v>-29475.003355540961</v>
      </c>
      <c r="H29" s="255">
        <f t="shared" ca="1" si="9"/>
        <v>-14567.175548793448</v>
      </c>
      <c r="I29" s="255">
        <f t="shared" ca="1" si="9"/>
        <v>292.36969971867256</v>
      </c>
      <c r="J29" s="255">
        <f t="shared" ca="1" si="9"/>
        <v>12305.876117333615</v>
      </c>
      <c r="K29" s="255">
        <f t="shared" ca="1" si="9"/>
        <v>22006.567112949448</v>
      </c>
      <c r="L29" s="255">
        <f t="shared" ca="1" si="9"/>
        <v>31642.629907137925</v>
      </c>
      <c r="M29" s="255">
        <f t="shared" ca="1" si="9"/>
        <v>41675.103371293328</v>
      </c>
      <c r="N29" s="255">
        <f t="shared" ca="1" si="9"/>
        <v>51624.589826436786</v>
      </c>
      <c r="O29" s="255">
        <f t="shared" ca="1" si="9"/>
        <v>51761.593934572433</v>
      </c>
      <c r="P29" s="255">
        <f t="shared" ca="1" si="9"/>
        <v>51762.610342171953</v>
      </c>
      <c r="Q29" s="255">
        <f t="shared" ca="1" si="9"/>
        <v>51650.604907637287</v>
      </c>
      <c r="R29" s="255">
        <f t="shared" ca="1" si="9"/>
        <v>51436.572996847965</v>
      </c>
      <c r="S29" s="255">
        <f t="shared" ca="1" si="9"/>
        <v>51114.962499212997</v>
      </c>
      <c r="T29" s="255">
        <f t="shared" ca="1" si="9"/>
        <v>50684.780429123588</v>
      </c>
      <c r="U29" s="255">
        <f t="shared" ca="1" si="9"/>
        <v>50127.356081270606</v>
      </c>
      <c r="V29" s="255">
        <f t="shared" ca="1" si="9"/>
        <v>50380.001946216522</v>
      </c>
      <c r="W29" s="255">
        <f t="shared" ca="1" si="9"/>
        <v>53911.881073886667</v>
      </c>
      <c r="X29" s="255">
        <f t="shared" ca="1" si="9"/>
        <v>58090.78609014774</v>
      </c>
      <c r="Y29" s="255">
        <f t="shared" ca="1" si="9"/>
        <v>58101.006971930532</v>
      </c>
      <c r="Z29" s="255">
        <f t="shared" ca="1" si="9"/>
        <v>58101.006971930532</v>
      </c>
      <c r="AA29" s="255">
        <f t="shared" ca="1" si="9"/>
        <v>58101.006971930532</v>
      </c>
      <c r="AB29" s="255">
        <f t="shared" ca="1" si="9"/>
        <v>58101.006971930532</v>
      </c>
      <c r="AC29" s="255">
        <f t="shared" ca="1" si="9"/>
        <v>58101.006971930532</v>
      </c>
      <c r="AD29" s="255">
        <f t="shared" ca="1" si="9"/>
        <v>58101.006971930532</v>
      </c>
      <c r="AE29" s="255">
        <f t="shared" ca="1" si="9"/>
        <v>58101.006971930532</v>
      </c>
      <c r="AF29" s="255">
        <f t="shared" ca="1" si="9"/>
        <v>58101.006971930532</v>
      </c>
      <c r="AG29" s="255">
        <f t="shared" ca="1" si="9"/>
        <v>58101.006971930532</v>
      </c>
      <c r="AH29" s="255">
        <f t="shared" ca="1" si="9"/>
        <v>58101.006971930532</v>
      </c>
      <c r="AI29" s="257">
        <f t="shared" ca="1" si="9"/>
        <v>58101.006971930532</v>
      </c>
      <c r="AJ29" s="64"/>
      <c r="AK29" s="64"/>
      <c r="AL29" s="64"/>
      <c r="AM29" s="64"/>
      <c r="AN29" s="64"/>
      <c r="AO29" s="64"/>
      <c r="AP29" s="64"/>
      <c r="AQ29" s="64"/>
      <c r="AR29" s="64"/>
      <c r="AS29" s="64"/>
      <c r="AT29" s="64"/>
      <c r="AU29" s="64"/>
      <c r="AV29" s="64"/>
      <c r="AW29" s="64"/>
      <c r="AX29" s="64"/>
      <c r="AY29" s="64"/>
      <c r="AZ29" s="64"/>
      <c r="BA29" s="64"/>
      <c r="BB29" s="64"/>
      <c r="BC29" s="64"/>
      <c r="BD29" s="64"/>
      <c r="BE29" s="64"/>
      <c r="BF29" s="64"/>
      <c r="BG29" s="64"/>
      <c r="BH29" s="64"/>
      <c r="BI29" s="64"/>
      <c r="BJ29" s="64"/>
      <c r="BK29" s="64"/>
      <c r="BL29" s="64"/>
      <c r="BM29" s="64"/>
      <c r="BN29" s="64"/>
      <c r="BO29" s="64"/>
      <c r="BP29" s="64"/>
      <c r="BQ29" s="64"/>
      <c r="BR29" s="64"/>
      <c r="BS29" s="64"/>
      <c r="BT29" s="64"/>
      <c r="BU29" s="64"/>
      <c r="BV29" s="64"/>
      <c r="BW29" s="64"/>
      <c r="BX29" s="64"/>
      <c r="BY29" s="64"/>
      <c r="BZ29" s="64"/>
      <c r="CA29" s="64"/>
      <c r="CB29" s="64"/>
      <c r="CC29" s="64"/>
      <c r="CD29" s="64"/>
      <c r="CE29" s="64"/>
      <c r="CF29" s="64"/>
      <c r="CG29" s="64"/>
      <c r="CH29" s="64"/>
      <c r="CI29" s="64"/>
      <c r="CJ29" s="64"/>
      <c r="CK29" s="64"/>
      <c r="CL29" s="64"/>
      <c r="CM29" s="64"/>
      <c r="CN29" s="64"/>
      <c r="CO29" s="64"/>
      <c r="CP29" s="64"/>
      <c r="CQ29" s="64"/>
      <c r="CR29" s="64"/>
      <c r="CS29" s="64"/>
      <c r="CT29" s="64"/>
      <c r="CU29" s="64"/>
      <c r="CV29" s="64"/>
      <c r="CW29" s="64"/>
      <c r="CX29" s="64"/>
      <c r="CY29" s="64"/>
      <c r="CZ29" s="64"/>
      <c r="DA29" s="64"/>
      <c r="DB29" s="64"/>
      <c r="DC29" s="64"/>
      <c r="DD29" s="64"/>
      <c r="DE29" s="64"/>
      <c r="DF29" s="64"/>
      <c r="DG29" s="64"/>
      <c r="DH29" s="64"/>
      <c r="DI29" s="64"/>
      <c r="DJ29" s="64"/>
      <c r="DK29" s="64"/>
      <c r="DL29" s="64"/>
      <c r="DM29" s="64"/>
      <c r="DN29" s="64"/>
      <c r="DO29" s="64"/>
      <c r="DP29" s="64"/>
      <c r="DQ29" s="64"/>
      <c r="DR29" s="64"/>
      <c r="DS29" s="64"/>
      <c r="DT29" s="64"/>
      <c r="DU29" s="64"/>
      <c r="DV29" s="64"/>
      <c r="DW29" s="64"/>
      <c r="DX29" s="64"/>
      <c r="DY29" s="64"/>
      <c r="DZ29" s="64"/>
      <c r="EA29" s="64"/>
      <c r="EB29" s="64"/>
      <c r="EC29" s="64"/>
      <c r="ED29" s="64"/>
      <c r="EE29" s="64"/>
      <c r="EF29" s="64"/>
      <c r="EG29" s="64"/>
      <c r="EH29" s="64"/>
      <c r="EI29" s="64"/>
      <c r="EJ29" s="64"/>
      <c r="EK29" s="64"/>
      <c r="EL29" s="64"/>
    </row>
    <row r="30" spans="1:142" s="325" customFormat="1" ht="13.5" thickBot="1">
      <c r="A30" s="188"/>
      <c r="B30" s="1163"/>
      <c r="C30" s="619"/>
      <c r="D30" s="620"/>
      <c r="E30" s="620"/>
      <c r="F30" s="620"/>
      <c r="G30" s="620"/>
      <c r="H30" s="620"/>
      <c r="I30" s="620"/>
      <c r="J30" s="620"/>
      <c r="K30" s="620"/>
      <c r="L30" s="620"/>
      <c r="M30" s="620"/>
      <c r="N30" s="620"/>
      <c r="O30" s="620"/>
      <c r="P30" s="620"/>
      <c r="Q30" s="620"/>
      <c r="R30" s="620"/>
      <c r="S30" s="620"/>
      <c r="T30" s="620"/>
      <c r="U30" s="620"/>
      <c r="V30" s="620"/>
      <c r="W30" s="620"/>
      <c r="X30" s="620"/>
      <c r="Y30" s="620"/>
      <c r="Z30" s="620"/>
      <c r="AA30" s="620"/>
      <c r="AB30" s="620"/>
      <c r="AC30" s="620"/>
      <c r="AD30" s="620"/>
      <c r="AE30" s="620"/>
      <c r="AF30" s="620"/>
      <c r="AG30" s="620"/>
      <c r="AH30" s="620"/>
      <c r="AI30" s="621"/>
      <c r="AJ30" s="324"/>
      <c r="AK30" s="324"/>
      <c r="AL30" s="324"/>
      <c r="AM30" s="324"/>
      <c r="AN30" s="324"/>
      <c r="AO30" s="324"/>
      <c r="AP30" s="324"/>
      <c r="AQ30" s="324"/>
      <c r="AR30" s="324"/>
      <c r="AS30" s="324"/>
      <c r="AT30" s="324"/>
      <c r="AU30" s="324"/>
      <c r="AV30" s="324"/>
      <c r="AW30" s="324"/>
      <c r="AX30" s="324"/>
      <c r="AY30" s="324"/>
      <c r="AZ30" s="324"/>
      <c r="BA30" s="324"/>
      <c r="BB30" s="324"/>
      <c r="BC30" s="324"/>
      <c r="BD30" s="324"/>
      <c r="BE30" s="324"/>
      <c r="BF30" s="324"/>
      <c r="BG30" s="324"/>
      <c r="BH30" s="324"/>
      <c r="BI30" s="324"/>
      <c r="BJ30" s="324"/>
      <c r="BK30" s="324"/>
      <c r="BL30" s="324"/>
      <c r="BM30" s="324"/>
      <c r="BN30" s="324"/>
      <c r="BO30" s="324"/>
      <c r="BP30" s="324"/>
      <c r="BQ30" s="324"/>
      <c r="BR30" s="324"/>
      <c r="BS30" s="324"/>
      <c r="BT30" s="324"/>
      <c r="BU30" s="324"/>
      <c r="BV30" s="324"/>
      <c r="BW30" s="324"/>
      <c r="BX30" s="324"/>
      <c r="BY30" s="324"/>
      <c r="BZ30" s="324"/>
      <c r="CA30" s="324"/>
      <c r="CB30" s="324"/>
      <c r="CC30" s="324"/>
      <c r="CD30" s="324"/>
      <c r="CE30" s="324"/>
      <c r="CF30" s="324"/>
      <c r="CG30" s="324"/>
      <c r="CH30" s="324"/>
      <c r="CI30" s="324"/>
      <c r="CJ30" s="324"/>
      <c r="CK30" s="324"/>
      <c r="CL30" s="324"/>
      <c r="CM30" s="324"/>
      <c r="CN30" s="324"/>
      <c r="CO30" s="324"/>
      <c r="CP30" s="324"/>
      <c r="CQ30" s="324"/>
      <c r="CR30" s="324"/>
      <c r="CS30" s="324"/>
      <c r="CT30" s="324"/>
      <c r="CU30" s="324"/>
      <c r="CV30" s="324"/>
      <c r="CW30" s="324"/>
      <c r="CX30" s="324"/>
      <c r="CY30" s="324"/>
      <c r="CZ30" s="324"/>
      <c r="DA30" s="324"/>
      <c r="DB30" s="324"/>
      <c r="DC30" s="324"/>
      <c r="DD30" s="324"/>
      <c r="DE30" s="324"/>
      <c r="DF30" s="324"/>
      <c r="DG30" s="324"/>
      <c r="DH30" s="324"/>
      <c r="DI30" s="324"/>
      <c r="DJ30" s="324"/>
      <c r="DK30" s="324"/>
      <c r="DL30" s="324"/>
      <c r="DM30" s="324"/>
      <c r="DN30" s="324"/>
      <c r="DO30" s="324"/>
      <c r="DP30" s="324"/>
      <c r="DQ30" s="324"/>
      <c r="DR30" s="324"/>
      <c r="DS30" s="324"/>
      <c r="DT30" s="324"/>
      <c r="DU30" s="324"/>
      <c r="DV30" s="324"/>
      <c r="DW30" s="324"/>
      <c r="DX30" s="324"/>
      <c r="DY30" s="324"/>
      <c r="DZ30" s="324"/>
      <c r="EA30" s="324"/>
      <c r="EB30" s="324"/>
      <c r="EC30" s="324"/>
      <c r="ED30" s="324"/>
      <c r="EE30" s="324"/>
      <c r="EF30" s="324"/>
      <c r="EG30" s="324"/>
      <c r="EH30" s="324"/>
      <c r="EI30" s="324"/>
      <c r="EJ30" s="324"/>
      <c r="EK30" s="324"/>
      <c r="EL30" s="324"/>
    </row>
    <row r="31" spans="1:142" s="285" customFormat="1" ht="13.5" thickBot="1">
      <c r="A31" s="188"/>
      <c r="B31" s="603"/>
      <c r="C31" s="617"/>
      <c r="D31" s="321"/>
      <c r="E31" s="321"/>
      <c r="F31" s="321"/>
      <c r="G31" s="321"/>
      <c r="H31" s="321"/>
      <c r="I31" s="321"/>
      <c r="J31" s="321"/>
      <c r="K31" s="321"/>
      <c r="L31" s="321"/>
      <c r="M31" s="321"/>
      <c r="N31" s="321"/>
      <c r="O31" s="321"/>
      <c r="P31" s="321"/>
      <c r="Q31" s="321"/>
      <c r="R31" s="321"/>
      <c r="S31" s="321"/>
      <c r="T31" s="321"/>
      <c r="U31" s="321"/>
      <c r="V31" s="321"/>
      <c r="W31" s="321"/>
      <c r="X31" s="321"/>
      <c r="Y31" s="321"/>
      <c r="Z31" s="321"/>
      <c r="AA31" s="321"/>
      <c r="AB31" s="321"/>
      <c r="AC31" s="321"/>
      <c r="AD31" s="321"/>
      <c r="AE31" s="321"/>
      <c r="AF31" s="321"/>
      <c r="AG31" s="321"/>
      <c r="AH31" s="321"/>
      <c r="AI31" s="321"/>
      <c r="AJ31" s="321"/>
      <c r="AK31" s="321"/>
      <c r="AL31" s="321"/>
      <c r="AM31" s="321"/>
      <c r="AN31" s="321"/>
      <c r="AO31" s="321"/>
      <c r="AP31" s="321"/>
      <c r="AQ31" s="321"/>
      <c r="AR31" s="321"/>
      <c r="AS31" s="321"/>
      <c r="AT31" s="321"/>
      <c r="AU31" s="321"/>
      <c r="AV31" s="321"/>
      <c r="AW31" s="321"/>
      <c r="AX31" s="321"/>
      <c r="AY31" s="321"/>
      <c r="AZ31" s="321"/>
      <c r="BA31" s="321"/>
      <c r="BB31" s="321"/>
      <c r="BC31" s="321"/>
      <c r="BD31" s="321"/>
      <c r="BE31" s="321"/>
      <c r="BF31" s="321"/>
      <c r="BG31" s="321"/>
      <c r="BH31" s="321"/>
      <c r="BI31" s="321"/>
      <c r="BJ31" s="321"/>
      <c r="BK31" s="321"/>
      <c r="BL31" s="321"/>
      <c r="BM31" s="321"/>
      <c r="BN31" s="321"/>
      <c r="BO31" s="321"/>
      <c r="BP31" s="321"/>
      <c r="BQ31" s="321"/>
      <c r="BR31" s="321"/>
      <c r="BS31" s="321"/>
      <c r="BT31" s="321"/>
      <c r="BU31" s="321"/>
      <c r="BV31" s="321"/>
      <c r="BW31" s="321"/>
      <c r="BX31" s="321"/>
      <c r="BY31" s="321"/>
      <c r="BZ31" s="321"/>
      <c r="CA31" s="321"/>
      <c r="CB31" s="321"/>
      <c r="CC31" s="321"/>
      <c r="CD31" s="321"/>
      <c r="CE31" s="321"/>
      <c r="CF31" s="321"/>
      <c r="CG31" s="321"/>
      <c r="CH31" s="321"/>
      <c r="CI31" s="321"/>
      <c r="CJ31" s="321"/>
      <c r="CK31" s="321"/>
      <c r="CL31" s="321"/>
      <c r="CM31" s="321"/>
      <c r="CN31" s="321"/>
      <c r="CO31" s="321"/>
      <c r="CP31" s="321"/>
      <c r="CQ31" s="321"/>
      <c r="CR31" s="321"/>
      <c r="CS31" s="321"/>
      <c r="CT31" s="321"/>
      <c r="CU31" s="321"/>
      <c r="CV31" s="321"/>
      <c r="CW31" s="321"/>
      <c r="CX31" s="321"/>
      <c r="CY31" s="321"/>
      <c r="CZ31" s="321"/>
      <c r="DA31" s="321"/>
      <c r="DB31" s="321"/>
      <c r="DC31" s="321"/>
      <c r="DD31" s="321"/>
      <c r="DE31" s="321"/>
      <c r="DF31" s="321"/>
      <c r="DG31" s="321"/>
      <c r="DH31" s="321"/>
      <c r="DI31" s="321"/>
      <c r="DJ31" s="321"/>
      <c r="DK31" s="321"/>
      <c r="DL31" s="321"/>
      <c r="DM31" s="321"/>
      <c r="DN31" s="321"/>
      <c r="DO31" s="321"/>
      <c r="DP31" s="321"/>
      <c r="DQ31" s="321"/>
      <c r="DR31" s="321"/>
      <c r="DS31" s="321"/>
      <c r="DT31" s="321"/>
      <c r="DU31" s="321"/>
      <c r="DV31" s="321"/>
      <c r="DW31" s="321"/>
      <c r="DX31" s="321"/>
      <c r="DY31" s="321"/>
      <c r="DZ31" s="321"/>
      <c r="EA31" s="321"/>
      <c r="EB31" s="321"/>
      <c r="EC31" s="321"/>
      <c r="ED31" s="321"/>
      <c r="EE31" s="321"/>
      <c r="EF31" s="321"/>
      <c r="EG31" s="321"/>
      <c r="EH31" s="321"/>
      <c r="EI31" s="321"/>
      <c r="EJ31" s="321"/>
      <c r="EK31" s="321"/>
      <c r="EL31" s="321"/>
    </row>
    <row r="32" spans="1:142" s="285" customFormat="1">
      <c r="A32" s="188"/>
      <c r="B32" s="371" t="s">
        <v>796</v>
      </c>
      <c r="C32" s="489"/>
      <c r="D32" s="2" t="s">
        <v>20</v>
      </c>
      <c r="E32" s="2"/>
      <c r="F32" s="1482"/>
      <c r="G32" s="321"/>
      <c r="H32" s="321"/>
      <c r="I32" s="321"/>
      <c r="J32" s="321"/>
      <c r="K32" s="321"/>
      <c r="L32" s="321"/>
      <c r="M32" s="321"/>
      <c r="N32" s="321"/>
      <c r="O32" s="321"/>
      <c r="P32" s="321"/>
      <c r="Q32" s="321"/>
      <c r="R32" s="321"/>
      <c r="S32" s="321"/>
      <c r="T32" s="321"/>
      <c r="U32" s="321"/>
      <c r="V32" s="321"/>
      <c r="W32" s="321"/>
      <c r="X32" s="321"/>
      <c r="Y32" s="321"/>
      <c r="Z32" s="321"/>
      <c r="AA32" s="321"/>
      <c r="AB32" s="321"/>
      <c r="AC32" s="321"/>
      <c r="AD32" s="321"/>
      <c r="AE32" s="321"/>
      <c r="AF32" s="321"/>
      <c r="AG32" s="321"/>
      <c r="AH32" s="321"/>
      <c r="AI32" s="321"/>
      <c r="AJ32" s="321"/>
      <c r="AK32" s="321"/>
      <c r="AL32" s="321"/>
      <c r="AM32" s="321"/>
      <c r="AN32" s="321"/>
      <c r="AO32" s="321"/>
      <c r="AP32" s="321"/>
      <c r="AQ32" s="321"/>
      <c r="AR32" s="321"/>
      <c r="AS32" s="321"/>
      <c r="AT32" s="321"/>
      <c r="AU32" s="321"/>
      <c r="AV32" s="321"/>
      <c r="AW32" s="321"/>
      <c r="AX32" s="321"/>
      <c r="AY32" s="321"/>
      <c r="AZ32" s="321"/>
      <c r="BA32" s="321"/>
      <c r="BB32" s="321"/>
      <c r="BC32" s="321"/>
      <c r="BD32" s="321"/>
      <c r="BE32" s="321"/>
      <c r="BF32" s="321"/>
      <c r="BG32" s="321"/>
      <c r="BH32" s="321"/>
      <c r="BI32" s="321"/>
      <c r="BJ32" s="321"/>
      <c r="BK32" s="321"/>
      <c r="BL32" s="321"/>
      <c r="BM32" s="321"/>
      <c r="BN32" s="321"/>
      <c r="BO32" s="321"/>
      <c r="BP32" s="321"/>
      <c r="BQ32" s="321"/>
      <c r="BR32" s="321"/>
      <c r="BS32" s="321"/>
      <c r="BT32" s="321"/>
      <c r="BU32" s="321"/>
      <c r="BV32" s="321"/>
      <c r="BW32" s="321"/>
      <c r="BX32" s="321"/>
      <c r="BY32" s="321"/>
      <c r="BZ32" s="321"/>
      <c r="CA32" s="321"/>
      <c r="CB32" s="321"/>
      <c r="CC32" s="321"/>
      <c r="CD32" s="321"/>
      <c r="CE32" s="321"/>
      <c r="CF32" s="321"/>
      <c r="CG32" s="321"/>
      <c r="CH32" s="321"/>
      <c r="CI32" s="321"/>
      <c r="CJ32" s="321"/>
      <c r="CK32" s="321"/>
      <c r="CL32" s="321"/>
      <c r="CM32" s="321"/>
      <c r="CN32" s="321"/>
      <c r="CO32" s="321"/>
      <c r="CP32" s="321"/>
      <c r="CQ32" s="321"/>
      <c r="CR32" s="321"/>
      <c r="CS32" s="321"/>
      <c r="CT32" s="321"/>
      <c r="CU32" s="321"/>
      <c r="CV32" s="321"/>
      <c r="CW32" s="321"/>
      <c r="CX32" s="321"/>
      <c r="CY32" s="321"/>
      <c r="CZ32" s="321"/>
      <c r="DA32" s="321"/>
      <c r="DB32" s="321"/>
      <c r="DC32" s="321"/>
      <c r="DD32" s="321"/>
      <c r="DE32" s="321"/>
      <c r="DF32" s="321"/>
      <c r="DG32" s="321"/>
      <c r="DH32" s="321"/>
      <c r="DI32" s="321"/>
      <c r="DJ32" s="321"/>
      <c r="DK32" s="321"/>
      <c r="DL32" s="321"/>
      <c r="DM32" s="321"/>
      <c r="DN32" s="321"/>
      <c r="DO32" s="321"/>
      <c r="DP32" s="321"/>
      <c r="DQ32" s="321"/>
      <c r="DR32" s="321"/>
      <c r="DS32" s="321"/>
      <c r="DT32" s="321"/>
      <c r="DU32" s="321"/>
      <c r="DV32" s="321"/>
      <c r="DW32" s="321"/>
      <c r="DX32" s="321"/>
      <c r="DY32" s="321"/>
      <c r="DZ32" s="321"/>
      <c r="EA32" s="321"/>
      <c r="EB32" s="321"/>
      <c r="EC32" s="321"/>
      <c r="ED32" s="321"/>
      <c r="EE32" s="321"/>
      <c r="EF32" s="321"/>
      <c r="EG32" s="321"/>
      <c r="EH32" s="321"/>
      <c r="EI32" s="321"/>
      <c r="EJ32" s="321"/>
      <c r="EK32" s="321"/>
      <c r="EL32" s="321"/>
    </row>
    <row r="33" spans="1:142" s="285" customFormat="1">
      <c r="A33" s="188"/>
      <c r="B33" s="373"/>
      <c r="C33" s="316"/>
      <c r="D33" s="370" t="s">
        <v>765</v>
      </c>
      <c r="E33" s="370" t="s">
        <v>784</v>
      </c>
      <c r="F33" s="387"/>
      <c r="G33" s="321"/>
      <c r="H33" s="321"/>
      <c r="I33" s="321"/>
      <c r="J33" s="321"/>
      <c r="K33" s="321"/>
      <c r="L33" s="321"/>
      <c r="M33" s="321"/>
      <c r="N33" s="321"/>
      <c r="O33" s="321"/>
      <c r="P33" s="321"/>
      <c r="Q33" s="321"/>
      <c r="R33" s="321"/>
      <c r="S33" s="321"/>
      <c r="T33" s="321"/>
      <c r="U33" s="321"/>
      <c r="V33" s="321"/>
      <c r="W33" s="321"/>
      <c r="X33" s="321"/>
      <c r="Y33" s="321"/>
      <c r="Z33" s="321"/>
      <c r="AA33" s="321"/>
      <c r="AB33" s="321"/>
      <c r="AC33" s="321"/>
      <c r="AD33" s="321"/>
      <c r="AE33" s="321"/>
      <c r="AF33" s="321"/>
      <c r="AG33" s="321"/>
      <c r="AH33" s="321"/>
      <c r="AI33" s="321"/>
      <c r="AJ33" s="321"/>
      <c r="AK33" s="321"/>
      <c r="AL33" s="321"/>
      <c r="AM33" s="321"/>
      <c r="AN33" s="321"/>
      <c r="AO33" s="321"/>
      <c r="AP33" s="321"/>
      <c r="AQ33" s="321"/>
      <c r="AR33" s="321"/>
      <c r="AS33" s="321"/>
      <c r="AT33" s="321"/>
      <c r="AU33" s="321"/>
      <c r="AV33" s="321"/>
      <c r="AW33" s="321"/>
      <c r="AX33" s="321"/>
      <c r="AY33" s="321"/>
      <c r="AZ33" s="321"/>
      <c r="BA33" s="321"/>
      <c r="BB33" s="321"/>
      <c r="BC33" s="321"/>
      <c r="BD33" s="321"/>
      <c r="BE33" s="321"/>
      <c r="BF33" s="321"/>
      <c r="BG33" s="321"/>
      <c r="BH33" s="321"/>
      <c r="BI33" s="321"/>
      <c r="BJ33" s="321"/>
      <c r="BK33" s="321"/>
      <c r="BL33" s="321"/>
      <c r="BM33" s="321"/>
      <c r="BN33" s="321"/>
      <c r="BO33" s="321"/>
      <c r="BP33" s="321"/>
      <c r="BQ33" s="321"/>
      <c r="BR33" s="321"/>
      <c r="BS33" s="321"/>
      <c r="BT33" s="321"/>
      <c r="BU33" s="321"/>
      <c r="BV33" s="321"/>
      <c r="BW33" s="321"/>
      <c r="BX33" s="321"/>
      <c r="BY33" s="321"/>
      <c r="BZ33" s="321"/>
      <c r="CA33" s="321"/>
      <c r="CB33" s="321"/>
      <c r="CC33" s="321"/>
      <c r="CD33" s="321"/>
      <c r="CE33" s="321"/>
      <c r="CF33" s="321"/>
      <c r="CG33" s="321"/>
      <c r="CH33" s="321"/>
      <c r="CI33" s="321"/>
      <c r="CJ33" s="321"/>
      <c r="CK33" s="321"/>
      <c r="CL33" s="321"/>
      <c r="CM33" s="321"/>
      <c r="CN33" s="321"/>
      <c r="CO33" s="321"/>
      <c r="CP33" s="321"/>
      <c r="CQ33" s="321"/>
      <c r="CR33" s="321"/>
      <c r="CS33" s="321"/>
      <c r="CT33" s="321"/>
      <c r="CU33" s="321"/>
      <c r="CV33" s="321"/>
      <c r="CW33" s="321"/>
      <c r="CX33" s="321"/>
      <c r="CY33" s="321"/>
      <c r="CZ33" s="321"/>
      <c r="DA33" s="321"/>
      <c r="DB33" s="321"/>
      <c r="DC33" s="321"/>
      <c r="DD33" s="321"/>
      <c r="DE33" s="321"/>
      <c r="DF33" s="321"/>
      <c r="DG33" s="321"/>
      <c r="DH33" s="321"/>
      <c r="DI33" s="321"/>
      <c r="DJ33" s="321"/>
      <c r="DK33" s="321"/>
      <c r="DL33" s="321"/>
      <c r="DM33" s="321"/>
      <c r="DN33" s="321"/>
      <c r="DO33" s="321"/>
      <c r="DP33" s="321"/>
      <c r="DQ33" s="321"/>
      <c r="DR33" s="321"/>
      <c r="DS33" s="321"/>
      <c r="DT33" s="321"/>
      <c r="DU33" s="321"/>
      <c r="DV33" s="321"/>
      <c r="DW33" s="321"/>
      <c r="DX33" s="321"/>
      <c r="DY33" s="321"/>
      <c r="DZ33" s="321"/>
      <c r="EA33" s="321"/>
      <c r="EB33" s="321"/>
      <c r="EC33" s="321"/>
      <c r="ED33" s="321"/>
      <c r="EE33" s="321"/>
      <c r="EF33" s="321"/>
      <c r="EG33" s="321"/>
      <c r="EH33" s="321"/>
      <c r="EI33" s="321"/>
      <c r="EJ33" s="321"/>
      <c r="EK33" s="321"/>
      <c r="EL33" s="321"/>
    </row>
    <row r="34" spans="1:142">
      <c r="B34" s="1506"/>
      <c r="C34" s="275"/>
      <c r="D34" s="1505"/>
      <c r="E34" s="278">
        <f>Assum!E330</f>
        <v>0.125</v>
      </c>
      <c r="F34" s="1509"/>
      <c r="AI34" s="38"/>
      <c r="AJ34" s="38"/>
      <c r="AK34" s="38"/>
      <c r="AL34" s="38"/>
      <c r="AM34" s="38"/>
      <c r="AN34" s="38"/>
      <c r="AO34" s="38"/>
      <c r="AP34" s="38"/>
      <c r="AQ34" s="38"/>
      <c r="AR34" s="38"/>
      <c r="AS34" s="38"/>
      <c r="AT34" s="38"/>
      <c r="AU34" s="38"/>
      <c r="AV34" s="38"/>
      <c r="AW34" s="38"/>
      <c r="AX34" s="38"/>
      <c r="AY34" s="38"/>
      <c r="AZ34" s="38"/>
      <c r="BA34" s="38"/>
      <c r="BB34" s="38"/>
      <c r="BC34" s="38"/>
      <c r="BD34" s="38"/>
      <c r="BE34" s="38"/>
      <c r="BF34" s="38"/>
      <c r="BG34" s="38"/>
      <c r="BH34" s="38"/>
      <c r="BI34" s="38"/>
      <c r="BJ34" s="38"/>
      <c r="BK34" s="38"/>
      <c r="BL34" s="38"/>
      <c r="BM34" s="38"/>
      <c r="BN34" s="38"/>
      <c r="BO34" s="38"/>
      <c r="BP34" s="38"/>
      <c r="BQ34" s="38"/>
      <c r="BR34" s="38"/>
      <c r="BS34" s="38"/>
      <c r="BT34" s="38"/>
      <c r="BU34" s="38"/>
      <c r="BV34" s="38"/>
      <c r="BW34" s="38"/>
      <c r="BX34" s="38"/>
      <c r="BY34" s="38"/>
      <c r="BZ34" s="38"/>
      <c r="CA34" s="38"/>
      <c r="CB34" s="38"/>
      <c r="CC34" s="38"/>
      <c r="CD34" s="38"/>
      <c r="CE34" s="38"/>
      <c r="CF34" s="38"/>
      <c r="CG34" s="38"/>
      <c r="CH34" s="38"/>
      <c r="CI34" s="38"/>
      <c r="CJ34" s="38"/>
      <c r="CK34" s="38"/>
      <c r="CL34" s="38"/>
      <c r="CM34" s="38"/>
      <c r="CN34" s="38"/>
      <c r="CO34" s="38"/>
      <c r="CP34" s="38"/>
      <c r="CQ34" s="38"/>
      <c r="CR34" s="38"/>
      <c r="CS34" s="38"/>
      <c r="CT34" s="38"/>
      <c r="CU34" s="38"/>
      <c r="CV34" s="38"/>
      <c r="CW34" s="38"/>
      <c r="CX34" s="38"/>
      <c r="CY34" s="38"/>
      <c r="CZ34" s="38"/>
      <c r="DA34" s="38"/>
      <c r="DB34" s="38"/>
      <c r="DC34" s="38"/>
      <c r="DD34" s="38"/>
      <c r="DE34" s="38"/>
      <c r="DF34" s="38"/>
      <c r="DG34" s="38"/>
      <c r="DH34" s="38"/>
      <c r="DI34" s="38"/>
      <c r="DJ34" s="38"/>
      <c r="DK34" s="38"/>
      <c r="DL34" s="38"/>
      <c r="DM34" s="38"/>
      <c r="DN34" s="38"/>
      <c r="DO34" s="38"/>
      <c r="DP34" s="38"/>
      <c r="DQ34" s="38"/>
      <c r="DR34" s="38"/>
      <c r="DS34" s="38"/>
      <c r="DT34" s="38"/>
      <c r="DU34" s="38"/>
      <c r="DV34" s="38"/>
      <c r="DW34" s="38"/>
      <c r="DX34" s="38"/>
      <c r="DY34" s="38"/>
      <c r="DZ34" s="38"/>
      <c r="EA34" s="38"/>
      <c r="EB34" s="38"/>
      <c r="EC34" s="38"/>
      <c r="ED34" s="38"/>
      <c r="EE34" s="38"/>
      <c r="EF34" s="38"/>
      <c r="EG34" s="38"/>
      <c r="EH34" s="38"/>
      <c r="EI34" s="38"/>
      <c r="EJ34" s="38"/>
      <c r="EK34" s="38"/>
      <c r="EL34" s="38"/>
    </row>
    <row r="35" spans="1:142">
      <c r="B35" s="274"/>
      <c r="C35" s="1498" t="s">
        <v>786</v>
      </c>
      <c r="D35" s="276">
        <f ca="1">IRR(D28:N28,0.05)</f>
        <v>0.11178897612731031</v>
      </c>
      <c r="E35" s="255">
        <f ca="1">NPV(E34,D28:N28)</f>
        <v>-3569.0500024223593</v>
      </c>
      <c r="F35" s="277"/>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38"/>
      <c r="BG35" s="38"/>
      <c r="BH35" s="38"/>
      <c r="BI35" s="38"/>
      <c r="BJ35" s="38"/>
      <c r="BK35" s="38"/>
      <c r="BL35" s="38"/>
      <c r="BM35" s="38"/>
      <c r="BN35" s="38"/>
      <c r="BO35" s="38"/>
      <c r="BP35" s="38"/>
      <c r="BQ35" s="38"/>
      <c r="BR35" s="38"/>
      <c r="BS35" s="38"/>
      <c r="BT35" s="38"/>
      <c r="BU35" s="38"/>
      <c r="BV35" s="38"/>
      <c r="BW35" s="38"/>
      <c r="BX35" s="38"/>
      <c r="BY35" s="38"/>
      <c r="BZ35" s="38"/>
      <c r="CA35" s="38"/>
      <c r="CB35" s="38"/>
      <c r="CC35" s="38"/>
      <c r="CD35" s="38"/>
      <c r="CE35" s="38"/>
      <c r="CF35" s="38"/>
      <c r="CG35" s="38"/>
      <c r="CH35" s="38"/>
      <c r="CI35" s="38"/>
      <c r="CJ35" s="38"/>
      <c r="CK35" s="38"/>
      <c r="CL35" s="38"/>
      <c r="CM35" s="38"/>
      <c r="CN35" s="38"/>
      <c r="CO35" s="38"/>
      <c r="CP35" s="38"/>
      <c r="CQ35" s="38"/>
      <c r="CR35" s="38"/>
      <c r="CS35" s="38"/>
      <c r="CT35" s="38"/>
      <c r="CU35" s="38"/>
      <c r="CV35" s="38"/>
      <c r="CW35" s="38"/>
      <c r="CX35" s="38"/>
      <c r="CY35" s="38"/>
      <c r="CZ35" s="38"/>
      <c r="DA35" s="38"/>
      <c r="DB35" s="38"/>
      <c r="DC35" s="38"/>
      <c r="DD35" s="38"/>
      <c r="DE35" s="38"/>
      <c r="DF35" s="38"/>
      <c r="DG35" s="38"/>
      <c r="DH35" s="38"/>
      <c r="DI35" s="38"/>
      <c r="DJ35" s="38"/>
      <c r="DK35" s="38"/>
      <c r="DL35" s="38"/>
      <c r="DM35" s="38"/>
      <c r="DN35" s="38"/>
      <c r="DO35" s="38"/>
      <c r="DP35" s="38"/>
      <c r="DQ35" s="38"/>
      <c r="DR35" s="38"/>
      <c r="DS35" s="38"/>
      <c r="DT35" s="38"/>
      <c r="DU35" s="38"/>
      <c r="DV35" s="38"/>
      <c r="DW35" s="38"/>
      <c r="DX35" s="38"/>
      <c r="DY35" s="38"/>
      <c r="DZ35" s="38"/>
      <c r="EA35" s="38"/>
      <c r="EB35" s="38"/>
      <c r="EC35" s="38"/>
      <c r="ED35" s="38"/>
      <c r="EE35" s="38"/>
      <c r="EF35" s="38"/>
      <c r="EG35" s="38"/>
      <c r="EH35" s="38"/>
      <c r="EI35" s="38"/>
      <c r="EJ35" s="38"/>
      <c r="EK35" s="38"/>
      <c r="EL35" s="38"/>
    </row>
    <row r="36" spans="1:142">
      <c r="B36" s="274"/>
      <c r="C36" s="1498" t="s">
        <v>787</v>
      </c>
      <c r="D36" s="276">
        <f ca="1">IRR(D28:X28)</f>
        <v>0.11405227563844944</v>
      </c>
      <c r="E36" s="255">
        <f ca="1">NPV(E34,D28:X28)</f>
        <v>-3053.3015161798021</v>
      </c>
      <c r="F36" s="277"/>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8"/>
      <c r="BK36" s="38"/>
      <c r="BL36" s="38"/>
      <c r="BM36" s="38"/>
      <c r="BN36" s="38"/>
      <c r="BO36" s="38"/>
      <c r="BP36" s="38"/>
      <c r="BQ36" s="38"/>
      <c r="BR36" s="38"/>
      <c r="BS36" s="38"/>
      <c r="BT36" s="38"/>
      <c r="BU36" s="38"/>
      <c r="BV36" s="38"/>
      <c r="BW36" s="38"/>
      <c r="BX36" s="38"/>
      <c r="BY36" s="38"/>
      <c r="BZ36" s="38"/>
      <c r="CA36" s="38"/>
      <c r="CB36" s="38"/>
      <c r="CC36" s="38"/>
      <c r="CD36" s="38"/>
      <c r="CE36" s="38"/>
      <c r="CF36" s="38"/>
      <c r="CG36" s="38"/>
      <c r="CH36" s="38"/>
      <c r="CI36" s="38"/>
      <c r="CJ36" s="38"/>
      <c r="CK36" s="38"/>
      <c r="CL36" s="38"/>
      <c r="CM36" s="38"/>
      <c r="CN36" s="38"/>
      <c r="CO36" s="38"/>
      <c r="CP36" s="38"/>
      <c r="CQ36" s="38"/>
      <c r="CR36" s="38"/>
      <c r="CS36" s="38"/>
      <c r="CT36" s="38"/>
      <c r="CU36" s="38"/>
      <c r="CV36" s="38"/>
      <c r="CW36" s="38"/>
      <c r="CX36" s="38"/>
      <c r="CY36" s="38"/>
      <c r="CZ36" s="38"/>
      <c r="DA36" s="38"/>
      <c r="DB36" s="38"/>
      <c r="DC36" s="38"/>
      <c r="DD36" s="38"/>
      <c r="DE36" s="38"/>
      <c r="DF36" s="38"/>
      <c r="DG36" s="38"/>
      <c r="DH36" s="38"/>
      <c r="DI36" s="38"/>
      <c r="DJ36" s="38"/>
      <c r="DK36" s="38"/>
      <c r="DL36" s="38"/>
      <c r="DM36" s="38"/>
      <c r="DN36" s="38"/>
      <c r="DO36" s="38"/>
      <c r="DP36" s="38"/>
      <c r="DQ36" s="38"/>
      <c r="DR36" s="38"/>
      <c r="DS36" s="38"/>
      <c r="DT36" s="38"/>
      <c r="DU36" s="38"/>
      <c r="DV36" s="38"/>
      <c r="DW36" s="38"/>
      <c r="DX36" s="38"/>
      <c r="DY36" s="38"/>
      <c r="DZ36" s="38"/>
      <c r="EA36" s="38"/>
      <c r="EB36" s="38"/>
      <c r="EC36" s="38"/>
      <c r="ED36" s="38"/>
      <c r="EE36" s="38"/>
      <c r="EF36" s="38"/>
      <c r="EG36" s="38"/>
      <c r="EH36" s="38"/>
      <c r="EI36" s="38"/>
      <c r="EJ36" s="38"/>
      <c r="EK36" s="38"/>
      <c r="EL36" s="38"/>
    </row>
    <row r="37" spans="1:142">
      <c r="B37" s="274"/>
      <c r="C37" s="1498" t="s">
        <v>788</v>
      </c>
      <c r="D37" s="276">
        <f ca="1">IRR(D28:AH28)</f>
        <v>0.11405553218801168</v>
      </c>
      <c r="E37" s="255">
        <f ca="1">NPV(E34,D28:AH28)</f>
        <v>-3052.5356853046746</v>
      </c>
      <c r="F37" s="277"/>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c r="BI37" s="38"/>
      <c r="BJ37" s="38"/>
      <c r="BK37" s="38"/>
      <c r="BL37" s="38"/>
      <c r="BM37" s="38"/>
      <c r="BN37" s="38"/>
      <c r="BO37" s="38"/>
      <c r="BP37" s="38"/>
      <c r="BQ37" s="38"/>
      <c r="BR37" s="38"/>
      <c r="BS37" s="38"/>
      <c r="BT37" s="38"/>
      <c r="BU37" s="38"/>
      <c r="BV37" s="38"/>
      <c r="BW37" s="38"/>
      <c r="BX37" s="38"/>
      <c r="BY37" s="38"/>
      <c r="BZ37" s="38"/>
      <c r="CA37" s="38"/>
      <c r="CB37" s="38"/>
      <c r="CC37" s="38"/>
      <c r="CD37" s="38"/>
      <c r="CE37" s="38"/>
      <c r="CF37" s="38"/>
      <c r="CG37" s="38"/>
      <c r="CH37" s="38"/>
      <c r="CI37" s="38"/>
      <c r="CJ37" s="38"/>
      <c r="CK37" s="38"/>
      <c r="CL37" s="38"/>
      <c r="CM37" s="38"/>
      <c r="CN37" s="38"/>
      <c r="CO37" s="38"/>
      <c r="CP37" s="38"/>
      <c r="CQ37" s="38"/>
      <c r="CR37" s="38"/>
      <c r="CS37" s="38"/>
      <c r="CT37" s="38"/>
      <c r="CU37" s="38"/>
      <c r="CV37" s="38"/>
      <c r="CW37" s="38"/>
      <c r="CX37" s="38"/>
      <c r="CY37" s="38"/>
      <c r="CZ37" s="38"/>
      <c r="DA37" s="38"/>
      <c r="DB37" s="38"/>
      <c r="DC37" s="38"/>
      <c r="DD37" s="38"/>
      <c r="DE37" s="38"/>
      <c r="DF37" s="38"/>
      <c r="DG37" s="38"/>
      <c r="DH37" s="38"/>
      <c r="DI37" s="38"/>
      <c r="DJ37" s="38"/>
      <c r="DK37" s="38"/>
      <c r="DL37" s="38"/>
      <c r="DM37" s="38"/>
      <c r="DN37" s="38"/>
      <c r="DO37" s="38"/>
      <c r="DP37" s="38"/>
      <c r="DQ37" s="38"/>
      <c r="DR37" s="38"/>
      <c r="DS37" s="38"/>
      <c r="DT37" s="38"/>
      <c r="DU37" s="38"/>
      <c r="DV37" s="38"/>
      <c r="DW37" s="38"/>
      <c r="DX37" s="38"/>
      <c r="DY37" s="38"/>
      <c r="DZ37" s="38"/>
      <c r="EA37" s="38"/>
      <c r="EB37" s="38"/>
      <c r="EC37" s="38"/>
      <c r="ED37" s="38"/>
      <c r="EE37" s="38"/>
      <c r="EF37" s="38"/>
      <c r="EG37" s="38"/>
      <c r="EH37" s="38"/>
      <c r="EI37" s="38"/>
      <c r="EJ37" s="38"/>
      <c r="EK37" s="38"/>
      <c r="EL37" s="38"/>
    </row>
    <row r="38" spans="1:142">
      <c r="B38" s="274"/>
      <c r="C38" s="316"/>
      <c r="D38" s="275"/>
      <c r="E38" s="316"/>
      <c r="F38" s="622"/>
      <c r="AI38" s="38"/>
      <c r="AJ38" s="38"/>
      <c r="AK38" s="38"/>
      <c r="AL38" s="38"/>
      <c r="AM38" s="38"/>
      <c r="AN38" s="38"/>
      <c r="AO38" s="38"/>
      <c r="AP38" s="38"/>
      <c r="AQ38" s="38"/>
      <c r="AR38" s="38"/>
      <c r="AS38" s="38"/>
      <c r="AT38" s="38"/>
      <c r="AU38" s="38"/>
      <c r="AV38" s="38"/>
      <c r="AW38" s="38"/>
      <c r="AX38" s="38"/>
      <c r="AY38" s="38"/>
      <c r="AZ38" s="38"/>
      <c r="BA38" s="38"/>
      <c r="BB38" s="38"/>
      <c r="BC38" s="38"/>
      <c r="BD38" s="38"/>
      <c r="BE38" s="38"/>
      <c r="BF38" s="38"/>
      <c r="BG38" s="38"/>
      <c r="BH38" s="38"/>
      <c r="BI38" s="38"/>
      <c r="BJ38" s="38"/>
      <c r="BK38" s="38"/>
      <c r="BL38" s="38"/>
      <c r="BM38" s="38"/>
      <c r="BN38" s="38"/>
      <c r="BO38" s="38"/>
      <c r="BP38" s="38"/>
      <c r="BQ38" s="38"/>
      <c r="BR38" s="38"/>
      <c r="BS38" s="38"/>
      <c r="BT38" s="38"/>
      <c r="BU38" s="38"/>
      <c r="BV38" s="38"/>
      <c r="BW38" s="38"/>
      <c r="BX38" s="38"/>
      <c r="BY38" s="38"/>
      <c r="BZ38" s="38"/>
      <c r="CA38" s="38"/>
      <c r="CB38" s="38"/>
      <c r="CC38" s="38"/>
      <c r="CD38" s="38"/>
      <c r="CE38" s="38"/>
      <c r="CF38" s="38"/>
      <c r="CG38" s="38"/>
      <c r="CH38" s="38"/>
      <c r="CI38" s="38"/>
      <c r="CJ38" s="38"/>
      <c r="CK38" s="38"/>
      <c r="CL38" s="38"/>
      <c r="CM38" s="38"/>
      <c r="CN38" s="38"/>
      <c r="CO38" s="38"/>
      <c r="CP38" s="38"/>
      <c r="CQ38" s="38"/>
      <c r="CR38" s="38"/>
      <c r="CS38" s="38"/>
      <c r="CT38" s="38"/>
      <c r="CU38" s="38"/>
      <c r="CV38" s="38"/>
      <c r="CW38" s="38"/>
      <c r="CX38" s="38"/>
      <c r="CY38" s="38"/>
      <c r="CZ38" s="38"/>
      <c r="DA38" s="38"/>
      <c r="DB38" s="38"/>
      <c r="DC38" s="38"/>
      <c r="DD38" s="38"/>
      <c r="DE38" s="38"/>
      <c r="DF38" s="38"/>
      <c r="DG38" s="38"/>
      <c r="DH38" s="38"/>
      <c r="DI38" s="38"/>
      <c r="DJ38" s="38"/>
      <c r="DK38" s="38"/>
      <c r="DL38" s="38"/>
      <c r="DM38" s="38"/>
      <c r="DN38" s="38"/>
      <c r="DO38" s="38"/>
      <c r="DP38" s="38"/>
      <c r="DQ38" s="38"/>
      <c r="DR38" s="38"/>
      <c r="DS38" s="38"/>
      <c r="DT38" s="38"/>
      <c r="DU38" s="38"/>
      <c r="DV38" s="38"/>
      <c r="DW38" s="38"/>
      <c r="DX38" s="38"/>
      <c r="DY38" s="38"/>
      <c r="DZ38" s="38"/>
      <c r="EA38" s="38"/>
      <c r="EB38" s="38"/>
      <c r="EC38" s="38"/>
      <c r="ED38" s="38"/>
      <c r="EE38" s="38"/>
      <c r="EF38" s="38"/>
      <c r="EG38" s="38"/>
      <c r="EH38" s="38"/>
      <c r="EI38" s="38"/>
      <c r="EJ38" s="38"/>
      <c r="EK38" s="38"/>
      <c r="EL38" s="38"/>
    </row>
    <row r="39" spans="1:142">
      <c r="B39" s="274"/>
      <c r="C39" s="316"/>
      <c r="D39" s="1" t="s">
        <v>195</v>
      </c>
      <c r="E39" s="1"/>
      <c r="F39" s="537"/>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c r="BM39" s="38"/>
      <c r="BN39" s="38"/>
      <c r="BO39" s="38"/>
      <c r="BP39" s="38"/>
      <c r="BQ39" s="38"/>
      <c r="BR39" s="38"/>
      <c r="BS39" s="38"/>
      <c r="BT39" s="38"/>
      <c r="BU39" s="38"/>
      <c r="BV39" s="38"/>
      <c r="BW39" s="38"/>
      <c r="BX39" s="38"/>
      <c r="BY39" s="38"/>
      <c r="BZ39" s="38"/>
      <c r="CA39" s="38"/>
      <c r="CB39" s="38"/>
      <c r="CC39" s="38"/>
      <c r="CD39" s="38"/>
      <c r="CE39" s="38"/>
      <c r="CF39" s="38"/>
      <c r="CG39" s="38"/>
      <c r="CH39" s="38"/>
      <c r="CI39" s="38"/>
      <c r="CJ39" s="38"/>
      <c r="CK39" s="38"/>
      <c r="CL39" s="38"/>
      <c r="CM39" s="38"/>
      <c r="CN39" s="38"/>
      <c r="CO39" s="38"/>
      <c r="CP39" s="38"/>
      <c r="CQ39" s="38"/>
      <c r="CR39" s="38"/>
      <c r="CS39" s="38"/>
      <c r="CT39" s="38"/>
      <c r="CU39" s="38"/>
      <c r="CV39" s="38"/>
      <c r="CW39" s="38"/>
      <c r="CX39" s="38"/>
      <c r="CY39" s="38"/>
      <c r="CZ39" s="38"/>
      <c r="DA39" s="38"/>
      <c r="DB39" s="38"/>
      <c r="DC39" s="38"/>
      <c r="DD39" s="38"/>
      <c r="DE39" s="38"/>
      <c r="DF39" s="38"/>
      <c r="DG39" s="38"/>
      <c r="DH39" s="38"/>
      <c r="DI39" s="38"/>
      <c r="DJ39" s="38"/>
      <c r="DK39" s="38"/>
      <c r="DL39" s="38"/>
      <c r="DM39" s="38"/>
      <c r="DN39" s="38"/>
      <c r="DO39" s="38"/>
      <c r="DP39" s="38"/>
      <c r="DQ39" s="38"/>
      <c r="DR39" s="38"/>
      <c r="DS39" s="38"/>
      <c r="DT39" s="38"/>
      <c r="DU39" s="38"/>
      <c r="DV39" s="38"/>
      <c r="DW39" s="38"/>
      <c r="DX39" s="38"/>
      <c r="DY39" s="38"/>
      <c r="DZ39" s="38"/>
      <c r="EA39" s="38"/>
      <c r="EB39" s="38"/>
      <c r="EC39" s="38"/>
      <c r="ED39" s="38"/>
      <c r="EE39" s="38"/>
      <c r="EF39" s="38"/>
      <c r="EG39" s="38"/>
      <c r="EH39" s="38"/>
      <c r="EI39" s="38"/>
      <c r="EJ39" s="38"/>
      <c r="EK39" s="38"/>
      <c r="EL39" s="38"/>
    </row>
    <row r="40" spans="1:142">
      <c r="B40" s="274"/>
      <c r="C40" s="1498" t="s">
        <v>786</v>
      </c>
      <c r="D40" s="276">
        <f ca="1">IRR(D25:N25,-0.05)</f>
        <v>-0.24276250698160473</v>
      </c>
      <c r="E40" s="255">
        <f ca="1">NPV((E34),D25:N25)</f>
        <v>-72797.736639134338</v>
      </c>
      <c r="F40" s="256"/>
      <c r="AI40" s="38"/>
      <c r="AJ40" s="38"/>
      <c r="AK40" s="38"/>
      <c r="AL40" s="38"/>
      <c r="AM40" s="38"/>
      <c r="AN40" s="38"/>
      <c r="AO40" s="38"/>
      <c r="AP40" s="38"/>
      <c r="AQ40" s="38"/>
      <c r="AR40" s="38"/>
      <c r="AS40" s="38"/>
      <c r="AT40" s="38"/>
      <c r="AU40" s="38"/>
      <c r="AV40" s="38"/>
      <c r="AW40" s="38"/>
      <c r="AX40" s="38"/>
      <c r="AY40" s="38"/>
      <c r="AZ40" s="38"/>
      <c r="BA40" s="38"/>
      <c r="BB40" s="38"/>
      <c r="BC40" s="38"/>
      <c r="BD40" s="38"/>
      <c r="BE40" s="38"/>
      <c r="BF40" s="38"/>
      <c r="BG40" s="38"/>
      <c r="BH40" s="38"/>
      <c r="BI40" s="38"/>
      <c r="BJ40" s="38"/>
      <c r="BK40" s="38"/>
      <c r="BL40" s="38"/>
      <c r="BM40" s="38"/>
      <c r="BN40" s="38"/>
      <c r="BO40" s="38"/>
      <c r="BP40" s="38"/>
      <c r="BQ40" s="38"/>
      <c r="BR40" s="38"/>
      <c r="BS40" s="38"/>
      <c r="BT40" s="38"/>
      <c r="BU40" s="38"/>
      <c r="BV40" s="38"/>
      <c r="BW40" s="38"/>
      <c r="BX40" s="38"/>
      <c r="BY40" s="38"/>
      <c r="BZ40" s="38"/>
      <c r="CA40" s="38"/>
      <c r="CB40" s="38"/>
      <c r="CC40" s="38"/>
      <c r="CD40" s="38"/>
      <c r="CE40" s="38"/>
      <c r="CF40" s="38"/>
      <c r="CG40" s="38"/>
      <c r="CH40" s="38"/>
      <c r="CI40" s="38"/>
      <c r="CJ40" s="38"/>
      <c r="CK40" s="38"/>
      <c r="CL40" s="38"/>
      <c r="CM40" s="38"/>
      <c r="CN40" s="38"/>
      <c r="CO40" s="38"/>
      <c r="CP40" s="38"/>
      <c r="CQ40" s="38"/>
      <c r="CR40" s="38"/>
      <c r="CS40" s="38"/>
      <c r="CT40" s="38"/>
      <c r="CU40" s="38"/>
      <c r="CV40" s="38"/>
      <c r="CW40" s="38"/>
      <c r="CX40" s="38"/>
      <c r="CY40" s="38"/>
      <c r="CZ40" s="38"/>
      <c r="DA40" s="38"/>
      <c r="DB40" s="38"/>
      <c r="DC40" s="38"/>
      <c r="DD40" s="38"/>
      <c r="DE40" s="38"/>
      <c r="DF40" s="38"/>
      <c r="DG40" s="38"/>
      <c r="DH40" s="38"/>
      <c r="DI40" s="38"/>
      <c r="DJ40" s="38"/>
      <c r="DK40" s="38"/>
      <c r="DL40" s="38"/>
      <c r="DM40" s="38"/>
      <c r="DN40" s="38"/>
      <c r="DO40" s="38"/>
      <c r="DP40" s="38"/>
      <c r="DQ40" s="38"/>
      <c r="DR40" s="38"/>
      <c r="DS40" s="38"/>
      <c r="DT40" s="38"/>
      <c r="DU40" s="38"/>
      <c r="DV40" s="38"/>
      <c r="DW40" s="38"/>
      <c r="DX40" s="38"/>
      <c r="DY40" s="38"/>
      <c r="DZ40" s="38"/>
      <c r="EA40" s="38"/>
      <c r="EB40" s="38"/>
      <c r="EC40" s="38"/>
      <c r="ED40" s="38"/>
      <c r="EE40" s="38"/>
      <c r="EF40" s="38"/>
      <c r="EG40" s="38"/>
      <c r="EH40" s="38"/>
      <c r="EI40" s="38"/>
      <c r="EJ40" s="38"/>
      <c r="EK40" s="38"/>
      <c r="EL40" s="38"/>
    </row>
    <row r="41" spans="1:142">
      <c r="B41" s="274"/>
      <c r="C41" s="1498" t="s">
        <v>787</v>
      </c>
      <c r="D41" s="276">
        <f ca="1">IRR(D25:X25,0.05)</f>
        <v>-5.820955190441468E-2</v>
      </c>
      <c r="E41" s="255">
        <f ca="1">NPV((E34),D25:X25)</f>
        <v>-69682.741864736861</v>
      </c>
      <c r="F41" s="256"/>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8"/>
      <c r="BK41" s="38"/>
      <c r="BL41" s="38"/>
      <c r="BM41" s="38"/>
      <c r="BN41" s="38"/>
      <c r="BO41" s="38"/>
      <c r="BP41" s="38"/>
      <c r="BQ41" s="38"/>
      <c r="BR41" s="38"/>
      <c r="BS41" s="38"/>
      <c r="BT41" s="38"/>
      <c r="BU41" s="38"/>
      <c r="BV41" s="38"/>
      <c r="BW41" s="38"/>
      <c r="BX41" s="38"/>
      <c r="BY41" s="38"/>
      <c r="BZ41" s="38"/>
      <c r="CA41" s="38"/>
      <c r="CB41" s="38"/>
      <c r="CC41" s="38"/>
      <c r="CD41" s="38"/>
      <c r="CE41" s="38"/>
      <c r="CF41" s="38"/>
      <c r="CG41" s="38"/>
      <c r="CH41" s="38"/>
      <c r="CI41" s="38"/>
      <c r="CJ41" s="38"/>
      <c r="CK41" s="38"/>
      <c r="CL41" s="38"/>
      <c r="CM41" s="38"/>
      <c r="CN41" s="38"/>
      <c r="CO41" s="38"/>
      <c r="CP41" s="38"/>
      <c r="CQ41" s="38"/>
      <c r="CR41" s="38"/>
      <c r="CS41" s="38"/>
      <c r="CT41" s="38"/>
      <c r="CU41" s="38"/>
      <c r="CV41" s="38"/>
      <c r="CW41" s="38"/>
      <c r="CX41" s="38"/>
      <c r="CY41" s="38"/>
      <c r="CZ41" s="38"/>
      <c r="DA41" s="38"/>
      <c r="DB41" s="38"/>
      <c r="DC41" s="38"/>
      <c r="DD41" s="38"/>
      <c r="DE41" s="38"/>
      <c r="DF41" s="38"/>
      <c r="DG41" s="38"/>
      <c r="DH41" s="38"/>
      <c r="DI41" s="38"/>
      <c r="DJ41" s="38"/>
      <c r="DK41" s="38"/>
      <c r="DL41" s="38"/>
      <c r="DM41" s="38"/>
      <c r="DN41" s="38"/>
      <c r="DO41" s="38"/>
      <c r="DP41" s="38"/>
      <c r="DQ41" s="38"/>
      <c r="DR41" s="38"/>
      <c r="DS41" s="38"/>
      <c r="DT41" s="38"/>
      <c r="DU41" s="38"/>
      <c r="DV41" s="38"/>
      <c r="DW41" s="38"/>
      <c r="DX41" s="38"/>
      <c r="DY41" s="38"/>
      <c r="DZ41" s="38"/>
      <c r="EA41" s="38"/>
      <c r="EB41" s="38"/>
      <c r="EC41" s="38"/>
      <c r="ED41" s="38"/>
      <c r="EE41" s="38"/>
      <c r="EF41" s="38"/>
      <c r="EG41" s="38"/>
      <c r="EH41" s="38"/>
      <c r="EI41" s="38"/>
      <c r="EJ41" s="38"/>
      <c r="EK41" s="38"/>
      <c r="EL41" s="38"/>
    </row>
    <row r="42" spans="1:142" ht="13.5" thickBot="1">
      <c r="B42" s="279"/>
      <c r="C42" s="1507" t="s">
        <v>788</v>
      </c>
      <c r="D42" s="1508">
        <f ca="1">IRR(D25:AH25,0.05)</f>
        <v>-5.8168351116509975E-2</v>
      </c>
      <c r="E42" s="258">
        <f ca="1">NPV((E34),D25:AH25)</f>
        <v>-69681.492358669449</v>
      </c>
      <c r="F42" s="1510"/>
      <c r="M42" s="12"/>
      <c r="N42" s="18"/>
      <c r="O42" s="18"/>
      <c r="P42" s="18"/>
      <c r="Q42" s="18"/>
      <c r="R42" s="18"/>
      <c r="S42" s="18"/>
      <c r="T42" s="18"/>
      <c r="U42" s="18"/>
      <c r="V42" s="18"/>
      <c r="W42" s="18"/>
      <c r="X42" s="18"/>
      <c r="Y42" s="18"/>
      <c r="Z42" s="18"/>
      <c r="AA42" s="18"/>
      <c r="AB42" s="18"/>
      <c r="AC42" s="18"/>
      <c r="AD42" s="18"/>
      <c r="AE42" s="18"/>
      <c r="AF42" s="18"/>
      <c r="AG42" s="18"/>
      <c r="AH42" s="38"/>
      <c r="AI42" s="38"/>
      <c r="AJ42" s="38"/>
      <c r="AK42" s="38"/>
      <c r="AL42" s="38"/>
      <c r="AM42" s="38"/>
      <c r="AN42" s="38"/>
      <c r="AO42" s="38"/>
      <c r="AP42" s="38"/>
      <c r="AQ42" s="38"/>
      <c r="AR42" s="38"/>
      <c r="AS42" s="38"/>
      <c r="AT42" s="38"/>
      <c r="AU42" s="38"/>
      <c r="AV42" s="38"/>
      <c r="AW42" s="38"/>
      <c r="AX42" s="38"/>
      <c r="AY42" s="38"/>
      <c r="AZ42" s="38"/>
      <c r="BA42" s="38"/>
      <c r="BB42" s="38"/>
      <c r="BC42" s="38"/>
      <c r="BD42" s="38"/>
      <c r="BE42" s="38"/>
      <c r="BF42" s="38"/>
      <c r="BG42" s="38"/>
      <c r="BH42" s="38"/>
      <c r="BI42" s="38"/>
      <c r="BJ42" s="38"/>
      <c r="BK42" s="38"/>
      <c r="BL42" s="38"/>
      <c r="BM42" s="38"/>
      <c r="BN42" s="38"/>
      <c r="BO42" s="38"/>
      <c r="BP42" s="38"/>
      <c r="BQ42" s="38"/>
      <c r="BR42" s="38"/>
      <c r="BS42" s="38"/>
      <c r="BT42" s="38"/>
      <c r="BU42" s="38"/>
      <c r="BV42" s="38"/>
      <c r="BW42" s="38"/>
      <c r="BX42" s="38"/>
      <c r="BY42" s="38"/>
      <c r="BZ42" s="38"/>
      <c r="CA42" s="38"/>
      <c r="CB42" s="38"/>
      <c r="CC42" s="38"/>
      <c r="CD42" s="38"/>
      <c r="CE42" s="38"/>
      <c r="CF42" s="38"/>
      <c r="CG42" s="38"/>
      <c r="CH42" s="38"/>
      <c r="CI42" s="38"/>
      <c r="CJ42" s="38"/>
      <c r="CK42" s="38"/>
      <c r="CL42" s="38"/>
      <c r="CM42" s="38"/>
      <c r="CN42" s="38"/>
      <c r="CO42" s="38"/>
      <c r="CP42" s="38"/>
      <c r="CQ42" s="38"/>
      <c r="CR42" s="38"/>
      <c r="CS42" s="38"/>
      <c r="CT42" s="38"/>
      <c r="CU42" s="38"/>
      <c r="CV42" s="38"/>
      <c r="CW42" s="38"/>
      <c r="CX42" s="38"/>
      <c r="CY42" s="38"/>
      <c r="CZ42" s="38"/>
      <c r="DA42" s="38"/>
      <c r="DB42" s="38"/>
      <c r="DC42" s="38"/>
      <c r="DD42" s="38"/>
      <c r="DE42" s="38"/>
      <c r="DF42" s="38"/>
      <c r="DG42" s="38"/>
      <c r="DH42" s="38"/>
      <c r="DI42" s="38"/>
      <c r="DJ42" s="38"/>
      <c r="DK42" s="38"/>
      <c r="DL42" s="38"/>
      <c r="DM42" s="38"/>
      <c r="DN42" s="38"/>
      <c r="DO42" s="38"/>
      <c r="DP42" s="38"/>
      <c r="DQ42" s="38"/>
      <c r="DR42" s="38"/>
      <c r="DS42" s="38"/>
      <c r="DT42" s="38"/>
      <c r="DU42" s="38"/>
      <c r="DV42" s="38"/>
      <c r="DW42" s="38"/>
      <c r="DX42" s="38"/>
      <c r="DY42" s="38"/>
      <c r="DZ42" s="38"/>
      <c r="EA42" s="38"/>
      <c r="EB42" s="38"/>
      <c r="EC42" s="38"/>
      <c r="ED42" s="38"/>
      <c r="EE42" s="38"/>
      <c r="EF42" s="38"/>
      <c r="EG42" s="38"/>
      <c r="EH42" s="38"/>
      <c r="EI42" s="38"/>
      <c r="EJ42" s="38"/>
      <c r="EK42" s="38"/>
      <c r="EL42" s="38"/>
    </row>
    <row r="43" spans="1:142">
      <c r="B43" s="488"/>
      <c r="C43" s="278"/>
      <c r="F43" s="344"/>
      <c r="M43" s="12"/>
      <c r="N43" s="18"/>
      <c r="O43" s="18"/>
      <c r="P43" s="18"/>
      <c r="Q43" s="18"/>
      <c r="R43" s="18"/>
      <c r="S43" s="18"/>
      <c r="T43" s="18"/>
      <c r="U43" s="18"/>
      <c r="V43" s="18"/>
      <c r="W43" s="18"/>
      <c r="X43" s="18"/>
      <c r="Y43" s="18"/>
      <c r="Z43" s="18"/>
      <c r="AA43" s="18"/>
      <c r="AB43" s="18"/>
      <c r="AC43" s="18"/>
      <c r="AD43" s="18"/>
      <c r="AE43" s="18"/>
      <c r="AF43" s="18"/>
      <c r="AG43" s="18"/>
      <c r="AH43" s="38"/>
      <c r="AI43" s="38"/>
      <c r="AJ43" s="38"/>
      <c r="AK43" s="38"/>
      <c r="AL43" s="38"/>
      <c r="AM43" s="38"/>
      <c r="AN43" s="38"/>
      <c r="AO43" s="38"/>
      <c r="AP43" s="38"/>
      <c r="AQ43" s="38"/>
      <c r="AR43" s="38"/>
      <c r="AS43" s="38"/>
      <c r="AT43" s="38"/>
      <c r="AU43" s="38"/>
      <c r="AV43" s="38"/>
      <c r="AW43" s="38"/>
      <c r="AX43" s="38"/>
      <c r="AY43" s="38"/>
      <c r="AZ43" s="38"/>
      <c r="BA43" s="38"/>
      <c r="BB43" s="38"/>
      <c r="BC43" s="38"/>
      <c r="BD43" s="38"/>
      <c r="BE43" s="38"/>
      <c r="BF43" s="38"/>
      <c r="BG43" s="38"/>
      <c r="BH43" s="38"/>
      <c r="BI43" s="38"/>
      <c r="BJ43" s="38"/>
      <c r="BK43" s="38"/>
      <c r="BL43" s="38"/>
      <c r="BM43" s="38"/>
      <c r="BN43" s="38"/>
      <c r="BO43" s="38"/>
      <c r="BP43" s="38"/>
      <c r="BQ43" s="38"/>
      <c r="BR43" s="38"/>
      <c r="BS43" s="38"/>
      <c r="BT43" s="38"/>
      <c r="BU43" s="38"/>
      <c r="BV43" s="38"/>
      <c r="BW43" s="38"/>
      <c r="BX43" s="38"/>
      <c r="BY43" s="38"/>
      <c r="BZ43" s="38"/>
      <c r="CA43" s="38"/>
      <c r="CB43" s="38"/>
      <c r="CC43" s="38"/>
      <c r="CD43" s="38"/>
      <c r="CE43" s="38"/>
      <c r="CF43" s="38"/>
      <c r="CG43" s="38"/>
      <c r="CH43" s="38"/>
      <c r="CI43" s="38"/>
      <c r="CJ43" s="38"/>
      <c r="CK43" s="38"/>
      <c r="CL43" s="38"/>
      <c r="CM43" s="38"/>
      <c r="CN43" s="38"/>
      <c r="CO43" s="38"/>
      <c r="CP43" s="38"/>
      <c r="CQ43" s="38"/>
      <c r="CR43" s="38"/>
      <c r="CS43" s="38"/>
      <c r="CT43" s="38"/>
      <c r="CU43" s="38"/>
      <c r="CV43" s="38"/>
      <c r="CW43" s="38"/>
      <c r="CX43" s="38"/>
      <c r="CY43" s="38"/>
      <c r="CZ43" s="38"/>
      <c r="DA43" s="38"/>
      <c r="DB43" s="38"/>
      <c r="DC43" s="38"/>
      <c r="DD43" s="38"/>
      <c r="DE43" s="38"/>
      <c r="DF43" s="38"/>
      <c r="DG43" s="38"/>
      <c r="DH43" s="38"/>
      <c r="DI43" s="38"/>
      <c r="DJ43" s="38"/>
      <c r="DK43" s="38"/>
      <c r="DL43" s="38"/>
      <c r="DM43" s="38"/>
      <c r="DN43" s="38"/>
      <c r="DO43" s="38"/>
      <c r="DP43" s="38"/>
      <c r="DQ43" s="38"/>
      <c r="DR43" s="38"/>
      <c r="DS43" s="38"/>
      <c r="DT43" s="38"/>
      <c r="DU43" s="38"/>
      <c r="DV43" s="38"/>
      <c r="DW43" s="38"/>
      <c r="DX43" s="38"/>
      <c r="DY43" s="38"/>
      <c r="DZ43" s="38"/>
      <c r="EA43" s="38"/>
      <c r="EB43" s="38"/>
      <c r="EC43" s="38"/>
      <c r="ED43" s="38"/>
      <c r="EE43" s="38"/>
      <c r="EF43" s="38"/>
      <c r="EG43" s="38"/>
      <c r="EH43" s="38"/>
      <c r="EI43" s="38"/>
      <c r="EJ43" s="38"/>
      <c r="EK43" s="38"/>
      <c r="EL43" s="38"/>
    </row>
    <row r="44" spans="1:142">
      <c r="B44" s="488"/>
      <c r="C44" s="278"/>
      <c r="F44" s="12"/>
      <c r="M44" s="12"/>
      <c r="N44" s="18"/>
      <c r="O44" s="18"/>
      <c r="P44" s="18"/>
      <c r="Q44" s="18"/>
      <c r="R44" s="18"/>
      <c r="S44" s="18"/>
      <c r="T44" s="18"/>
      <c r="U44" s="18"/>
      <c r="V44" s="18"/>
      <c r="W44" s="18"/>
      <c r="X44" s="18"/>
      <c r="Y44" s="18"/>
      <c r="Z44" s="18"/>
      <c r="AA44" s="18"/>
      <c r="AB44" s="18"/>
      <c r="AC44" s="18"/>
      <c r="AD44" s="18"/>
      <c r="AE44" s="18"/>
      <c r="AF44" s="18"/>
      <c r="AG44" s="18"/>
      <c r="AH44" s="38"/>
      <c r="AI44" s="38"/>
      <c r="AJ44" s="38"/>
      <c r="AK44" s="38"/>
      <c r="AL44" s="38"/>
      <c r="AM44" s="38"/>
      <c r="AN44" s="38"/>
      <c r="AO44" s="38"/>
      <c r="AP44" s="38"/>
      <c r="AQ44" s="38"/>
      <c r="AR44" s="38"/>
      <c r="AS44" s="38"/>
      <c r="AT44" s="38"/>
      <c r="AU44" s="38"/>
      <c r="AV44" s="38"/>
      <c r="AW44" s="38"/>
      <c r="AX44" s="38"/>
      <c r="AY44" s="38"/>
      <c r="AZ44" s="38"/>
      <c r="BA44" s="38"/>
      <c r="BB44" s="38"/>
      <c r="BC44" s="38"/>
      <c r="BD44" s="38"/>
      <c r="BE44" s="38"/>
      <c r="BF44" s="38"/>
      <c r="BG44" s="38"/>
      <c r="BH44" s="38"/>
      <c r="BI44" s="38"/>
      <c r="BJ44" s="38"/>
      <c r="BK44" s="38"/>
      <c r="BL44" s="38"/>
      <c r="BM44" s="38"/>
      <c r="BN44" s="38"/>
      <c r="BO44" s="38"/>
      <c r="BP44" s="38"/>
      <c r="BQ44" s="38"/>
      <c r="BR44" s="38"/>
      <c r="BS44" s="38"/>
      <c r="BT44" s="38"/>
      <c r="BU44" s="38"/>
      <c r="BV44" s="38"/>
      <c r="BW44" s="38"/>
      <c r="BX44" s="38"/>
      <c r="BY44" s="38"/>
      <c r="BZ44" s="38"/>
      <c r="CA44" s="38"/>
      <c r="CB44" s="38"/>
      <c r="CC44" s="38"/>
      <c r="CD44" s="38"/>
      <c r="CE44" s="38"/>
      <c r="CF44" s="38"/>
      <c r="CG44" s="38"/>
      <c r="CH44" s="38"/>
      <c r="CI44" s="38"/>
      <c r="CJ44" s="38"/>
      <c r="CK44" s="38"/>
      <c r="CL44" s="38"/>
      <c r="CM44" s="38"/>
      <c r="CN44" s="38"/>
      <c r="CO44" s="38"/>
      <c r="CP44" s="38"/>
      <c r="CQ44" s="38"/>
      <c r="CR44" s="38"/>
      <c r="CS44" s="38"/>
      <c r="CT44" s="38"/>
      <c r="CU44" s="38"/>
      <c r="CV44" s="38"/>
      <c r="CW44" s="38"/>
      <c r="CX44" s="38"/>
      <c r="CY44" s="38"/>
      <c r="CZ44" s="38"/>
      <c r="DA44" s="38"/>
      <c r="DB44" s="38"/>
      <c r="DC44" s="38"/>
      <c r="DD44" s="38"/>
      <c r="DE44" s="38"/>
      <c r="DF44" s="38"/>
      <c r="DG44" s="38"/>
      <c r="DH44" s="38"/>
      <c r="DI44" s="38"/>
      <c r="DJ44" s="38"/>
      <c r="DK44" s="38"/>
      <c r="DL44" s="38"/>
      <c r="DM44" s="38"/>
      <c r="DN44" s="38"/>
      <c r="DO44" s="38"/>
      <c r="DP44" s="38"/>
      <c r="DQ44" s="38"/>
      <c r="DR44" s="38"/>
      <c r="DS44" s="38"/>
      <c r="DT44" s="38"/>
      <c r="DU44" s="38"/>
      <c r="DV44" s="38"/>
      <c r="DW44" s="38"/>
      <c r="DX44" s="38"/>
      <c r="DY44" s="38"/>
      <c r="DZ44" s="38"/>
      <c r="EA44" s="38"/>
      <c r="EB44" s="38"/>
      <c r="EC44" s="38"/>
      <c r="ED44" s="38"/>
      <c r="EE44" s="38"/>
      <c r="EF44" s="38"/>
      <c r="EG44" s="38"/>
      <c r="EH44" s="38"/>
      <c r="EI44" s="38"/>
      <c r="EJ44" s="38"/>
      <c r="EK44" s="38"/>
      <c r="EL44" s="38"/>
    </row>
    <row r="45" spans="1:142">
      <c r="B45" s="38"/>
      <c r="C45" s="38"/>
      <c r="D45" s="38"/>
      <c r="F45" s="1479"/>
      <c r="G45" s="1479"/>
      <c r="H45" s="1479"/>
      <c r="I45" s="1479"/>
      <c r="J45" s="1479"/>
      <c r="K45" s="1479"/>
      <c r="L45" s="1479"/>
      <c r="M45" s="1479"/>
      <c r="N45" s="1479"/>
      <c r="O45" s="1479"/>
      <c r="P45" s="1479"/>
      <c r="Q45" s="1479"/>
      <c r="R45" s="1479"/>
      <c r="S45" s="1479"/>
      <c r="T45" s="1479"/>
      <c r="U45" s="1479"/>
      <c r="V45" s="1479"/>
      <c r="W45" s="1479"/>
      <c r="X45" s="1479"/>
      <c r="Y45" s="1479"/>
      <c r="Z45" s="1479"/>
      <c r="AA45" s="1479"/>
      <c r="AB45" s="1479"/>
      <c r="AC45" s="1479"/>
      <c r="AD45" s="1479"/>
      <c r="AE45" s="1479"/>
      <c r="AF45" s="1479"/>
      <c r="AG45" s="1479"/>
      <c r="AH45" s="1479"/>
      <c r="AI45" s="1479"/>
      <c r="AJ45" s="38"/>
      <c r="AK45" s="38"/>
      <c r="AL45" s="38"/>
      <c r="AM45" s="38"/>
      <c r="AN45" s="38"/>
      <c r="AO45" s="38"/>
      <c r="AP45" s="38"/>
      <c r="AQ45" s="38"/>
      <c r="AR45" s="38"/>
      <c r="AS45" s="38"/>
      <c r="AT45" s="38"/>
      <c r="AU45" s="38"/>
      <c r="AV45" s="38"/>
      <c r="AW45" s="38"/>
      <c r="AX45" s="38"/>
      <c r="AY45" s="38"/>
      <c r="AZ45" s="38"/>
      <c r="BA45" s="38"/>
      <c r="BB45" s="38"/>
      <c r="BC45" s="38"/>
      <c r="BD45" s="38"/>
      <c r="BE45" s="38"/>
      <c r="BF45" s="38"/>
      <c r="BG45" s="38"/>
      <c r="BH45" s="38"/>
      <c r="BI45" s="38"/>
      <c r="BJ45" s="38"/>
      <c r="BK45" s="38"/>
      <c r="BL45" s="38"/>
      <c r="BM45" s="38"/>
      <c r="BN45" s="38"/>
      <c r="BO45" s="38"/>
      <c r="BP45" s="38"/>
      <c r="BQ45" s="38"/>
      <c r="BR45" s="38"/>
      <c r="BS45" s="38"/>
      <c r="BT45" s="38"/>
      <c r="BU45" s="38"/>
      <c r="BV45" s="38"/>
      <c r="BW45" s="38"/>
      <c r="BX45" s="38"/>
      <c r="BY45" s="38"/>
      <c r="BZ45" s="38"/>
      <c r="CA45" s="38"/>
      <c r="CB45" s="38"/>
      <c r="CC45" s="38"/>
      <c r="CD45" s="38"/>
      <c r="CE45" s="38"/>
      <c r="CF45" s="38"/>
      <c r="CG45" s="38"/>
      <c r="CH45" s="38"/>
      <c r="CI45" s="38"/>
      <c r="CJ45" s="38"/>
      <c r="CK45" s="38"/>
      <c r="CL45" s="38"/>
      <c r="CM45" s="38"/>
      <c r="CN45" s="38"/>
      <c r="CO45" s="38"/>
      <c r="CP45" s="38"/>
      <c r="CQ45" s="38"/>
      <c r="CR45" s="38"/>
      <c r="CS45" s="38"/>
      <c r="CT45" s="38"/>
      <c r="CU45" s="38"/>
      <c r="CV45" s="38"/>
      <c r="CW45" s="38"/>
      <c r="CX45" s="38"/>
      <c r="CY45" s="38"/>
      <c r="CZ45" s="38"/>
      <c r="DA45" s="38"/>
      <c r="DB45" s="38"/>
      <c r="DC45" s="38"/>
      <c r="DD45" s="38"/>
      <c r="DE45" s="38"/>
      <c r="DF45" s="38"/>
      <c r="DG45" s="38"/>
      <c r="DH45" s="38"/>
      <c r="DI45" s="38"/>
      <c r="DJ45" s="38"/>
      <c r="DK45" s="38"/>
      <c r="DL45" s="38"/>
      <c r="DM45" s="38"/>
      <c r="DN45" s="38"/>
      <c r="DO45" s="38"/>
      <c r="DP45" s="38"/>
      <c r="DQ45" s="38"/>
      <c r="DR45" s="38"/>
      <c r="DS45" s="38"/>
      <c r="DT45" s="38"/>
      <c r="DU45" s="38"/>
      <c r="DV45" s="38"/>
      <c r="DW45" s="38"/>
      <c r="DX45" s="38"/>
      <c r="DY45" s="38"/>
      <c r="DZ45" s="38"/>
      <c r="EA45" s="38"/>
      <c r="EB45" s="38"/>
      <c r="EC45" s="38"/>
      <c r="ED45" s="38"/>
      <c r="EE45" s="38"/>
      <c r="EF45" s="38"/>
      <c r="EG45" s="38"/>
      <c r="EH45" s="38"/>
      <c r="EI45" s="38"/>
      <c r="EJ45" s="38"/>
      <c r="EK45" s="38"/>
      <c r="EL45" s="38"/>
    </row>
    <row r="46" spans="1:142">
      <c r="B46" s="46" t="s">
        <v>792</v>
      </c>
      <c r="C46" s="38"/>
      <c r="D46" s="38" t="s">
        <v>20</v>
      </c>
      <c r="F46" s="1479"/>
      <c r="G46" s="1479"/>
      <c r="H46" s="1479"/>
      <c r="I46" s="1479"/>
      <c r="J46" s="1479"/>
      <c r="K46" s="1479"/>
      <c r="L46" s="1479"/>
      <c r="M46" s="1479"/>
      <c r="N46" s="1479"/>
      <c r="O46" s="1479"/>
      <c r="P46" s="1479"/>
      <c r="Q46" s="1479"/>
      <c r="R46" s="1479"/>
      <c r="S46" s="1479"/>
      <c r="T46" s="1479"/>
      <c r="U46" s="1479"/>
      <c r="V46" s="1479"/>
      <c r="W46" s="1479"/>
      <c r="X46" s="1479"/>
      <c r="Y46" s="1479"/>
      <c r="Z46" s="1479"/>
      <c r="AA46" s="1479"/>
      <c r="AB46" s="1479"/>
      <c r="AC46" s="1479"/>
      <c r="AD46" s="1479"/>
      <c r="AE46" s="1479"/>
      <c r="AF46" s="1479"/>
      <c r="AG46" s="1479"/>
      <c r="AH46" s="1479"/>
      <c r="AI46" s="1479"/>
      <c r="AJ46" s="38"/>
      <c r="AK46" s="38"/>
      <c r="AL46" s="38"/>
      <c r="AM46" s="38"/>
      <c r="AN46" s="38"/>
      <c r="AO46" s="38"/>
      <c r="AP46" s="38"/>
      <c r="AQ46" s="38"/>
      <c r="AR46" s="38"/>
      <c r="AS46" s="38"/>
      <c r="AT46" s="38"/>
      <c r="AU46" s="38"/>
      <c r="AV46" s="38"/>
      <c r="AW46" s="38"/>
      <c r="AX46" s="38"/>
      <c r="AY46" s="38"/>
      <c r="AZ46" s="38"/>
      <c r="BA46" s="38"/>
      <c r="BB46" s="38"/>
      <c r="BC46" s="38"/>
      <c r="BD46" s="38"/>
      <c r="BE46" s="38"/>
      <c r="BF46" s="38"/>
      <c r="BG46" s="38"/>
      <c r="BH46" s="38"/>
      <c r="BI46" s="38"/>
      <c r="BJ46" s="38"/>
      <c r="BK46" s="38"/>
      <c r="BL46" s="38"/>
      <c r="BM46" s="38"/>
      <c r="BN46" s="38"/>
      <c r="BO46" s="38"/>
      <c r="BP46" s="38"/>
      <c r="BQ46" s="38"/>
      <c r="BR46" s="38"/>
      <c r="BS46" s="38"/>
      <c r="BT46" s="38"/>
      <c r="BU46" s="38"/>
      <c r="BV46" s="38"/>
      <c r="BW46" s="38"/>
      <c r="BX46" s="38"/>
      <c r="BY46" s="38"/>
      <c r="BZ46" s="38"/>
      <c r="CA46" s="38"/>
      <c r="CB46" s="38"/>
      <c r="CC46" s="38"/>
      <c r="CD46" s="38"/>
      <c r="CE46" s="38"/>
      <c r="CF46" s="38"/>
      <c r="CG46" s="38"/>
      <c r="CH46" s="38"/>
      <c r="CI46" s="38"/>
      <c r="CJ46" s="38"/>
      <c r="CK46" s="38"/>
      <c r="CL46" s="38"/>
      <c r="CM46" s="38"/>
      <c r="CN46" s="38"/>
      <c r="CO46" s="38"/>
      <c r="CP46" s="38"/>
      <c r="CQ46" s="38"/>
      <c r="CR46" s="38"/>
      <c r="CS46" s="38"/>
      <c r="CT46" s="38"/>
      <c r="CU46" s="38"/>
      <c r="CV46" s="38"/>
      <c r="CW46" s="38"/>
      <c r="CX46" s="38"/>
      <c r="CY46" s="38"/>
      <c r="CZ46" s="38"/>
      <c r="DA46" s="38"/>
      <c r="DB46" s="38"/>
      <c r="DC46" s="38"/>
      <c r="DD46" s="38"/>
      <c r="DE46" s="38"/>
      <c r="DF46" s="38"/>
      <c r="DG46" s="38"/>
      <c r="DH46" s="38"/>
      <c r="DI46" s="38"/>
      <c r="DJ46" s="38"/>
      <c r="DK46" s="38"/>
      <c r="DL46" s="38"/>
      <c r="DM46" s="38"/>
      <c r="DN46" s="38"/>
      <c r="DO46" s="38"/>
      <c r="DP46" s="38"/>
      <c r="DQ46" s="38"/>
      <c r="DR46" s="38"/>
      <c r="DS46" s="38"/>
      <c r="DT46" s="38"/>
      <c r="DU46" s="38"/>
      <c r="DV46" s="38"/>
      <c r="DW46" s="38"/>
      <c r="DX46" s="38"/>
      <c r="DY46" s="38"/>
      <c r="DZ46" s="38"/>
      <c r="EA46" s="38"/>
      <c r="EB46" s="38"/>
      <c r="EC46" s="38"/>
      <c r="ED46" s="38"/>
      <c r="EE46" s="38"/>
      <c r="EF46" s="38"/>
      <c r="EG46" s="38"/>
      <c r="EH46" s="38"/>
      <c r="EI46" s="38"/>
      <c r="EJ46" s="38"/>
      <c r="EK46" s="38"/>
      <c r="EL46" s="38"/>
    </row>
    <row r="47" spans="1:142">
      <c r="B47" s="38"/>
      <c r="C47" s="38"/>
      <c r="D47" s="1492">
        <f>Assum!F24</f>
        <v>35795</v>
      </c>
      <c r="E47" s="1526">
        <f>IF(Assum!$F$25-274&lt;D47,D47,Assum!$F$25-274)</f>
        <v>35885</v>
      </c>
      <c r="F47" s="1493">
        <f>Assum!F25+365-274</f>
        <v>36250</v>
      </c>
      <c r="G47" s="1493">
        <f t="shared" ref="G47:AI47" si="10">EDATE(F50,3)</f>
        <v>36616</v>
      </c>
      <c r="H47" s="1493">
        <f t="shared" si="10"/>
        <v>36981</v>
      </c>
      <c r="I47" s="1493">
        <f t="shared" si="10"/>
        <v>37346</v>
      </c>
      <c r="J47" s="1493">
        <f t="shared" si="10"/>
        <v>37711</v>
      </c>
      <c r="K47" s="1493">
        <f t="shared" si="10"/>
        <v>38077</v>
      </c>
      <c r="L47" s="1493">
        <f t="shared" si="10"/>
        <v>38442</v>
      </c>
      <c r="M47" s="1493">
        <f t="shared" si="10"/>
        <v>38807</v>
      </c>
      <c r="N47" s="1493">
        <f t="shared" si="10"/>
        <v>39172</v>
      </c>
      <c r="O47" s="1493">
        <f t="shared" si="10"/>
        <v>39538</v>
      </c>
      <c r="P47" s="1493">
        <f t="shared" si="10"/>
        <v>39903</v>
      </c>
      <c r="Q47" s="1493">
        <f t="shared" si="10"/>
        <v>40268</v>
      </c>
      <c r="R47" s="1493">
        <f t="shared" si="10"/>
        <v>40633</v>
      </c>
      <c r="S47" s="1493">
        <f t="shared" si="10"/>
        <v>40999</v>
      </c>
      <c r="T47" s="1493">
        <f t="shared" si="10"/>
        <v>41364</v>
      </c>
      <c r="U47" s="1493">
        <f t="shared" si="10"/>
        <v>41729</v>
      </c>
      <c r="V47" s="1493">
        <f t="shared" si="10"/>
        <v>42094</v>
      </c>
      <c r="W47" s="1493">
        <f t="shared" si="10"/>
        <v>42460</v>
      </c>
      <c r="X47" s="1493">
        <f t="shared" si="10"/>
        <v>42825</v>
      </c>
      <c r="Y47" s="1493">
        <f t="shared" si="10"/>
        <v>43190</v>
      </c>
      <c r="Z47" s="1493">
        <f t="shared" si="10"/>
        <v>43555</v>
      </c>
      <c r="AA47" s="1493">
        <f t="shared" si="10"/>
        <v>43921</v>
      </c>
      <c r="AB47" s="1493">
        <f t="shared" si="10"/>
        <v>44286</v>
      </c>
      <c r="AC47" s="1493">
        <f t="shared" si="10"/>
        <v>44651</v>
      </c>
      <c r="AD47" s="1493">
        <f t="shared" si="10"/>
        <v>45016</v>
      </c>
      <c r="AE47" s="1493">
        <f t="shared" si="10"/>
        <v>45382</v>
      </c>
      <c r="AF47" s="1493">
        <f t="shared" si="10"/>
        <v>45747</v>
      </c>
      <c r="AG47" s="1493">
        <f t="shared" si="10"/>
        <v>46112</v>
      </c>
      <c r="AH47" s="1493">
        <f t="shared" si="10"/>
        <v>46477</v>
      </c>
      <c r="AI47" s="1493">
        <f t="shared" si="10"/>
        <v>46843</v>
      </c>
      <c r="AJ47" s="38"/>
      <c r="AK47" s="38"/>
      <c r="AL47" s="38"/>
      <c r="AM47" s="38"/>
      <c r="AN47" s="38"/>
      <c r="AO47" s="38"/>
      <c r="AP47" s="38"/>
      <c r="AQ47" s="38"/>
      <c r="AR47" s="38"/>
      <c r="AS47" s="38"/>
      <c r="AT47" s="38"/>
      <c r="AU47" s="38"/>
      <c r="AV47" s="38"/>
      <c r="AW47" s="38"/>
      <c r="AX47" s="38"/>
      <c r="AY47" s="38"/>
      <c r="AZ47" s="38"/>
      <c r="BA47" s="38"/>
      <c r="BB47" s="38"/>
      <c r="BC47" s="38"/>
      <c r="BD47" s="38"/>
      <c r="BE47" s="38"/>
      <c r="BF47" s="38"/>
      <c r="BG47" s="38"/>
      <c r="BH47" s="38"/>
      <c r="BI47" s="38"/>
      <c r="BJ47" s="38"/>
      <c r="BK47" s="38"/>
      <c r="BL47" s="38"/>
      <c r="BM47" s="38"/>
      <c r="BN47" s="38"/>
      <c r="BO47" s="38"/>
      <c r="BP47" s="38"/>
      <c r="BQ47" s="38"/>
      <c r="BR47" s="38"/>
      <c r="BS47" s="38"/>
      <c r="BT47" s="38"/>
      <c r="BU47" s="38"/>
      <c r="BV47" s="38"/>
      <c r="BW47" s="38"/>
      <c r="BX47" s="38"/>
      <c r="BY47" s="38"/>
      <c r="BZ47" s="38"/>
      <c r="CA47" s="38"/>
      <c r="CB47" s="38"/>
      <c r="CC47" s="38"/>
      <c r="CD47" s="38"/>
      <c r="CE47" s="38"/>
      <c r="CF47" s="38"/>
      <c r="CG47" s="38"/>
      <c r="CH47" s="38"/>
      <c r="CI47" s="38"/>
      <c r="CJ47" s="38"/>
      <c r="CK47" s="38"/>
      <c r="CL47" s="38"/>
      <c r="CM47" s="38"/>
      <c r="CN47" s="38"/>
      <c r="CO47" s="38"/>
      <c r="CP47" s="38"/>
      <c r="CQ47" s="38"/>
      <c r="CR47" s="38"/>
      <c r="CS47" s="38"/>
      <c r="CT47" s="38"/>
      <c r="CU47" s="38"/>
      <c r="CV47" s="38"/>
      <c r="CW47" s="38"/>
      <c r="CX47" s="38"/>
      <c r="CY47" s="38"/>
      <c r="CZ47" s="38"/>
      <c r="DA47" s="38"/>
      <c r="DB47" s="38"/>
      <c r="DC47" s="38"/>
      <c r="DD47" s="38"/>
      <c r="DE47" s="38"/>
      <c r="DF47" s="38"/>
      <c r="DG47" s="38"/>
      <c r="DH47" s="38"/>
      <c r="DI47" s="38"/>
      <c r="DJ47" s="38"/>
      <c r="DK47" s="38"/>
      <c r="DL47" s="38"/>
      <c r="DM47" s="38"/>
      <c r="DN47" s="38"/>
      <c r="DO47" s="38"/>
      <c r="DP47" s="38"/>
      <c r="DQ47" s="38"/>
      <c r="DR47" s="38"/>
      <c r="DS47" s="38"/>
      <c r="DT47" s="38"/>
      <c r="DU47" s="38"/>
      <c r="DV47" s="38"/>
      <c r="DW47" s="38"/>
      <c r="DX47" s="38"/>
      <c r="DY47" s="38"/>
      <c r="DZ47" s="38"/>
      <c r="EA47" s="38"/>
      <c r="EB47" s="38"/>
      <c r="EC47" s="38"/>
      <c r="ED47" s="38"/>
      <c r="EE47" s="38"/>
      <c r="EF47" s="38"/>
      <c r="EG47" s="38"/>
      <c r="EH47" s="38"/>
      <c r="EI47" s="38"/>
      <c r="EJ47" s="38"/>
      <c r="EK47" s="38"/>
      <c r="EL47" s="38"/>
    </row>
    <row r="48" spans="1:142">
      <c r="B48" s="38"/>
      <c r="C48" s="38"/>
      <c r="D48" s="1574">
        <f>$D$47</f>
        <v>35795</v>
      </c>
      <c r="E48" s="1528">
        <f>IF(Assum!$F$25-182&lt;D48,D48,Assum!$F$25-182)</f>
        <v>35977</v>
      </c>
      <c r="F48" s="1494">
        <f t="shared" ref="F48:O50" si="11">EDATE(F47,3)</f>
        <v>36341</v>
      </c>
      <c r="G48" s="1494">
        <f t="shared" si="11"/>
        <v>36707</v>
      </c>
      <c r="H48" s="1494">
        <f t="shared" si="11"/>
        <v>37072</v>
      </c>
      <c r="I48" s="1494">
        <f t="shared" si="11"/>
        <v>37437</v>
      </c>
      <c r="J48" s="1494">
        <f t="shared" si="11"/>
        <v>37802</v>
      </c>
      <c r="K48" s="1494">
        <f t="shared" si="11"/>
        <v>38168</v>
      </c>
      <c r="L48" s="1494">
        <f t="shared" si="11"/>
        <v>38533</v>
      </c>
      <c r="M48" s="1494">
        <f t="shared" si="11"/>
        <v>38898</v>
      </c>
      <c r="N48" s="1494">
        <f t="shared" si="11"/>
        <v>39263</v>
      </c>
      <c r="O48" s="1494">
        <f t="shared" si="11"/>
        <v>39629</v>
      </c>
      <c r="P48" s="1494">
        <f t="shared" ref="P48:Y50" si="12">EDATE(P47,3)</f>
        <v>39994</v>
      </c>
      <c r="Q48" s="1494">
        <f t="shared" si="12"/>
        <v>40359</v>
      </c>
      <c r="R48" s="1494">
        <f t="shared" si="12"/>
        <v>40724</v>
      </c>
      <c r="S48" s="1494">
        <f t="shared" si="12"/>
        <v>41090</v>
      </c>
      <c r="T48" s="1494">
        <f t="shared" si="12"/>
        <v>41455</v>
      </c>
      <c r="U48" s="1494">
        <f t="shared" si="12"/>
        <v>41820</v>
      </c>
      <c r="V48" s="1494">
        <f t="shared" si="12"/>
        <v>42185</v>
      </c>
      <c r="W48" s="1494">
        <f t="shared" si="12"/>
        <v>42551</v>
      </c>
      <c r="X48" s="1494">
        <f t="shared" si="12"/>
        <v>42916</v>
      </c>
      <c r="Y48" s="1494">
        <f t="shared" si="12"/>
        <v>43281</v>
      </c>
      <c r="Z48" s="1494">
        <f t="shared" ref="Z48:AI50" si="13">EDATE(Z47,3)</f>
        <v>43646</v>
      </c>
      <c r="AA48" s="1494">
        <f t="shared" si="13"/>
        <v>44012</v>
      </c>
      <c r="AB48" s="1494">
        <f t="shared" si="13"/>
        <v>44377</v>
      </c>
      <c r="AC48" s="1494">
        <f t="shared" si="13"/>
        <v>44742</v>
      </c>
      <c r="AD48" s="1494">
        <f t="shared" si="13"/>
        <v>45107</v>
      </c>
      <c r="AE48" s="1494">
        <f t="shared" si="13"/>
        <v>45473</v>
      </c>
      <c r="AF48" s="1494">
        <f t="shared" si="13"/>
        <v>45838</v>
      </c>
      <c r="AG48" s="1494">
        <f t="shared" si="13"/>
        <v>46203</v>
      </c>
      <c r="AH48" s="1494">
        <f t="shared" si="13"/>
        <v>46568</v>
      </c>
      <c r="AI48" s="1495">
        <f t="shared" si="13"/>
        <v>46934</v>
      </c>
      <c r="AJ48" s="38"/>
      <c r="AK48" s="38"/>
      <c r="AL48" s="38"/>
      <c r="AM48" s="38"/>
      <c r="AN48" s="38"/>
      <c r="AO48" s="38"/>
      <c r="AP48" s="38"/>
      <c r="AQ48" s="38"/>
      <c r="AR48" s="38"/>
      <c r="AS48" s="38"/>
      <c r="AT48" s="38"/>
      <c r="AU48" s="38"/>
      <c r="AV48" s="38"/>
      <c r="AW48" s="38"/>
      <c r="AX48" s="38"/>
      <c r="AY48" s="38"/>
      <c r="AZ48" s="38"/>
      <c r="BA48" s="38"/>
      <c r="BB48" s="38"/>
      <c r="BC48" s="38"/>
      <c r="BD48" s="38"/>
      <c r="BE48" s="38"/>
      <c r="BF48" s="38"/>
      <c r="BG48" s="38"/>
      <c r="BH48" s="38"/>
      <c r="BI48" s="38"/>
      <c r="BJ48" s="38"/>
      <c r="BK48" s="38"/>
      <c r="BL48" s="38"/>
      <c r="BM48" s="38"/>
      <c r="BN48" s="38"/>
      <c r="BO48" s="38"/>
      <c r="BP48" s="38"/>
      <c r="BQ48" s="38"/>
      <c r="BR48" s="38"/>
      <c r="BS48" s="38"/>
      <c r="BT48" s="38"/>
      <c r="BU48" s="38"/>
      <c r="BV48" s="38"/>
      <c r="BW48" s="38"/>
      <c r="BX48" s="38"/>
      <c r="BY48" s="38"/>
      <c r="BZ48" s="38"/>
      <c r="CA48" s="38"/>
      <c r="CB48" s="38"/>
      <c r="CC48" s="38"/>
      <c r="CD48" s="38"/>
      <c r="CE48" s="38"/>
      <c r="CF48" s="38"/>
      <c r="CG48" s="38"/>
      <c r="CH48" s="38"/>
      <c r="CI48" s="38"/>
      <c r="CJ48" s="38"/>
      <c r="CK48" s="38"/>
      <c r="CL48" s="38"/>
      <c r="CM48" s="38"/>
      <c r="CN48" s="38"/>
      <c r="CO48" s="38"/>
      <c r="CP48" s="38"/>
      <c r="CQ48" s="38"/>
      <c r="CR48" s="38"/>
      <c r="CS48" s="38"/>
      <c r="CT48" s="38"/>
      <c r="CU48" s="38"/>
      <c r="CV48" s="38"/>
      <c r="CW48" s="38"/>
      <c r="CX48" s="38"/>
      <c r="CY48" s="38"/>
      <c r="CZ48" s="38"/>
      <c r="DA48" s="38"/>
      <c r="DB48" s="38"/>
      <c r="DC48" s="38"/>
      <c r="DD48" s="38"/>
      <c r="DE48" s="38"/>
      <c r="DF48" s="38"/>
      <c r="DG48" s="38"/>
      <c r="DH48" s="38"/>
      <c r="DI48" s="38"/>
      <c r="DJ48" s="38"/>
      <c r="DK48" s="38"/>
      <c r="DL48" s="38"/>
      <c r="DM48" s="38"/>
      <c r="DN48" s="38"/>
      <c r="DO48" s="38"/>
      <c r="DP48" s="38"/>
      <c r="DQ48" s="38"/>
      <c r="DR48" s="38"/>
      <c r="DS48" s="38"/>
      <c r="DT48" s="38"/>
      <c r="DU48" s="38"/>
      <c r="DV48" s="38"/>
      <c r="DW48" s="38"/>
      <c r="DX48" s="38"/>
      <c r="DY48" s="38"/>
      <c r="DZ48" s="38"/>
      <c r="EA48" s="38"/>
      <c r="EB48" s="38"/>
      <c r="EC48" s="38"/>
      <c r="ED48" s="38"/>
      <c r="EE48" s="38"/>
      <c r="EF48" s="38"/>
      <c r="EG48" s="38"/>
      <c r="EH48" s="38"/>
      <c r="EI48" s="38"/>
      <c r="EJ48" s="38"/>
      <c r="EK48" s="38"/>
      <c r="EL48" s="38"/>
    </row>
    <row r="49" spans="1:142">
      <c r="B49" s="38"/>
      <c r="C49" s="38"/>
      <c r="D49" s="1574">
        <f>$D$47</f>
        <v>35795</v>
      </c>
      <c r="E49" s="1528">
        <f>IF(Assum!$F$25-92&lt;D49,D49,Assum!$F$25-92)</f>
        <v>36067</v>
      </c>
      <c r="F49" s="1494">
        <f t="shared" si="11"/>
        <v>36433</v>
      </c>
      <c r="G49" s="1494">
        <f t="shared" si="11"/>
        <v>36799</v>
      </c>
      <c r="H49" s="1494">
        <f t="shared" si="11"/>
        <v>37164</v>
      </c>
      <c r="I49" s="1494">
        <f t="shared" si="11"/>
        <v>37529</v>
      </c>
      <c r="J49" s="1494">
        <f t="shared" si="11"/>
        <v>37894</v>
      </c>
      <c r="K49" s="1494">
        <f t="shared" si="11"/>
        <v>38260</v>
      </c>
      <c r="L49" s="1494">
        <f t="shared" si="11"/>
        <v>38625</v>
      </c>
      <c r="M49" s="1494">
        <f t="shared" si="11"/>
        <v>38990</v>
      </c>
      <c r="N49" s="1494">
        <f t="shared" si="11"/>
        <v>39355</v>
      </c>
      <c r="O49" s="1494">
        <f t="shared" si="11"/>
        <v>39721</v>
      </c>
      <c r="P49" s="1494">
        <f t="shared" si="12"/>
        <v>40086</v>
      </c>
      <c r="Q49" s="1494">
        <f t="shared" si="12"/>
        <v>40451</v>
      </c>
      <c r="R49" s="1494">
        <f t="shared" si="12"/>
        <v>40816</v>
      </c>
      <c r="S49" s="1494">
        <f t="shared" si="12"/>
        <v>41182</v>
      </c>
      <c r="T49" s="1494">
        <f t="shared" si="12"/>
        <v>41547</v>
      </c>
      <c r="U49" s="1494">
        <f t="shared" si="12"/>
        <v>41912</v>
      </c>
      <c r="V49" s="1494">
        <f t="shared" si="12"/>
        <v>42277</v>
      </c>
      <c r="W49" s="1494">
        <f t="shared" si="12"/>
        <v>42643</v>
      </c>
      <c r="X49" s="1494">
        <f t="shared" si="12"/>
        <v>43008</v>
      </c>
      <c r="Y49" s="1494">
        <f t="shared" si="12"/>
        <v>43373</v>
      </c>
      <c r="Z49" s="1494">
        <f t="shared" si="13"/>
        <v>43738</v>
      </c>
      <c r="AA49" s="1494">
        <f t="shared" si="13"/>
        <v>44104</v>
      </c>
      <c r="AB49" s="1494">
        <f t="shared" si="13"/>
        <v>44469</v>
      </c>
      <c r="AC49" s="1494">
        <f t="shared" si="13"/>
        <v>44834</v>
      </c>
      <c r="AD49" s="1494">
        <f t="shared" si="13"/>
        <v>45199</v>
      </c>
      <c r="AE49" s="1494">
        <f t="shared" si="13"/>
        <v>45565</v>
      </c>
      <c r="AF49" s="1494">
        <f t="shared" si="13"/>
        <v>45930</v>
      </c>
      <c r="AG49" s="1494">
        <f t="shared" si="13"/>
        <v>46295</v>
      </c>
      <c r="AH49" s="1494">
        <f t="shared" si="13"/>
        <v>46660</v>
      </c>
      <c r="AI49" s="1494">
        <f t="shared" si="13"/>
        <v>47026</v>
      </c>
      <c r="AJ49" s="38"/>
      <c r="AK49" s="38"/>
      <c r="AL49" s="38"/>
      <c r="AM49" s="38"/>
      <c r="AN49" s="38"/>
      <c r="AO49" s="38"/>
      <c r="AP49" s="38"/>
      <c r="AQ49" s="38"/>
      <c r="AR49" s="38"/>
      <c r="AS49" s="38"/>
      <c r="AT49" s="38"/>
      <c r="AU49" s="38"/>
      <c r="AV49" s="38"/>
      <c r="AW49" s="38"/>
      <c r="AX49" s="38"/>
      <c r="AY49" s="38"/>
      <c r="AZ49" s="38"/>
      <c r="BA49" s="38"/>
      <c r="BB49" s="38"/>
      <c r="BC49" s="38"/>
      <c r="BD49" s="38"/>
      <c r="BE49" s="38"/>
      <c r="BF49" s="38"/>
      <c r="BG49" s="38"/>
      <c r="BH49" s="38"/>
      <c r="BI49" s="38"/>
      <c r="BJ49" s="38"/>
      <c r="BK49" s="38"/>
      <c r="BL49" s="38"/>
      <c r="BM49" s="38"/>
      <c r="BN49" s="38"/>
      <c r="BO49" s="38"/>
      <c r="BP49" s="38"/>
      <c r="BQ49" s="38"/>
      <c r="BR49" s="38"/>
      <c r="BS49" s="38"/>
      <c r="BT49" s="38"/>
      <c r="BU49" s="38"/>
      <c r="BV49" s="38"/>
      <c r="BW49" s="38"/>
      <c r="BX49" s="38"/>
      <c r="BY49" s="38"/>
      <c r="BZ49" s="38"/>
      <c r="CA49" s="38"/>
      <c r="CB49" s="38"/>
      <c r="CC49" s="38"/>
      <c r="CD49" s="38"/>
      <c r="CE49" s="38"/>
      <c r="CF49" s="38"/>
      <c r="CG49" s="38"/>
      <c r="CH49" s="38"/>
      <c r="CI49" s="38"/>
      <c r="CJ49" s="38"/>
      <c r="CK49" s="38"/>
      <c r="CL49" s="38"/>
      <c r="CM49" s="38"/>
      <c r="CN49" s="38"/>
      <c r="CO49" s="38"/>
      <c r="CP49" s="38"/>
      <c r="CQ49" s="38"/>
      <c r="CR49" s="38"/>
      <c r="CS49" s="38"/>
      <c r="CT49" s="38"/>
      <c r="CU49" s="38"/>
      <c r="CV49" s="38"/>
      <c r="CW49" s="38"/>
      <c r="CX49" s="38"/>
      <c r="CY49" s="38"/>
      <c r="CZ49" s="38"/>
      <c r="DA49" s="38"/>
      <c r="DB49" s="38"/>
      <c r="DC49" s="38"/>
      <c r="DD49" s="38"/>
      <c r="DE49" s="38"/>
      <c r="DF49" s="38"/>
      <c r="DG49" s="38"/>
      <c r="DH49" s="38"/>
      <c r="DI49" s="38"/>
      <c r="DJ49" s="38"/>
      <c r="DK49" s="38"/>
      <c r="DL49" s="38"/>
      <c r="DM49" s="38"/>
      <c r="DN49" s="38"/>
      <c r="DO49" s="38"/>
      <c r="DP49" s="38"/>
      <c r="DQ49" s="38"/>
      <c r="DR49" s="38"/>
      <c r="DS49" s="38"/>
      <c r="DT49" s="38"/>
      <c r="DU49" s="38"/>
      <c r="DV49" s="38"/>
      <c r="DW49" s="38"/>
      <c r="DX49" s="38"/>
      <c r="DY49" s="38"/>
      <c r="DZ49" s="38"/>
      <c r="EA49" s="38"/>
      <c r="EB49" s="38"/>
      <c r="EC49" s="38"/>
      <c r="ED49" s="38"/>
      <c r="EE49" s="38"/>
      <c r="EF49" s="38"/>
      <c r="EG49" s="38"/>
      <c r="EH49" s="38"/>
      <c r="EI49" s="38"/>
      <c r="EJ49" s="38"/>
      <c r="EK49" s="38"/>
      <c r="EL49" s="38"/>
    </row>
    <row r="50" spans="1:142">
      <c r="B50" s="38"/>
      <c r="C50" s="38"/>
      <c r="D50" s="1574">
        <f>$D$47</f>
        <v>35795</v>
      </c>
      <c r="E50" s="1529">
        <f>IF(Assum!$F$25+1&lt;D50,D50,Assum!$F$25+1)</f>
        <v>36160</v>
      </c>
      <c r="F50" s="1494">
        <f t="shared" si="11"/>
        <v>36525</v>
      </c>
      <c r="G50" s="1494">
        <f t="shared" si="11"/>
        <v>36891</v>
      </c>
      <c r="H50" s="1494">
        <f t="shared" si="11"/>
        <v>37256</v>
      </c>
      <c r="I50" s="1494">
        <f t="shared" si="11"/>
        <v>37621</v>
      </c>
      <c r="J50" s="1494">
        <f t="shared" si="11"/>
        <v>37986</v>
      </c>
      <c r="K50" s="1494">
        <f t="shared" si="11"/>
        <v>38352</v>
      </c>
      <c r="L50" s="1494">
        <f t="shared" si="11"/>
        <v>38717</v>
      </c>
      <c r="M50" s="1494">
        <f t="shared" si="11"/>
        <v>39082</v>
      </c>
      <c r="N50" s="1494">
        <f t="shared" si="11"/>
        <v>39447</v>
      </c>
      <c r="O50" s="1494">
        <f t="shared" si="11"/>
        <v>39813</v>
      </c>
      <c r="P50" s="1494">
        <f t="shared" si="12"/>
        <v>40178</v>
      </c>
      <c r="Q50" s="1494">
        <f t="shared" si="12"/>
        <v>40543</v>
      </c>
      <c r="R50" s="1494">
        <f t="shared" si="12"/>
        <v>40908</v>
      </c>
      <c r="S50" s="1494">
        <f t="shared" si="12"/>
        <v>41274</v>
      </c>
      <c r="T50" s="1494">
        <f t="shared" si="12"/>
        <v>41639</v>
      </c>
      <c r="U50" s="1494">
        <f t="shared" si="12"/>
        <v>42004</v>
      </c>
      <c r="V50" s="1494">
        <f t="shared" si="12"/>
        <v>42369</v>
      </c>
      <c r="W50" s="1494">
        <f t="shared" si="12"/>
        <v>42735</v>
      </c>
      <c r="X50" s="1494">
        <f t="shared" si="12"/>
        <v>43100</v>
      </c>
      <c r="Y50" s="1494">
        <f t="shared" si="12"/>
        <v>43465</v>
      </c>
      <c r="Z50" s="1494">
        <f t="shared" si="13"/>
        <v>43830</v>
      </c>
      <c r="AA50" s="1494">
        <f t="shared" si="13"/>
        <v>44196</v>
      </c>
      <c r="AB50" s="1494">
        <f t="shared" si="13"/>
        <v>44561</v>
      </c>
      <c r="AC50" s="1494">
        <f t="shared" si="13"/>
        <v>44926</v>
      </c>
      <c r="AD50" s="1494">
        <f t="shared" si="13"/>
        <v>45291</v>
      </c>
      <c r="AE50" s="1494">
        <f t="shared" si="13"/>
        <v>45657</v>
      </c>
      <c r="AF50" s="1494">
        <f t="shared" si="13"/>
        <v>46022</v>
      </c>
      <c r="AG50" s="1494">
        <f t="shared" si="13"/>
        <v>46387</v>
      </c>
      <c r="AH50" s="1494">
        <f t="shared" si="13"/>
        <v>46752</v>
      </c>
      <c r="AI50" s="1494">
        <f t="shared" si="13"/>
        <v>47118</v>
      </c>
      <c r="AJ50" s="38"/>
      <c r="AK50" s="38"/>
      <c r="AL50" s="38"/>
      <c r="AM50" s="38"/>
      <c r="AN50" s="38"/>
      <c r="AO50" s="38"/>
      <c r="AP50" s="38"/>
      <c r="AQ50" s="38"/>
      <c r="AR50" s="38"/>
      <c r="AS50" s="38"/>
      <c r="AT50" s="38"/>
      <c r="AU50" s="38"/>
      <c r="AV50" s="38"/>
      <c r="AW50" s="38"/>
      <c r="AX50" s="38"/>
      <c r="AY50" s="38"/>
      <c r="AZ50" s="38"/>
      <c r="BA50" s="38"/>
      <c r="BB50" s="38"/>
      <c r="BC50" s="38"/>
      <c r="BD50" s="38"/>
      <c r="BE50" s="38"/>
      <c r="BF50" s="38"/>
      <c r="BG50" s="38"/>
      <c r="BH50" s="38"/>
      <c r="BI50" s="38"/>
      <c r="BJ50" s="38"/>
      <c r="BK50" s="38"/>
      <c r="BL50" s="38"/>
      <c r="BM50" s="38"/>
      <c r="BN50" s="38"/>
      <c r="BO50" s="38"/>
      <c r="BP50" s="38"/>
      <c r="BQ50" s="38"/>
      <c r="BR50" s="38"/>
      <c r="BS50" s="38"/>
      <c r="BT50" s="38"/>
      <c r="BU50" s="38"/>
      <c r="BV50" s="38"/>
      <c r="BW50" s="38"/>
      <c r="BX50" s="38"/>
      <c r="BY50" s="38"/>
      <c r="BZ50" s="38"/>
      <c r="CA50" s="38"/>
      <c r="CB50" s="38"/>
      <c r="CC50" s="38"/>
      <c r="CD50" s="38"/>
      <c r="CE50" s="38"/>
      <c r="CF50" s="38"/>
      <c r="CG50" s="38"/>
      <c r="CH50" s="38"/>
      <c r="CI50" s="38"/>
      <c r="CJ50" s="38"/>
      <c r="CK50" s="38"/>
      <c r="CL50" s="38"/>
      <c r="CM50" s="38"/>
      <c r="CN50" s="38"/>
      <c r="CO50" s="38"/>
      <c r="CP50" s="38"/>
      <c r="CQ50" s="38"/>
      <c r="CR50" s="38"/>
      <c r="CS50" s="38"/>
      <c r="CT50" s="38"/>
      <c r="CU50" s="38"/>
      <c r="CV50" s="38"/>
      <c r="CW50" s="38"/>
      <c r="CX50" s="38"/>
      <c r="CY50" s="38"/>
      <c r="CZ50" s="38"/>
      <c r="DA50" s="38"/>
      <c r="DB50" s="38"/>
      <c r="DC50" s="38"/>
      <c r="DD50" s="38"/>
      <c r="DE50" s="38"/>
      <c r="DF50" s="38"/>
      <c r="DG50" s="38"/>
      <c r="DH50" s="38"/>
      <c r="DI50" s="38"/>
      <c r="DJ50" s="38"/>
      <c r="DK50" s="38"/>
      <c r="DL50" s="38"/>
      <c r="DM50" s="38"/>
      <c r="DN50" s="38"/>
      <c r="DO50" s="38"/>
      <c r="DP50" s="38"/>
      <c r="DQ50" s="38"/>
      <c r="DR50" s="38"/>
      <c r="DS50" s="38"/>
      <c r="DT50" s="38"/>
      <c r="DU50" s="38"/>
      <c r="DV50" s="38"/>
      <c r="DW50" s="38"/>
      <c r="DX50" s="38"/>
      <c r="DY50" s="38"/>
      <c r="DZ50" s="38"/>
      <c r="EA50" s="38"/>
      <c r="EB50" s="38"/>
      <c r="EC50" s="38"/>
      <c r="ED50" s="38"/>
      <c r="EE50" s="38"/>
      <c r="EF50" s="38"/>
      <c r="EG50" s="38"/>
      <c r="EH50" s="38"/>
      <c r="EI50" s="38"/>
      <c r="EJ50" s="38"/>
      <c r="EK50" s="38"/>
      <c r="EL50" s="38"/>
    </row>
    <row r="51" spans="1:142">
      <c r="B51" s="379" t="s">
        <v>798</v>
      </c>
      <c r="C51" s="1496">
        <f>D47</f>
        <v>35795</v>
      </c>
      <c r="D51" s="1575">
        <f>$D$47</f>
        <v>35795</v>
      </c>
      <c r="E51" s="1527">
        <f>Assum!E326</f>
        <v>36158</v>
      </c>
      <c r="F51" s="1497">
        <f t="shared" ref="F51:AI51" si="14">EDATE(E51,12)</f>
        <v>36523</v>
      </c>
      <c r="G51" s="1497">
        <f t="shared" si="14"/>
        <v>36889</v>
      </c>
      <c r="H51" s="1497">
        <f t="shared" si="14"/>
        <v>37254</v>
      </c>
      <c r="I51" s="1497">
        <f t="shared" si="14"/>
        <v>37619</v>
      </c>
      <c r="J51" s="1497">
        <f t="shared" si="14"/>
        <v>37984</v>
      </c>
      <c r="K51" s="1497">
        <f t="shared" si="14"/>
        <v>38350</v>
      </c>
      <c r="L51" s="1497">
        <f t="shared" si="14"/>
        <v>38715</v>
      </c>
      <c r="M51" s="1497">
        <f t="shared" si="14"/>
        <v>39080</v>
      </c>
      <c r="N51" s="1497">
        <f t="shared" si="14"/>
        <v>39445</v>
      </c>
      <c r="O51" s="1497">
        <f t="shared" si="14"/>
        <v>39811</v>
      </c>
      <c r="P51" s="1497">
        <f t="shared" si="14"/>
        <v>40176</v>
      </c>
      <c r="Q51" s="1497">
        <f t="shared" si="14"/>
        <v>40541</v>
      </c>
      <c r="R51" s="1497">
        <f t="shared" si="14"/>
        <v>40906</v>
      </c>
      <c r="S51" s="1497">
        <f t="shared" si="14"/>
        <v>41272</v>
      </c>
      <c r="T51" s="1497">
        <f t="shared" si="14"/>
        <v>41637</v>
      </c>
      <c r="U51" s="1497">
        <f t="shared" si="14"/>
        <v>42002</v>
      </c>
      <c r="V51" s="1497">
        <f t="shared" si="14"/>
        <v>42367</v>
      </c>
      <c r="W51" s="1497">
        <f t="shared" si="14"/>
        <v>42733</v>
      </c>
      <c r="X51" s="1497">
        <f t="shared" si="14"/>
        <v>43098</v>
      </c>
      <c r="Y51" s="1497">
        <f t="shared" si="14"/>
        <v>43463</v>
      </c>
      <c r="Z51" s="1497">
        <f t="shared" si="14"/>
        <v>43828</v>
      </c>
      <c r="AA51" s="1497">
        <f t="shared" si="14"/>
        <v>44194</v>
      </c>
      <c r="AB51" s="1497">
        <f t="shared" si="14"/>
        <v>44559</v>
      </c>
      <c r="AC51" s="1497">
        <f t="shared" si="14"/>
        <v>44924</v>
      </c>
      <c r="AD51" s="1497">
        <f t="shared" si="14"/>
        <v>45289</v>
      </c>
      <c r="AE51" s="1497">
        <f t="shared" si="14"/>
        <v>45655</v>
      </c>
      <c r="AF51" s="1497">
        <f t="shared" si="14"/>
        <v>46020</v>
      </c>
      <c r="AG51" s="1497">
        <f t="shared" si="14"/>
        <v>46385</v>
      </c>
      <c r="AH51" s="1497">
        <f t="shared" si="14"/>
        <v>46750</v>
      </c>
      <c r="AI51" s="1497">
        <f t="shared" si="14"/>
        <v>47116</v>
      </c>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c r="BO51" s="38"/>
      <c r="BP51" s="38"/>
      <c r="BQ51" s="38"/>
      <c r="BR51" s="38"/>
      <c r="BS51" s="38"/>
      <c r="BT51" s="38"/>
      <c r="BU51" s="38"/>
      <c r="BV51" s="38"/>
      <c r="BW51" s="38"/>
      <c r="BX51" s="38"/>
      <c r="BY51" s="38"/>
      <c r="BZ51" s="38"/>
      <c r="CA51" s="38"/>
      <c r="CB51" s="38"/>
      <c r="CC51" s="38"/>
      <c r="CD51" s="38"/>
      <c r="CE51" s="38"/>
      <c r="CF51" s="38"/>
      <c r="CG51" s="38"/>
      <c r="CH51" s="38"/>
      <c r="CI51" s="38"/>
      <c r="CJ51" s="38"/>
      <c r="CK51" s="38"/>
      <c r="CL51" s="38"/>
      <c r="CM51" s="38"/>
      <c r="CN51" s="38"/>
      <c r="CO51" s="38"/>
      <c r="CP51" s="38"/>
      <c r="CQ51" s="38"/>
      <c r="CR51" s="38"/>
      <c r="CS51" s="38"/>
      <c r="CT51" s="38"/>
      <c r="CU51" s="38"/>
      <c r="CV51" s="38"/>
      <c r="CW51" s="38"/>
      <c r="CX51" s="38"/>
      <c r="CY51" s="38"/>
      <c r="CZ51" s="38"/>
      <c r="DA51" s="38"/>
      <c r="DB51" s="38"/>
      <c r="DC51" s="38"/>
      <c r="DD51" s="38"/>
      <c r="DE51" s="38"/>
      <c r="DF51" s="38"/>
      <c r="DG51" s="38"/>
      <c r="DH51" s="38"/>
      <c r="DI51" s="38"/>
      <c r="DJ51" s="38"/>
      <c r="DK51" s="38"/>
      <c r="DL51" s="38"/>
      <c r="DM51" s="38"/>
      <c r="DN51" s="38"/>
      <c r="DO51" s="38"/>
      <c r="DP51" s="38"/>
      <c r="DQ51" s="38"/>
      <c r="DR51" s="38"/>
      <c r="DS51" s="38"/>
      <c r="DT51" s="38"/>
      <c r="DU51" s="38"/>
      <c r="DV51" s="38"/>
      <c r="DW51" s="38"/>
      <c r="DX51" s="38"/>
      <c r="DY51" s="38"/>
      <c r="DZ51" s="38"/>
      <c r="EA51" s="38"/>
      <c r="EB51" s="38"/>
      <c r="EC51" s="38"/>
      <c r="ED51" s="38"/>
      <c r="EE51" s="38"/>
      <c r="EF51" s="38"/>
      <c r="EG51" s="38"/>
      <c r="EH51" s="38"/>
      <c r="EI51" s="38"/>
      <c r="EJ51" s="38"/>
      <c r="EK51" s="38"/>
      <c r="EL51" s="38"/>
    </row>
    <row r="52" spans="1:142">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38"/>
      <c r="BC52" s="38"/>
      <c r="BD52" s="38"/>
      <c r="BE52" s="38"/>
      <c r="BF52" s="38"/>
      <c r="BG52" s="38"/>
      <c r="BH52" s="38"/>
      <c r="BI52" s="38"/>
      <c r="BJ52" s="38"/>
      <c r="BK52" s="38"/>
      <c r="BL52" s="38"/>
      <c r="BM52" s="38"/>
      <c r="BN52" s="38"/>
      <c r="BO52" s="38"/>
      <c r="BP52" s="38"/>
      <c r="BQ52" s="38"/>
      <c r="BR52" s="38"/>
      <c r="BS52" s="38"/>
      <c r="BT52" s="38"/>
      <c r="BU52" s="38"/>
      <c r="BV52" s="38"/>
      <c r="BW52" s="38"/>
      <c r="BX52" s="38"/>
      <c r="BY52" s="38"/>
      <c r="BZ52" s="38"/>
      <c r="CA52" s="38"/>
      <c r="CB52" s="38"/>
      <c r="CC52" s="38"/>
      <c r="CD52" s="38"/>
      <c r="CE52" s="38"/>
      <c r="CF52" s="38"/>
      <c r="CG52" s="38"/>
      <c r="CH52" s="38"/>
      <c r="CI52" s="38"/>
      <c r="CJ52" s="38"/>
      <c r="CK52" s="38"/>
      <c r="CL52" s="38"/>
      <c r="CM52" s="38"/>
      <c r="CN52" s="38"/>
      <c r="CO52" s="38"/>
      <c r="CP52" s="38"/>
      <c r="CQ52" s="38"/>
      <c r="CR52" s="38"/>
      <c r="CS52" s="38"/>
      <c r="CT52" s="38"/>
      <c r="CU52" s="38"/>
      <c r="CV52" s="38"/>
      <c r="CW52" s="38"/>
      <c r="CX52" s="38"/>
      <c r="CY52" s="38"/>
      <c r="CZ52" s="38"/>
      <c r="DA52" s="38"/>
      <c r="DB52" s="38"/>
      <c r="DC52" s="38"/>
      <c r="DD52" s="38"/>
      <c r="DE52" s="38"/>
      <c r="DF52" s="38"/>
      <c r="DG52" s="38"/>
      <c r="DH52" s="38"/>
      <c r="DI52" s="38"/>
      <c r="DJ52" s="38"/>
      <c r="DK52" s="38"/>
      <c r="DL52" s="38"/>
      <c r="DM52" s="38"/>
      <c r="DN52" s="38"/>
      <c r="DO52" s="38"/>
      <c r="DP52" s="38"/>
      <c r="DQ52" s="38"/>
      <c r="DR52" s="38"/>
      <c r="DS52" s="38"/>
      <c r="DT52" s="38"/>
      <c r="DU52" s="38"/>
      <c r="DV52" s="38"/>
      <c r="DW52" s="38"/>
      <c r="DX52" s="38"/>
      <c r="DY52" s="38"/>
      <c r="DZ52" s="38"/>
      <c r="EA52" s="38"/>
      <c r="EB52" s="38"/>
      <c r="EC52" s="38"/>
      <c r="ED52" s="38"/>
      <c r="EE52" s="38"/>
      <c r="EF52" s="38"/>
      <c r="EG52" s="38"/>
      <c r="EH52" s="38"/>
      <c r="EI52" s="38"/>
      <c r="EJ52" s="38"/>
      <c r="EK52" s="38"/>
      <c r="EL52" s="38"/>
    </row>
    <row r="53" spans="1:142">
      <c r="B53" s="46" t="s">
        <v>791</v>
      </c>
      <c r="C53" s="38"/>
      <c r="D53" s="38" t="s">
        <v>20</v>
      </c>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38"/>
      <c r="AW53" s="38"/>
      <c r="AX53" s="38"/>
      <c r="AY53" s="38"/>
      <c r="AZ53" s="38"/>
      <c r="BA53" s="38"/>
      <c r="BB53" s="38"/>
      <c r="BC53" s="38"/>
      <c r="BD53" s="38"/>
      <c r="BE53" s="38"/>
      <c r="BF53" s="38"/>
      <c r="BG53" s="38"/>
      <c r="BH53" s="38"/>
      <c r="BI53" s="38"/>
      <c r="BJ53" s="38"/>
      <c r="BK53" s="38"/>
      <c r="BL53" s="38"/>
      <c r="BM53" s="38"/>
      <c r="BN53" s="38"/>
      <c r="BO53" s="38"/>
      <c r="BP53" s="38"/>
      <c r="BQ53" s="38"/>
      <c r="BR53" s="38"/>
      <c r="BS53" s="38"/>
      <c r="BT53" s="38"/>
      <c r="BU53" s="38"/>
      <c r="BV53" s="38"/>
      <c r="BW53" s="38"/>
      <c r="BX53" s="38"/>
      <c r="BY53" s="38"/>
      <c r="BZ53" s="38"/>
      <c r="CA53" s="38"/>
      <c r="CB53" s="38"/>
      <c r="CC53" s="38"/>
      <c r="CD53" s="38"/>
      <c r="CE53" s="38"/>
      <c r="CF53" s="38"/>
      <c r="CG53" s="38"/>
      <c r="CH53" s="38"/>
      <c r="CI53" s="38"/>
      <c r="CJ53" s="38"/>
      <c r="CK53" s="38"/>
      <c r="CL53" s="38"/>
      <c r="CM53" s="38"/>
      <c r="CN53" s="38"/>
      <c r="CO53" s="38"/>
      <c r="CP53" s="38"/>
      <c r="CQ53" s="38"/>
      <c r="CR53" s="38"/>
      <c r="CS53" s="38"/>
      <c r="CT53" s="38"/>
      <c r="CU53" s="38"/>
      <c r="CV53" s="38"/>
      <c r="CW53" s="38"/>
      <c r="CX53" s="38"/>
      <c r="CY53" s="38"/>
      <c r="CZ53" s="38"/>
      <c r="DA53" s="38"/>
      <c r="DB53" s="38"/>
      <c r="DC53" s="38"/>
      <c r="DD53" s="38"/>
      <c r="DE53" s="38"/>
      <c r="DF53" s="38"/>
      <c r="DG53" s="38"/>
      <c r="DH53" s="38"/>
      <c r="DI53" s="38"/>
      <c r="DJ53" s="38"/>
      <c r="DK53" s="38"/>
      <c r="DL53" s="38"/>
      <c r="DM53" s="38"/>
      <c r="DN53" s="38"/>
      <c r="DO53" s="38"/>
      <c r="DP53" s="38"/>
      <c r="DQ53" s="38"/>
      <c r="DR53" s="38"/>
      <c r="DS53" s="38"/>
      <c r="DT53" s="38"/>
      <c r="DU53" s="38"/>
      <c r="DV53" s="38"/>
      <c r="DW53" s="38"/>
      <c r="DX53" s="38"/>
      <c r="DY53" s="38"/>
      <c r="DZ53" s="38"/>
      <c r="EA53" s="38"/>
      <c r="EB53" s="38"/>
      <c r="EC53" s="38"/>
      <c r="ED53" s="38"/>
      <c r="EE53" s="38"/>
      <c r="EF53" s="38"/>
      <c r="EG53" s="38"/>
      <c r="EH53" s="38"/>
      <c r="EI53" s="38"/>
      <c r="EJ53" s="38"/>
      <c r="EK53" s="38"/>
      <c r="EL53" s="38"/>
    </row>
    <row r="54" spans="1:142">
      <c r="B54" s="38"/>
      <c r="D54" s="1488">
        <f ca="1">D19</f>
        <v>-90426.917784397752</v>
      </c>
      <c r="E54" s="1489">
        <f ca="1">IF(Assum!$H$24=1,SUM(Outside!$E$22:$E$23)/4,0)</f>
        <v>4116.0297153206384</v>
      </c>
      <c r="F54" s="1489">
        <f t="shared" ref="F54:N57" ca="1" si="15">SUMPRODUCT($C$77:$C$80,F$20:F$23)</f>
        <v>5721.2772870045592</v>
      </c>
      <c r="G54" s="1489">
        <f t="shared" ca="1" si="15"/>
        <v>4173.6159235019149</v>
      </c>
      <c r="H54" s="1489">
        <f t="shared" ca="1" si="15"/>
        <v>3360.3169605137823</v>
      </c>
      <c r="I54" s="1489">
        <f t="shared" ca="1" si="15"/>
        <v>3350.957848984528</v>
      </c>
      <c r="J54" s="1489">
        <f t="shared" ca="1" si="15"/>
        <v>2618.4536831334244</v>
      </c>
      <c r="K54" s="1489">
        <f t="shared" ca="1" si="15"/>
        <v>2070.8277683139272</v>
      </c>
      <c r="L54" s="1489">
        <f t="shared" ca="1" si="15"/>
        <v>2055.0892833939142</v>
      </c>
      <c r="M54" s="1489">
        <f t="shared" ca="1" si="15"/>
        <v>2154.764118413068</v>
      </c>
      <c r="N54" s="1489">
        <f t="shared" ca="1" si="15"/>
        <v>2129.2133508256866</v>
      </c>
      <c r="O54" s="1489">
        <f t="shared" ref="O54:X57" ca="1" si="16">SUMPRODUCT($C$77:$C$80,O$20:O$23)</f>
        <v>-329.61750821462863</v>
      </c>
      <c r="P54" s="1489">
        <f t="shared" ca="1" si="16"/>
        <v>-370.06594020659168</v>
      </c>
      <c r="Q54" s="1489">
        <f t="shared" ca="1" si="16"/>
        <v>-405.96473957846388</v>
      </c>
      <c r="R54" s="1489">
        <f t="shared" ca="1" si="16"/>
        <v>-423.56249396049367</v>
      </c>
      <c r="S54" s="1489">
        <f t="shared" ca="1" si="16"/>
        <v>-441.62032308870494</v>
      </c>
      <c r="T54" s="1489">
        <f t="shared" ca="1" si="16"/>
        <v>-451.76719162667814</v>
      </c>
      <c r="U54" s="1489">
        <f t="shared" ca="1" si="16"/>
        <v>-478.52008940374276</v>
      </c>
      <c r="V54" s="1489">
        <f t="shared" ca="1" si="16"/>
        <v>-511.16737246304223</v>
      </c>
      <c r="W54" s="1489">
        <f t="shared" ca="1" si="16"/>
        <v>-556.72238815888738</v>
      </c>
      <c r="X54" s="1489">
        <f t="shared" ca="1" si="16"/>
        <v>-549.29926799237217</v>
      </c>
      <c r="Y54" s="1489">
        <f t="shared" ref="Y54:AI57" ca="1" si="17">SUMPRODUCT($C$77:$C$80,Y$20:Y$23)</f>
        <v>-1.6137985299015598</v>
      </c>
      <c r="Z54" s="1489">
        <f t="shared" ca="1" si="17"/>
        <v>0</v>
      </c>
      <c r="AA54" s="1489">
        <f t="shared" ca="1" si="17"/>
        <v>0</v>
      </c>
      <c r="AB54" s="1489">
        <f t="shared" ca="1" si="17"/>
        <v>0</v>
      </c>
      <c r="AC54" s="1489">
        <f t="shared" ca="1" si="17"/>
        <v>0</v>
      </c>
      <c r="AD54" s="1489">
        <f t="shared" ca="1" si="17"/>
        <v>0</v>
      </c>
      <c r="AE54" s="1489">
        <f t="shared" ca="1" si="17"/>
        <v>0</v>
      </c>
      <c r="AF54" s="1489">
        <f t="shared" ca="1" si="17"/>
        <v>0</v>
      </c>
      <c r="AG54" s="1489">
        <f t="shared" ca="1" si="17"/>
        <v>0</v>
      </c>
      <c r="AH54" s="1489">
        <f t="shared" ca="1" si="17"/>
        <v>0</v>
      </c>
      <c r="AI54" s="1490">
        <f t="shared" ca="1" si="17"/>
        <v>0</v>
      </c>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c r="BI54" s="38"/>
      <c r="BJ54" s="38"/>
      <c r="BK54" s="38"/>
      <c r="BL54" s="38"/>
      <c r="BM54" s="38"/>
      <c r="BN54" s="38"/>
      <c r="BO54" s="38"/>
      <c r="BP54" s="38"/>
      <c r="BQ54" s="38"/>
      <c r="BR54" s="38"/>
      <c r="BS54" s="38"/>
      <c r="BT54" s="38"/>
      <c r="BU54" s="38"/>
      <c r="BV54" s="38"/>
      <c r="BW54" s="38"/>
      <c r="BX54" s="38"/>
      <c r="BY54" s="38"/>
      <c r="BZ54" s="38"/>
      <c r="CA54" s="38"/>
      <c r="CB54" s="38"/>
      <c r="CC54" s="38"/>
      <c r="CD54" s="38"/>
      <c r="CE54" s="38"/>
      <c r="CF54" s="38"/>
      <c r="CG54" s="38"/>
      <c r="CH54" s="38"/>
      <c r="CI54" s="38"/>
      <c r="CJ54" s="38"/>
      <c r="CK54" s="38"/>
      <c r="CL54" s="38"/>
      <c r="CM54" s="38"/>
      <c r="CN54" s="38"/>
      <c r="CO54" s="38"/>
      <c r="CP54" s="38"/>
      <c r="CQ54" s="38"/>
      <c r="CR54" s="38"/>
      <c r="CS54" s="38"/>
      <c r="CT54" s="38"/>
      <c r="CU54" s="38"/>
      <c r="CV54" s="38"/>
      <c r="CW54" s="38"/>
      <c r="CX54" s="38"/>
      <c r="CY54" s="38"/>
      <c r="CZ54" s="38"/>
      <c r="DA54" s="38"/>
      <c r="DB54" s="38"/>
      <c r="DC54" s="38"/>
      <c r="DD54" s="38"/>
      <c r="DE54" s="38"/>
      <c r="DF54" s="38"/>
      <c r="DG54" s="38"/>
      <c r="DH54" s="38"/>
      <c r="DI54" s="38"/>
      <c r="DJ54" s="38"/>
      <c r="DK54" s="38"/>
      <c r="DL54" s="38"/>
      <c r="DM54" s="38"/>
      <c r="DN54" s="38"/>
      <c r="DO54" s="38"/>
      <c r="DP54" s="38"/>
      <c r="DQ54" s="38"/>
      <c r="DR54" s="38"/>
      <c r="DS54" s="38"/>
      <c r="DT54" s="38"/>
      <c r="DU54" s="38"/>
      <c r="DV54" s="38"/>
      <c r="DW54" s="38"/>
      <c r="DX54" s="38"/>
      <c r="DY54" s="38"/>
      <c r="DZ54" s="38"/>
      <c r="EA54" s="38"/>
      <c r="EB54" s="38"/>
      <c r="EC54" s="38"/>
      <c r="ED54" s="38"/>
      <c r="EE54" s="38"/>
      <c r="EF54" s="38"/>
      <c r="EG54" s="38"/>
      <c r="EH54" s="38"/>
      <c r="EI54" s="38"/>
      <c r="EJ54" s="38"/>
      <c r="EK54" s="38"/>
      <c r="EL54" s="38"/>
    </row>
    <row r="55" spans="1:142">
      <c r="D55" s="1576">
        <v>0</v>
      </c>
      <c r="E55" s="1480">
        <f ca="1">IF(Assum!$H$24=1,SUM(Outside!$E$22:$E$23)/4,IF(Assum!$H$24=0.75,SUM(Outside!$E$22:$E$23)/3,0))</f>
        <v>4116.0297153206384</v>
      </c>
      <c r="F55" s="1480">
        <f t="shared" ca="1" si="15"/>
        <v>5721.2772870045592</v>
      </c>
      <c r="G55" s="1480">
        <f t="shared" ca="1" si="15"/>
        <v>4173.6159235019149</v>
      </c>
      <c r="H55" s="1480">
        <f t="shared" ca="1" si="15"/>
        <v>3360.3169605137823</v>
      </c>
      <c r="I55" s="1480">
        <f t="shared" ca="1" si="15"/>
        <v>3350.957848984528</v>
      </c>
      <c r="J55" s="1480">
        <f t="shared" ca="1" si="15"/>
        <v>2618.4536831334244</v>
      </c>
      <c r="K55" s="1480">
        <f t="shared" ca="1" si="15"/>
        <v>2070.8277683139272</v>
      </c>
      <c r="L55" s="1480">
        <f t="shared" ca="1" si="15"/>
        <v>2055.0892833939142</v>
      </c>
      <c r="M55" s="1480">
        <f t="shared" ca="1" si="15"/>
        <v>2154.764118413068</v>
      </c>
      <c r="N55" s="1480">
        <f t="shared" ca="1" si="15"/>
        <v>2129.2133508256866</v>
      </c>
      <c r="O55" s="1480">
        <f t="shared" ca="1" si="16"/>
        <v>-329.61750821462863</v>
      </c>
      <c r="P55" s="1480">
        <f t="shared" ca="1" si="16"/>
        <v>-370.06594020659168</v>
      </c>
      <c r="Q55" s="1480">
        <f t="shared" ca="1" si="16"/>
        <v>-405.96473957846388</v>
      </c>
      <c r="R55" s="1480">
        <f t="shared" ca="1" si="16"/>
        <v>-423.56249396049367</v>
      </c>
      <c r="S55" s="1480">
        <f t="shared" ca="1" si="16"/>
        <v>-441.62032308870494</v>
      </c>
      <c r="T55" s="1480">
        <f t="shared" ca="1" si="16"/>
        <v>-451.76719162667814</v>
      </c>
      <c r="U55" s="1480">
        <f t="shared" ca="1" si="16"/>
        <v>-478.52008940374276</v>
      </c>
      <c r="V55" s="1480">
        <f t="shared" ca="1" si="16"/>
        <v>-511.16737246304223</v>
      </c>
      <c r="W55" s="1480">
        <f t="shared" ca="1" si="16"/>
        <v>-556.72238815888738</v>
      </c>
      <c r="X55" s="1480">
        <f t="shared" ca="1" si="16"/>
        <v>-549.29926799237217</v>
      </c>
      <c r="Y55" s="1480">
        <f t="shared" ca="1" si="17"/>
        <v>-1.6137985299015598</v>
      </c>
      <c r="Z55" s="1480">
        <f t="shared" ca="1" si="17"/>
        <v>0</v>
      </c>
      <c r="AA55" s="1480">
        <f t="shared" ca="1" si="17"/>
        <v>0</v>
      </c>
      <c r="AB55" s="1480">
        <f t="shared" ca="1" si="17"/>
        <v>0</v>
      </c>
      <c r="AC55" s="1480">
        <f t="shared" ca="1" si="17"/>
        <v>0</v>
      </c>
      <c r="AD55" s="1480">
        <f t="shared" ca="1" si="17"/>
        <v>0</v>
      </c>
      <c r="AE55" s="1480">
        <f t="shared" ca="1" si="17"/>
        <v>0</v>
      </c>
      <c r="AF55" s="1480">
        <f t="shared" ca="1" si="17"/>
        <v>0</v>
      </c>
      <c r="AG55" s="1480">
        <f t="shared" ca="1" si="17"/>
        <v>0</v>
      </c>
      <c r="AH55" s="1480">
        <f t="shared" ca="1" si="17"/>
        <v>0</v>
      </c>
      <c r="AI55" s="1491">
        <f t="shared" ca="1" si="17"/>
        <v>0</v>
      </c>
    </row>
    <row r="56" spans="1:142">
      <c r="D56" s="1576">
        <v>0</v>
      </c>
      <c r="E56" s="1480">
        <f ca="1">IF(Assum!$H$24=1,SUM(Outside!$E$22:$E$23)/4,IF(Assum!$H$24=0.75,SUM(Outside!$E$22:$E$23)/3,IF(Assum!$H$24=0.5,SUM(Outside!$E$22:$E$23)/2,0)))</f>
        <v>4116.0297153206384</v>
      </c>
      <c r="F56" s="1480">
        <f t="shared" ca="1" si="15"/>
        <v>5721.2772870045592</v>
      </c>
      <c r="G56" s="1480">
        <f t="shared" ca="1" si="15"/>
        <v>4173.6159235019149</v>
      </c>
      <c r="H56" s="1480">
        <f t="shared" ca="1" si="15"/>
        <v>3360.3169605137823</v>
      </c>
      <c r="I56" s="1480">
        <f t="shared" ca="1" si="15"/>
        <v>3350.957848984528</v>
      </c>
      <c r="J56" s="1480">
        <f t="shared" ca="1" si="15"/>
        <v>2618.4536831334244</v>
      </c>
      <c r="K56" s="1480">
        <f t="shared" ca="1" si="15"/>
        <v>2070.8277683139272</v>
      </c>
      <c r="L56" s="1480">
        <f t="shared" ca="1" si="15"/>
        <v>2055.0892833939142</v>
      </c>
      <c r="M56" s="1480">
        <f t="shared" ca="1" si="15"/>
        <v>2154.764118413068</v>
      </c>
      <c r="N56" s="1480">
        <f t="shared" ca="1" si="15"/>
        <v>2129.2133508256866</v>
      </c>
      <c r="O56" s="1480">
        <f t="shared" ca="1" si="16"/>
        <v>-329.61750821462863</v>
      </c>
      <c r="P56" s="1480">
        <f t="shared" ca="1" si="16"/>
        <v>-370.06594020659168</v>
      </c>
      <c r="Q56" s="1480">
        <f t="shared" ca="1" si="16"/>
        <v>-405.96473957846388</v>
      </c>
      <c r="R56" s="1480">
        <f t="shared" ca="1" si="16"/>
        <v>-423.56249396049367</v>
      </c>
      <c r="S56" s="1480">
        <f t="shared" ca="1" si="16"/>
        <v>-441.62032308870494</v>
      </c>
      <c r="T56" s="1480">
        <f t="shared" ca="1" si="16"/>
        <v>-451.76719162667814</v>
      </c>
      <c r="U56" s="1480">
        <f t="shared" ca="1" si="16"/>
        <v>-478.52008940374276</v>
      </c>
      <c r="V56" s="1480">
        <f t="shared" ca="1" si="16"/>
        <v>-511.16737246304223</v>
      </c>
      <c r="W56" s="1480">
        <f t="shared" ca="1" si="16"/>
        <v>-556.72238815888738</v>
      </c>
      <c r="X56" s="1480">
        <f t="shared" ca="1" si="16"/>
        <v>-549.29926799237217</v>
      </c>
      <c r="Y56" s="1480">
        <f t="shared" ca="1" si="17"/>
        <v>-1.6137985299015598</v>
      </c>
      <c r="Z56" s="1480">
        <f t="shared" ca="1" si="17"/>
        <v>0</v>
      </c>
      <c r="AA56" s="1480">
        <f t="shared" ca="1" si="17"/>
        <v>0</v>
      </c>
      <c r="AB56" s="1480">
        <f t="shared" ca="1" si="17"/>
        <v>0</v>
      </c>
      <c r="AC56" s="1480">
        <f t="shared" ca="1" si="17"/>
        <v>0</v>
      </c>
      <c r="AD56" s="1480">
        <f t="shared" ca="1" si="17"/>
        <v>0</v>
      </c>
      <c r="AE56" s="1480">
        <f t="shared" ca="1" si="17"/>
        <v>0</v>
      </c>
      <c r="AF56" s="1480">
        <f t="shared" ca="1" si="17"/>
        <v>0</v>
      </c>
      <c r="AG56" s="1480">
        <f t="shared" ca="1" si="17"/>
        <v>0</v>
      </c>
      <c r="AH56" s="1480">
        <f t="shared" ca="1" si="17"/>
        <v>0</v>
      </c>
      <c r="AI56" s="1491">
        <f t="shared" ca="1" si="17"/>
        <v>0</v>
      </c>
    </row>
    <row r="57" spans="1:142">
      <c r="D57" s="1576">
        <v>0</v>
      </c>
      <c r="E57" s="1525">
        <f ca="1">IF(Assum!$H$24=1,SUM(Outside!$E$22:$E$23)/4,IF(Assum!$H$24=0.75,SUM(Outside!$E$22:$E$23)/3,IF(Assum!$H$24=0.5,SUM(Outside!$E$22:E23)/2,SUM($E$22:E23))))</f>
        <v>4116.0297153206384</v>
      </c>
      <c r="F57" s="1480">
        <f t="shared" ca="1" si="15"/>
        <v>5721.2772870045592</v>
      </c>
      <c r="G57" s="1480">
        <f t="shared" ca="1" si="15"/>
        <v>4173.6159235019149</v>
      </c>
      <c r="H57" s="1480">
        <f t="shared" ca="1" si="15"/>
        <v>3360.3169605137823</v>
      </c>
      <c r="I57" s="1480">
        <f t="shared" ca="1" si="15"/>
        <v>3350.957848984528</v>
      </c>
      <c r="J57" s="1480">
        <f t="shared" ca="1" si="15"/>
        <v>2618.4536831334244</v>
      </c>
      <c r="K57" s="1480">
        <f t="shared" ca="1" si="15"/>
        <v>2070.8277683139272</v>
      </c>
      <c r="L57" s="1480">
        <f t="shared" ca="1" si="15"/>
        <v>2055.0892833939142</v>
      </c>
      <c r="M57" s="1480">
        <f t="shared" ca="1" si="15"/>
        <v>2154.764118413068</v>
      </c>
      <c r="N57" s="1480">
        <f t="shared" ca="1" si="15"/>
        <v>2129.2133508256866</v>
      </c>
      <c r="O57" s="1480">
        <f t="shared" ca="1" si="16"/>
        <v>-329.61750821462863</v>
      </c>
      <c r="P57" s="1480">
        <f t="shared" ca="1" si="16"/>
        <v>-370.06594020659168</v>
      </c>
      <c r="Q57" s="1480">
        <f t="shared" ca="1" si="16"/>
        <v>-405.96473957846388</v>
      </c>
      <c r="R57" s="1480">
        <f t="shared" ca="1" si="16"/>
        <v>-423.56249396049367</v>
      </c>
      <c r="S57" s="1480">
        <f t="shared" ca="1" si="16"/>
        <v>-441.62032308870494</v>
      </c>
      <c r="T57" s="1480">
        <f t="shared" ca="1" si="16"/>
        <v>-451.76719162667814</v>
      </c>
      <c r="U57" s="1480">
        <f t="shared" ca="1" si="16"/>
        <v>-478.52008940374276</v>
      </c>
      <c r="V57" s="1480">
        <f t="shared" ca="1" si="16"/>
        <v>-511.16737246304223</v>
      </c>
      <c r="W57" s="1480">
        <f t="shared" ca="1" si="16"/>
        <v>-556.72238815888738</v>
      </c>
      <c r="X57" s="1480">
        <f t="shared" ca="1" si="16"/>
        <v>-549.29926799237217</v>
      </c>
      <c r="Y57" s="1480">
        <f t="shared" ca="1" si="17"/>
        <v>-1.6137985299015598</v>
      </c>
      <c r="Z57" s="1480">
        <f t="shared" ca="1" si="17"/>
        <v>0</v>
      </c>
      <c r="AA57" s="1480">
        <f t="shared" ca="1" si="17"/>
        <v>0</v>
      </c>
      <c r="AB57" s="1480">
        <f t="shared" ca="1" si="17"/>
        <v>0</v>
      </c>
      <c r="AC57" s="1480">
        <f t="shared" ca="1" si="17"/>
        <v>0</v>
      </c>
      <c r="AD57" s="1480">
        <f t="shared" ca="1" si="17"/>
        <v>0</v>
      </c>
      <c r="AE57" s="1480">
        <f t="shared" ca="1" si="17"/>
        <v>0</v>
      </c>
      <c r="AF57" s="1480">
        <f t="shared" ca="1" si="17"/>
        <v>0</v>
      </c>
      <c r="AG57" s="1480">
        <f t="shared" ca="1" si="17"/>
        <v>0</v>
      </c>
      <c r="AH57" s="1480">
        <f t="shared" ca="1" si="17"/>
        <v>0</v>
      </c>
      <c r="AI57" s="1480">
        <f t="shared" ca="1" si="17"/>
        <v>0</v>
      </c>
    </row>
    <row r="58" spans="1:142">
      <c r="B58" s="379" t="s">
        <v>798</v>
      </c>
      <c r="C58" s="1485">
        <f ca="1">D54</f>
        <v>-90426.917784397752</v>
      </c>
      <c r="D58" s="1577">
        <v>0</v>
      </c>
      <c r="E58" s="1525">
        <f t="shared" ref="E58:AI58" ca="1" si="18">SUMPRODUCT($D$77:$D$80,E$20:E$23)</f>
        <v>1965.3586728442081</v>
      </c>
      <c r="F58" s="1486">
        <f t="shared" ca="1" si="18"/>
        <v>1465.6877185675075</v>
      </c>
      <c r="G58" s="1486">
        <f t="shared" ca="1" si="18"/>
        <v>1477.1763341366304</v>
      </c>
      <c r="H58" s="1486">
        <f t="shared" ca="1" si="18"/>
        <v>1466.5599646923833</v>
      </c>
      <c r="I58" s="1486">
        <f t="shared" ca="1" si="18"/>
        <v>1455.7138525740093</v>
      </c>
      <c r="J58" s="1486">
        <f t="shared" ca="1" si="18"/>
        <v>1539.6916850812433</v>
      </c>
      <c r="K58" s="1486">
        <f t="shared" ca="1" si="18"/>
        <v>1417.3799223601231</v>
      </c>
      <c r="L58" s="1486">
        <f t="shared" ca="1" si="18"/>
        <v>1415.7056606128201</v>
      </c>
      <c r="M58" s="1486">
        <f t="shared" ca="1" si="18"/>
        <v>1413.416990503126</v>
      </c>
      <c r="N58" s="1486">
        <f t="shared" ca="1" si="18"/>
        <v>1432.6330518407108</v>
      </c>
      <c r="O58" s="1486">
        <f t="shared" ca="1" si="18"/>
        <v>1455.4741409941637</v>
      </c>
      <c r="P58" s="1486">
        <f t="shared" ca="1" si="18"/>
        <v>1481.2801684258877</v>
      </c>
      <c r="Q58" s="1486">
        <f t="shared" ca="1" si="18"/>
        <v>1511.8535237791871</v>
      </c>
      <c r="R58" s="1486">
        <f t="shared" ca="1" si="18"/>
        <v>1480.2180650526552</v>
      </c>
      <c r="S58" s="1486">
        <f t="shared" ca="1" si="18"/>
        <v>1444.8707947198545</v>
      </c>
      <c r="T58" s="1486">
        <f t="shared" ca="1" si="18"/>
        <v>1376.8866964173005</v>
      </c>
      <c r="U58" s="1486">
        <f t="shared" ca="1" si="18"/>
        <v>1356.6560097619861</v>
      </c>
      <c r="V58" s="1486">
        <f t="shared" ca="1" si="18"/>
        <v>2297.3153547980874</v>
      </c>
      <c r="W58" s="1486">
        <f t="shared" ca="1" si="18"/>
        <v>5758.7686803056968</v>
      </c>
      <c r="X58" s="1486">
        <f t="shared" ca="1" si="18"/>
        <v>6376.1020882305602</v>
      </c>
      <c r="Y58" s="1486">
        <f t="shared" ca="1" si="18"/>
        <v>16.676075902401628</v>
      </c>
      <c r="Z58" s="1486">
        <f t="shared" ca="1" si="18"/>
        <v>0</v>
      </c>
      <c r="AA58" s="1486">
        <f t="shared" ca="1" si="18"/>
        <v>0</v>
      </c>
      <c r="AB58" s="1486">
        <f t="shared" ca="1" si="18"/>
        <v>0</v>
      </c>
      <c r="AC58" s="1486">
        <f t="shared" ca="1" si="18"/>
        <v>0</v>
      </c>
      <c r="AD58" s="1486">
        <f t="shared" ca="1" si="18"/>
        <v>0</v>
      </c>
      <c r="AE58" s="1486">
        <f t="shared" ca="1" si="18"/>
        <v>0</v>
      </c>
      <c r="AF58" s="1486">
        <f t="shared" ca="1" si="18"/>
        <v>0</v>
      </c>
      <c r="AG58" s="1486">
        <f t="shared" ca="1" si="18"/>
        <v>0</v>
      </c>
      <c r="AH58" s="1486">
        <f t="shared" ca="1" si="18"/>
        <v>0</v>
      </c>
      <c r="AI58" s="1487">
        <f t="shared" ca="1" si="18"/>
        <v>0</v>
      </c>
    </row>
    <row r="59" spans="1:142" ht="12" customHeight="1"/>
    <row r="60" spans="1:142" s="1512" customFormat="1" ht="16.5" customHeight="1">
      <c r="A60" s="1511"/>
      <c r="B60" s="1511" t="s">
        <v>790</v>
      </c>
      <c r="E60" s="1513">
        <f t="shared" ref="E60:AI60" ca="1" si="19">SUM(E54:E58)</f>
        <v>18429.477534126763</v>
      </c>
      <c r="F60" s="1513">
        <f t="shared" ca="1" si="19"/>
        <v>24350.796866585744</v>
      </c>
      <c r="G60" s="1513">
        <f t="shared" ca="1" si="19"/>
        <v>18171.640028144291</v>
      </c>
      <c r="H60" s="1513">
        <f t="shared" ca="1" si="19"/>
        <v>14907.827806747513</v>
      </c>
      <c r="I60" s="1513">
        <f t="shared" ca="1" si="19"/>
        <v>14859.54524851212</v>
      </c>
      <c r="J60" s="1513">
        <f t="shared" ca="1" si="19"/>
        <v>12013.506417614941</v>
      </c>
      <c r="K60" s="1513">
        <f t="shared" ca="1" si="19"/>
        <v>9700.6909956158324</v>
      </c>
      <c r="L60" s="1513">
        <f t="shared" ca="1" si="19"/>
        <v>9636.0627941884777</v>
      </c>
      <c r="M60" s="1513">
        <f t="shared" ca="1" si="19"/>
        <v>10032.473464155399</v>
      </c>
      <c r="N60" s="1513">
        <f t="shared" ca="1" si="19"/>
        <v>9949.4864551434566</v>
      </c>
      <c r="O60" s="1513">
        <f t="shared" ca="1" si="19"/>
        <v>137.00410813564918</v>
      </c>
      <c r="P60" s="1513">
        <f t="shared" ca="1" si="19"/>
        <v>1.0164075995210169</v>
      </c>
      <c r="Q60" s="1513">
        <f t="shared" ca="1" si="19"/>
        <v>-112.00543453466844</v>
      </c>
      <c r="R60" s="1513">
        <f t="shared" ca="1" si="19"/>
        <v>-214.03191078931945</v>
      </c>
      <c r="S60" s="1513">
        <f t="shared" ca="1" si="19"/>
        <v>-321.61049763496521</v>
      </c>
      <c r="T60" s="1513">
        <f t="shared" ca="1" si="19"/>
        <v>-430.18207008941204</v>
      </c>
      <c r="U60" s="1513">
        <f t="shared" ca="1" si="19"/>
        <v>-557.42434785298497</v>
      </c>
      <c r="V60" s="1513">
        <f t="shared" ca="1" si="19"/>
        <v>252.64586494591845</v>
      </c>
      <c r="W60" s="1513">
        <f t="shared" ca="1" si="19"/>
        <v>3531.8791276701472</v>
      </c>
      <c r="X60" s="1513">
        <f t="shared" ca="1" si="19"/>
        <v>4178.9050162610711</v>
      </c>
      <c r="Y60" s="1513">
        <f t="shared" ca="1" si="19"/>
        <v>10.220881782795388</v>
      </c>
      <c r="Z60" s="1513">
        <f t="shared" ca="1" si="19"/>
        <v>0</v>
      </c>
      <c r="AA60" s="1513">
        <f t="shared" ca="1" si="19"/>
        <v>0</v>
      </c>
      <c r="AB60" s="1513">
        <f t="shared" ca="1" si="19"/>
        <v>0</v>
      </c>
      <c r="AC60" s="1513">
        <f t="shared" ca="1" si="19"/>
        <v>0</v>
      </c>
      <c r="AD60" s="1513">
        <f t="shared" ca="1" si="19"/>
        <v>0</v>
      </c>
      <c r="AE60" s="1513">
        <f t="shared" ca="1" si="19"/>
        <v>0</v>
      </c>
      <c r="AF60" s="1513">
        <f t="shared" ca="1" si="19"/>
        <v>0</v>
      </c>
      <c r="AG60" s="1513">
        <f t="shared" ca="1" si="19"/>
        <v>0</v>
      </c>
      <c r="AH60" s="1513">
        <f t="shared" ca="1" si="19"/>
        <v>0</v>
      </c>
      <c r="AI60" s="1513">
        <f t="shared" ca="1" si="19"/>
        <v>0</v>
      </c>
    </row>
    <row r="61" spans="1:142" ht="16.5" customHeight="1" thickBot="1"/>
    <row r="62" spans="1:142" ht="12" customHeight="1">
      <c r="B62" s="371" t="s">
        <v>789</v>
      </c>
      <c r="C62" s="489"/>
      <c r="D62" s="2" t="s">
        <v>20</v>
      </c>
      <c r="E62" s="2"/>
      <c r="F62" s="2"/>
      <c r="G62" s="1482"/>
    </row>
    <row r="63" spans="1:142" ht="12" customHeight="1">
      <c r="B63" s="373"/>
      <c r="C63" s="316"/>
      <c r="D63" s="370" t="s">
        <v>765</v>
      </c>
      <c r="E63" s="370" t="s">
        <v>784</v>
      </c>
      <c r="F63" s="370" t="s">
        <v>785</v>
      </c>
      <c r="G63" s="537"/>
    </row>
    <row r="64" spans="1:142">
      <c r="B64" s="373"/>
      <c r="C64" s="316"/>
      <c r="D64" s="316"/>
      <c r="E64" s="1499">
        <f>Assum!E330</f>
        <v>0.125</v>
      </c>
      <c r="F64" s="1499">
        <f>Assum!E330</f>
        <v>0.125</v>
      </c>
      <c r="G64" s="537"/>
    </row>
    <row r="65" spans="2:8">
      <c r="B65" s="373"/>
      <c r="C65" s="1498" t="s">
        <v>786</v>
      </c>
      <c r="D65" s="1500">
        <f ca="1">XIRR(D54:N58,D47:N51)</f>
        <v>0.12338958382606507</v>
      </c>
      <c r="E65" s="317">
        <f ca="1">XNPV($E$64,$D$54:$N$58,$D$47:$N$51)</f>
        <v>-447.04275381279729</v>
      </c>
      <c r="F65" s="317">
        <f ca="1">E65-$C$58</f>
        <v>89979.875030584953</v>
      </c>
      <c r="G65" s="537"/>
    </row>
    <row r="66" spans="2:8">
      <c r="B66" s="373"/>
      <c r="C66" s="1498" t="s">
        <v>787</v>
      </c>
      <c r="D66" s="1500">
        <f ca="1">XIRR(D54:X58,D47:X51)</f>
        <v>0.12499999403953552</v>
      </c>
      <c r="E66" s="317">
        <f ca="1">XNPV($E$64,$D$54:$X$58,$D$47:$X$51)</f>
        <v>-4.1852216554616462E-6</v>
      </c>
      <c r="F66" s="317">
        <f ca="1">E66-$C$58</f>
        <v>90426.917780212534</v>
      </c>
      <c r="G66" s="1006"/>
    </row>
    <row r="67" spans="2:8">
      <c r="B67" s="373"/>
      <c r="C67" s="1498" t="s">
        <v>788</v>
      </c>
      <c r="D67" s="1500">
        <f ca="1">XIRR(D54:AI58,D47:AI51)</f>
        <v>0.12500291466712951</v>
      </c>
      <c r="E67" s="317">
        <f ca="1">XNPV($E$64,$D$54:$AI$58,$D$47:$AI$51)</f>
        <v>0.83606868967252845</v>
      </c>
      <c r="F67" s="317">
        <f ca="1">E67-$C$58</f>
        <v>90427.75385308743</v>
      </c>
      <c r="G67" s="537"/>
    </row>
    <row r="68" spans="2:8">
      <c r="B68" s="373"/>
      <c r="C68" s="316"/>
      <c r="D68" s="316"/>
      <c r="E68" s="316"/>
      <c r="F68" s="316"/>
      <c r="G68" s="537"/>
    </row>
    <row r="69" spans="2:8">
      <c r="B69" s="373"/>
      <c r="C69" s="316"/>
      <c r="D69" s="1" t="s">
        <v>195</v>
      </c>
      <c r="E69" s="1"/>
      <c r="F69" s="1"/>
      <c r="G69" s="537"/>
    </row>
    <row r="70" spans="2:8">
      <c r="B70" s="373"/>
      <c r="C70" s="1498" t="s">
        <v>786</v>
      </c>
      <c r="D70" s="1500">
        <f ca="1">XIRR(C58:N58,C51:N51)</f>
        <v>-0.24279000870883469</v>
      </c>
      <c r="E70" s="317">
        <f ca="1">XNPV($E$64,$C$58:$N$58,$C$51:$N$51)</f>
        <v>-81894.442055562511</v>
      </c>
      <c r="F70" s="424">
        <f ca="1">E70-$C$58</f>
        <v>8532.4757288352412</v>
      </c>
      <c r="G70" s="537"/>
    </row>
    <row r="71" spans="2:8">
      <c r="B71" s="373"/>
      <c r="C71" s="1498" t="s">
        <v>787</v>
      </c>
      <c r="D71" s="1500">
        <f ca="1">XIRR(C58:X58,C51:X51)</f>
        <v>-5.8192253857851026E-2</v>
      </c>
      <c r="E71" s="317">
        <f ca="1">XNPV($E$64,$C$58:$X$58,$C$51:$X$51)</f>
        <v>-78392.284932143579</v>
      </c>
      <c r="F71" s="424">
        <f ca="1">E71-$C$58</f>
        <v>12034.632852254173</v>
      </c>
      <c r="G71" s="537"/>
    </row>
    <row r="72" spans="2:8">
      <c r="B72" s="373"/>
      <c r="C72" s="1498" t="s">
        <v>788</v>
      </c>
      <c r="D72" s="1500">
        <f ca="1">XIRR(C58:AI58,C51:AI51)</f>
        <v>-5.8151063323020932E-2</v>
      </c>
      <c r="E72" s="317">
        <f ca="1">XNPV($E$64,$C$58:$AI$58,$C$51:$AI$51)</f>
        <v>-78390.880597983443</v>
      </c>
      <c r="F72" s="424">
        <f ca="1">E72-$C$58</f>
        <v>12036.037186414309</v>
      </c>
      <c r="G72" s="537"/>
    </row>
    <row r="73" spans="2:8" ht="13.5" thickBot="1">
      <c r="B73" s="376"/>
      <c r="C73" s="639"/>
      <c r="D73" s="639"/>
      <c r="E73" s="639"/>
      <c r="F73" s="639"/>
      <c r="G73" s="640"/>
    </row>
    <row r="74" spans="2:8" ht="13.5" customHeight="1"/>
    <row r="76" spans="2:8" ht="13.5" thickBot="1">
      <c r="B76" t="s">
        <v>799</v>
      </c>
    </row>
    <row r="77" spans="2:8">
      <c r="B77" s="1481" t="s">
        <v>127</v>
      </c>
      <c r="C77" s="489">
        <v>0</v>
      </c>
      <c r="D77" s="1482">
        <v>1</v>
      </c>
    </row>
    <row r="78" spans="2:8">
      <c r="B78" s="250" t="s">
        <v>452</v>
      </c>
      <c r="C78" s="1480">
        <v>0</v>
      </c>
      <c r="D78" s="1483">
        <v>1</v>
      </c>
    </row>
    <row r="79" spans="2:8">
      <c r="B79" s="481" t="s">
        <v>389</v>
      </c>
      <c r="C79" s="316">
        <v>0.25</v>
      </c>
      <c r="D79" s="537">
        <v>0</v>
      </c>
    </row>
    <row r="80" spans="2:8" ht="13.5" thickBot="1">
      <c r="B80" s="1484" t="s">
        <v>83</v>
      </c>
      <c r="C80" s="639">
        <v>0.25</v>
      </c>
      <c r="D80" s="640">
        <v>0</v>
      </c>
      <c r="H80" s="1498"/>
    </row>
    <row r="81" spans="1:142">
      <c r="H81" s="1498"/>
    </row>
    <row r="82" spans="1:142" s="214" customFormat="1">
      <c r="A82" s="330"/>
      <c r="H82" s="1504"/>
    </row>
    <row r="83" spans="1:142">
      <c r="H83" s="1498"/>
    </row>
    <row r="84" spans="1:142" s="285" customFormat="1">
      <c r="A84" s="319"/>
      <c r="B84" s="327" t="s">
        <v>323</v>
      </c>
      <c r="C84" s="320"/>
      <c r="E84" s="321"/>
      <c r="F84" s="320"/>
      <c r="G84" s="321"/>
      <c r="H84" s="321"/>
      <c r="I84" s="321"/>
      <c r="J84" s="321"/>
      <c r="K84" s="321"/>
      <c r="L84" s="321"/>
      <c r="M84" s="321"/>
      <c r="N84" s="321"/>
      <c r="O84" s="321"/>
      <c r="P84" s="321"/>
      <c r="Q84" s="321"/>
      <c r="R84" s="321"/>
      <c r="S84" s="321"/>
      <c r="T84" s="321"/>
      <c r="U84" s="321"/>
      <c r="V84" s="321"/>
      <c r="W84" s="321"/>
      <c r="X84" s="321"/>
      <c r="Y84" s="321"/>
      <c r="Z84" s="321"/>
      <c r="AA84" s="321"/>
      <c r="AB84" s="321"/>
      <c r="AC84" s="321"/>
      <c r="AD84" s="321"/>
      <c r="AE84" s="321"/>
      <c r="AF84" s="321"/>
      <c r="AG84" s="321"/>
      <c r="AH84" s="321"/>
      <c r="AI84" s="321"/>
      <c r="AJ84" s="321"/>
      <c r="AK84" s="321"/>
      <c r="AL84" s="321"/>
      <c r="AM84" s="321"/>
      <c r="AN84" s="321"/>
      <c r="AO84" s="321"/>
      <c r="AP84" s="321"/>
      <c r="AQ84" s="321"/>
      <c r="AR84" s="321"/>
      <c r="AS84" s="321"/>
      <c r="AT84" s="321"/>
      <c r="AU84" s="321"/>
      <c r="AV84" s="321"/>
      <c r="AW84" s="321"/>
      <c r="AX84" s="321"/>
      <c r="AY84" s="321"/>
      <c r="AZ84" s="321"/>
      <c r="BA84" s="321"/>
      <c r="BB84" s="321"/>
      <c r="BC84" s="321"/>
      <c r="BD84" s="321"/>
      <c r="BE84" s="321"/>
      <c r="BF84" s="321"/>
      <c r="BG84" s="321"/>
      <c r="BH84" s="321"/>
      <c r="BI84" s="321"/>
      <c r="BJ84" s="321"/>
      <c r="BK84" s="321"/>
      <c r="BL84" s="321"/>
      <c r="BM84" s="321"/>
      <c r="BN84" s="321"/>
      <c r="BO84" s="321"/>
      <c r="BP84" s="321"/>
      <c r="BQ84" s="321"/>
      <c r="BR84" s="321"/>
      <c r="BS84" s="321"/>
      <c r="BT84" s="321"/>
      <c r="BU84" s="321"/>
      <c r="BV84" s="321"/>
      <c r="BW84" s="321"/>
      <c r="BX84" s="321"/>
      <c r="BY84" s="321"/>
      <c r="BZ84" s="321"/>
      <c r="CA84" s="321"/>
      <c r="CB84" s="321"/>
      <c r="CC84" s="321"/>
      <c r="CD84" s="321"/>
      <c r="CE84" s="321"/>
      <c r="CF84" s="321"/>
      <c r="CG84" s="321"/>
      <c r="CH84" s="321"/>
      <c r="CI84" s="321"/>
      <c r="CJ84" s="321"/>
      <c r="CK84" s="321"/>
      <c r="CL84" s="321"/>
      <c r="CM84" s="321"/>
      <c r="CN84" s="321"/>
      <c r="CO84" s="321"/>
      <c r="CP84" s="321"/>
      <c r="CQ84" s="321"/>
      <c r="CR84" s="321"/>
      <c r="CS84" s="321"/>
      <c r="CT84" s="321"/>
      <c r="CU84" s="321"/>
      <c r="CV84" s="321"/>
      <c r="CW84" s="321"/>
      <c r="CX84" s="321"/>
      <c r="CY84" s="321"/>
      <c r="CZ84" s="321"/>
      <c r="DA84" s="321"/>
      <c r="DB84" s="321"/>
      <c r="DC84" s="321"/>
      <c r="DD84" s="321"/>
      <c r="DE84" s="321"/>
      <c r="DF84" s="321"/>
      <c r="DG84" s="321"/>
      <c r="DH84" s="321"/>
      <c r="DI84" s="321"/>
      <c r="DJ84" s="321"/>
      <c r="DK84" s="321"/>
      <c r="DL84" s="321"/>
      <c r="DM84" s="321"/>
      <c r="DN84" s="321"/>
      <c r="DO84" s="321"/>
      <c r="DP84" s="321"/>
      <c r="DQ84" s="321"/>
      <c r="DR84" s="321"/>
      <c r="DS84" s="321"/>
      <c r="DT84" s="321"/>
      <c r="DU84" s="321"/>
      <c r="DV84" s="321"/>
      <c r="DW84" s="321"/>
      <c r="DX84" s="321"/>
      <c r="DY84" s="321"/>
      <c r="DZ84" s="321"/>
      <c r="EA84" s="321"/>
      <c r="EB84" s="321"/>
      <c r="EC84" s="321"/>
      <c r="ED84" s="321"/>
      <c r="EE84" s="321"/>
      <c r="EF84" s="321"/>
      <c r="EG84" s="321"/>
      <c r="EH84" s="321"/>
      <c r="EI84" s="321"/>
      <c r="EJ84" s="321"/>
      <c r="EK84" s="321"/>
      <c r="EL84" s="321"/>
    </row>
    <row r="85" spans="1:142" s="285" customFormat="1">
      <c r="A85" s="319"/>
      <c r="B85" s="322" t="s">
        <v>478</v>
      </c>
      <c r="C85" s="320"/>
      <c r="E85" s="329">
        <f>CashFlow!E13*Assum!E341</f>
        <v>10880.200982475</v>
      </c>
      <c r="F85" s="329">
        <f>CashFlow!F13*Assum!F341</f>
        <v>10910.507948999999</v>
      </c>
      <c r="G85" s="329">
        <f>CashFlow!G13*Assum!G341</f>
        <v>10910.507948999999</v>
      </c>
      <c r="H85" s="329">
        <f>CashFlow!H13*Assum!H341</f>
        <v>10910.507948999999</v>
      </c>
      <c r="I85" s="329">
        <f>CashFlow!I13*Assum!I341</f>
        <v>10910.507948999999</v>
      </c>
      <c r="J85" s="329">
        <f>CashFlow!J13*Assum!J341</f>
        <v>10910.507948999999</v>
      </c>
      <c r="K85" s="329">
        <f>CashFlow!K13*Assum!K341</f>
        <v>10910.507948999999</v>
      </c>
      <c r="L85" s="329">
        <f>CashFlow!L13*Assum!L341</f>
        <v>10910.507948999999</v>
      </c>
      <c r="M85" s="329">
        <f>CashFlow!M13*Assum!M341</f>
        <v>10910.507948999999</v>
      </c>
      <c r="N85" s="329">
        <f>CashFlow!N13*Assum!N341</f>
        <v>10910.507948999999</v>
      </c>
      <c r="O85" s="329">
        <f>CashFlow!O13*Assum!O341</f>
        <v>10910.507948999999</v>
      </c>
      <c r="P85" s="329">
        <f>CashFlow!P13*Assum!P341</f>
        <v>10910.507948999999</v>
      </c>
      <c r="Q85" s="329">
        <f>CashFlow!Q13*Assum!Q341</f>
        <v>10910.507948999999</v>
      </c>
      <c r="R85" s="329">
        <f>CashFlow!R13*Assum!R341</f>
        <v>10910.507948999999</v>
      </c>
      <c r="S85" s="329">
        <f>CashFlow!S13*Assum!S341</f>
        <v>10910.507948999999</v>
      </c>
      <c r="T85" s="329">
        <f>CashFlow!T13*Assum!T341</f>
        <v>10910.507948999999</v>
      </c>
      <c r="U85" s="329">
        <f>CashFlow!U13*Assum!U341</f>
        <v>10910.507948999999</v>
      </c>
      <c r="V85" s="329">
        <f>CashFlow!V13*Assum!V341</f>
        <v>10910.507948999999</v>
      </c>
      <c r="W85" s="329">
        <f>CashFlow!W13*Assum!W341</f>
        <v>10910.507948999999</v>
      </c>
      <c r="X85" s="329">
        <f>CashFlow!X13*Assum!X341</f>
        <v>10910.507948999999</v>
      </c>
      <c r="Y85" s="329">
        <f>CashFlow!Y13*Assum!Y341</f>
        <v>30.306966524999893</v>
      </c>
      <c r="Z85" s="329">
        <f>CashFlow!Z13*Assum!Z341</f>
        <v>0</v>
      </c>
      <c r="AA85" s="329">
        <f>CashFlow!AA13*Assum!AA341</f>
        <v>0</v>
      </c>
      <c r="AB85" s="329">
        <f>CashFlow!AB13*Assum!AB341</f>
        <v>0</v>
      </c>
      <c r="AC85" s="329">
        <f>CashFlow!AC13*Assum!AC341</f>
        <v>0</v>
      </c>
      <c r="AD85" s="329">
        <f>CashFlow!AD13*Assum!AD341</f>
        <v>0</v>
      </c>
      <c r="AE85" s="329">
        <f>CashFlow!AE13*Assum!AE341</f>
        <v>0</v>
      </c>
      <c r="AF85" s="329">
        <f>CashFlow!AF13*Assum!AF341</f>
        <v>0</v>
      </c>
      <c r="AG85" s="329">
        <f>CashFlow!AG13*Assum!AG341</f>
        <v>0</v>
      </c>
      <c r="AH85" s="329">
        <f>CashFlow!AH13*Assum!AH341</f>
        <v>0</v>
      </c>
      <c r="AI85" s="321"/>
      <c r="AJ85" s="321"/>
      <c r="AK85" s="321"/>
      <c r="AL85" s="321"/>
      <c r="AM85" s="321"/>
      <c r="AN85" s="321"/>
      <c r="AO85" s="321"/>
      <c r="AP85" s="321"/>
      <c r="AQ85" s="321"/>
      <c r="AR85" s="321"/>
      <c r="AS85" s="321"/>
      <c r="AT85" s="321"/>
      <c r="AU85" s="321"/>
      <c r="AV85" s="321"/>
      <c r="AW85" s="321"/>
      <c r="AX85" s="321"/>
      <c r="AY85" s="321"/>
      <c r="AZ85" s="321"/>
      <c r="BA85" s="321"/>
      <c r="BB85" s="321"/>
      <c r="BC85" s="321"/>
      <c r="BD85" s="321"/>
      <c r="BE85" s="321"/>
      <c r="BF85" s="321"/>
      <c r="BG85" s="321"/>
      <c r="BH85" s="321"/>
      <c r="BI85" s="321"/>
      <c r="BJ85" s="321"/>
      <c r="BK85" s="321"/>
      <c r="BL85" s="321"/>
      <c r="BM85" s="321"/>
      <c r="BN85" s="321"/>
      <c r="BO85" s="321"/>
      <c r="BP85" s="321"/>
      <c r="BQ85" s="321"/>
      <c r="BR85" s="321"/>
      <c r="BS85" s="321"/>
      <c r="BT85" s="321"/>
      <c r="BU85" s="321"/>
      <c r="BV85" s="321"/>
      <c r="BW85" s="321"/>
      <c r="BX85" s="321"/>
      <c r="BY85" s="321"/>
      <c r="BZ85" s="321"/>
      <c r="CA85" s="321"/>
      <c r="CB85" s="321"/>
      <c r="CC85" s="321"/>
      <c r="CD85" s="321"/>
      <c r="CE85" s="321"/>
      <c r="CF85" s="321"/>
      <c r="CG85" s="321"/>
      <c r="CH85" s="321"/>
      <c r="CI85" s="321"/>
      <c r="CJ85" s="321"/>
      <c r="CK85" s="321"/>
      <c r="CL85" s="321"/>
      <c r="CM85" s="321"/>
      <c r="CN85" s="321"/>
      <c r="CO85" s="321"/>
      <c r="CP85" s="321"/>
      <c r="CQ85" s="321"/>
      <c r="CR85" s="321"/>
      <c r="CS85" s="321"/>
      <c r="CT85" s="321"/>
      <c r="CU85" s="321"/>
      <c r="CV85" s="321"/>
      <c r="CW85" s="321"/>
      <c r="CX85" s="321"/>
      <c r="CY85" s="321"/>
      <c r="CZ85" s="321"/>
      <c r="DA85" s="321"/>
      <c r="DB85" s="321"/>
      <c r="DC85" s="321"/>
      <c r="DD85" s="321"/>
      <c r="DE85" s="321"/>
      <c r="DF85" s="321"/>
      <c r="DG85" s="321"/>
      <c r="DH85" s="321"/>
      <c r="DI85" s="321"/>
      <c r="DJ85" s="321"/>
      <c r="DK85" s="321"/>
      <c r="DL85" s="321"/>
      <c r="DM85" s="321"/>
      <c r="DN85" s="321"/>
      <c r="DO85" s="321"/>
      <c r="DP85" s="321"/>
      <c r="DQ85" s="321"/>
      <c r="DR85" s="321"/>
      <c r="DS85" s="321"/>
      <c r="DT85" s="321"/>
      <c r="DU85" s="321"/>
      <c r="DV85" s="321"/>
      <c r="DW85" s="321"/>
      <c r="DX85" s="321"/>
      <c r="DY85" s="321"/>
      <c r="DZ85" s="321"/>
      <c r="EA85" s="321"/>
      <c r="EB85" s="321"/>
      <c r="EC85" s="321"/>
      <c r="ED85" s="321"/>
      <c r="EE85" s="321"/>
      <c r="EF85" s="321"/>
      <c r="EG85" s="321"/>
      <c r="EH85" s="321"/>
      <c r="EI85" s="321"/>
      <c r="EJ85" s="321"/>
      <c r="EK85" s="321"/>
      <c r="EL85" s="321"/>
    </row>
    <row r="86" spans="1:142" s="325" customFormat="1">
      <c r="A86" s="319"/>
      <c r="B86" s="323" t="s">
        <v>479</v>
      </c>
      <c r="C86" s="324"/>
      <c r="E86" s="324">
        <f>Income!E83*Assum!E341</f>
        <v>1680.5274690024012</v>
      </c>
      <c r="F86" s="324">
        <f>Income!F83*Assum!F341</f>
        <v>3556.9091850879699</v>
      </c>
      <c r="G86" s="324">
        <f>Income!G83*Assum!G341</f>
        <v>3579.7598386167383</v>
      </c>
      <c r="H86" s="324">
        <f>Income!H83*Assum!H341</f>
        <v>3593.5244983331636</v>
      </c>
      <c r="I86" s="324">
        <f>Income!I83*Assum!I341</f>
        <v>3599.5909517056007</v>
      </c>
      <c r="J86" s="324">
        <f>Income!J83*Assum!J341</f>
        <v>4400.2360442967074</v>
      </c>
      <c r="K86" s="324">
        <f>Income!K83*Assum!K341</f>
        <v>4799.7894373809286</v>
      </c>
      <c r="L86" s="324">
        <f>Income!L83*Assum!L341</f>
        <v>4779.3818678871894</v>
      </c>
      <c r="M86" s="324">
        <f>Income!M83*Assum!M341</f>
        <v>4758.5378552695092</v>
      </c>
      <c r="N86" s="324">
        <f>Income!N83*Assum!N341</f>
        <v>4661.9420530878206</v>
      </c>
      <c r="O86" s="324">
        <f>Income!O83*Assum!O341</f>
        <v>4551.7833379009553</v>
      </c>
      <c r="P86" s="324">
        <f>Income!P83*Assum!P341</f>
        <v>4430.3383949764666</v>
      </c>
      <c r="Q86" s="324">
        <f>Income!Q83*Assum!Q341</f>
        <v>4297.1123988054414</v>
      </c>
      <c r="R86" s="324">
        <f>Income!R83*Assum!R341</f>
        <v>4379.7747301568124</v>
      </c>
      <c r="S86" s="324">
        <f>Income!S83*Assum!S341</f>
        <v>4477.3636252131309</v>
      </c>
      <c r="T86" s="324">
        <f>Income!T83*Assum!T341</f>
        <v>4684.0033310438866</v>
      </c>
      <c r="U86" s="324">
        <f>Income!U83*Assum!U341</f>
        <v>4748.2187033590681</v>
      </c>
      <c r="V86" s="324">
        <f>Income!V83*Assum!V341</f>
        <v>4813.9603269664076</v>
      </c>
      <c r="W86" s="324">
        <f>Income!W83*Assum!W341</f>
        <v>4765.3471355423007</v>
      </c>
      <c r="X86" s="324">
        <f>Income!X83*Assum!X341</f>
        <v>4831.3539242886382</v>
      </c>
      <c r="Y86" s="324">
        <f>Income!Y83*Assum!Y341</f>
        <v>12.503242747895987</v>
      </c>
      <c r="Z86" s="324">
        <f>Income!Z83*Assum!Z341</f>
        <v>0</v>
      </c>
      <c r="AA86" s="324">
        <f>Income!AA83*Assum!AA341</f>
        <v>0</v>
      </c>
      <c r="AB86" s="324">
        <f>Income!AB83*Assum!AB341</f>
        <v>0</v>
      </c>
      <c r="AC86" s="324">
        <f>Income!AC83*Assum!AC341</f>
        <v>0</v>
      </c>
      <c r="AD86" s="324">
        <f>Income!AD83*Assum!AD341</f>
        <v>0</v>
      </c>
      <c r="AE86" s="324">
        <f>Income!AE83*Assum!AE341</f>
        <v>0</v>
      </c>
      <c r="AF86" s="324">
        <f>Income!AF83*Assum!AF341</f>
        <v>0</v>
      </c>
      <c r="AG86" s="324">
        <f>Income!AG83*Assum!AG341</f>
        <v>0</v>
      </c>
      <c r="AH86" s="324">
        <f>Income!AH83*Assum!AH341</f>
        <v>0</v>
      </c>
      <c r="AI86" s="324"/>
      <c r="AJ86" s="324"/>
      <c r="AK86" s="324"/>
      <c r="AL86" s="324"/>
      <c r="AM86" s="324"/>
      <c r="AN86" s="324"/>
      <c r="AO86" s="324"/>
      <c r="AP86" s="324"/>
      <c r="AQ86" s="324"/>
      <c r="AR86" s="324"/>
      <c r="AS86" s="324"/>
      <c r="AT86" s="324"/>
      <c r="AU86" s="324"/>
      <c r="AV86" s="324"/>
      <c r="AW86" s="324"/>
      <c r="AX86" s="324"/>
      <c r="AY86" s="324"/>
      <c r="AZ86" s="324"/>
      <c r="BA86" s="324"/>
      <c r="BB86" s="324"/>
      <c r="BC86" s="324"/>
      <c r="BD86" s="324"/>
      <c r="BE86" s="324"/>
      <c r="BF86" s="324"/>
      <c r="BG86" s="324"/>
      <c r="BH86" s="324"/>
      <c r="BI86" s="324"/>
      <c r="BJ86" s="324"/>
      <c r="BK86" s="324"/>
      <c r="BL86" s="324"/>
      <c r="BM86" s="324"/>
      <c r="BN86" s="324"/>
      <c r="BO86" s="324"/>
      <c r="BP86" s="324"/>
      <c r="BQ86" s="324"/>
      <c r="BR86" s="324"/>
      <c r="BS86" s="324"/>
      <c r="BT86" s="324"/>
      <c r="BU86" s="324"/>
      <c r="BV86" s="324"/>
      <c r="BW86" s="324"/>
      <c r="BX86" s="324"/>
      <c r="BY86" s="324"/>
      <c r="BZ86" s="324"/>
      <c r="CA86" s="324"/>
      <c r="CB86" s="324"/>
      <c r="CC86" s="324"/>
      <c r="CD86" s="324"/>
      <c r="CE86" s="324"/>
      <c r="CF86" s="324"/>
      <c r="CG86" s="324"/>
      <c r="CH86" s="324"/>
      <c r="CI86" s="324"/>
      <c r="CJ86" s="324"/>
      <c r="CK86" s="324"/>
      <c r="CL86" s="324"/>
      <c r="CM86" s="324"/>
      <c r="CN86" s="324"/>
      <c r="CO86" s="324"/>
      <c r="CP86" s="324"/>
      <c r="CQ86" s="324"/>
      <c r="CR86" s="324"/>
      <c r="CS86" s="324"/>
      <c r="CT86" s="324"/>
      <c r="CU86" s="324"/>
      <c r="CV86" s="324"/>
      <c r="CW86" s="324"/>
      <c r="CX86" s="324"/>
      <c r="CY86" s="324"/>
      <c r="CZ86" s="324"/>
      <c r="DA86" s="324"/>
      <c r="DB86" s="324"/>
      <c r="DC86" s="324"/>
      <c r="DD86" s="324"/>
      <c r="DE86" s="324"/>
      <c r="DF86" s="324"/>
      <c r="DG86" s="324"/>
      <c r="DH86" s="324"/>
      <c r="DI86" s="324"/>
      <c r="DJ86" s="324"/>
      <c r="DK86" s="324"/>
      <c r="DL86" s="324"/>
      <c r="DM86" s="324"/>
      <c r="DN86" s="324"/>
      <c r="DO86" s="324"/>
      <c r="DP86" s="324"/>
      <c r="DQ86" s="324"/>
      <c r="DR86" s="324"/>
      <c r="DS86" s="324"/>
      <c r="DT86" s="324"/>
      <c r="DU86" s="324"/>
      <c r="DV86" s="324"/>
      <c r="DW86" s="324"/>
      <c r="DX86" s="324"/>
      <c r="DY86" s="324"/>
      <c r="DZ86" s="324"/>
      <c r="EA86" s="324"/>
      <c r="EB86" s="324"/>
      <c r="EC86" s="324"/>
      <c r="ED86" s="324"/>
      <c r="EE86" s="324"/>
      <c r="EF86" s="324"/>
      <c r="EG86" s="324"/>
      <c r="EH86" s="324"/>
      <c r="EI86" s="324"/>
      <c r="EJ86" s="324"/>
      <c r="EK86" s="324"/>
      <c r="EL86" s="324"/>
    </row>
    <row r="87" spans="1:142" s="325" customFormat="1">
      <c r="A87" s="319"/>
      <c r="B87" s="323" t="s">
        <v>350</v>
      </c>
      <c r="C87" s="324"/>
      <c r="E87" s="324">
        <f ca="1">Income!E87*Assum!E341</f>
        <v>6044.6434293245284</v>
      </c>
      <c r="F87" s="324">
        <f ca="1">Income!F87*Assum!F341</f>
        <v>6061.4808762028697</v>
      </c>
      <c r="G87" s="324">
        <f ca="1">Income!G87*Assum!G341</f>
        <v>6061.4808762028697</v>
      </c>
      <c r="H87" s="324">
        <f ca="1">Income!H87*Assum!H341</f>
        <v>6061.4808762028697</v>
      </c>
      <c r="I87" s="324">
        <f ca="1">Income!I87*Assum!I341</f>
        <v>6061.4808762028697</v>
      </c>
      <c r="J87" s="324">
        <f ca="1">Income!J87*Assum!J341</f>
        <v>6061.4808762028697</v>
      </c>
      <c r="K87" s="324">
        <f ca="1">Income!K87*Assum!K341</f>
        <v>6061.4808762028697</v>
      </c>
      <c r="L87" s="324">
        <f ca="1">Income!L87*Assum!L341</f>
        <v>6061.4808762028697</v>
      </c>
      <c r="M87" s="324">
        <f ca="1">Income!M87*Assum!M341</f>
        <v>6061.4808762028697</v>
      </c>
      <c r="N87" s="324">
        <f ca="1">Income!N87*Assum!N341</f>
        <v>6061.4808762028697</v>
      </c>
      <c r="O87" s="324">
        <f ca="1">Income!O87*Assum!O341</f>
        <v>6061.4808762028697</v>
      </c>
      <c r="P87" s="324">
        <f ca="1">Income!P87*Assum!P341</f>
        <v>6061.4808762028697</v>
      </c>
      <c r="Q87" s="324">
        <f ca="1">Income!Q87*Assum!Q341</f>
        <v>6061.4808762028697</v>
      </c>
      <c r="R87" s="324">
        <f ca="1">Income!R87*Assum!R341</f>
        <v>6061.4808762028697</v>
      </c>
      <c r="S87" s="324">
        <f ca="1">Income!S87*Assum!S341</f>
        <v>6061.4808762028697</v>
      </c>
      <c r="T87" s="324">
        <f ca="1">Income!T87*Assum!T341</f>
        <v>6061.4808762028697</v>
      </c>
      <c r="U87" s="324">
        <f ca="1">Income!U87*Assum!U341</f>
        <v>6061.4808762028697</v>
      </c>
      <c r="V87" s="324">
        <f ca="1">Income!V87*Assum!V341</f>
        <v>6061.4808762028697</v>
      </c>
      <c r="W87" s="324">
        <f ca="1">Income!W87*Assum!W341</f>
        <v>6061.4808762028697</v>
      </c>
      <c r="X87" s="324">
        <f ca="1">Income!X87*Assum!X341</f>
        <v>6061.4808762028697</v>
      </c>
      <c r="Y87" s="324">
        <f ca="1">Income!Y87*Assum!Y341</f>
        <v>16.837446878341243</v>
      </c>
      <c r="Z87" s="324">
        <f ca="1">Income!Z87*Assum!Z341</f>
        <v>0</v>
      </c>
      <c r="AA87" s="324">
        <f ca="1">Income!AA87*Assum!AA341</f>
        <v>0</v>
      </c>
      <c r="AB87" s="324">
        <f ca="1">Income!AB87*Assum!AB341</f>
        <v>0</v>
      </c>
      <c r="AC87" s="324">
        <f ca="1">Income!AC87*Assum!AC341</f>
        <v>0</v>
      </c>
      <c r="AD87" s="324">
        <f ca="1">Income!AD87*Assum!AD341</f>
        <v>0</v>
      </c>
      <c r="AE87" s="324">
        <f ca="1">Income!AE87*Assum!AE341</f>
        <v>0</v>
      </c>
      <c r="AF87" s="324">
        <f ca="1">Income!AF87*Assum!AF341</f>
        <v>0</v>
      </c>
      <c r="AG87" s="324">
        <f ca="1">Income!AG87*Assum!AG341</f>
        <v>0</v>
      </c>
      <c r="AH87" s="324">
        <f ca="1">Income!AH87*Assum!AH341</f>
        <v>0</v>
      </c>
      <c r="AI87" s="324"/>
      <c r="AJ87" s="324"/>
      <c r="AK87" s="324"/>
      <c r="AL87" s="324"/>
      <c r="AM87" s="324"/>
      <c r="AN87" s="324"/>
      <c r="AO87" s="324"/>
      <c r="AP87" s="324"/>
      <c r="AQ87" s="324"/>
      <c r="AR87" s="324"/>
      <c r="AS87" s="324"/>
      <c r="AT87" s="324"/>
      <c r="AU87" s="324"/>
      <c r="AV87" s="324"/>
      <c r="AW87" s="324"/>
      <c r="AX87" s="324"/>
      <c r="AY87" s="324"/>
      <c r="AZ87" s="324"/>
      <c r="BA87" s="324"/>
      <c r="BB87" s="324"/>
      <c r="BC87" s="324"/>
      <c r="BD87" s="324"/>
      <c r="BE87" s="324"/>
      <c r="BF87" s="324"/>
      <c r="BG87" s="324"/>
      <c r="BH87" s="324"/>
      <c r="BI87" s="324"/>
      <c r="BJ87" s="324"/>
      <c r="BK87" s="324"/>
      <c r="BL87" s="324"/>
      <c r="BM87" s="324"/>
      <c r="BN87" s="324"/>
      <c r="BO87" s="324"/>
      <c r="BP87" s="324"/>
      <c r="BQ87" s="324"/>
      <c r="BR87" s="324"/>
      <c r="BS87" s="324"/>
      <c r="BT87" s="324"/>
      <c r="BU87" s="324"/>
      <c r="BV87" s="324"/>
      <c r="BW87" s="324"/>
      <c r="BX87" s="324"/>
      <c r="BY87" s="324"/>
      <c r="BZ87" s="324"/>
      <c r="CA87" s="324"/>
      <c r="CB87" s="324"/>
      <c r="CC87" s="324"/>
      <c r="CD87" s="324"/>
      <c r="CE87" s="324"/>
      <c r="CF87" s="324"/>
      <c r="CG87" s="324"/>
      <c r="CH87" s="324"/>
      <c r="CI87" s="324"/>
      <c r="CJ87" s="324"/>
      <c r="CK87" s="324"/>
      <c r="CL87" s="324"/>
      <c r="CM87" s="324"/>
      <c r="CN87" s="324"/>
      <c r="CO87" s="324"/>
      <c r="CP87" s="324"/>
      <c r="CQ87" s="324"/>
      <c r="CR87" s="324"/>
      <c r="CS87" s="324"/>
      <c r="CT87" s="324"/>
      <c r="CU87" s="324"/>
      <c r="CV87" s="324"/>
      <c r="CW87" s="324"/>
      <c r="CX87" s="324"/>
      <c r="CY87" s="324"/>
      <c r="CZ87" s="324"/>
      <c r="DA87" s="324"/>
      <c r="DB87" s="324"/>
      <c r="DC87" s="324"/>
      <c r="DD87" s="324"/>
      <c r="DE87" s="324"/>
      <c r="DF87" s="324"/>
      <c r="DG87" s="324"/>
      <c r="DH87" s="324"/>
      <c r="DI87" s="324"/>
      <c r="DJ87" s="324"/>
      <c r="DK87" s="324"/>
      <c r="DL87" s="324"/>
      <c r="DM87" s="324"/>
      <c r="DN87" s="324"/>
      <c r="DO87" s="324"/>
      <c r="DP87" s="324"/>
      <c r="DQ87" s="324"/>
      <c r="DR87" s="324"/>
      <c r="DS87" s="324"/>
      <c r="DT87" s="324"/>
      <c r="DU87" s="324"/>
      <c r="DV87" s="324"/>
      <c r="DW87" s="324"/>
      <c r="DX87" s="324"/>
      <c r="DY87" s="324"/>
      <c r="DZ87" s="324"/>
      <c r="EA87" s="324"/>
      <c r="EB87" s="324"/>
      <c r="EC87" s="324"/>
      <c r="ED87" s="324"/>
      <c r="EE87" s="324"/>
      <c r="EF87" s="324"/>
      <c r="EG87" s="324"/>
      <c r="EH87" s="324"/>
      <c r="EI87" s="324"/>
      <c r="EJ87" s="324"/>
      <c r="EK87" s="324"/>
      <c r="EL87" s="324"/>
    </row>
    <row r="88" spans="1:142" s="325" customFormat="1">
      <c r="A88" s="319"/>
      <c r="B88" s="323" t="s">
        <v>351</v>
      </c>
      <c r="C88" s="324"/>
      <c r="E88" s="324">
        <f ca="1">Income!E88*Assum!E341</f>
        <v>339.34840304979815</v>
      </c>
      <c r="F88" s="324">
        <f ca="1">Income!F88*Assum!F341</f>
        <v>340.29366322542432</v>
      </c>
      <c r="G88" s="324">
        <f ca="1">Income!G88*Assum!G341</f>
        <v>340.29366322542432</v>
      </c>
      <c r="H88" s="324">
        <f ca="1">Income!H88*Assum!H341</f>
        <v>340.29366322542432</v>
      </c>
      <c r="I88" s="324">
        <f ca="1">Income!I88*Assum!I341</f>
        <v>340.29366322542432</v>
      </c>
      <c r="J88" s="324">
        <f ca="1">Income!J88*Assum!J341</f>
        <v>340.29366322542432</v>
      </c>
      <c r="K88" s="324">
        <f ca="1">Income!K88*Assum!K341</f>
        <v>340.29366322542432</v>
      </c>
      <c r="L88" s="324">
        <f ca="1">Income!L88*Assum!L341</f>
        <v>340.29366322542432</v>
      </c>
      <c r="M88" s="324">
        <f ca="1">Income!M88*Assum!M341</f>
        <v>340.29366322542432</v>
      </c>
      <c r="N88" s="324">
        <f ca="1">Income!N88*Assum!N341</f>
        <v>340.29366322542432</v>
      </c>
      <c r="O88" s="324">
        <f ca="1">Income!O88*Assum!O341</f>
        <v>340.29366322542432</v>
      </c>
      <c r="P88" s="324">
        <f ca="1">Income!P88*Assum!P341</f>
        <v>340.29366322542432</v>
      </c>
      <c r="Q88" s="324">
        <f ca="1">Income!Q88*Assum!Q341</f>
        <v>340.29366322542432</v>
      </c>
      <c r="R88" s="324">
        <f ca="1">Income!R88*Assum!R341</f>
        <v>340.29366322542432</v>
      </c>
      <c r="S88" s="324">
        <f ca="1">Income!S88*Assum!S341</f>
        <v>340.29366322542432</v>
      </c>
      <c r="T88" s="324">
        <f ca="1">Income!T88*Assum!T341</f>
        <v>340.29366322542432</v>
      </c>
      <c r="U88" s="324">
        <f ca="1">Income!U88*Assum!U341</f>
        <v>340.29366322542432</v>
      </c>
      <c r="V88" s="324">
        <f ca="1">Income!V88*Assum!V341</f>
        <v>340.29366322542432</v>
      </c>
      <c r="W88" s="324">
        <f ca="1">Income!W88*Assum!W341</f>
        <v>128.20091131930047</v>
      </c>
      <c r="X88" s="324">
        <f ca="1">Income!X88*Assum!X341</f>
        <v>127.61012370953411</v>
      </c>
      <c r="Y88" s="324">
        <f ca="1">Income!Y88*Assum!Y341</f>
        <v>0.35447256585981574</v>
      </c>
      <c r="Z88" s="324">
        <f>Income!Z88*Assum!Z341</f>
        <v>0</v>
      </c>
      <c r="AA88" s="324">
        <f>Income!AA88*Assum!AA341</f>
        <v>0</v>
      </c>
      <c r="AB88" s="324">
        <f>Income!AB88*Assum!AB341</f>
        <v>0</v>
      </c>
      <c r="AC88" s="324">
        <f>Income!AC88*Assum!AC341</f>
        <v>0</v>
      </c>
      <c r="AD88" s="324">
        <f>Income!AD88*Assum!AD341</f>
        <v>0</v>
      </c>
      <c r="AE88" s="324">
        <f>Income!AE88*Assum!AE341</f>
        <v>0</v>
      </c>
      <c r="AF88" s="324">
        <f>Income!AF88*Assum!AF341</f>
        <v>0</v>
      </c>
      <c r="AG88" s="324">
        <f>Income!AG88*Assum!AG341</f>
        <v>0</v>
      </c>
      <c r="AH88" s="324">
        <f>Income!AH88*Assum!AH341</f>
        <v>0</v>
      </c>
      <c r="AI88" s="324"/>
      <c r="AJ88" s="324"/>
      <c r="AK88" s="324"/>
      <c r="AL88" s="324"/>
      <c r="AM88" s="324"/>
      <c r="AN88" s="324"/>
      <c r="AO88" s="324"/>
      <c r="AP88" s="324"/>
      <c r="AQ88" s="324"/>
      <c r="AR88" s="324"/>
      <c r="AS88" s="324"/>
      <c r="AT88" s="324"/>
      <c r="AU88" s="324"/>
      <c r="AV88" s="324"/>
      <c r="AW88" s="324"/>
      <c r="AX88" s="324"/>
      <c r="AY88" s="324"/>
      <c r="AZ88" s="324"/>
      <c r="BA88" s="324"/>
      <c r="BB88" s="324"/>
      <c r="BC88" s="324"/>
      <c r="BD88" s="324"/>
      <c r="BE88" s="324"/>
      <c r="BF88" s="324"/>
      <c r="BG88" s="324"/>
      <c r="BH88" s="324"/>
      <c r="BI88" s="324"/>
      <c r="BJ88" s="324"/>
      <c r="BK88" s="324"/>
      <c r="BL88" s="324"/>
      <c r="BM88" s="324"/>
      <c r="BN88" s="324"/>
      <c r="BO88" s="324"/>
      <c r="BP88" s="324"/>
      <c r="BQ88" s="324"/>
      <c r="BR88" s="324"/>
      <c r="BS88" s="324"/>
      <c r="BT88" s="324"/>
      <c r="BU88" s="324"/>
      <c r="BV88" s="324"/>
      <c r="BW88" s="324"/>
      <c r="BX88" s="324"/>
      <c r="BY88" s="324"/>
      <c r="BZ88" s="324"/>
      <c r="CA88" s="324"/>
      <c r="CB88" s="324"/>
      <c r="CC88" s="324"/>
      <c r="CD88" s="324"/>
      <c r="CE88" s="324"/>
      <c r="CF88" s="324"/>
      <c r="CG88" s="324"/>
      <c r="CH88" s="324"/>
      <c r="CI88" s="324"/>
      <c r="CJ88" s="324"/>
      <c r="CK88" s="324"/>
      <c r="CL88" s="324"/>
      <c r="CM88" s="324"/>
      <c r="CN88" s="324"/>
      <c r="CO88" s="324"/>
      <c r="CP88" s="324"/>
      <c r="CQ88" s="324"/>
      <c r="CR88" s="324"/>
      <c r="CS88" s="324"/>
      <c r="CT88" s="324"/>
      <c r="CU88" s="324"/>
      <c r="CV88" s="324"/>
      <c r="CW88" s="324"/>
      <c r="CX88" s="324"/>
      <c r="CY88" s="324"/>
      <c r="CZ88" s="324"/>
      <c r="DA88" s="324"/>
      <c r="DB88" s="324"/>
      <c r="DC88" s="324"/>
      <c r="DD88" s="324"/>
      <c r="DE88" s="324"/>
      <c r="DF88" s="324"/>
      <c r="DG88" s="324"/>
      <c r="DH88" s="324"/>
      <c r="DI88" s="324"/>
      <c r="DJ88" s="324"/>
      <c r="DK88" s="324"/>
      <c r="DL88" s="324"/>
      <c r="DM88" s="324"/>
      <c r="DN88" s="324"/>
      <c r="DO88" s="324"/>
      <c r="DP88" s="324"/>
      <c r="DQ88" s="324"/>
      <c r="DR88" s="324"/>
      <c r="DS88" s="324"/>
      <c r="DT88" s="324"/>
      <c r="DU88" s="324"/>
      <c r="DV88" s="324"/>
      <c r="DW88" s="324"/>
      <c r="DX88" s="324"/>
      <c r="DY88" s="324"/>
      <c r="DZ88" s="324"/>
      <c r="EA88" s="324"/>
      <c r="EB88" s="324"/>
      <c r="EC88" s="324"/>
      <c r="ED88" s="324"/>
      <c r="EE88" s="324"/>
      <c r="EF88" s="324"/>
      <c r="EG88" s="324"/>
      <c r="EH88" s="324"/>
      <c r="EI88" s="324"/>
      <c r="EJ88" s="324"/>
      <c r="EK88" s="324"/>
      <c r="EL88" s="324"/>
    </row>
    <row r="89" spans="1:142" s="325" customFormat="1">
      <c r="A89" s="319"/>
      <c r="B89" s="323" t="s">
        <v>352</v>
      </c>
      <c r="C89" s="324"/>
      <c r="E89" s="324">
        <f>Income!E91*Assum!E341</f>
        <v>3610.9647862878105</v>
      </c>
      <c r="F89" s="324">
        <f>Income!F91*Assum!F341</f>
        <v>3466.7740129893064</v>
      </c>
      <c r="G89" s="324">
        <f>Income!G91*Assum!G341</f>
        <v>3387.2885766333657</v>
      </c>
      <c r="H89" s="324">
        <f>Income!H91*Assum!H341</f>
        <v>3277.8647054193862</v>
      </c>
      <c r="I89" s="324">
        <f>Income!I91*Assum!I341</f>
        <v>3168.6489435912054</v>
      </c>
      <c r="J89" s="324">
        <f>Income!J91*Assum!J341</f>
        <v>3044.3628521351679</v>
      </c>
      <c r="K89" s="324">
        <f>Income!K91*Assum!K341</f>
        <v>2907.8482997546116</v>
      </c>
      <c r="L89" s="324">
        <f>Income!L91*Assum!L341</f>
        <v>2761.5761649062911</v>
      </c>
      <c r="M89" s="324">
        <f>Income!M91*Assum!M341</f>
        <v>2608.5170365254312</v>
      </c>
      <c r="N89" s="324">
        <f>Income!N91*Assum!N341</f>
        <v>2438.3421671070946</v>
      </c>
      <c r="O89" s="324">
        <f>Income!O91*Assum!O341</f>
        <v>2251.9503665835305</v>
      </c>
      <c r="P89" s="324">
        <f>Income!P91*Assum!P341</f>
        <v>2027.1778669927492</v>
      </c>
      <c r="Q89" s="324">
        <f>Income!Q91*Assum!Q341</f>
        <v>1789.4117383073658</v>
      </c>
      <c r="R89" s="324">
        <f>Income!R91*Assum!R341</f>
        <v>1520.7223242303342</v>
      </c>
      <c r="S89" s="324">
        <f>Income!S91*Assum!S341</f>
        <v>1232.8194180926773</v>
      </c>
      <c r="T89" s="324">
        <f>Income!T91*Assum!T341</f>
        <v>914.89492153579499</v>
      </c>
      <c r="U89" s="324">
        <f>Income!U91*Assum!U341</f>
        <v>578.22016036568209</v>
      </c>
      <c r="V89" s="324">
        <f>Income!V91*Assum!V341</f>
        <v>209.45166284146822</v>
      </c>
      <c r="W89" s="324">
        <f>Income!W91*Assum!W341</f>
        <v>0</v>
      </c>
      <c r="X89" s="324">
        <f>Income!X91*Assum!X341</f>
        <v>0</v>
      </c>
      <c r="Y89" s="324">
        <f>Income!Y91*Assum!Y341</f>
        <v>0</v>
      </c>
      <c r="Z89" s="324">
        <f>Income!Z91*Assum!Z341</f>
        <v>0</v>
      </c>
      <c r="AA89" s="324">
        <f>Income!AA91*Assum!AA341</f>
        <v>0</v>
      </c>
      <c r="AB89" s="324">
        <f>Income!AB91*Assum!AB341</f>
        <v>0</v>
      </c>
      <c r="AC89" s="324">
        <f>Income!AC91*Assum!AC341</f>
        <v>0</v>
      </c>
      <c r="AD89" s="324">
        <f>Income!AD91*Assum!AD341</f>
        <v>0</v>
      </c>
      <c r="AE89" s="324">
        <f>Income!AE91*Assum!AE341</f>
        <v>0</v>
      </c>
      <c r="AF89" s="324">
        <f>Income!AF91*Assum!AF341</f>
        <v>0</v>
      </c>
      <c r="AG89" s="324">
        <f>Income!AG91*Assum!AG341</f>
        <v>0</v>
      </c>
      <c r="AH89" s="324">
        <f>Income!AH91*Assum!AH341</f>
        <v>0</v>
      </c>
      <c r="AI89" s="324"/>
      <c r="AJ89" s="324"/>
      <c r="AK89" s="324"/>
      <c r="AL89" s="324"/>
      <c r="AM89" s="324"/>
      <c r="AN89" s="324"/>
      <c r="AO89" s="324"/>
      <c r="AP89" s="324"/>
      <c r="AQ89" s="324"/>
      <c r="AR89" s="324"/>
      <c r="AS89" s="324"/>
      <c r="AT89" s="324"/>
      <c r="AU89" s="324"/>
      <c r="AV89" s="324"/>
      <c r="AW89" s="324"/>
      <c r="AX89" s="324"/>
      <c r="AY89" s="324"/>
      <c r="AZ89" s="324"/>
      <c r="BA89" s="324"/>
      <c r="BB89" s="324"/>
      <c r="BC89" s="324"/>
      <c r="BD89" s="324"/>
      <c r="BE89" s="324"/>
      <c r="BF89" s="324"/>
      <c r="BG89" s="324"/>
      <c r="BH89" s="324"/>
      <c r="BI89" s="324"/>
      <c r="BJ89" s="324"/>
      <c r="BK89" s="324"/>
      <c r="BL89" s="324"/>
      <c r="BM89" s="324"/>
      <c r="BN89" s="324"/>
      <c r="BO89" s="324"/>
      <c r="BP89" s="324"/>
      <c r="BQ89" s="324"/>
      <c r="BR89" s="324"/>
      <c r="BS89" s="324"/>
      <c r="BT89" s="324"/>
      <c r="BU89" s="324"/>
      <c r="BV89" s="324"/>
      <c r="BW89" s="324"/>
      <c r="BX89" s="324"/>
      <c r="BY89" s="324"/>
      <c r="BZ89" s="324"/>
      <c r="CA89" s="324"/>
      <c r="CB89" s="324"/>
      <c r="CC89" s="324"/>
      <c r="CD89" s="324"/>
      <c r="CE89" s="324"/>
      <c r="CF89" s="324"/>
      <c r="CG89" s="324"/>
      <c r="CH89" s="324"/>
      <c r="CI89" s="324"/>
      <c r="CJ89" s="324"/>
      <c r="CK89" s="324"/>
      <c r="CL89" s="324"/>
      <c r="CM89" s="324"/>
      <c r="CN89" s="324"/>
      <c r="CO89" s="324"/>
      <c r="CP89" s="324"/>
      <c r="CQ89" s="324"/>
      <c r="CR89" s="324"/>
      <c r="CS89" s="324"/>
      <c r="CT89" s="324"/>
      <c r="CU89" s="324"/>
      <c r="CV89" s="324"/>
      <c r="CW89" s="324"/>
      <c r="CX89" s="324"/>
      <c r="CY89" s="324"/>
      <c r="CZ89" s="324"/>
      <c r="DA89" s="324"/>
      <c r="DB89" s="324"/>
      <c r="DC89" s="324"/>
      <c r="DD89" s="324"/>
      <c r="DE89" s="324"/>
      <c r="DF89" s="324"/>
      <c r="DG89" s="324"/>
      <c r="DH89" s="324"/>
      <c r="DI89" s="324"/>
      <c r="DJ89" s="324"/>
      <c r="DK89" s="324"/>
      <c r="DL89" s="324"/>
      <c r="DM89" s="324"/>
      <c r="DN89" s="324"/>
      <c r="DO89" s="324"/>
      <c r="DP89" s="324"/>
      <c r="DQ89" s="324"/>
      <c r="DR89" s="324"/>
      <c r="DS89" s="324"/>
      <c r="DT89" s="324"/>
      <c r="DU89" s="324"/>
      <c r="DV89" s="324"/>
      <c r="DW89" s="324"/>
      <c r="DX89" s="324"/>
      <c r="DY89" s="324"/>
      <c r="DZ89" s="324"/>
      <c r="EA89" s="324"/>
      <c r="EB89" s="324"/>
      <c r="EC89" s="324"/>
      <c r="ED89" s="324"/>
      <c r="EE89" s="324"/>
      <c r="EF89" s="324"/>
      <c r="EG89" s="324"/>
      <c r="EH89" s="324"/>
      <c r="EI89" s="324"/>
      <c r="EJ89" s="324"/>
      <c r="EK89" s="324"/>
      <c r="EL89" s="324"/>
    </row>
    <row r="90" spans="1:142" s="325" customFormat="1">
      <c r="A90" s="319"/>
      <c r="B90" s="323" t="s">
        <v>321</v>
      </c>
      <c r="C90" s="324"/>
      <c r="E90" s="324">
        <f t="shared" ref="E90:AH90" ca="1" si="20">SUM(E86:E89)</f>
        <v>11675.484087664538</v>
      </c>
      <c r="F90" s="324">
        <f t="shared" ca="1" si="20"/>
        <v>13425.457737505571</v>
      </c>
      <c r="G90" s="324">
        <f t="shared" ca="1" si="20"/>
        <v>13368.822954678397</v>
      </c>
      <c r="H90" s="324">
        <f t="shared" ca="1" si="20"/>
        <v>13273.163743180843</v>
      </c>
      <c r="I90" s="324">
        <f t="shared" ca="1" si="20"/>
        <v>13170.014434725101</v>
      </c>
      <c r="J90" s="324">
        <f t="shared" ca="1" si="20"/>
        <v>13846.373435860169</v>
      </c>
      <c r="K90" s="324">
        <f t="shared" ca="1" si="20"/>
        <v>14109.412276563835</v>
      </c>
      <c r="L90" s="324">
        <f t="shared" ca="1" si="20"/>
        <v>13942.732572221776</v>
      </c>
      <c r="M90" s="324">
        <f t="shared" ca="1" si="20"/>
        <v>13768.829431223234</v>
      </c>
      <c r="N90" s="324">
        <f t="shared" ca="1" si="20"/>
        <v>13502.058759623207</v>
      </c>
      <c r="O90" s="324">
        <f t="shared" ca="1" si="20"/>
        <v>13205.50824391278</v>
      </c>
      <c r="P90" s="324">
        <f t="shared" ca="1" si="20"/>
        <v>12859.29080139751</v>
      </c>
      <c r="Q90" s="324">
        <f t="shared" ca="1" si="20"/>
        <v>12488.298676541102</v>
      </c>
      <c r="R90" s="324">
        <f t="shared" ca="1" si="20"/>
        <v>12302.27159381544</v>
      </c>
      <c r="S90" s="324">
        <f t="shared" ca="1" si="20"/>
        <v>12111.957582734101</v>
      </c>
      <c r="T90" s="324">
        <f t="shared" ca="1" si="20"/>
        <v>12000.672792007976</v>
      </c>
      <c r="U90" s="324">
        <f t="shared" ca="1" si="20"/>
        <v>11728.213403153042</v>
      </c>
      <c r="V90" s="324">
        <f t="shared" ca="1" si="20"/>
        <v>11425.186529236169</v>
      </c>
      <c r="W90" s="324">
        <f t="shared" ca="1" si="20"/>
        <v>10955.02892306447</v>
      </c>
      <c r="X90" s="324">
        <f t="shared" ca="1" si="20"/>
        <v>11020.444924201041</v>
      </c>
      <c r="Y90" s="324">
        <f t="shared" ca="1" si="20"/>
        <v>29.695162192097044</v>
      </c>
      <c r="Z90" s="324">
        <f t="shared" ca="1" si="20"/>
        <v>0</v>
      </c>
      <c r="AA90" s="324">
        <f t="shared" ca="1" si="20"/>
        <v>0</v>
      </c>
      <c r="AB90" s="324">
        <f t="shared" ca="1" si="20"/>
        <v>0</v>
      </c>
      <c r="AC90" s="324">
        <f t="shared" ca="1" si="20"/>
        <v>0</v>
      </c>
      <c r="AD90" s="324">
        <f t="shared" ca="1" si="20"/>
        <v>0</v>
      </c>
      <c r="AE90" s="324">
        <f t="shared" ca="1" si="20"/>
        <v>0</v>
      </c>
      <c r="AF90" s="324">
        <f t="shared" ca="1" si="20"/>
        <v>0</v>
      </c>
      <c r="AG90" s="324">
        <f t="shared" ca="1" si="20"/>
        <v>0</v>
      </c>
      <c r="AH90" s="324">
        <f t="shared" ca="1" si="20"/>
        <v>0</v>
      </c>
      <c r="AI90" s="324"/>
      <c r="AJ90" s="324"/>
      <c r="AK90" s="324"/>
      <c r="AL90" s="324"/>
      <c r="AM90" s="324"/>
      <c r="AN90" s="324"/>
      <c r="AO90" s="324"/>
      <c r="AP90" s="324"/>
      <c r="AQ90" s="324"/>
      <c r="AR90" s="324"/>
      <c r="AS90" s="324"/>
      <c r="AT90" s="324"/>
      <c r="AU90" s="324"/>
      <c r="AV90" s="324"/>
      <c r="AW90" s="324"/>
      <c r="AX90" s="324"/>
      <c r="AY90" s="324"/>
      <c r="AZ90" s="324"/>
      <c r="BA90" s="324"/>
      <c r="BB90" s="324"/>
      <c r="BC90" s="324"/>
      <c r="BD90" s="324"/>
      <c r="BE90" s="324"/>
      <c r="BF90" s="324"/>
      <c r="BG90" s="324"/>
      <c r="BH90" s="324"/>
      <c r="BI90" s="324"/>
      <c r="BJ90" s="324"/>
      <c r="BK90" s="324"/>
      <c r="BL90" s="324"/>
      <c r="BM90" s="324"/>
      <c r="BN90" s="324"/>
      <c r="BO90" s="324"/>
      <c r="BP90" s="324"/>
      <c r="BQ90" s="324"/>
      <c r="BR90" s="324"/>
      <c r="BS90" s="324"/>
      <c r="BT90" s="324"/>
      <c r="BU90" s="324"/>
      <c r="BV90" s="324"/>
      <c r="BW90" s="324"/>
      <c r="BX90" s="324"/>
      <c r="BY90" s="324"/>
      <c r="BZ90" s="324"/>
      <c r="CA90" s="324"/>
      <c r="CB90" s="324"/>
      <c r="CC90" s="324"/>
      <c r="CD90" s="324"/>
      <c r="CE90" s="324"/>
      <c r="CF90" s="324"/>
      <c r="CG90" s="324"/>
      <c r="CH90" s="324"/>
      <c r="CI90" s="324"/>
      <c r="CJ90" s="324"/>
      <c r="CK90" s="324"/>
      <c r="CL90" s="324"/>
      <c r="CM90" s="324"/>
      <c r="CN90" s="324"/>
      <c r="CO90" s="324"/>
      <c r="CP90" s="324"/>
      <c r="CQ90" s="324"/>
      <c r="CR90" s="324"/>
      <c r="CS90" s="324"/>
      <c r="CT90" s="324"/>
      <c r="CU90" s="324"/>
      <c r="CV90" s="324"/>
      <c r="CW90" s="324"/>
      <c r="CX90" s="324"/>
      <c r="CY90" s="324"/>
      <c r="CZ90" s="324"/>
      <c r="DA90" s="324"/>
      <c r="DB90" s="324"/>
      <c r="DC90" s="324"/>
      <c r="DD90" s="324"/>
      <c r="DE90" s="324"/>
      <c r="DF90" s="324"/>
      <c r="DG90" s="324"/>
      <c r="DH90" s="324"/>
      <c r="DI90" s="324"/>
      <c r="DJ90" s="324"/>
      <c r="DK90" s="324"/>
      <c r="DL90" s="324"/>
      <c r="DM90" s="324"/>
      <c r="DN90" s="324"/>
      <c r="DO90" s="324"/>
      <c r="DP90" s="324"/>
      <c r="DQ90" s="324"/>
      <c r="DR90" s="324"/>
      <c r="DS90" s="324"/>
      <c r="DT90" s="324"/>
      <c r="DU90" s="324"/>
      <c r="DV90" s="324"/>
      <c r="DW90" s="324"/>
      <c r="DX90" s="324"/>
      <c r="DY90" s="324"/>
      <c r="DZ90" s="324"/>
      <c r="EA90" s="324"/>
      <c r="EB90" s="324"/>
      <c r="EC90" s="324"/>
      <c r="ED90" s="324"/>
      <c r="EE90" s="324"/>
      <c r="EF90" s="324"/>
      <c r="EG90" s="324"/>
      <c r="EH90" s="324"/>
      <c r="EI90" s="324"/>
      <c r="EJ90" s="324"/>
      <c r="EK90" s="324"/>
      <c r="EL90" s="324"/>
    </row>
    <row r="91" spans="1:142" s="428" customFormat="1" ht="13.5" thickBot="1">
      <c r="A91" s="412"/>
      <c r="B91" s="1088" t="s">
        <v>480</v>
      </c>
      <c r="C91" s="557"/>
      <c r="D91" s="851"/>
      <c r="E91" s="557">
        <f t="shared" ref="E91:AH91" ca="1" si="21">E85-E90</f>
        <v>-795.28310518953731</v>
      </c>
      <c r="F91" s="557">
        <f t="shared" ca="1" si="21"/>
        <v>-2514.9497885055716</v>
      </c>
      <c r="G91" s="557">
        <f t="shared" ca="1" si="21"/>
        <v>-2458.3150056783979</v>
      </c>
      <c r="H91" s="557">
        <f t="shared" ca="1" si="21"/>
        <v>-2362.6557941808442</v>
      </c>
      <c r="I91" s="557">
        <f t="shared" ca="1" si="21"/>
        <v>-2259.5064857251018</v>
      </c>
      <c r="J91" s="557">
        <f t="shared" ca="1" si="21"/>
        <v>-2935.8654868601698</v>
      </c>
      <c r="K91" s="557">
        <f t="shared" ca="1" si="21"/>
        <v>-3198.904327563836</v>
      </c>
      <c r="L91" s="557">
        <f t="shared" ca="1" si="21"/>
        <v>-3032.2246232217767</v>
      </c>
      <c r="M91" s="557">
        <f t="shared" ca="1" si="21"/>
        <v>-2858.3214822232349</v>
      </c>
      <c r="N91" s="557">
        <f t="shared" ca="1" si="21"/>
        <v>-2591.5508106232082</v>
      </c>
      <c r="O91" s="557">
        <f t="shared" ca="1" si="21"/>
        <v>-2295.0002949127811</v>
      </c>
      <c r="P91" s="557">
        <f t="shared" ca="1" si="21"/>
        <v>-1948.7828523975113</v>
      </c>
      <c r="Q91" s="557">
        <f t="shared" ca="1" si="21"/>
        <v>-1577.7907275411035</v>
      </c>
      <c r="R91" s="557">
        <f t="shared" ca="1" si="21"/>
        <v>-1391.7636448154408</v>
      </c>
      <c r="S91" s="557">
        <f t="shared" ca="1" si="21"/>
        <v>-1201.4496337341025</v>
      </c>
      <c r="T91" s="557">
        <f t="shared" ca="1" si="21"/>
        <v>-1090.1648430079767</v>
      </c>
      <c r="U91" s="557">
        <f t="shared" ca="1" si="21"/>
        <v>-817.70545415304332</v>
      </c>
      <c r="V91" s="557">
        <f t="shared" ca="1" si="21"/>
        <v>-514.67858023617009</v>
      </c>
      <c r="W91" s="557">
        <f t="shared" ca="1" si="21"/>
        <v>-44.520974064471375</v>
      </c>
      <c r="X91" s="557">
        <f t="shared" ca="1" si="21"/>
        <v>-109.93697520104251</v>
      </c>
      <c r="Y91" s="557">
        <f t="shared" ca="1" si="21"/>
        <v>0.61180433290284952</v>
      </c>
      <c r="Z91" s="557">
        <f t="shared" ca="1" si="21"/>
        <v>0</v>
      </c>
      <c r="AA91" s="557">
        <f t="shared" ca="1" si="21"/>
        <v>0</v>
      </c>
      <c r="AB91" s="557">
        <f t="shared" ca="1" si="21"/>
        <v>0</v>
      </c>
      <c r="AC91" s="557">
        <f t="shared" ca="1" si="21"/>
        <v>0</v>
      </c>
      <c r="AD91" s="557">
        <f t="shared" ca="1" si="21"/>
        <v>0</v>
      </c>
      <c r="AE91" s="557">
        <f t="shared" ca="1" si="21"/>
        <v>0</v>
      </c>
      <c r="AF91" s="557">
        <f t="shared" ca="1" si="21"/>
        <v>0</v>
      </c>
      <c r="AG91" s="557">
        <f t="shared" ca="1" si="21"/>
        <v>0</v>
      </c>
      <c r="AH91" s="557">
        <f t="shared" ca="1" si="21"/>
        <v>0</v>
      </c>
      <c r="AI91" s="431"/>
      <c r="AJ91" s="431"/>
      <c r="AK91" s="431"/>
      <c r="AL91" s="431"/>
      <c r="AM91" s="431"/>
      <c r="AN91" s="431"/>
      <c r="AO91" s="431"/>
      <c r="AP91" s="431"/>
      <c r="AQ91" s="431"/>
      <c r="AR91" s="431"/>
      <c r="AS91" s="431"/>
      <c r="AT91" s="431"/>
      <c r="AU91" s="431"/>
      <c r="AV91" s="431"/>
      <c r="AW91" s="431"/>
      <c r="AX91" s="431"/>
      <c r="AY91" s="431"/>
      <c r="AZ91" s="431"/>
      <c r="BA91" s="431"/>
      <c r="BB91" s="431"/>
      <c r="BC91" s="431"/>
      <c r="BD91" s="431"/>
      <c r="BE91" s="431"/>
      <c r="BF91" s="431"/>
      <c r="BG91" s="431"/>
      <c r="BH91" s="431"/>
      <c r="BI91" s="431"/>
      <c r="BJ91" s="431"/>
      <c r="BK91" s="431"/>
      <c r="BL91" s="431"/>
      <c r="BM91" s="431"/>
      <c r="BN91" s="431"/>
      <c r="BO91" s="431"/>
      <c r="BP91" s="431"/>
      <c r="BQ91" s="431"/>
      <c r="BR91" s="431"/>
      <c r="BS91" s="431"/>
      <c r="BT91" s="431"/>
      <c r="BU91" s="431"/>
      <c r="BV91" s="431"/>
      <c r="BW91" s="431"/>
      <c r="BX91" s="431"/>
      <c r="BY91" s="431"/>
      <c r="BZ91" s="431"/>
      <c r="CA91" s="431"/>
      <c r="CB91" s="431"/>
      <c r="CC91" s="431"/>
      <c r="CD91" s="431"/>
      <c r="CE91" s="431"/>
      <c r="CF91" s="431"/>
      <c r="CG91" s="431"/>
      <c r="CH91" s="431"/>
      <c r="CI91" s="431"/>
      <c r="CJ91" s="431"/>
      <c r="CK91" s="431"/>
      <c r="CL91" s="431"/>
      <c r="CM91" s="431"/>
      <c r="CN91" s="431"/>
      <c r="CO91" s="431"/>
      <c r="CP91" s="431"/>
      <c r="CQ91" s="431"/>
      <c r="CR91" s="431"/>
      <c r="CS91" s="431"/>
      <c r="CT91" s="431"/>
      <c r="CU91" s="431"/>
      <c r="CV91" s="431"/>
      <c r="CW91" s="431"/>
      <c r="CX91" s="431"/>
      <c r="CY91" s="431"/>
      <c r="CZ91" s="431"/>
      <c r="DA91" s="431"/>
      <c r="DB91" s="431"/>
      <c r="DC91" s="431"/>
      <c r="DD91" s="431"/>
      <c r="DE91" s="431"/>
      <c r="DF91" s="431"/>
      <c r="DG91" s="431"/>
      <c r="DH91" s="431"/>
      <c r="DI91" s="431"/>
      <c r="DJ91" s="431"/>
      <c r="DK91" s="431"/>
      <c r="DL91" s="431"/>
      <c r="DM91" s="431"/>
      <c r="DN91" s="431"/>
      <c r="DO91" s="431"/>
      <c r="DP91" s="431"/>
      <c r="DQ91" s="431"/>
      <c r="DR91" s="431"/>
      <c r="DS91" s="431"/>
      <c r="DT91" s="431"/>
      <c r="DU91" s="431"/>
      <c r="DV91" s="431"/>
      <c r="DW91" s="431"/>
      <c r="DX91" s="431"/>
      <c r="DY91" s="431"/>
      <c r="DZ91" s="431"/>
      <c r="EA91" s="431"/>
      <c r="EB91" s="431"/>
      <c r="EC91" s="431"/>
      <c r="ED91" s="431"/>
      <c r="EE91" s="431"/>
      <c r="EF91" s="431"/>
      <c r="EG91" s="431"/>
      <c r="EH91" s="431"/>
      <c r="EI91" s="431"/>
      <c r="EJ91" s="431"/>
      <c r="EK91" s="431"/>
      <c r="EL91" s="431"/>
    </row>
    <row r="92" spans="1:142" s="325" customFormat="1" ht="13.5" thickTop="1">
      <c r="A92" s="319"/>
      <c r="B92" s="324" t="s">
        <v>317</v>
      </c>
      <c r="C92" s="1087"/>
      <c r="E92" s="324">
        <f t="shared" ref="E92:AH92" ca="1" si="22">E9</f>
        <v>8130.3478959825525</v>
      </c>
      <c r="F92" s="324">
        <f t="shared" ca="1" si="22"/>
        <v>14528.124336018236</v>
      </c>
      <c r="G92" s="324">
        <f t="shared" ca="1" si="22"/>
        <v>8337.4788820076592</v>
      </c>
      <c r="H92" s="324">
        <f t="shared" ca="1" si="22"/>
        <v>4620.0060960551309</v>
      </c>
      <c r="I92" s="324">
        <f t="shared" ca="1" si="22"/>
        <v>4582.5696499381138</v>
      </c>
      <c r="J92" s="324">
        <f t="shared" ca="1" si="22"/>
        <v>1652.5529865337003</v>
      </c>
      <c r="K92" s="324">
        <f t="shared" ca="1" si="22"/>
        <v>-1002.2276067442903</v>
      </c>
      <c r="L92" s="324">
        <f t="shared" ca="1" si="22"/>
        <v>-1065.1815464243418</v>
      </c>
      <c r="M92" s="324">
        <f t="shared" ca="1" si="22"/>
        <v>-1130.7591403477268</v>
      </c>
      <c r="N92" s="324">
        <f t="shared" ca="1" si="22"/>
        <v>-1232.9622106972538</v>
      </c>
      <c r="O92" s="324">
        <f t="shared" ca="1" si="22"/>
        <v>-1346.8425121585144</v>
      </c>
      <c r="P92" s="324">
        <f t="shared" ca="1" si="22"/>
        <v>-1480.2637608263667</v>
      </c>
      <c r="Q92" s="324">
        <f t="shared" ca="1" si="22"/>
        <v>-1623.8589583138555</v>
      </c>
      <c r="R92" s="324">
        <f t="shared" ca="1" si="22"/>
        <v>-1694.2499758419747</v>
      </c>
      <c r="S92" s="324">
        <f t="shared" ca="1" si="22"/>
        <v>-1766.4812923548197</v>
      </c>
      <c r="T92" s="324">
        <f t="shared" ca="1" si="22"/>
        <v>-1807.0687665067126</v>
      </c>
      <c r="U92" s="324">
        <f t="shared" ca="1" si="22"/>
        <v>-1914.080357614971</v>
      </c>
      <c r="V92" s="324">
        <f t="shared" ca="1" si="22"/>
        <v>-2044.6694898521689</v>
      </c>
      <c r="W92" s="324">
        <f t="shared" ca="1" si="22"/>
        <v>-2226.8895526355495</v>
      </c>
      <c r="X92" s="324">
        <f t="shared" ca="1" si="22"/>
        <v>-2197.1970719694887</v>
      </c>
      <c r="Y92" s="324">
        <f t="shared" ca="1" si="22"/>
        <v>-6.4551941196062392</v>
      </c>
      <c r="Z92" s="324">
        <f t="shared" ca="1" si="22"/>
        <v>0</v>
      </c>
      <c r="AA92" s="324">
        <f t="shared" ca="1" si="22"/>
        <v>0</v>
      </c>
      <c r="AB92" s="324">
        <f t="shared" ca="1" si="22"/>
        <v>0</v>
      </c>
      <c r="AC92" s="324">
        <f t="shared" ca="1" si="22"/>
        <v>0</v>
      </c>
      <c r="AD92" s="324">
        <f t="shared" ca="1" si="22"/>
        <v>0</v>
      </c>
      <c r="AE92" s="324">
        <f t="shared" ca="1" si="22"/>
        <v>0</v>
      </c>
      <c r="AF92" s="324">
        <f t="shared" ca="1" si="22"/>
        <v>0</v>
      </c>
      <c r="AG92" s="324">
        <f t="shared" ca="1" si="22"/>
        <v>0</v>
      </c>
      <c r="AH92" s="324">
        <f t="shared" ca="1" si="22"/>
        <v>0</v>
      </c>
      <c r="AI92" s="324"/>
      <c r="AJ92" s="324"/>
      <c r="AK92" s="324"/>
      <c r="AL92" s="324"/>
      <c r="AM92" s="324"/>
      <c r="AN92" s="324"/>
      <c r="AO92" s="324"/>
      <c r="AP92" s="324"/>
      <c r="AQ92" s="324"/>
      <c r="AR92" s="324"/>
      <c r="AS92" s="324"/>
      <c r="AT92" s="324"/>
      <c r="AU92" s="324"/>
      <c r="AV92" s="324"/>
      <c r="AW92" s="324"/>
      <c r="AX92" s="324"/>
      <c r="AY92" s="324"/>
      <c r="AZ92" s="324"/>
      <c r="BA92" s="324"/>
      <c r="BB92" s="324"/>
      <c r="BC92" s="324"/>
      <c r="BD92" s="324"/>
      <c r="BE92" s="324"/>
      <c r="BF92" s="324"/>
      <c r="BG92" s="324"/>
      <c r="BH92" s="324"/>
      <c r="BI92" s="324"/>
      <c r="BJ92" s="324"/>
      <c r="BK92" s="324"/>
      <c r="BL92" s="324"/>
      <c r="BM92" s="324"/>
      <c r="BN92" s="324"/>
      <c r="BO92" s="324"/>
      <c r="BP92" s="324"/>
      <c r="BQ92" s="324"/>
      <c r="BR92" s="324"/>
      <c r="BS92" s="324"/>
      <c r="BT92" s="324"/>
      <c r="BU92" s="324"/>
      <c r="BV92" s="324"/>
      <c r="BW92" s="324"/>
      <c r="BX92" s="324"/>
      <c r="BY92" s="324"/>
      <c r="BZ92" s="324"/>
      <c r="CA92" s="324"/>
      <c r="CB92" s="324"/>
      <c r="CC92" s="324"/>
      <c r="CD92" s="324"/>
      <c r="CE92" s="324"/>
      <c r="CF92" s="324"/>
      <c r="CG92" s="324"/>
      <c r="CH92" s="324"/>
      <c r="CI92" s="324"/>
      <c r="CJ92" s="324"/>
      <c r="CK92" s="324"/>
      <c r="CL92" s="324"/>
      <c r="CM92" s="324"/>
      <c r="CN92" s="324"/>
      <c r="CO92" s="324"/>
      <c r="CP92" s="324"/>
      <c r="CQ92" s="324"/>
      <c r="CR92" s="324"/>
      <c r="CS92" s="324"/>
      <c r="CT92" s="324"/>
      <c r="CU92" s="324"/>
      <c r="CV92" s="324"/>
      <c r="CW92" s="324"/>
      <c r="CX92" s="324"/>
      <c r="CY92" s="324"/>
      <c r="CZ92" s="324"/>
      <c r="DA92" s="324"/>
      <c r="DB92" s="324"/>
      <c r="DC92" s="324"/>
      <c r="DD92" s="324"/>
      <c r="DE92" s="324"/>
      <c r="DF92" s="324"/>
      <c r="DG92" s="324"/>
      <c r="DH92" s="324"/>
      <c r="DI92" s="324"/>
      <c r="DJ92" s="324"/>
      <c r="DK92" s="324"/>
      <c r="DL92" s="324"/>
      <c r="DM92" s="324"/>
      <c r="DN92" s="324"/>
      <c r="DO92" s="324"/>
      <c r="DP92" s="324"/>
      <c r="DQ92" s="324"/>
      <c r="DR92" s="324"/>
      <c r="DS92" s="324"/>
      <c r="DT92" s="324"/>
      <c r="DU92" s="324"/>
      <c r="DV92" s="324"/>
      <c r="DW92" s="324"/>
      <c r="DX92" s="324"/>
      <c r="DY92" s="324"/>
      <c r="DZ92" s="324"/>
      <c r="EA92" s="324"/>
      <c r="EB92" s="324"/>
      <c r="EC92" s="324"/>
      <c r="ED92" s="324"/>
      <c r="EE92" s="324"/>
      <c r="EF92" s="324"/>
      <c r="EG92" s="324"/>
      <c r="EH92" s="324"/>
      <c r="EI92" s="324"/>
      <c r="EJ92" s="324"/>
      <c r="EK92" s="324"/>
      <c r="EL92" s="324"/>
    </row>
    <row r="93" spans="1:142" s="325" customFormat="1">
      <c r="A93" s="319"/>
      <c r="B93" s="324" t="s">
        <v>319</v>
      </c>
      <c r="C93" s="324"/>
      <c r="E93" s="324">
        <f ca="1">E99</f>
        <v>-7815.8134285536471</v>
      </c>
      <c r="F93" s="324">
        <f t="shared" ref="F93:AH93" ca="1" si="23">F99</f>
        <v>-13533.46169567882</v>
      </c>
      <c r="G93" s="324">
        <f t="shared" ca="1" si="23"/>
        <v>-7365.2152979129933</v>
      </c>
      <c r="H93" s="324">
        <f t="shared" ca="1" si="23"/>
        <v>-3685.5757298897038</v>
      </c>
      <c r="I93" s="324">
        <f t="shared" ca="1" si="23"/>
        <v>-3688.934835266934</v>
      </c>
      <c r="J93" s="324">
        <f t="shared" ca="1" si="23"/>
        <v>-491.41818675006925</v>
      </c>
      <c r="K93" s="324">
        <f t="shared" ca="1" si="23"/>
        <v>2267.3942681897524</v>
      </c>
      <c r="L93" s="324">
        <f t="shared" ca="1" si="23"/>
        <v>2264.4263848025184</v>
      </c>
      <c r="M93" s="324">
        <f t="shared" ca="1" si="23"/>
        <v>2261.2252864609804</v>
      </c>
      <c r="N93" s="324">
        <f t="shared" ca="1" si="23"/>
        <v>2257.9205561926979</v>
      </c>
      <c r="O93" s="324">
        <f t="shared" ca="1" si="23"/>
        <v>2254.5151286904834</v>
      </c>
      <c r="P93" s="324">
        <f t="shared" ca="1" si="23"/>
        <v>2251.0073788435466</v>
      </c>
      <c r="Q93" s="324">
        <f t="shared" ca="1" si="23"/>
        <v>2247.8751909503258</v>
      </c>
      <c r="R93" s="324">
        <f t="shared" ca="1" si="23"/>
        <v>2244.6924972604465</v>
      </c>
      <c r="S93" s="324">
        <f t="shared" ca="1" si="23"/>
        <v>2241.6546223906216</v>
      </c>
      <c r="T93" s="324">
        <f t="shared" ca="1" si="23"/>
        <v>2238.2289618103318</v>
      </c>
      <c r="U93" s="324">
        <f t="shared" ca="1" si="23"/>
        <v>2237.4828646264646</v>
      </c>
      <c r="V93" s="324">
        <f t="shared" ca="1" si="23"/>
        <v>2248.224868229539</v>
      </c>
      <c r="W93" s="324">
        <f t="shared" ca="1" si="23"/>
        <v>2244.4975977802287</v>
      </c>
      <c r="X93" s="324">
        <f t="shared" ca="1" si="23"/>
        <v>2240.677145563704</v>
      </c>
      <c r="Y93" s="324">
        <f t="shared" ca="1" si="23"/>
        <v>6.213225505671506</v>
      </c>
      <c r="Z93" s="324">
        <f t="shared" ca="1" si="23"/>
        <v>0</v>
      </c>
      <c r="AA93" s="324">
        <f t="shared" ca="1" si="23"/>
        <v>0</v>
      </c>
      <c r="AB93" s="324">
        <f t="shared" ca="1" si="23"/>
        <v>0</v>
      </c>
      <c r="AC93" s="324">
        <f t="shared" ca="1" si="23"/>
        <v>0</v>
      </c>
      <c r="AD93" s="324">
        <f t="shared" ca="1" si="23"/>
        <v>0</v>
      </c>
      <c r="AE93" s="324">
        <f t="shared" ca="1" si="23"/>
        <v>0</v>
      </c>
      <c r="AF93" s="324">
        <f t="shared" ca="1" si="23"/>
        <v>0</v>
      </c>
      <c r="AG93" s="324">
        <f t="shared" ca="1" si="23"/>
        <v>0</v>
      </c>
      <c r="AH93" s="324">
        <f t="shared" ca="1" si="23"/>
        <v>0</v>
      </c>
      <c r="AI93" s="324"/>
      <c r="AJ93" s="324"/>
      <c r="AK93" s="324"/>
      <c r="AL93" s="324"/>
      <c r="AM93" s="324"/>
      <c r="AN93" s="324"/>
      <c r="AO93" s="324"/>
      <c r="AP93" s="324"/>
      <c r="AQ93" s="324"/>
      <c r="AR93" s="324"/>
      <c r="AS93" s="324"/>
      <c r="AT93" s="324"/>
      <c r="AU93" s="324"/>
      <c r="AV93" s="324"/>
      <c r="AW93" s="324"/>
      <c r="AX93" s="324"/>
      <c r="AY93" s="324"/>
      <c r="AZ93" s="324"/>
      <c r="BA93" s="324"/>
      <c r="BB93" s="324"/>
      <c r="BC93" s="324"/>
      <c r="BD93" s="324"/>
      <c r="BE93" s="324"/>
      <c r="BF93" s="324"/>
      <c r="BG93" s="324"/>
      <c r="BH93" s="324"/>
      <c r="BI93" s="324"/>
      <c r="BJ93" s="324"/>
      <c r="BK93" s="324"/>
      <c r="BL93" s="324"/>
      <c r="BM93" s="324"/>
      <c r="BN93" s="324"/>
      <c r="BO93" s="324"/>
      <c r="BP93" s="324"/>
      <c r="BQ93" s="324"/>
      <c r="BR93" s="324"/>
      <c r="BS93" s="324"/>
      <c r="BT93" s="324"/>
      <c r="BU93" s="324"/>
      <c r="BV93" s="324"/>
      <c r="BW93" s="324"/>
      <c r="BX93" s="324"/>
      <c r="BY93" s="324"/>
      <c r="BZ93" s="324"/>
      <c r="CA93" s="324"/>
      <c r="CB93" s="324"/>
      <c r="CC93" s="324"/>
      <c r="CD93" s="324"/>
      <c r="CE93" s="324"/>
      <c r="CF93" s="324"/>
      <c r="CG93" s="324"/>
      <c r="CH93" s="324"/>
      <c r="CI93" s="324"/>
      <c r="CJ93" s="324"/>
      <c r="CK93" s="324"/>
      <c r="CL93" s="324"/>
      <c r="CM93" s="324"/>
      <c r="CN93" s="324"/>
      <c r="CO93" s="324"/>
      <c r="CP93" s="324"/>
      <c r="CQ93" s="324"/>
      <c r="CR93" s="324"/>
      <c r="CS93" s="324"/>
      <c r="CT93" s="324"/>
      <c r="CU93" s="324"/>
      <c r="CV93" s="324"/>
      <c r="CW93" s="324"/>
      <c r="CX93" s="324"/>
      <c r="CY93" s="324"/>
      <c r="CZ93" s="324"/>
      <c r="DA93" s="324"/>
      <c r="DB93" s="324"/>
      <c r="DC93" s="324"/>
      <c r="DD93" s="324"/>
      <c r="DE93" s="324"/>
      <c r="DF93" s="324"/>
      <c r="DG93" s="324"/>
      <c r="DH93" s="324"/>
      <c r="DI93" s="324"/>
      <c r="DJ93" s="324"/>
      <c r="DK93" s="324"/>
      <c r="DL93" s="324"/>
      <c r="DM93" s="324"/>
      <c r="DN93" s="324"/>
      <c r="DO93" s="324"/>
      <c r="DP93" s="324"/>
      <c r="DQ93" s="324"/>
      <c r="DR93" s="324"/>
      <c r="DS93" s="324"/>
      <c r="DT93" s="324"/>
      <c r="DU93" s="324"/>
      <c r="DV93" s="324"/>
      <c r="DW93" s="324"/>
      <c r="DX93" s="324"/>
      <c r="DY93" s="324"/>
      <c r="DZ93" s="324"/>
      <c r="EA93" s="324"/>
      <c r="EB93" s="324"/>
      <c r="EC93" s="324"/>
      <c r="ED93" s="324"/>
      <c r="EE93" s="324"/>
      <c r="EF93" s="324"/>
      <c r="EG93" s="324"/>
      <c r="EH93" s="324"/>
      <c r="EI93" s="324"/>
      <c r="EJ93" s="324"/>
      <c r="EK93" s="324"/>
      <c r="EL93" s="324"/>
    </row>
    <row r="94" spans="1:142" s="325" customFormat="1">
      <c r="A94" s="319"/>
      <c r="B94" s="324" t="s">
        <v>95</v>
      </c>
      <c r="C94" s="324"/>
      <c r="E94" s="324">
        <f t="shared" ref="E94:AH94" si="24">E23</f>
        <v>8333.7709653000002</v>
      </c>
      <c r="F94" s="324">
        <f t="shared" si="24"/>
        <v>8356.9848120000006</v>
      </c>
      <c r="G94" s="324">
        <f t="shared" si="24"/>
        <v>8356.9848120000006</v>
      </c>
      <c r="H94" s="324">
        <f t="shared" si="24"/>
        <v>8821.2617459999983</v>
      </c>
      <c r="I94" s="324">
        <f t="shared" si="24"/>
        <v>8821.2617459999983</v>
      </c>
      <c r="J94" s="324">
        <f t="shared" si="24"/>
        <v>8821.2617459999983</v>
      </c>
      <c r="K94" s="324">
        <f t="shared" si="24"/>
        <v>9285.5386799999997</v>
      </c>
      <c r="L94" s="324">
        <f t="shared" si="24"/>
        <v>9285.5386799999997</v>
      </c>
      <c r="M94" s="324">
        <f t="shared" si="24"/>
        <v>9749.8156139999992</v>
      </c>
      <c r="N94" s="324">
        <f t="shared" si="24"/>
        <v>9749.8156139999992</v>
      </c>
      <c r="O94" s="324">
        <f t="shared" si="24"/>
        <v>28.372479299999899</v>
      </c>
      <c r="P94" s="324">
        <f t="shared" si="24"/>
        <v>0</v>
      </c>
      <c r="Q94" s="324">
        <f t="shared" si="24"/>
        <v>0</v>
      </c>
      <c r="R94" s="324">
        <f t="shared" si="24"/>
        <v>0</v>
      </c>
      <c r="S94" s="324">
        <f t="shared" si="24"/>
        <v>0</v>
      </c>
      <c r="T94" s="324">
        <f t="shared" si="24"/>
        <v>0</v>
      </c>
      <c r="U94" s="324">
        <f t="shared" si="24"/>
        <v>0</v>
      </c>
      <c r="V94" s="324">
        <f t="shared" si="24"/>
        <v>0</v>
      </c>
      <c r="W94" s="324">
        <f t="shared" si="24"/>
        <v>0</v>
      </c>
      <c r="X94" s="324">
        <f t="shared" si="24"/>
        <v>0</v>
      </c>
      <c r="Y94" s="324">
        <f t="shared" si="24"/>
        <v>0</v>
      </c>
      <c r="Z94" s="324">
        <f t="shared" si="24"/>
        <v>0</v>
      </c>
      <c r="AA94" s="324">
        <f t="shared" si="24"/>
        <v>0</v>
      </c>
      <c r="AB94" s="324">
        <f t="shared" si="24"/>
        <v>0</v>
      </c>
      <c r="AC94" s="324">
        <f t="shared" si="24"/>
        <v>0</v>
      </c>
      <c r="AD94" s="324">
        <f t="shared" si="24"/>
        <v>0</v>
      </c>
      <c r="AE94" s="324">
        <f t="shared" si="24"/>
        <v>0</v>
      </c>
      <c r="AF94" s="324">
        <f t="shared" si="24"/>
        <v>0</v>
      </c>
      <c r="AG94" s="324">
        <f t="shared" si="24"/>
        <v>0</v>
      </c>
      <c r="AH94" s="324">
        <f t="shared" si="24"/>
        <v>0</v>
      </c>
      <c r="AI94" s="324"/>
      <c r="AJ94" s="324"/>
      <c r="AK94" s="324"/>
      <c r="AL94" s="324"/>
      <c r="AM94" s="324"/>
      <c r="AN94" s="324"/>
      <c r="AO94" s="324"/>
      <c r="AP94" s="324"/>
      <c r="AQ94" s="324"/>
      <c r="AR94" s="324"/>
      <c r="AS94" s="324"/>
      <c r="AT94" s="324"/>
      <c r="AU94" s="324"/>
      <c r="AV94" s="324"/>
      <c r="AW94" s="324"/>
      <c r="AX94" s="324"/>
      <c r="AY94" s="324"/>
      <c r="AZ94" s="324"/>
      <c r="BA94" s="324"/>
      <c r="BB94" s="324"/>
      <c r="BC94" s="324"/>
      <c r="BD94" s="324"/>
      <c r="BE94" s="324"/>
      <c r="BF94" s="324"/>
      <c r="BG94" s="324"/>
      <c r="BH94" s="324"/>
      <c r="BI94" s="324"/>
      <c r="BJ94" s="324"/>
      <c r="BK94" s="324"/>
      <c r="BL94" s="324"/>
      <c r="BM94" s="324"/>
      <c r="BN94" s="324"/>
      <c r="BO94" s="324"/>
      <c r="BP94" s="324"/>
      <c r="BQ94" s="324"/>
      <c r="BR94" s="324"/>
      <c r="BS94" s="324"/>
      <c r="BT94" s="324"/>
      <c r="BU94" s="324"/>
      <c r="BV94" s="324"/>
      <c r="BW94" s="324"/>
      <c r="BX94" s="324"/>
      <c r="BY94" s="324"/>
      <c r="BZ94" s="324"/>
      <c r="CA94" s="324"/>
      <c r="CB94" s="324"/>
      <c r="CC94" s="324"/>
      <c r="CD94" s="324"/>
      <c r="CE94" s="324"/>
      <c r="CF94" s="324"/>
      <c r="CG94" s="324"/>
      <c r="CH94" s="324"/>
      <c r="CI94" s="324"/>
      <c r="CJ94" s="324"/>
      <c r="CK94" s="324"/>
      <c r="CL94" s="324"/>
      <c r="CM94" s="324"/>
      <c r="CN94" s="324"/>
      <c r="CO94" s="324"/>
      <c r="CP94" s="324"/>
      <c r="CQ94" s="324"/>
      <c r="CR94" s="324"/>
      <c r="CS94" s="324"/>
      <c r="CT94" s="324"/>
      <c r="CU94" s="324"/>
      <c r="CV94" s="324"/>
      <c r="CW94" s="324"/>
      <c r="CX94" s="324"/>
      <c r="CY94" s="324"/>
      <c r="CZ94" s="324"/>
      <c r="DA94" s="324"/>
      <c r="DB94" s="324"/>
      <c r="DC94" s="324"/>
      <c r="DD94" s="324"/>
      <c r="DE94" s="324"/>
      <c r="DF94" s="324"/>
      <c r="DG94" s="324"/>
      <c r="DH94" s="324"/>
      <c r="DI94" s="324"/>
      <c r="DJ94" s="324"/>
      <c r="DK94" s="324"/>
      <c r="DL94" s="324"/>
      <c r="DM94" s="324"/>
      <c r="DN94" s="324"/>
      <c r="DO94" s="324"/>
      <c r="DP94" s="324"/>
      <c r="DQ94" s="324"/>
      <c r="DR94" s="324"/>
      <c r="DS94" s="324"/>
      <c r="DT94" s="324"/>
      <c r="DU94" s="324"/>
      <c r="DV94" s="324"/>
      <c r="DW94" s="324"/>
      <c r="DX94" s="324"/>
      <c r="DY94" s="324"/>
      <c r="DZ94" s="324"/>
      <c r="EA94" s="324"/>
      <c r="EB94" s="324"/>
      <c r="EC94" s="324"/>
      <c r="ED94" s="324"/>
      <c r="EE94" s="324"/>
      <c r="EF94" s="324"/>
      <c r="EG94" s="324"/>
      <c r="EH94" s="324"/>
      <c r="EI94" s="324"/>
      <c r="EJ94" s="324"/>
      <c r="EK94" s="324"/>
      <c r="EL94" s="324"/>
    </row>
    <row r="95" spans="1:142" s="428" customFormat="1" ht="13.5" thickBot="1">
      <c r="A95" s="412"/>
      <c r="B95" s="558" t="s">
        <v>320</v>
      </c>
      <c r="C95" s="558"/>
      <c r="D95" s="1089"/>
      <c r="E95" s="558">
        <f ca="1">SUM(E91:E94)</f>
        <v>7853.0223275393682</v>
      </c>
      <c r="F95" s="558">
        <f t="shared" ref="F95:AH95" ca="1" si="25">SUM(F91:F94)</f>
        <v>6836.6976638338456</v>
      </c>
      <c r="G95" s="558">
        <f t="shared" ca="1" si="25"/>
        <v>6870.9333904162686</v>
      </c>
      <c r="H95" s="558">
        <f t="shared" ca="1" si="25"/>
        <v>7393.0363179845808</v>
      </c>
      <c r="I95" s="558">
        <f t="shared" ca="1" si="25"/>
        <v>7455.3900749460763</v>
      </c>
      <c r="J95" s="558">
        <f t="shared" ca="1" si="25"/>
        <v>7046.5310589234596</v>
      </c>
      <c r="K95" s="558">
        <f t="shared" ca="1" si="25"/>
        <v>7351.8010138816262</v>
      </c>
      <c r="L95" s="558">
        <f t="shared" ca="1" si="25"/>
        <v>7452.5588951563996</v>
      </c>
      <c r="M95" s="558">
        <f t="shared" ca="1" si="25"/>
        <v>8021.960277890018</v>
      </c>
      <c r="N95" s="558">
        <f t="shared" ca="1" si="25"/>
        <v>8183.2231488722355</v>
      </c>
      <c r="O95" s="558">
        <f t="shared" ca="1" si="25"/>
        <v>-1358.955199080812</v>
      </c>
      <c r="P95" s="558">
        <f t="shared" ca="1" si="25"/>
        <v>-1178.0392343803314</v>
      </c>
      <c r="Q95" s="558">
        <f t="shared" ca="1" si="25"/>
        <v>-953.77449490463323</v>
      </c>
      <c r="R95" s="558">
        <f t="shared" ca="1" si="25"/>
        <v>-841.32112339696869</v>
      </c>
      <c r="S95" s="558">
        <f t="shared" ca="1" si="25"/>
        <v>-726.27630369830058</v>
      </c>
      <c r="T95" s="558">
        <f t="shared" ca="1" si="25"/>
        <v>-659.00464770435747</v>
      </c>
      <c r="U95" s="558">
        <f t="shared" ca="1" si="25"/>
        <v>-494.30294714154979</v>
      </c>
      <c r="V95" s="558">
        <f t="shared" ca="1" si="25"/>
        <v>-311.12320185880026</v>
      </c>
      <c r="W95" s="558">
        <f t="shared" ca="1" si="25"/>
        <v>-26.912928919792193</v>
      </c>
      <c r="X95" s="558">
        <f t="shared" ca="1" si="25"/>
        <v>-66.456901606827159</v>
      </c>
      <c r="Y95" s="558">
        <f t="shared" ca="1" si="25"/>
        <v>0.36983571896811629</v>
      </c>
      <c r="Z95" s="558">
        <f t="shared" ca="1" si="25"/>
        <v>0</v>
      </c>
      <c r="AA95" s="558">
        <f t="shared" ca="1" si="25"/>
        <v>0</v>
      </c>
      <c r="AB95" s="558">
        <f t="shared" ca="1" si="25"/>
        <v>0</v>
      </c>
      <c r="AC95" s="558">
        <f t="shared" ca="1" si="25"/>
        <v>0</v>
      </c>
      <c r="AD95" s="558">
        <f t="shared" ca="1" si="25"/>
        <v>0</v>
      </c>
      <c r="AE95" s="558">
        <f t="shared" ca="1" si="25"/>
        <v>0</v>
      </c>
      <c r="AF95" s="558">
        <f t="shared" ca="1" si="25"/>
        <v>0</v>
      </c>
      <c r="AG95" s="558">
        <f t="shared" ca="1" si="25"/>
        <v>0</v>
      </c>
      <c r="AH95" s="558">
        <f t="shared" ca="1" si="25"/>
        <v>0</v>
      </c>
      <c r="AI95" s="431"/>
      <c r="AJ95" s="431"/>
      <c r="AK95" s="431"/>
      <c r="AL95" s="431"/>
      <c r="AM95" s="431"/>
      <c r="AN95" s="431"/>
      <c r="AO95" s="431"/>
      <c r="AP95" s="431"/>
      <c r="AQ95" s="431"/>
      <c r="AR95" s="431"/>
      <c r="AS95" s="431"/>
      <c r="AT95" s="431"/>
      <c r="AU95" s="431"/>
      <c r="AV95" s="431"/>
      <c r="AW95" s="431"/>
      <c r="AX95" s="431"/>
      <c r="AY95" s="431"/>
      <c r="AZ95" s="431"/>
      <c r="BA95" s="431"/>
      <c r="BB95" s="431"/>
      <c r="BC95" s="431"/>
      <c r="BD95" s="431"/>
      <c r="BE95" s="431"/>
      <c r="BF95" s="431"/>
      <c r="BG95" s="431"/>
      <c r="BH95" s="431"/>
      <c r="BI95" s="431"/>
      <c r="BJ95" s="431"/>
      <c r="BK95" s="431"/>
      <c r="BL95" s="431"/>
      <c r="BM95" s="431"/>
      <c r="BN95" s="431"/>
      <c r="BO95" s="431"/>
      <c r="BP95" s="431"/>
      <c r="BQ95" s="431"/>
      <c r="BR95" s="431"/>
      <c r="BS95" s="431"/>
      <c r="BT95" s="431"/>
      <c r="BU95" s="431"/>
      <c r="BV95" s="431"/>
      <c r="BW95" s="431"/>
      <c r="BX95" s="431"/>
      <c r="BY95" s="431"/>
      <c r="BZ95" s="431"/>
      <c r="CA95" s="431"/>
      <c r="CB95" s="431"/>
      <c r="CC95" s="431"/>
      <c r="CD95" s="431"/>
      <c r="CE95" s="431"/>
      <c r="CF95" s="431"/>
      <c r="CG95" s="431"/>
      <c r="CH95" s="431"/>
      <c r="CI95" s="431"/>
      <c r="CJ95" s="431"/>
      <c r="CK95" s="431"/>
      <c r="CL95" s="431"/>
      <c r="CM95" s="431"/>
      <c r="CN95" s="431"/>
      <c r="CO95" s="431"/>
      <c r="CP95" s="431"/>
      <c r="CQ95" s="431"/>
      <c r="CR95" s="431"/>
      <c r="CS95" s="431"/>
      <c r="CT95" s="431"/>
      <c r="CU95" s="431"/>
      <c r="CV95" s="431"/>
      <c r="CW95" s="431"/>
      <c r="CX95" s="431"/>
      <c r="CY95" s="431"/>
      <c r="CZ95" s="431"/>
      <c r="DA95" s="431"/>
      <c r="DB95" s="431"/>
      <c r="DC95" s="431"/>
      <c r="DD95" s="431"/>
      <c r="DE95" s="431"/>
      <c r="DF95" s="431"/>
      <c r="DG95" s="431"/>
      <c r="DH95" s="431"/>
      <c r="DI95" s="431"/>
      <c r="DJ95" s="431"/>
      <c r="DK95" s="431"/>
      <c r="DL95" s="431"/>
      <c r="DM95" s="431"/>
      <c r="DN95" s="431"/>
      <c r="DO95" s="431"/>
      <c r="DP95" s="431"/>
      <c r="DQ95" s="431"/>
      <c r="DR95" s="431"/>
      <c r="DS95" s="431"/>
      <c r="DT95" s="431"/>
      <c r="DU95" s="431"/>
      <c r="DV95" s="431"/>
      <c r="DW95" s="431"/>
      <c r="DX95" s="431"/>
      <c r="DY95" s="431"/>
      <c r="DZ95" s="431"/>
      <c r="EA95" s="431"/>
      <c r="EB95" s="431"/>
      <c r="EC95" s="431"/>
      <c r="ED95" s="431"/>
      <c r="EE95" s="431"/>
      <c r="EF95" s="431"/>
      <c r="EG95" s="431"/>
      <c r="EH95" s="431"/>
      <c r="EI95" s="431"/>
      <c r="EJ95" s="431"/>
      <c r="EK95" s="431"/>
      <c r="EL95" s="431"/>
    </row>
    <row r="96" spans="1:142" s="325" customFormat="1">
      <c r="A96" s="319"/>
      <c r="B96" s="324"/>
      <c r="C96" s="324"/>
      <c r="E96" s="324"/>
      <c r="F96" s="324"/>
      <c r="G96" s="324"/>
      <c r="H96" s="324"/>
      <c r="I96" s="324"/>
      <c r="J96" s="324"/>
      <c r="K96" s="324"/>
      <c r="L96" s="324"/>
      <c r="M96" s="324"/>
      <c r="N96" s="324"/>
      <c r="O96" s="324"/>
      <c r="P96" s="324"/>
      <c r="Q96" s="324"/>
      <c r="R96" s="324"/>
      <c r="S96" s="324"/>
      <c r="T96" s="324"/>
      <c r="U96" s="324"/>
      <c r="V96" s="324"/>
      <c r="W96" s="324"/>
      <c r="X96" s="324"/>
      <c r="Y96" s="324"/>
      <c r="Z96" s="324"/>
      <c r="AA96" s="324"/>
      <c r="AB96" s="324"/>
      <c r="AC96" s="324"/>
      <c r="AD96" s="324"/>
      <c r="AE96" s="324"/>
      <c r="AF96" s="324"/>
      <c r="AG96" s="324"/>
      <c r="AH96" s="324"/>
      <c r="AI96" s="324"/>
      <c r="AJ96" s="324"/>
      <c r="AK96" s="324"/>
      <c r="AL96" s="324"/>
      <c r="AM96" s="324"/>
      <c r="AN96" s="324"/>
      <c r="AO96" s="324"/>
      <c r="AP96" s="324"/>
      <c r="AQ96" s="324"/>
      <c r="AR96" s="324"/>
      <c r="AS96" s="324"/>
      <c r="AT96" s="324"/>
      <c r="AU96" s="324"/>
      <c r="AV96" s="324"/>
      <c r="AW96" s="324"/>
      <c r="AX96" s="324"/>
      <c r="AY96" s="324"/>
      <c r="AZ96" s="324"/>
      <c r="BA96" s="324"/>
      <c r="BB96" s="324"/>
      <c r="BC96" s="324"/>
      <c r="BD96" s="324"/>
      <c r="BE96" s="324"/>
      <c r="BF96" s="324"/>
      <c r="BG96" s="324"/>
      <c r="BH96" s="324"/>
      <c r="BI96" s="324"/>
      <c r="BJ96" s="324"/>
      <c r="BK96" s="324"/>
      <c r="BL96" s="324"/>
      <c r="BM96" s="324"/>
      <c r="BN96" s="324"/>
      <c r="BO96" s="324"/>
      <c r="BP96" s="324"/>
      <c r="BQ96" s="324"/>
      <c r="BR96" s="324"/>
      <c r="BS96" s="324"/>
      <c r="BT96" s="324"/>
      <c r="BU96" s="324"/>
      <c r="BV96" s="324"/>
      <c r="BW96" s="324"/>
      <c r="BX96" s="324"/>
      <c r="BY96" s="324"/>
      <c r="BZ96" s="324"/>
      <c r="CA96" s="324"/>
      <c r="CB96" s="324"/>
      <c r="CC96" s="324"/>
      <c r="CD96" s="324"/>
      <c r="CE96" s="324"/>
      <c r="CF96" s="324"/>
      <c r="CG96" s="324"/>
      <c r="CH96" s="324"/>
      <c r="CI96" s="324"/>
      <c r="CJ96" s="324"/>
      <c r="CK96" s="324"/>
      <c r="CL96" s="324"/>
      <c r="CM96" s="324"/>
      <c r="CN96" s="324"/>
      <c r="CO96" s="324"/>
      <c r="CP96" s="324"/>
      <c r="CQ96" s="324"/>
      <c r="CR96" s="324"/>
      <c r="CS96" s="324"/>
      <c r="CT96" s="324"/>
      <c r="CU96" s="324"/>
      <c r="CV96" s="324"/>
      <c r="CW96" s="324"/>
      <c r="CX96" s="324"/>
      <c r="CY96" s="324"/>
      <c r="CZ96" s="324"/>
      <c r="DA96" s="324"/>
      <c r="DB96" s="324"/>
      <c r="DC96" s="324"/>
      <c r="DD96" s="324"/>
      <c r="DE96" s="324"/>
      <c r="DF96" s="324"/>
      <c r="DG96" s="324"/>
      <c r="DH96" s="324"/>
      <c r="DI96" s="324"/>
      <c r="DJ96" s="324"/>
      <c r="DK96" s="324"/>
      <c r="DL96" s="324"/>
      <c r="DM96" s="324"/>
      <c r="DN96" s="324"/>
      <c r="DO96" s="324"/>
      <c r="DP96" s="324"/>
      <c r="DQ96" s="324"/>
      <c r="DR96" s="324"/>
      <c r="DS96" s="324"/>
      <c r="DT96" s="324"/>
      <c r="DU96" s="324"/>
      <c r="DV96" s="324"/>
      <c r="DW96" s="324"/>
      <c r="DX96" s="324"/>
      <c r="DY96" s="324"/>
      <c r="DZ96" s="324"/>
      <c r="EA96" s="324"/>
      <c r="EB96" s="324"/>
      <c r="EC96" s="324"/>
      <c r="ED96" s="324"/>
      <c r="EE96" s="324"/>
      <c r="EF96" s="324"/>
      <c r="EG96" s="324"/>
      <c r="EH96" s="324"/>
      <c r="EI96" s="324"/>
      <c r="EJ96" s="324"/>
      <c r="EK96" s="324"/>
      <c r="EL96" s="324"/>
    </row>
    <row r="97" spans="1:142" s="325" customFormat="1">
      <c r="A97" s="319"/>
      <c r="B97" s="324"/>
      <c r="C97" s="324"/>
      <c r="E97" s="324"/>
      <c r="F97" s="324"/>
      <c r="G97" s="324"/>
      <c r="H97" s="324"/>
      <c r="I97" s="324"/>
      <c r="J97" s="324"/>
      <c r="K97" s="324"/>
      <c r="L97" s="324"/>
      <c r="M97" s="324"/>
      <c r="N97" s="324"/>
      <c r="O97" s="324"/>
      <c r="P97" s="324"/>
      <c r="Q97" s="324"/>
      <c r="R97" s="324"/>
      <c r="S97" s="324"/>
      <c r="T97" s="324"/>
      <c r="U97" s="324"/>
      <c r="V97" s="324"/>
      <c r="W97" s="324"/>
      <c r="X97" s="324"/>
      <c r="Y97" s="324"/>
      <c r="Z97" s="324"/>
      <c r="AA97" s="324"/>
      <c r="AB97" s="324"/>
      <c r="AC97" s="324"/>
      <c r="AD97" s="324"/>
      <c r="AE97" s="324"/>
      <c r="AF97" s="324"/>
      <c r="AG97" s="324"/>
      <c r="AH97" s="324"/>
      <c r="AI97" s="324"/>
      <c r="AJ97" s="324"/>
      <c r="AK97" s="324"/>
      <c r="AL97" s="324"/>
      <c r="AM97" s="324"/>
      <c r="AN97" s="324"/>
      <c r="AO97" s="324"/>
      <c r="AP97" s="324"/>
      <c r="AQ97" s="324"/>
      <c r="AR97" s="324"/>
      <c r="AS97" s="324"/>
      <c r="AT97" s="324"/>
      <c r="AU97" s="324"/>
      <c r="AV97" s="324"/>
      <c r="AW97" s="324"/>
      <c r="AX97" s="324"/>
      <c r="AY97" s="324"/>
      <c r="AZ97" s="324"/>
      <c r="BA97" s="324"/>
      <c r="BB97" s="324"/>
      <c r="BC97" s="324"/>
      <c r="BD97" s="324"/>
      <c r="BE97" s="324"/>
      <c r="BF97" s="324"/>
      <c r="BG97" s="324"/>
      <c r="BH97" s="324"/>
      <c r="BI97" s="324"/>
      <c r="BJ97" s="324"/>
      <c r="BK97" s="324"/>
      <c r="BL97" s="324"/>
      <c r="BM97" s="324"/>
      <c r="BN97" s="324"/>
      <c r="BO97" s="324"/>
      <c r="BP97" s="324"/>
      <c r="BQ97" s="324"/>
      <c r="BR97" s="324"/>
      <c r="BS97" s="324"/>
      <c r="BT97" s="324"/>
      <c r="BU97" s="324"/>
      <c r="BV97" s="324"/>
      <c r="BW97" s="324"/>
      <c r="BX97" s="324"/>
      <c r="BY97" s="324"/>
      <c r="BZ97" s="324"/>
      <c r="CA97" s="324"/>
      <c r="CB97" s="324"/>
      <c r="CC97" s="324"/>
      <c r="CD97" s="324"/>
      <c r="CE97" s="324"/>
      <c r="CF97" s="324"/>
      <c r="CG97" s="324"/>
      <c r="CH97" s="324"/>
      <c r="CI97" s="324"/>
      <c r="CJ97" s="324"/>
      <c r="CK97" s="324"/>
      <c r="CL97" s="324"/>
      <c r="CM97" s="324"/>
      <c r="CN97" s="324"/>
      <c r="CO97" s="324"/>
      <c r="CP97" s="324"/>
      <c r="CQ97" s="324"/>
      <c r="CR97" s="324"/>
      <c r="CS97" s="324"/>
      <c r="CT97" s="324"/>
      <c r="CU97" s="324"/>
      <c r="CV97" s="324"/>
      <c r="CW97" s="324"/>
      <c r="CX97" s="324"/>
      <c r="CY97" s="324"/>
      <c r="CZ97" s="324"/>
      <c r="DA97" s="324"/>
      <c r="DB97" s="324"/>
      <c r="DC97" s="324"/>
      <c r="DD97" s="324"/>
      <c r="DE97" s="324"/>
      <c r="DF97" s="324"/>
      <c r="DG97" s="324"/>
      <c r="DH97" s="324"/>
      <c r="DI97" s="324"/>
      <c r="DJ97" s="324"/>
      <c r="DK97" s="324"/>
      <c r="DL97" s="324"/>
      <c r="DM97" s="324"/>
      <c r="DN97" s="324"/>
      <c r="DO97" s="324"/>
      <c r="DP97" s="324"/>
      <c r="DQ97" s="324"/>
      <c r="DR97" s="324"/>
      <c r="DS97" s="324"/>
      <c r="DT97" s="324"/>
      <c r="DU97" s="324"/>
      <c r="DV97" s="324"/>
      <c r="DW97" s="324"/>
      <c r="DX97" s="324"/>
      <c r="DY97" s="324"/>
      <c r="DZ97" s="324"/>
      <c r="EA97" s="324"/>
      <c r="EB97" s="324"/>
      <c r="EC97" s="324"/>
      <c r="ED97" s="324"/>
      <c r="EE97" s="324"/>
      <c r="EF97" s="324"/>
      <c r="EG97" s="324"/>
      <c r="EH97" s="324"/>
      <c r="EI97" s="324"/>
      <c r="EJ97" s="324"/>
      <c r="EK97" s="324"/>
      <c r="EL97" s="324"/>
    </row>
    <row r="98" spans="1:142" s="325" customFormat="1">
      <c r="A98" s="319"/>
      <c r="B98" s="324" t="s">
        <v>318</v>
      </c>
      <c r="C98" s="324"/>
      <c r="D98" s="324"/>
      <c r="E98" s="324">
        <f ca="1">E91-Outside!E5</f>
        <v>19761.854432060914</v>
      </c>
      <c r="F98" s="324">
        <f ca="1">F91-Outside!F5</f>
        <v>34218.613640111973</v>
      </c>
      <c r="G98" s="324">
        <f ca="1">G91-Outside!G5</f>
        <v>18622.5418388416</v>
      </c>
      <c r="H98" s="324">
        <f ca="1">H91-Outside!H5</f>
        <v>9318.7755485628513</v>
      </c>
      <c r="I98" s="324">
        <f ca="1">I91-Outside!I5</f>
        <v>9327.2688617796121</v>
      </c>
      <c r="J98" s="324">
        <f ca="1">J91-Outside!J5</f>
        <v>1242.5238596220061</v>
      </c>
      <c r="K98" s="324">
        <f ca="1">K91-Outside!K5</f>
        <v>-5732.9817150335966</v>
      </c>
      <c r="L98" s="324">
        <f ca="1">L91-Outside!L5</f>
        <v>-5725.4775851038048</v>
      </c>
      <c r="M98" s="324">
        <f ca="1">M91-Outside!M5</f>
        <v>-5717.3837839873995</v>
      </c>
      <c r="N98" s="324">
        <f ca="1">N91-Outside!N5</f>
        <v>-5709.0279552433194</v>
      </c>
      <c r="O98" s="324">
        <f ca="1">O91-Outside!O5</f>
        <v>-5700.4175190809601</v>
      </c>
      <c r="P98" s="324">
        <f ca="1">P91-Outside!P5</f>
        <v>-5691.5483664970479</v>
      </c>
      <c r="Q98" s="324">
        <f ca="1">Q91-Outside!Q5</f>
        <v>-5683.6288016595754</v>
      </c>
      <c r="R98" s="324">
        <f ca="1">R91-Outside!R5</f>
        <v>-5675.5815356927478</v>
      </c>
      <c r="S98" s="324">
        <f ca="1">S91-Outside!S5</f>
        <v>-5667.9004361483121</v>
      </c>
      <c r="T98" s="324">
        <f ca="1">T91-Outside!T5</f>
        <v>-5659.2388417607272</v>
      </c>
      <c r="U98" s="324">
        <f ca="1">U91-Outside!U5</f>
        <v>-5657.3523760619464</v>
      </c>
      <c r="V98" s="324">
        <f ca="1">V91-Outside!V5</f>
        <v>-5684.5129414300236</v>
      </c>
      <c r="W98" s="324">
        <f ca="1">W91-Outside!W5</f>
        <v>-5675.0887430544835</v>
      </c>
      <c r="X98" s="324">
        <f ca="1">X91-Outside!X5</f>
        <v>-5665.4289397256671</v>
      </c>
      <c r="Y98" s="324">
        <f ca="1">Y91-Outside!Y5</f>
        <v>-15.709799003648957</v>
      </c>
      <c r="Z98" s="324">
        <f ca="1">Z91-Outside!Z5</f>
        <v>0</v>
      </c>
      <c r="AA98" s="324">
        <f ca="1">AA91-Outside!AA5</f>
        <v>0</v>
      </c>
      <c r="AB98" s="324">
        <f ca="1">AB91-Outside!AB5</f>
        <v>0</v>
      </c>
      <c r="AC98" s="324">
        <f ca="1">AC91-Outside!AC5</f>
        <v>0</v>
      </c>
      <c r="AD98" s="324">
        <f ca="1">AD91-Outside!AD5</f>
        <v>0</v>
      </c>
      <c r="AE98" s="324">
        <f ca="1">AE91-Outside!AE5</f>
        <v>0</v>
      </c>
      <c r="AF98" s="324">
        <f ca="1">AF91-Outside!AF5</f>
        <v>0</v>
      </c>
      <c r="AG98" s="324">
        <f ca="1">AG91-Outside!AG5</f>
        <v>0</v>
      </c>
      <c r="AH98" s="324">
        <f ca="1">AH91-Outside!AH5</f>
        <v>0</v>
      </c>
      <c r="AI98" s="324"/>
      <c r="AJ98" s="324"/>
      <c r="AK98" s="324"/>
      <c r="AL98" s="324"/>
      <c r="AM98" s="324"/>
      <c r="AN98" s="324"/>
      <c r="AO98" s="324"/>
      <c r="AP98" s="324"/>
      <c r="AQ98" s="324"/>
      <c r="AR98" s="324"/>
      <c r="AS98" s="324"/>
      <c r="AT98" s="324"/>
      <c r="AU98" s="324"/>
      <c r="AV98" s="324"/>
      <c r="AW98" s="324"/>
      <c r="AX98" s="324"/>
      <c r="AY98" s="324"/>
      <c r="AZ98" s="324"/>
      <c r="BA98" s="324"/>
      <c r="BB98" s="324"/>
      <c r="BC98" s="324"/>
      <c r="BD98" s="324"/>
      <c r="BE98" s="324"/>
      <c r="BF98" s="324"/>
      <c r="BG98" s="324"/>
      <c r="BH98" s="324"/>
      <c r="BI98" s="324"/>
      <c r="BJ98" s="324"/>
      <c r="BK98" s="324"/>
      <c r="BL98" s="324"/>
      <c r="BM98" s="324"/>
      <c r="BN98" s="324"/>
      <c r="BO98" s="324"/>
      <c r="BP98" s="324"/>
      <c r="BQ98" s="324"/>
      <c r="BR98" s="324"/>
      <c r="BS98" s="324"/>
      <c r="BT98" s="324"/>
      <c r="BU98" s="324"/>
      <c r="BV98" s="324"/>
      <c r="BW98" s="324"/>
      <c r="BX98" s="324"/>
      <c r="BY98" s="324"/>
      <c r="BZ98" s="324"/>
      <c r="CA98" s="324"/>
      <c r="CB98" s="324"/>
      <c r="CC98" s="324"/>
      <c r="CD98" s="324"/>
      <c r="CE98" s="324"/>
      <c r="CF98" s="324"/>
      <c r="CG98" s="324"/>
      <c r="CH98" s="324"/>
      <c r="CI98" s="324"/>
      <c r="CJ98" s="324"/>
      <c r="CK98" s="324"/>
      <c r="CL98" s="324"/>
      <c r="CM98" s="324"/>
      <c r="CN98" s="324"/>
      <c r="CO98" s="324"/>
      <c r="CP98" s="324"/>
      <c r="CQ98" s="324"/>
      <c r="CR98" s="324"/>
      <c r="CS98" s="324"/>
      <c r="CT98" s="324"/>
      <c r="CU98" s="324"/>
      <c r="CV98" s="324"/>
      <c r="CW98" s="324"/>
      <c r="CX98" s="324"/>
      <c r="CY98" s="324"/>
      <c r="CZ98" s="324"/>
      <c r="DA98" s="324"/>
      <c r="DB98" s="324"/>
      <c r="DC98" s="324"/>
      <c r="DD98" s="324"/>
      <c r="DE98" s="324"/>
      <c r="DF98" s="324"/>
      <c r="DG98" s="324"/>
      <c r="DH98" s="324"/>
      <c r="DI98" s="324"/>
      <c r="DJ98" s="324"/>
      <c r="DK98" s="324"/>
      <c r="DL98" s="324"/>
      <c r="DM98" s="324"/>
      <c r="DN98" s="324"/>
      <c r="DO98" s="324"/>
      <c r="DP98" s="324"/>
      <c r="DQ98" s="324"/>
      <c r="DR98" s="324"/>
      <c r="DS98" s="324"/>
      <c r="DT98" s="324"/>
      <c r="DU98" s="324"/>
      <c r="DV98" s="324"/>
      <c r="DW98" s="324"/>
      <c r="DX98" s="324"/>
      <c r="DY98" s="324"/>
      <c r="DZ98" s="324"/>
      <c r="EA98" s="324"/>
      <c r="EB98" s="324"/>
      <c r="EC98" s="324"/>
      <c r="ED98" s="324"/>
      <c r="EE98" s="324"/>
      <c r="EF98" s="324"/>
      <c r="EG98" s="324"/>
      <c r="EH98" s="324"/>
      <c r="EI98" s="324"/>
      <c r="EJ98" s="324"/>
      <c r="EK98" s="324"/>
      <c r="EL98" s="324"/>
    </row>
    <row r="99" spans="1:142" s="325" customFormat="1">
      <c r="A99" s="319"/>
      <c r="B99" s="324" t="s">
        <v>319</v>
      </c>
      <c r="C99" s="324"/>
      <c r="D99" s="1087">
        <f>Assum!E202</f>
        <v>0.39549999999999996</v>
      </c>
      <c r="E99" s="324">
        <f t="shared" ref="E99:AH99" ca="1" si="26">$D$99*-E98</f>
        <v>-7815.8134278800908</v>
      </c>
      <c r="F99" s="324">
        <f t="shared" ca="1" si="26"/>
        <v>-13533.461694664284</v>
      </c>
      <c r="G99" s="324">
        <f t="shared" ca="1" si="26"/>
        <v>-7365.2152972618524</v>
      </c>
      <c r="H99" s="324">
        <f t="shared" ca="1" si="26"/>
        <v>-3685.5757294566074</v>
      </c>
      <c r="I99" s="324">
        <f t="shared" ca="1" si="26"/>
        <v>-3688.9348348338362</v>
      </c>
      <c r="J99" s="324">
        <f t="shared" ca="1" si="26"/>
        <v>-491.41818648050332</v>
      </c>
      <c r="K99" s="324">
        <f t="shared" ca="1" si="26"/>
        <v>2267.3942682957872</v>
      </c>
      <c r="L99" s="324">
        <f t="shared" ca="1" si="26"/>
        <v>2264.4263849085546</v>
      </c>
      <c r="M99" s="324">
        <f t="shared" ca="1" si="26"/>
        <v>2261.2252865670162</v>
      </c>
      <c r="N99" s="324">
        <f t="shared" ca="1" si="26"/>
        <v>2257.9205562987327</v>
      </c>
      <c r="O99" s="324">
        <f t="shared" ca="1" si="26"/>
        <v>2254.5151287965195</v>
      </c>
      <c r="P99" s="324">
        <f t="shared" ca="1" si="26"/>
        <v>2251.0073789495823</v>
      </c>
      <c r="Q99" s="324">
        <f t="shared" ca="1" si="26"/>
        <v>2247.8751910563619</v>
      </c>
      <c r="R99" s="324">
        <f t="shared" ca="1" si="26"/>
        <v>2244.6924973664813</v>
      </c>
      <c r="S99" s="324">
        <f t="shared" ca="1" si="26"/>
        <v>2241.6546224966573</v>
      </c>
      <c r="T99" s="324">
        <f t="shared" ca="1" si="26"/>
        <v>2238.2289619163676</v>
      </c>
      <c r="U99" s="324">
        <f t="shared" ca="1" si="26"/>
        <v>2237.4828647324998</v>
      </c>
      <c r="V99" s="324">
        <f t="shared" ca="1" si="26"/>
        <v>2248.2248683355742</v>
      </c>
      <c r="W99" s="324">
        <f t="shared" ca="1" si="26"/>
        <v>2244.4975978780481</v>
      </c>
      <c r="X99" s="324">
        <f t="shared" ca="1" si="26"/>
        <v>2240.6771456615011</v>
      </c>
      <c r="Y99" s="324">
        <f t="shared" ca="1" si="26"/>
        <v>6.2132255059431616</v>
      </c>
      <c r="Z99" s="324">
        <f t="shared" ca="1" si="26"/>
        <v>0</v>
      </c>
      <c r="AA99" s="324">
        <f t="shared" ca="1" si="26"/>
        <v>0</v>
      </c>
      <c r="AB99" s="324">
        <f t="shared" ca="1" si="26"/>
        <v>0</v>
      </c>
      <c r="AC99" s="324">
        <f t="shared" ca="1" si="26"/>
        <v>0</v>
      </c>
      <c r="AD99" s="324">
        <f t="shared" ca="1" si="26"/>
        <v>0</v>
      </c>
      <c r="AE99" s="324">
        <f t="shared" ca="1" si="26"/>
        <v>0</v>
      </c>
      <c r="AF99" s="324">
        <f t="shared" ca="1" si="26"/>
        <v>0</v>
      </c>
      <c r="AG99" s="324">
        <f t="shared" ca="1" si="26"/>
        <v>0</v>
      </c>
      <c r="AH99" s="324">
        <f t="shared" ca="1" si="26"/>
        <v>0</v>
      </c>
      <c r="AI99" s="324"/>
      <c r="AJ99" s="324"/>
      <c r="AK99" s="324"/>
      <c r="AL99" s="324"/>
      <c r="AM99" s="324"/>
      <c r="AN99" s="324"/>
      <c r="AO99" s="324"/>
      <c r="AP99" s="324"/>
      <c r="AQ99" s="324"/>
      <c r="AR99" s="324"/>
      <c r="AS99" s="324"/>
      <c r="AT99" s="324"/>
      <c r="AU99" s="324"/>
      <c r="AV99" s="324"/>
      <c r="AW99" s="324"/>
      <c r="AX99" s="324"/>
      <c r="AY99" s="324"/>
      <c r="AZ99" s="324"/>
      <c r="BA99" s="324"/>
      <c r="BB99" s="324"/>
      <c r="BC99" s="324"/>
      <c r="BD99" s="324"/>
      <c r="BE99" s="324"/>
      <c r="BF99" s="324"/>
      <c r="BG99" s="324"/>
      <c r="BH99" s="324"/>
      <c r="BI99" s="324"/>
      <c r="BJ99" s="324"/>
      <c r="BK99" s="324"/>
      <c r="BL99" s="324"/>
      <c r="BM99" s="324"/>
      <c r="BN99" s="324"/>
      <c r="BO99" s="324"/>
      <c r="BP99" s="324"/>
      <c r="BQ99" s="324"/>
      <c r="BR99" s="324"/>
      <c r="BS99" s="324"/>
      <c r="BT99" s="324"/>
      <c r="BU99" s="324"/>
      <c r="BV99" s="324"/>
      <c r="BW99" s="324"/>
      <c r="BX99" s="324"/>
      <c r="BY99" s="324"/>
      <c r="BZ99" s="324"/>
      <c r="CA99" s="324"/>
      <c r="CB99" s="324"/>
      <c r="CC99" s="324"/>
      <c r="CD99" s="324"/>
      <c r="CE99" s="324"/>
      <c r="CF99" s="324"/>
      <c r="CG99" s="324"/>
      <c r="CH99" s="324"/>
      <c r="CI99" s="324"/>
      <c r="CJ99" s="324"/>
      <c r="CK99" s="324"/>
      <c r="CL99" s="324"/>
      <c r="CM99" s="324"/>
      <c r="CN99" s="324"/>
      <c r="CO99" s="324"/>
      <c r="CP99" s="324"/>
      <c r="CQ99" s="324"/>
      <c r="CR99" s="324"/>
      <c r="CS99" s="324"/>
      <c r="CT99" s="324"/>
      <c r="CU99" s="324"/>
      <c r="CV99" s="324"/>
      <c r="CW99" s="324"/>
      <c r="CX99" s="324"/>
      <c r="CY99" s="324"/>
      <c r="CZ99" s="324"/>
      <c r="DA99" s="324"/>
      <c r="DB99" s="324"/>
      <c r="DC99" s="324"/>
      <c r="DD99" s="324"/>
      <c r="DE99" s="324"/>
      <c r="DF99" s="324"/>
      <c r="DG99" s="324"/>
      <c r="DH99" s="324"/>
      <c r="DI99" s="324"/>
      <c r="DJ99" s="324"/>
      <c r="DK99" s="324"/>
      <c r="DL99" s="324"/>
      <c r="DM99" s="324"/>
      <c r="DN99" s="324"/>
      <c r="DO99" s="324"/>
      <c r="DP99" s="324"/>
      <c r="DQ99" s="324"/>
      <c r="DR99" s="324"/>
      <c r="DS99" s="324"/>
      <c r="DT99" s="324"/>
      <c r="DU99" s="324"/>
      <c r="DV99" s="324"/>
      <c r="DW99" s="324"/>
      <c r="DX99" s="324"/>
      <c r="DY99" s="324"/>
      <c r="DZ99" s="324"/>
      <c r="EA99" s="324"/>
      <c r="EB99" s="324"/>
      <c r="EC99" s="324"/>
      <c r="ED99" s="324"/>
      <c r="EE99" s="324"/>
      <c r="EF99" s="324"/>
      <c r="EG99" s="324"/>
      <c r="EH99" s="324"/>
      <c r="EI99" s="324"/>
      <c r="EJ99" s="324"/>
      <c r="EK99" s="324"/>
      <c r="EL99" s="324"/>
    </row>
    <row r="100" spans="1:142" s="325" customFormat="1">
      <c r="A100" s="319"/>
      <c r="B100" s="324"/>
      <c r="C100" s="324"/>
      <c r="D100" s="324"/>
      <c r="E100" s="324"/>
      <c r="F100" s="324"/>
      <c r="G100" s="324"/>
      <c r="H100" s="324"/>
      <c r="I100" s="324"/>
      <c r="J100" s="324"/>
      <c r="K100" s="324"/>
      <c r="L100" s="324"/>
      <c r="M100" s="324"/>
      <c r="N100" s="324"/>
      <c r="O100" s="324"/>
      <c r="P100" s="324"/>
      <c r="Q100" s="324"/>
      <c r="R100" s="324"/>
      <c r="S100" s="324"/>
      <c r="T100" s="324"/>
      <c r="U100" s="324"/>
      <c r="V100" s="324"/>
      <c r="W100" s="324"/>
      <c r="X100" s="324"/>
      <c r="Y100" s="324"/>
      <c r="Z100" s="324"/>
      <c r="AA100" s="324"/>
      <c r="AB100" s="324"/>
      <c r="AC100" s="324"/>
      <c r="AD100" s="324"/>
      <c r="AE100" s="324"/>
      <c r="AF100" s="324"/>
      <c r="AG100" s="324"/>
      <c r="AH100" s="324"/>
      <c r="AI100" s="324"/>
      <c r="AJ100" s="324"/>
      <c r="AK100" s="324"/>
      <c r="AL100" s="324"/>
      <c r="AM100" s="324"/>
      <c r="AN100" s="324"/>
      <c r="AO100" s="324"/>
      <c r="AP100" s="324"/>
      <c r="AQ100" s="324"/>
      <c r="AR100" s="324"/>
      <c r="AS100" s="324"/>
      <c r="AT100" s="324"/>
      <c r="AU100" s="324"/>
      <c r="AV100" s="324"/>
      <c r="AW100" s="324"/>
      <c r="AX100" s="324"/>
      <c r="AY100" s="324"/>
      <c r="AZ100" s="324"/>
      <c r="BA100" s="324"/>
      <c r="BB100" s="324"/>
      <c r="BC100" s="324"/>
      <c r="BD100" s="324"/>
      <c r="BE100" s="324"/>
      <c r="BF100" s="324"/>
      <c r="BG100" s="324"/>
      <c r="BH100" s="324"/>
      <c r="BI100" s="324"/>
      <c r="BJ100" s="324"/>
      <c r="BK100" s="324"/>
      <c r="BL100" s="324"/>
      <c r="BM100" s="324"/>
      <c r="BN100" s="324"/>
      <c r="BO100" s="324"/>
      <c r="BP100" s="324"/>
      <c r="BQ100" s="324"/>
      <c r="BR100" s="324"/>
      <c r="BS100" s="324"/>
      <c r="BT100" s="324"/>
      <c r="BU100" s="324"/>
      <c r="BV100" s="324"/>
      <c r="BW100" s="324"/>
      <c r="BX100" s="324"/>
      <c r="BY100" s="324"/>
      <c r="BZ100" s="324"/>
      <c r="CA100" s="324"/>
      <c r="CB100" s="324"/>
      <c r="CC100" s="324"/>
      <c r="CD100" s="324"/>
      <c r="CE100" s="324"/>
      <c r="CF100" s="324"/>
      <c r="CG100" s="324"/>
      <c r="CH100" s="324"/>
      <c r="CI100" s="324"/>
      <c r="CJ100" s="324"/>
      <c r="CK100" s="324"/>
      <c r="CL100" s="324"/>
      <c r="CM100" s="324"/>
      <c r="CN100" s="324"/>
      <c r="CO100" s="324"/>
      <c r="CP100" s="324"/>
      <c r="CQ100" s="324"/>
      <c r="CR100" s="324"/>
      <c r="CS100" s="324"/>
      <c r="CT100" s="324"/>
      <c r="CU100" s="324"/>
      <c r="CV100" s="324"/>
      <c r="CW100" s="324"/>
      <c r="CX100" s="324"/>
      <c r="CY100" s="324"/>
      <c r="CZ100" s="324"/>
      <c r="DA100" s="324"/>
      <c r="DB100" s="324"/>
      <c r="DC100" s="324"/>
      <c r="DD100" s="324"/>
      <c r="DE100" s="324"/>
      <c r="DF100" s="324"/>
      <c r="DG100" s="324"/>
      <c r="DH100" s="324"/>
      <c r="DI100" s="324"/>
      <c r="DJ100" s="324"/>
      <c r="DK100" s="324"/>
      <c r="DL100" s="324"/>
      <c r="DM100" s="324"/>
      <c r="DN100" s="324"/>
      <c r="DO100" s="324"/>
      <c r="DP100" s="324"/>
      <c r="DQ100" s="324"/>
      <c r="DR100" s="324"/>
      <c r="DS100" s="324"/>
      <c r="DT100" s="324"/>
      <c r="DU100" s="324"/>
      <c r="DV100" s="324"/>
      <c r="DW100" s="324"/>
      <c r="DX100" s="324"/>
      <c r="DY100" s="324"/>
      <c r="DZ100" s="324"/>
      <c r="EA100" s="324"/>
      <c r="EB100" s="324"/>
      <c r="EC100" s="324"/>
      <c r="ED100" s="324"/>
      <c r="EE100" s="324"/>
      <c r="EF100" s="324"/>
      <c r="EG100" s="324"/>
      <c r="EH100" s="324"/>
      <c r="EI100" s="324"/>
      <c r="EJ100" s="324"/>
      <c r="EK100" s="324"/>
      <c r="EL100" s="324"/>
    </row>
    <row r="101" spans="1:142" s="332" customFormat="1">
      <c r="A101" s="330"/>
      <c r="B101" s="331"/>
      <c r="C101" s="331"/>
      <c r="D101" s="331"/>
      <c r="E101" s="331"/>
      <c r="F101" s="331"/>
      <c r="G101" s="331"/>
      <c r="H101" s="331"/>
      <c r="I101" s="331"/>
      <c r="J101" s="331"/>
      <c r="K101" s="331"/>
      <c r="L101" s="331"/>
      <c r="M101" s="331"/>
      <c r="N101" s="331"/>
      <c r="O101" s="331"/>
      <c r="P101" s="331"/>
      <c r="Q101" s="331"/>
      <c r="R101" s="331"/>
      <c r="S101" s="331"/>
      <c r="T101" s="331"/>
      <c r="U101" s="331"/>
      <c r="V101" s="331"/>
      <c r="W101" s="331"/>
      <c r="X101" s="331"/>
      <c r="Y101" s="331"/>
      <c r="Z101" s="331"/>
      <c r="AA101" s="331"/>
      <c r="AB101" s="331"/>
      <c r="AC101" s="331"/>
      <c r="AD101" s="331"/>
      <c r="AE101" s="331"/>
      <c r="AF101" s="331"/>
      <c r="AG101" s="331"/>
      <c r="AH101" s="331"/>
      <c r="AI101" s="331"/>
      <c r="AJ101" s="331"/>
      <c r="AK101" s="331"/>
      <c r="AL101" s="331"/>
      <c r="AM101" s="331"/>
      <c r="AN101" s="331"/>
      <c r="AO101" s="331"/>
      <c r="AP101" s="331"/>
      <c r="AQ101" s="331"/>
      <c r="AR101" s="331"/>
      <c r="AS101" s="331"/>
      <c r="AT101" s="331"/>
      <c r="AU101" s="331"/>
      <c r="AV101" s="331"/>
      <c r="AW101" s="331"/>
      <c r="AX101" s="331"/>
      <c r="AY101" s="331"/>
      <c r="AZ101" s="331"/>
      <c r="BA101" s="331"/>
      <c r="BB101" s="331"/>
      <c r="BC101" s="331"/>
      <c r="BD101" s="331"/>
      <c r="BE101" s="331"/>
      <c r="BF101" s="331"/>
      <c r="BG101" s="331"/>
      <c r="BH101" s="331"/>
      <c r="BI101" s="331"/>
      <c r="BJ101" s="331"/>
      <c r="BK101" s="331"/>
      <c r="BL101" s="331"/>
      <c r="BM101" s="331"/>
      <c r="BN101" s="331"/>
      <c r="BO101" s="331"/>
      <c r="BP101" s="331"/>
      <c r="BQ101" s="331"/>
      <c r="BR101" s="331"/>
      <c r="BS101" s="331"/>
      <c r="BT101" s="331"/>
      <c r="BU101" s="331"/>
      <c r="BV101" s="331"/>
      <c r="BW101" s="331"/>
      <c r="BX101" s="331"/>
      <c r="BY101" s="331"/>
      <c r="BZ101" s="331"/>
      <c r="CA101" s="331"/>
      <c r="CB101" s="331"/>
      <c r="CC101" s="331"/>
      <c r="CD101" s="331"/>
      <c r="CE101" s="331"/>
      <c r="CF101" s="331"/>
      <c r="CG101" s="331"/>
      <c r="CH101" s="331"/>
      <c r="CI101" s="331"/>
      <c r="CJ101" s="331"/>
      <c r="CK101" s="331"/>
      <c r="CL101" s="331"/>
      <c r="CM101" s="331"/>
      <c r="CN101" s="331"/>
      <c r="CO101" s="331"/>
      <c r="CP101" s="331"/>
      <c r="CQ101" s="331"/>
      <c r="CR101" s="331"/>
      <c r="CS101" s="331"/>
      <c r="CT101" s="331"/>
      <c r="CU101" s="331"/>
      <c r="CV101" s="331"/>
      <c r="CW101" s="331"/>
      <c r="CX101" s="331"/>
      <c r="CY101" s="331"/>
      <c r="CZ101" s="331"/>
      <c r="DA101" s="331"/>
      <c r="DB101" s="331"/>
      <c r="DC101" s="331"/>
      <c r="DD101" s="331"/>
      <c r="DE101" s="331"/>
      <c r="DF101" s="331"/>
      <c r="DG101" s="331"/>
      <c r="DH101" s="331"/>
      <c r="DI101" s="331"/>
      <c r="DJ101" s="331"/>
      <c r="DK101" s="331"/>
      <c r="DL101" s="331"/>
      <c r="DM101" s="331"/>
      <c r="DN101" s="331"/>
      <c r="DO101" s="331"/>
      <c r="DP101" s="331"/>
      <c r="DQ101" s="331"/>
      <c r="DR101" s="331"/>
      <c r="DS101" s="331"/>
      <c r="DT101" s="331"/>
      <c r="DU101" s="331"/>
      <c r="DV101" s="331"/>
      <c r="DW101" s="331"/>
      <c r="DX101" s="331"/>
      <c r="DY101" s="331"/>
      <c r="DZ101" s="331"/>
      <c r="EA101" s="331"/>
      <c r="EB101" s="331"/>
      <c r="EC101" s="331"/>
      <c r="ED101" s="331"/>
      <c r="EE101" s="331"/>
      <c r="EF101" s="331"/>
      <c r="EG101" s="331"/>
      <c r="EH101" s="331"/>
      <c r="EI101" s="331"/>
      <c r="EJ101" s="331"/>
      <c r="EK101" s="331"/>
      <c r="EL101" s="331"/>
    </row>
  </sheetData>
  <mergeCells count="4">
    <mergeCell ref="D62:F62"/>
    <mergeCell ref="D69:F69"/>
    <mergeCell ref="D32:E32"/>
    <mergeCell ref="D39:E39"/>
  </mergeCells>
  <printOptions headings="1"/>
  <pageMargins left="0.27" right="0.27" top="0.6" bottom="0.61" header="0.5" footer="0.5"/>
  <pageSetup scale="45" orientation="landscape" verticalDpi="300" r:id="rId1"/>
  <headerFooter alignWithMargins="0">
    <oddFooter>&amp;R&amp;F</oddFooter>
  </headerFooter>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pageSetUpPr fitToPage="1"/>
  </sheetPr>
  <dimension ref="A1:EN135"/>
  <sheetViews>
    <sheetView zoomScale="70" workbookViewId="0">
      <selection sqref="A1:X74"/>
    </sheetView>
  </sheetViews>
  <sheetFormatPr defaultColWidth="8.7109375" defaultRowHeight="12.75"/>
  <cols>
    <col min="1" max="1" width="4.7109375" customWidth="1"/>
    <col min="2" max="2" width="47.7109375" customWidth="1"/>
    <col min="3" max="3" width="11.42578125" customWidth="1"/>
    <col min="4" max="4" width="12" customWidth="1"/>
    <col min="5" max="5" width="11.140625" customWidth="1"/>
    <col min="6" max="6" width="12.42578125" customWidth="1"/>
    <col min="7" max="35" width="10.28515625" customWidth="1"/>
  </cols>
  <sheetData>
    <row r="1" spans="1:144" ht="15.75">
      <c r="A1" s="55"/>
      <c r="B1" s="338" t="str">
        <f>ExecSum!$E$4</f>
        <v>Sweetwater 129.00MW Project</v>
      </c>
      <c r="C1" s="338"/>
      <c r="D1" s="56"/>
      <c r="E1" s="244">
        <v>1</v>
      </c>
      <c r="F1" s="245">
        <v>2</v>
      </c>
      <c r="G1" s="245">
        <v>3</v>
      </c>
      <c r="H1" s="245">
        <v>4</v>
      </c>
      <c r="I1" s="245">
        <v>5</v>
      </c>
      <c r="J1" s="245">
        <v>6</v>
      </c>
      <c r="K1" s="245">
        <v>7</v>
      </c>
      <c r="L1" s="245">
        <v>8</v>
      </c>
      <c r="M1" s="245">
        <v>9</v>
      </c>
      <c r="N1" s="245">
        <v>10</v>
      </c>
      <c r="O1" s="245">
        <v>11</v>
      </c>
      <c r="P1" s="245">
        <v>12</v>
      </c>
      <c r="Q1" s="245">
        <v>13</v>
      </c>
      <c r="R1" s="245">
        <v>14</v>
      </c>
      <c r="S1" s="245">
        <v>15</v>
      </c>
      <c r="T1" s="245">
        <v>16</v>
      </c>
      <c r="U1" s="245">
        <v>17</v>
      </c>
      <c r="V1" s="245">
        <v>18</v>
      </c>
      <c r="W1" s="245">
        <v>19</v>
      </c>
      <c r="X1" s="245">
        <v>20</v>
      </c>
      <c r="Y1" s="245">
        <v>21</v>
      </c>
      <c r="Z1" s="245">
        <v>22</v>
      </c>
      <c r="AA1" s="245">
        <v>23</v>
      </c>
      <c r="AB1" s="245">
        <v>24</v>
      </c>
      <c r="AC1" s="245">
        <v>25</v>
      </c>
      <c r="AD1" s="245">
        <v>26</v>
      </c>
      <c r="AE1" s="245">
        <v>27</v>
      </c>
      <c r="AF1" s="245">
        <v>28</v>
      </c>
      <c r="AG1" s="245">
        <v>29</v>
      </c>
      <c r="AH1" s="245">
        <v>30</v>
      </c>
      <c r="AI1" s="246">
        <v>31</v>
      </c>
      <c r="AJ1" s="56"/>
      <c r="AK1" s="56"/>
      <c r="AL1" s="56"/>
      <c r="AM1" s="56"/>
      <c r="AN1" s="56"/>
      <c r="AO1" s="56"/>
      <c r="AP1" s="56"/>
      <c r="AQ1" s="56"/>
      <c r="AR1" s="56"/>
      <c r="AS1" s="56"/>
      <c r="AT1" s="56"/>
      <c r="AU1" s="56"/>
      <c r="AV1" s="56"/>
      <c r="AW1" s="56"/>
      <c r="AX1" s="56"/>
      <c r="AY1" s="56"/>
      <c r="AZ1" s="56"/>
      <c r="BA1" s="56"/>
      <c r="BB1" s="56"/>
      <c r="BC1" s="56"/>
      <c r="BD1" s="56"/>
      <c r="BE1" s="56"/>
      <c r="BF1" s="56"/>
      <c r="BG1" s="56"/>
      <c r="BH1" s="56"/>
      <c r="BI1" s="56"/>
      <c r="BJ1" s="56"/>
      <c r="BK1" s="56"/>
      <c r="BL1" s="56"/>
      <c r="BM1" s="56"/>
      <c r="BN1" s="56"/>
      <c r="BO1" s="56"/>
      <c r="BP1" s="56"/>
      <c r="BQ1" s="56"/>
      <c r="BR1" s="56"/>
      <c r="BS1" s="56"/>
      <c r="BT1" s="56"/>
      <c r="BU1" s="56"/>
      <c r="BV1" s="56"/>
      <c r="BW1" s="56"/>
      <c r="BX1" s="56"/>
      <c r="BY1" s="56"/>
      <c r="BZ1" s="56"/>
      <c r="CA1" s="56"/>
      <c r="CB1" s="56"/>
      <c r="CC1" s="56"/>
      <c r="CD1" s="56"/>
      <c r="CE1" s="56"/>
      <c r="CF1" s="56"/>
      <c r="CG1" s="56"/>
      <c r="CH1" s="56"/>
      <c r="CI1" s="56"/>
      <c r="CJ1" s="56"/>
      <c r="CK1" s="56"/>
      <c r="CL1" s="56"/>
      <c r="CM1" s="56"/>
      <c r="CN1" s="56"/>
      <c r="CO1" s="56"/>
      <c r="CP1" s="56"/>
      <c r="CQ1" s="56"/>
      <c r="CR1" s="56"/>
      <c r="CS1" s="56"/>
      <c r="CT1" s="56"/>
      <c r="CU1" s="56"/>
      <c r="CV1" s="56"/>
      <c r="CW1" s="56"/>
      <c r="CX1" s="56"/>
      <c r="CY1" s="56"/>
      <c r="CZ1" s="56"/>
      <c r="DA1" s="56"/>
      <c r="DB1" s="56"/>
      <c r="DC1" s="56"/>
      <c r="DD1" s="56"/>
      <c r="DE1" s="56"/>
      <c r="DF1" s="56"/>
      <c r="DG1" s="56"/>
      <c r="DH1" s="56"/>
      <c r="DI1" s="56"/>
      <c r="DJ1" s="56"/>
      <c r="DK1" s="56"/>
      <c r="DL1" s="56"/>
      <c r="DM1" s="56"/>
      <c r="DN1" s="56"/>
      <c r="DO1" s="56"/>
      <c r="DP1" s="56"/>
      <c r="DQ1" s="56"/>
      <c r="DR1" s="56"/>
      <c r="DS1" s="56"/>
      <c r="DT1" s="56"/>
      <c r="DU1" s="56"/>
      <c r="DV1" s="56"/>
      <c r="DW1" s="56"/>
      <c r="DX1" s="56"/>
      <c r="DY1" s="58"/>
      <c r="DZ1" s="58"/>
      <c r="EA1" s="58"/>
      <c r="EB1" s="58"/>
      <c r="EC1" s="58"/>
      <c r="ED1" s="58"/>
      <c r="EE1" s="58"/>
      <c r="EF1" s="58"/>
      <c r="EG1" s="58"/>
      <c r="EH1" s="58"/>
      <c r="EI1" s="58"/>
      <c r="EJ1" s="58"/>
      <c r="EK1" s="58"/>
      <c r="EL1" s="58"/>
      <c r="EM1" s="58"/>
      <c r="EN1" s="58"/>
    </row>
    <row r="2" spans="1:144" ht="15.75">
      <c r="A2" s="55"/>
      <c r="B2" s="336" t="s">
        <v>179</v>
      </c>
      <c r="C2" s="336"/>
      <c r="D2" s="56"/>
      <c r="E2" s="247">
        <f>Assum!$H$25</f>
        <v>2002</v>
      </c>
      <c r="F2" s="248">
        <f>E2+1</f>
        <v>2003</v>
      </c>
      <c r="G2" s="248">
        <f t="shared" ref="G2:X2" si="0">F2+1</f>
        <v>2004</v>
      </c>
      <c r="H2" s="248">
        <f t="shared" si="0"/>
        <v>2005</v>
      </c>
      <c r="I2" s="248">
        <f t="shared" si="0"/>
        <v>2006</v>
      </c>
      <c r="J2" s="248">
        <f t="shared" si="0"/>
        <v>2007</v>
      </c>
      <c r="K2" s="248">
        <f t="shared" si="0"/>
        <v>2008</v>
      </c>
      <c r="L2" s="248">
        <f t="shared" si="0"/>
        <v>2009</v>
      </c>
      <c r="M2" s="248">
        <f t="shared" si="0"/>
        <v>2010</v>
      </c>
      <c r="N2" s="248">
        <f t="shared" si="0"/>
        <v>2011</v>
      </c>
      <c r="O2" s="248">
        <f t="shared" si="0"/>
        <v>2012</v>
      </c>
      <c r="P2" s="248">
        <f t="shared" si="0"/>
        <v>2013</v>
      </c>
      <c r="Q2" s="248">
        <f t="shared" si="0"/>
        <v>2014</v>
      </c>
      <c r="R2" s="248">
        <f t="shared" si="0"/>
        <v>2015</v>
      </c>
      <c r="S2" s="248">
        <f t="shared" si="0"/>
        <v>2016</v>
      </c>
      <c r="T2" s="248">
        <f t="shared" si="0"/>
        <v>2017</v>
      </c>
      <c r="U2" s="248">
        <f t="shared" si="0"/>
        <v>2018</v>
      </c>
      <c r="V2" s="248">
        <f t="shared" si="0"/>
        <v>2019</v>
      </c>
      <c r="W2" s="248">
        <f t="shared" si="0"/>
        <v>2020</v>
      </c>
      <c r="X2" s="248">
        <f t="shared" si="0"/>
        <v>2021</v>
      </c>
      <c r="Y2" s="248">
        <f t="shared" ref="Y2:AH2" si="1">X2+1</f>
        <v>2022</v>
      </c>
      <c r="Z2" s="248">
        <f t="shared" si="1"/>
        <v>2023</v>
      </c>
      <c r="AA2" s="248">
        <f t="shared" si="1"/>
        <v>2024</v>
      </c>
      <c r="AB2" s="248">
        <f t="shared" si="1"/>
        <v>2025</v>
      </c>
      <c r="AC2" s="248">
        <f t="shared" si="1"/>
        <v>2026</v>
      </c>
      <c r="AD2" s="248">
        <f t="shared" si="1"/>
        <v>2027</v>
      </c>
      <c r="AE2" s="248">
        <f t="shared" si="1"/>
        <v>2028</v>
      </c>
      <c r="AF2" s="248">
        <f t="shared" si="1"/>
        <v>2029</v>
      </c>
      <c r="AG2" s="248">
        <f t="shared" si="1"/>
        <v>2030</v>
      </c>
      <c r="AH2" s="248">
        <f t="shared" si="1"/>
        <v>2031</v>
      </c>
      <c r="AI2" s="249">
        <f>AH2+1</f>
        <v>2032</v>
      </c>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c r="BS2" s="56"/>
      <c r="BT2" s="56"/>
      <c r="BU2" s="56"/>
      <c r="BV2" s="56"/>
      <c r="BW2" s="56"/>
      <c r="BX2" s="56"/>
      <c r="BY2" s="56"/>
      <c r="BZ2" s="56"/>
      <c r="CA2" s="56"/>
      <c r="CB2" s="56"/>
      <c r="CC2" s="56"/>
      <c r="CD2" s="56"/>
      <c r="CE2" s="56"/>
      <c r="CF2" s="56"/>
      <c r="CG2" s="56"/>
      <c r="CH2" s="56"/>
      <c r="CI2" s="56"/>
      <c r="CJ2" s="56"/>
      <c r="CK2" s="56"/>
      <c r="CL2" s="56"/>
      <c r="CM2" s="56"/>
      <c r="CN2" s="56"/>
      <c r="CO2" s="56"/>
      <c r="CP2" s="56"/>
      <c r="CQ2" s="56"/>
      <c r="CR2" s="56"/>
      <c r="CS2" s="56"/>
      <c r="CT2" s="56"/>
      <c r="CU2" s="56"/>
      <c r="CV2" s="56"/>
      <c r="CW2" s="56"/>
      <c r="CX2" s="56"/>
      <c r="CY2" s="56"/>
      <c r="CZ2" s="56"/>
      <c r="DA2" s="56"/>
      <c r="DB2" s="56"/>
      <c r="DC2" s="56"/>
      <c r="DD2" s="56"/>
      <c r="DE2" s="56"/>
      <c r="DF2" s="56"/>
      <c r="DG2" s="56"/>
      <c r="DH2" s="56"/>
      <c r="DI2" s="56"/>
      <c r="DJ2" s="56"/>
      <c r="DK2" s="56"/>
      <c r="DL2" s="56"/>
      <c r="DM2" s="56"/>
      <c r="DN2" s="56"/>
      <c r="DO2" s="56"/>
      <c r="DP2" s="56"/>
      <c r="DQ2" s="56"/>
      <c r="DR2" s="56"/>
      <c r="DS2" s="56"/>
      <c r="DT2" s="56"/>
      <c r="DU2" s="56"/>
      <c r="DV2" s="56"/>
      <c r="DW2" s="56"/>
      <c r="DX2" s="56"/>
      <c r="DY2" s="58"/>
      <c r="DZ2" s="58"/>
      <c r="EA2" s="58"/>
      <c r="EB2" s="58"/>
      <c r="EC2" s="58"/>
      <c r="ED2" s="58"/>
      <c r="EE2" s="58"/>
      <c r="EF2" s="58"/>
      <c r="EG2" s="58"/>
      <c r="EH2" s="58"/>
      <c r="EI2" s="58"/>
      <c r="EJ2" s="58"/>
      <c r="EK2" s="58"/>
      <c r="EL2" s="58"/>
      <c r="EM2" s="58"/>
      <c r="EN2" s="58"/>
    </row>
    <row r="3" spans="1:144">
      <c r="A3" s="55"/>
      <c r="B3" s="57"/>
      <c r="C3" s="57"/>
      <c r="D3" s="56"/>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8"/>
      <c r="DZ3" s="58"/>
      <c r="EA3" s="58"/>
      <c r="EB3" s="58"/>
      <c r="EC3" s="58"/>
      <c r="ED3" s="58"/>
      <c r="EE3" s="58"/>
      <c r="EF3" s="58"/>
      <c r="EG3" s="58"/>
      <c r="EH3" s="58"/>
      <c r="EI3" s="58"/>
      <c r="EJ3" s="58"/>
      <c r="EK3" s="58"/>
      <c r="EL3" s="58"/>
      <c r="EM3" s="58"/>
      <c r="EN3" s="58"/>
    </row>
    <row r="4" spans="1:144" s="205" customFormat="1">
      <c r="A4" s="55"/>
      <c r="B4" s="496" t="s">
        <v>390</v>
      </c>
      <c r="C4" s="496"/>
      <c r="D4" s="201"/>
      <c r="E4" s="202"/>
      <c r="F4" s="202"/>
      <c r="G4" s="202"/>
      <c r="H4" s="202"/>
      <c r="I4" s="202"/>
      <c r="J4" s="202"/>
      <c r="K4" s="202"/>
      <c r="L4" s="202"/>
      <c r="M4" s="202"/>
      <c r="N4" s="202"/>
      <c r="O4" s="202"/>
      <c r="P4" s="202"/>
      <c r="Q4" s="202"/>
      <c r="R4" s="202"/>
      <c r="S4" s="202"/>
      <c r="T4" s="202"/>
      <c r="U4" s="202"/>
      <c r="V4" s="202"/>
      <c r="W4" s="202"/>
      <c r="X4" s="202"/>
      <c r="Y4" s="202"/>
      <c r="Z4" s="202"/>
      <c r="AA4" s="202"/>
      <c r="AB4" s="202"/>
      <c r="AC4" s="202"/>
      <c r="AD4" s="202"/>
      <c r="AE4" s="202"/>
      <c r="AF4" s="202"/>
      <c r="AG4" s="202"/>
      <c r="AH4" s="202"/>
      <c r="AI4" s="202"/>
      <c r="AJ4" s="202"/>
      <c r="AK4" s="202"/>
      <c r="AL4" s="202"/>
      <c r="AM4" s="202"/>
      <c r="AN4" s="202"/>
      <c r="AO4" s="202"/>
      <c r="AP4" s="202"/>
      <c r="AQ4" s="202"/>
      <c r="AR4" s="202"/>
      <c r="AS4" s="202"/>
      <c r="AT4" s="202"/>
      <c r="AU4" s="202"/>
      <c r="AV4" s="203"/>
      <c r="AW4" s="203"/>
      <c r="AX4" s="203"/>
      <c r="AY4" s="203"/>
      <c r="AZ4" s="203"/>
      <c r="BA4" s="203"/>
      <c r="BB4" s="203"/>
      <c r="BC4" s="203"/>
      <c r="BD4" s="203"/>
      <c r="BE4" s="203"/>
      <c r="BF4" s="203"/>
      <c r="BG4" s="203"/>
      <c r="BH4" s="203"/>
      <c r="BI4" s="203"/>
      <c r="BJ4" s="203"/>
      <c r="BK4" s="203"/>
      <c r="BL4" s="203"/>
      <c r="BM4" s="203"/>
      <c r="BN4" s="203"/>
      <c r="BO4" s="203"/>
      <c r="BP4" s="203"/>
      <c r="BQ4" s="203"/>
      <c r="BR4" s="203"/>
      <c r="BS4" s="203"/>
      <c r="BT4" s="203"/>
      <c r="BU4" s="203"/>
      <c r="BV4" s="203"/>
      <c r="BW4" s="203"/>
      <c r="BX4" s="203"/>
      <c r="BY4" s="203"/>
      <c r="BZ4" s="203"/>
      <c r="CA4" s="203"/>
      <c r="CB4" s="203"/>
      <c r="CC4" s="203"/>
      <c r="CD4" s="203"/>
      <c r="CE4" s="203"/>
      <c r="CF4" s="203"/>
      <c r="CG4" s="203"/>
      <c r="CH4" s="203"/>
      <c r="CI4" s="203"/>
      <c r="CJ4" s="203"/>
      <c r="CK4" s="203"/>
      <c r="CL4" s="203"/>
      <c r="CM4" s="203"/>
      <c r="CN4" s="203"/>
      <c r="CO4" s="203"/>
      <c r="CP4" s="203"/>
      <c r="CQ4" s="203"/>
      <c r="CR4" s="203"/>
      <c r="CS4" s="203"/>
      <c r="CT4" s="203"/>
      <c r="CU4" s="203"/>
      <c r="CV4" s="203"/>
      <c r="CW4" s="203"/>
      <c r="CX4" s="203"/>
      <c r="CY4" s="203"/>
      <c r="CZ4" s="203"/>
      <c r="DA4" s="203"/>
      <c r="DB4" s="203"/>
      <c r="DC4" s="203"/>
      <c r="DD4" s="203"/>
      <c r="DE4" s="203"/>
      <c r="DF4" s="203"/>
      <c r="DG4" s="203"/>
      <c r="DH4" s="203"/>
      <c r="DI4" s="203"/>
      <c r="DJ4" s="203"/>
      <c r="DK4" s="203"/>
      <c r="DL4" s="203"/>
      <c r="DM4" s="203"/>
      <c r="DN4" s="203"/>
      <c r="DO4" s="203"/>
      <c r="DP4" s="203"/>
      <c r="DQ4" s="203"/>
      <c r="DR4" s="203"/>
      <c r="DS4" s="203"/>
      <c r="DT4" s="203"/>
      <c r="DU4" s="203"/>
      <c r="DV4" s="203"/>
      <c r="DW4" s="203"/>
      <c r="DX4" s="203"/>
      <c r="DY4" s="204"/>
      <c r="DZ4" s="204"/>
      <c r="EA4" s="204"/>
      <c r="EB4" s="204"/>
      <c r="EC4" s="204"/>
      <c r="ED4" s="204"/>
      <c r="EE4" s="204"/>
      <c r="EF4" s="204"/>
      <c r="EG4" s="204"/>
      <c r="EH4" s="204"/>
      <c r="EI4" s="204"/>
      <c r="EJ4" s="204"/>
      <c r="EK4" s="204"/>
      <c r="EL4" s="204"/>
      <c r="EM4" s="204"/>
      <c r="EN4" s="204"/>
    </row>
    <row r="5" spans="1:144" s="205" customFormat="1">
      <c r="A5" s="55"/>
      <c r="B5" t="s">
        <v>623</v>
      </c>
      <c r="C5"/>
      <c r="D5" s="201"/>
      <c r="E5" s="324">
        <f ca="1">Basis!D36</f>
        <v>-207.64785391162073</v>
      </c>
      <c r="F5" s="324">
        <f ca="1">Basis!E36</f>
        <v>-371.04609523856101</v>
      </c>
      <c r="G5" s="324">
        <f ca="1">Basis!F36</f>
        <v>-212.93794792444447</v>
      </c>
      <c r="H5" s="324">
        <f ca="1">Basis!G36</f>
        <v>-117.99425598731005</v>
      </c>
      <c r="I5" s="324">
        <f ca="1">Basis!H36</f>
        <v>-117.03813482327993</v>
      </c>
      <c r="J5" s="324">
        <f ca="1">Basis!I36</f>
        <v>-42.205952994769447</v>
      </c>
      <c r="K5" s="324">
        <f ca="1">Basis!J36</f>
        <v>25.596741287573344</v>
      </c>
      <c r="L5" s="324">
        <f ca="1">Basis!K36</f>
        <v>27.204575372545733</v>
      </c>
      <c r="M5" s="324">
        <f ca="1">Basis!L36</f>
        <v>28.879417189537005</v>
      </c>
      <c r="N5" s="324">
        <f ca="1">Basis!M36</f>
        <v>31.48966812747587</v>
      </c>
      <c r="O5" s="324">
        <f ca="1">Basis!N36</f>
        <v>34.398153779476552</v>
      </c>
      <c r="P5" s="324">
        <f ca="1">Basis!O36</f>
        <v>37.805712263631676</v>
      </c>
      <c r="Q5" s="324">
        <f ca="1">Basis!P36</f>
        <v>41.473111859782549</v>
      </c>
      <c r="R5" s="324">
        <f ca="1">Basis!Q36</f>
        <v>43.270887786639463</v>
      </c>
      <c r="S5" s="324">
        <f ca="1">Basis!R36</f>
        <v>45.115664670850599</v>
      </c>
      <c r="T5" s="324">
        <f ca="1">Basis!S36</f>
        <v>46.152262613664149</v>
      </c>
      <c r="U5" s="324">
        <f ca="1">Basis!T36</f>
        <v>48.885322443524288</v>
      </c>
      <c r="V5" s="324">
        <f ca="1">Basis!U36</f>
        <v>52.220549102968228</v>
      </c>
      <c r="W5" s="324">
        <f ca="1">Basis!V36</f>
        <v>56.874421908990023</v>
      </c>
      <c r="X5" s="324">
        <f ca="1">Basis!W36</f>
        <v>56.116080449743677</v>
      </c>
      <c r="Y5" s="324">
        <f ca="1">Basis!X36</f>
        <v>0.16486468016718997</v>
      </c>
      <c r="Z5" s="324">
        <f ca="1">Basis!Y36</f>
        <v>0</v>
      </c>
      <c r="AA5" s="324">
        <f ca="1">Basis!Z36</f>
        <v>0</v>
      </c>
      <c r="AB5" s="324">
        <f ca="1">Basis!AA36</f>
        <v>0</v>
      </c>
      <c r="AC5" s="324">
        <f ca="1">Basis!AB36</f>
        <v>0</v>
      </c>
      <c r="AD5" s="324">
        <f ca="1">Basis!AC36</f>
        <v>0</v>
      </c>
      <c r="AE5" s="324">
        <f ca="1">Basis!AD36</f>
        <v>0</v>
      </c>
      <c r="AF5" s="324">
        <f ca="1">Basis!AE36</f>
        <v>0</v>
      </c>
      <c r="AG5" s="324">
        <f ca="1">Basis!AF36</f>
        <v>0</v>
      </c>
      <c r="AH5" s="324">
        <f ca="1">Basis!AG36</f>
        <v>0</v>
      </c>
      <c r="AI5" s="324">
        <f ca="1">Basis!AH36</f>
        <v>0</v>
      </c>
      <c r="AJ5" s="202"/>
      <c r="AK5" s="202"/>
      <c r="AL5" s="202"/>
      <c r="AM5" s="202"/>
      <c r="AN5" s="202"/>
      <c r="AO5" s="202"/>
      <c r="AP5" s="202"/>
      <c r="AQ5" s="202"/>
      <c r="AR5" s="202"/>
      <c r="AS5" s="202"/>
      <c r="AT5" s="202"/>
      <c r="AU5" s="202"/>
      <c r="AV5" s="203"/>
      <c r="AW5" s="203"/>
      <c r="AX5" s="203"/>
      <c r="AY5" s="203"/>
      <c r="AZ5" s="203"/>
      <c r="BA5" s="203"/>
      <c r="BB5" s="203"/>
      <c r="BC5" s="203"/>
      <c r="BD5" s="203"/>
      <c r="BE5" s="203"/>
      <c r="BF5" s="203"/>
      <c r="BG5" s="203"/>
      <c r="BH5" s="203"/>
      <c r="BI5" s="203"/>
      <c r="BJ5" s="203"/>
      <c r="BK5" s="203"/>
      <c r="BL5" s="203"/>
      <c r="BM5" s="203"/>
      <c r="BN5" s="203"/>
      <c r="BO5" s="203"/>
      <c r="BP5" s="203"/>
      <c r="BQ5" s="203"/>
      <c r="BR5" s="203"/>
      <c r="BS5" s="203"/>
      <c r="BT5" s="203"/>
      <c r="BU5" s="203"/>
      <c r="BV5" s="203"/>
      <c r="BW5" s="203"/>
      <c r="BX5" s="203"/>
      <c r="BY5" s="203"/>
      <c r="BZ5" s="203"/>
      <c r="CA5" s="203"/>
      <c r="CB5" s="203"/>
      <c r="CC5" s="203"/>
      <c r="CD5" s="203"/>
      <c r="CE5" s="203"/>
      <c r="CF5" s="203"/>
      <c r="CG5" s="203"/>
      <c r="CH5" s="203"/>
      <c r="CI5" s="203"/>
      <c r="CJ5" s="203"/>
      <c r="CK5" s="203"/>
      <c r="CL5" s="203"/>
      <c r="CM5" s="203"/>
      <c r="CN5" s="203"/>
      <c r="CO5" s="203"/>
      <c r="CP5" s="203"/>
      <c r="CQ5" s="203"/>
      <c r="CR5" s="203"/>
      <c r="CS5" s="203"/>
      <c r="CT5" s="203"/>
      <c r="CU5" s="203"/>
      <c r="CV5" s="203"/>
      <c r="CW5" s="203"/>
      <c r="CX5" s="203"/>
      <c r="CY5" s="203"/>
      <c r="CZ5" s="203"/>
      <c r="DA5" s="203"/>
      <c r="DB5" s="203"/>
      <c r="DC5" s="203"/>
      <c r="DD5" s="203"/>
      <c r="DE5" s="203"/>
      <c r="DF5" s="203"/>
      <c r="DG5" s="203"/>
      <c r="DH5" s="203"/>
      <c r="DI5" s="203"/>
      <c r="DJ5" s="203"/>
      <c r="DK5" s="203"/>
      <c r="DL5" s="203"/>
      <c r="DM5" s="203"/>
      <c r="DN5" s="203"/>
      <c r="DO5" s="203"/>
      <c r="DP5" s="203"/>
      <c r="DQ5" s="203"/>
      <c r="DR5" s="203"/>
      <c r="DS5" s="203"/>
      <c r="DT5" s="203"/>
      <c r="DU5" s="203"/>
      <c r="DV5" s="203"/>
      <c r="DW5" s="203"/>
      <c r="DX5" s="203"/>
      <c r="DY5" s="204"/>
      <c r="DZ5" s="204"/>
      <c r="EA5" s="204"/>
      <c r="EB5" s="204"/>
      <c r="EC5" s="204"/>
      <c r="ED5" s="204"/>
      <c r="EE5" s="204"/>
      <c r="EF5" s="204"/>
      <c r="EG5" s="204"/>
      <c r="EH5" s="204"/>
      <c r="EI5" s="204"/>
      <c r="EJ5" s="204"/>
      <c r="EK5" s="204"/>
      <c r="EL5" s="204"/>
      <c r="EM5" s="204"/>
      <c r="EN5" s="204"/>
    </row>
    <row r="6" spans="1:144" s="205" customFormat="1">
      <c r="A6" s="55"/>
      <c r="B6" t="s">
        <v>624</v>
      </c>
      <c r="C6"/>
      <c r="D6" s="201"/>
      <c r="E6" s="324">
        <f ca="1">Basis!D37</f>
        <v>0</v>
      </c>
      <c r="F6" s="324">
        <f ca="1">Basis!E37</f>
        <v>0</v>
      </c>
      <c r="G6" s="324">
        <f ca="1">Basis!F37</f>
        <v>0</v>
      </c>
      <c r="H6" s="324">
        <f ca="1">Basis!G37</f>
        <v>0</v>
      </c>
      <c r="I6" s="324">
        <f ca="1">Basis!H37</f>
        <v>0</v>
      </c>
      <c r="J6" s="324">
        <f ca="1">Basis!I37</f>
        <v>0</v>
      </c>
      <c r="K6" s="324">
        <f ca="1">Basis!J37</f>
        <v>0</v>
      </c>
      <c r="L6" s="324">
        <f ca="1">Basis!K37</f>
        <v>0</v>
      </c>
      <c r="M6" s="324">
        <f ca="1">Basis!L37</f>
        <v>0</v>
      </c>
      <c r="N6" s="324">
        <f ca="1">Basis!M37</f>
        <v>0</v>
      </c>
      <c r="O6" s="324">
        <f ca="1">Basis!N37</f>
        <v>0</v>
      </c>
      <c r="P6" s="324">
        <f ca="1">Basis!O37</f>
        <v>0</v>
      </c>
      <c r="Q6" s="324">
        <f ca="1">Basis!P37</f>
        <v>0</v>
      </c>
      <c r="R6" s="324">
        <f ca="1">Basis!Q37</f>
        <v>0</v>
      </c>
      <c r="S6" s="324">
        <f ca="1">Basis!R37</f>
        <v>0</v>
      </c>
      <c r="T6" s="324">
        <f ca="1">Basis!S37</f>
        <v>0</v>
      </c>
      <c r="U6" s="324">
        <f ca="1">Basis!T37</f>
        <v>0</v>
      </c>
      <c r="V6" s="324">
        <f ca="1">Basis!U37</f>
        <v>0</v>
      </c>
      <c r="W6" s="324">
        <f ca="1">Basis!V37</f>
        <v>0</v>
      </c>
      <c r="X6" s="324">
        <f ca="1">Basis!W37</f>
        <v>0</v>
      </c>
      <c r="Y6" s="324">
        <f ca="1">Basis!X37</f>
        <v>0</v>
      </c>
      <c r="Z6" s="324">
        <f ca="1">Basis!Y37</f>
        <v>0</v>
      </c>
      <c r="AA6" s="324">
        <f ca="1">Basis!Z37</f>
        <v>0</v>
      </c>
      <c r="AB6" s="324">
        <f ca="1">Basis!AA37</f>
        <v>0</v>
      </c>
      <c r="AC6" s="324">
        <f ca="1">Basis!AB37</f>
        <v>0</v>
      </c>
      <c r="AD6" s="324">
        <f ca="1">Basis!AC37</f>
        <v>0</v>
      </c>
      <c r="AE6" s="324">
        <f ca="1">Basis!AD37</f>
        <v>0</v>
      </c>
      <c r="AF6" s="324">
        <f ca="1">Basis!AE37</f>
        <v>0</v>
      </c>
      <c r="AG6" s="324">
        <f ca="1">Basis!AF37</f>
        <v>0</v>
      </c>
      <c r="AH6" s="324">
        <f ca="1">Basis!AG37</f>
        <v>0</v>
      </c>
      <c r="AI6" s="324">
        <f ca="1">Basis!AH37</f>
        <v>0</v>
      </c>
      <c r="AJ6" s="202"/>
      <c r="AK6" s="202"/>
      <c r="AL6" s="202"/>
      <c r="AM6" s="202"/>
      <c r="AN6" s="202"/>
      <c r="AO6" s="202"/>
      <c r="AP6" s="202"/>
      <c r="AQ6" s="202"/>
      <c r="AR6" s="202"/>
      <c r="AS6" s="202"/>
      <c r="AT6" s="202"/>
      <c r="AU6" s="202"/>
      <c r="AV6" s="203"/>
      <c r="AW6" s="203"/>
      <c r="AX6" s="203"/>
      <c r="AY6" s="203"/>
      <c r="AZ6" s="203"/>
      <c r="BA6" s="203"/>
      <c r="BB6" s="203"/>
      <c r="BC6" s="203"/>
      <c r="BD6" s="203"/>
      <c r="BE6" s="203"/>
      <c r="BF6" s="203"/>
      <c r="BG6" s="203"/>
      <c r="BH6" s="203"/>
      <c r="BI6" s="203"/>
      <c r="BJ6" s="203"/>
      <c r="BK6" s="203"/>
      <c r="BL6" s="203"/>
      <c r="BM6" s="203"/>
      <c r="BN6" s="203"/>
      <c r="BO6" s="203"/>
      <c r="BP6" s="203"/>
      <c r="BQ6" s="203"/>
      <c r="BR6" s="203"/>
      <c r="BS6" s="203"/>
      <c r="BT6" s="203"/>
      <c r="BU6" s="203"/>
      <c r="BV6" s="203"/>
      <c r="BW6" s="203"/>
      <c r="BX6" s="203"/>
      <c r="BY6" s="203"/>
      <c r="BZ6" s="203"/>
      <c r="CA6" s="203"/>
      <c r="CB6" s="203"/>
      <c r="CC6" s="203"/>
      <c r="CD6" s="203"/>
      <c r="CE6" s="203"/>
      <c r="CF6" s="203"/>
      <c r="CG6" s="203"/>
      <c r="CH6" s="203"/>
      <c r="CI6" s="203"/>
      <c r="CJ6" s="203"/>
      <c r="CK6" s="203"/>
      <c r="CL6" s="203"/>
      <c r="CM6" s="203"/>
      <c r="CN6" s="203"/>
      <c r="CO6" s="203"/>
      <c r="CP6" s="203"/>
      <c r="CQ6" s="203"/>
      <c r="CR6" s="203"/>
      <c r="CS6" s="203"/>
      <c r="CT6" s="203"/>
      <c r="CU6" s="203"/>
      <c r="CV6" s="203"/>
      <c r="CW6" s="203"/>
      <c r="CX6" s="203"/>
      <c r="CY6" s="203"/>
      <c r="CZ6" s="203"/>
      <c r="DA6" s="203"/>
      <c r="DB6" s="203"/>
      <c r="DC6" s="203"/>
      <c r="DD6" s="203"/>
      <c r="DE6" s="203"/>
      <c r="DF6" s="203"/>
      <c r="DG6" s="203"/>
      <c r="DH6" s="203"/>
      <c r="DI6" s="203"/>
      <c r="DJ6" s="203"/>
      <c r="DK6" s="203"/>
      <c r="DL6" s="203"/>
      <c r="DM6" s="203"/>
      <c r="DN6" s="203"/>
      <c r="DO6" s="203"/>
      <c r="DP6" s="203"/>
      <c r="DQ6" s="203"/>
      <c r="DR6" s="203"/>
      <c r="DS6" s="203"/>
      <c r="DT6" s="203"/>
      <c r="DU6" s="203"/>
      <c r="DV6" s="203"/>
      <c r="DW6" s="203"/>
      <c r="DX6" s="203"/>
      <c r="DY6" s="204"/>
      <c r="DZ6" s="204"/>
      <c r="EA6" s="204"/>
      <c r="EB6" s="204"/>
      <c r="EC6" s="204"/>
      <c r="ED6" s="204"/>
      <c r="EE6" s="204"/>
      <c r="EF6" s="204"/>
      <c r="EG6" s="204"/>
      <c r="EH6" s="204"/>
      <c r="EI6" s="204"/>
      <c r="EJ6" s="204"/>
      <c r="EK6" s="204"/>
      <c r="EL6" s="204"/>
      <c r="EM6" s="204"/>
      <c r="EN6" s="204"/>
    </row>
    <row r="7" spans="1:144" s="209" customFormat="1">
      <c r="A7" s="55"/>
      <c r="B7" t="s">
        <v>393</v>
      </c>
      <c r="C7"/>
      <c r="D7" s="206"/>
      <c r="E7" s="352">
        <f ca="1">SUM(E5:E6)</f>
        <v>-207.64785391162073</v>
      </c>
      <c r="F7" s="352">
        <f t="shared" ref="F7:AI7" ca="1" si="2">SUM(F5:F6)</f>
        <v>-371.04609523856101</v>
      </c>
      <c r="G7" s="352">
        <f t="shared" ca="1" si="2"/>
        <v>-212.93794792444447</v>
      </c>
      <c r="H7" s="352">
        <f t="shared" ca="1" si="2"/>
        <v>-117.99425598731005</v>
      </c>
      <c r="I7" s="352">
        <f t="shared" ca="1" si="2"/>
        <v>-117.03813482327993</v>
      </c>
      <c r="J7" s="352">
        <f t="shared" ca="1" si="2"/>
        <v>-42.205952994769447</v>
      </c>
      <c r="K7" s="352">
        <f t="shared" ca="1" si="2"/>
        <v>25.596741287573344</v>
      </c>
      <c r="L7" s="352">
        <f t="shared" ca="1" si="2"/>
        <v>27.204575372545733</v>
      </c>
      <c r="M7" s="352">
        <f t="shared" ca="1" si="2"/>
        <v>28.879417189537005</v>
      </c>
      <c r="N7" s="352">
        <f t="shared" ca="1" si="2"/>
        <v>31.48966812747587</v>
      </c>
      <c r="O7" s="352">
        <f t="shared" ca="1" si="2"/>
        <v>34.398153779476552</v>
      </c>
      <c r="P7" s="352">
        <f t="shared" ca="1" si="2"/>
        <v>37.805712263631676</v>
      </c>
      <c r="Q7" s="352">
        <f t="shared" ca="1" si="2"/>
        <v>41.473111859782549</v>
      </c>
      <c r="R7" s="352">
        <f t="shared" ca="1" si="2"/>
        <v>43.270887786639463</v>
      </c>
      <c r="S7" s="352">
        <f t="shared" ca="1" si="2"/>
        <v>45.115664670850599</v>
      </c>
      <c r="T7" s="352">
        <f t="shared" ca="1" si="2"/>
        <v>46.152262613664149</v>
      </c>
      <c r="U7" s="352">
        <f t="shared" ca="1" si="2"/>
        <v>48.885322443524288</v>
      </c>
      <c r="V7" s="352">
        <f t="shared" ca="1" si="2"/>
        <v>52.220549102968228</v>
      </c>
      <c r="W7" s="352">
        <f t="shared" ca="1" si="2"/>
        <v>56.874421908990023</v>
      </c>
      <c r="X7" s="352">
        <f t="shared" ca="1" si="2"/>
        <v>56.116080449743677</v>
      </c>
      <c r="Y7" s="352">
        <f t="shared" ca="1" si="2"/>
        <v>0.16486468016718997</v>
      </c>
      <c r="Z7" s="352">
        <f t="shared" ca="1" si="2"/>
        <v>0</v>
      </c>
      <c r="AA7" s="352">
        <f t="shared" ca="1" si="2"/>
        <v>0</v>
      </c>
      <c r="AB7" s="352">
        <f t="shared" ca="1" si="2"/>
        <v>0</v>
      </c>
      <c r="AC7" s="352">
        <f t="shared" ca="1" si="2"/>
        <v>0</v>
      </c>
      <c r="AD7" s="352">
        <f t="shared" ca="1" si="2"/>
        <v>0</v>
      </c>
      <c r="AE7" s="352">
        <f t="shared" ca="1" si="2"/>
        <v>0</v>
      </c>
      <c r="AF7" s="352">
        <f t="shared" ca="1" si="2"/>
        <v>0</v>
      </c>
      <c r="AG7" s="352">
        <f t="shared" ca="1" si="2"/>
        <v>0</v>
      </c>
      <c r="AH7" s="352">
        <f t="shared" ca="1" si="2"/>
        <v>0</v>
      </c>
      <c r="AI7" s="352">
        <f t="shared" ca="1" si="2"/>
        <v>0</v>
      </c>
      <c r="AJ7" s="207"/>
      <c r="AK7" s="207"/>
      <c r="AL7" s="207"/>
      <c r="AM7" s="207"/>
      <c r="AN7" s="207"/>
      <c r="AO7" s="207"/>
      <c r="AP7" s="207"/>
      <c r="AQ7" s="207"/>
      <c r="AR7" s="207"/>
      <c r="AS7" s="207"/>
      <c r="AT7" s="207"/>
      <c r="AU7" s="207"/>
      <c r="AV7" s="208"/>
      <c r="AW7" s="208"/>
      <c r="AX7" s="208"/>
      <c r="AY7" s="208"/>
      <c r="AZ7" s="208"/>
      <c r="BA7" s="208"/>
      <c r="BB7" s="208"/>
      <c r="BC7" s="208"/>
      <c r="BD7" s="208"/>
      <c r="BE7" s="208"/>
      <c r="BF7" s="208"/>
      <c r="BG7" s="208"/>
      <c r="BH7" s="208"/>
      <c r="BI7" s="208"/>
      <c r="BJ7" s="208"/>
      <c r="BK7" s="208"/>
      <c r="BL7" s="208"/>
      <c r="BM7" s="208"/>
      <c r="BN7" s="208"/>
      <c r="BO7" s="208"/>
      <c r="BP7" s="208"/>
      <c r="BQ7" s="208"/>
      <c r="BR7" s="208"/>
      <c r="BS7" s="208"/>
      <c r="BT7" s="208"/>
      <c r="BU7" s="208"/>
      <c r="BV7" s="208"/>
      <c r="BW7" s="208"/>
      <c r="BX7" s="208"/>
      <c r="BY7" s="208"/>
      <c r="BZ7" s="208"/>
      <c r="CA7" s="208"/>
      <c r="CB7" s="208"/>
      <c r="CC7" s="208"/>
      <c r="CD7" s="208"/>
      <c r="CE7" s="208"/>
      <c r="CF7" s="208"/>
      <c r="CG7" s="208"/>
      <c r="CH7" s="208"/>
      <c r="CI7" s="208"/>
      <c r="CJ7" s="208"/>
      <c r="CK7" s="208"/>
      <c r="CL7" s="208"/>
      <c r="CM7" s="208"/>
      <c r="CN7" s="208"/>
      <c r="CO7" s="208"/>
      <c r="CP7" s="208"/>
      <c r="CQ7" s="208"/>
      <c r="CR7" s="208"/>
      <c r="CS7" s="208"/>
      <c r="CT7" s="208"/>
      <c r="CU7" s="208"/>
      <c r="CV7" s="208"/>
      <c r="CW7" s="208"/>
      <c r="CX7" s="208"/>
      <c r="CY7" s="208"/>
      <c r="CZ7" s="208"/>
      <c r="DA7" s="208"/>
      <c r="DB7" s="208"/>
      <c r="DC7" s="208"/>
      <c r="DD7" s="208"/>
      <c r="DE7" s="208"/>
      <c r="DF7" s="208"/>
      <c r="DG7" s="208"/>
      <c r="DH7" s="208"/>
      <c r="DI7" s="208"/>
      <c r="DJ7" s="208"/>
      <c r="DK7" s="208"/>
      <c r="DL7" s="208"/>
      <c r="DM7" s="208"/>
      <c r="DN7" s="208"/>
      <c r="DO7" s="208"/>
      <c r="DP7" s="208"/>
      <c r="DQ7" s="208"/>
      <c r="DR7" s="208"/>
      <c r="DS7" s="208"/>
      <c r="DT7" s="208"/>
      <c r="DU7" s="208"/>
      <c r="DV7" s="208"/>
      <c r="DW7" s="208"/>
      <c r="DX7" s="208"/>
      <c r="DY7" s="208"/>
      <c r="DZ7" s="208"/>
      <c r="EA7" s="208"/>
      <c r="EB7" s="208"/>
      <c r="EC7" s="208"/>
      <c r="ED7" s="208"/>
      <c r="EE7" s="208"/>
      <c r="EF7" s="208"/>
      <c r="EG7" s="208"/>
      <c r="EH7" s="208"/>
      <c r="EI7" s="208"/>
      <c r="EJ7" s="208"/>
      <c r="EK7" s="208"/>
      <c r="EL7" s="208"/>
      <c r="EM7" s="208"/>
      <c r="EN7" s="208"/>
    </row>
    <row r="8" spans="1:144" s="211" customFormat="1">
      <c r="A8" s="55"/>
      <c r="B8" t="s">
        <v>537</v>
      </c>
      <c r="C8"/>
      <c r="D8" s="210"/>
      <c r="E8" s="501">
        <f>Assum!$E$203</f>
        <v>0.39549999999999996</v>
      </c>
      <c r="F8" s="501">
        <f>Assum!$E$203</f>
        <v>0.39549999999999996</v>
      </c>
      <c r="G8" s="501">
        <f>Assum!$E$203</f>
        <v>0.39549999999999996</v>
      </c>
      <c r="H8" s="501">
        <f>Assum!$E$203</f>
        <v>0.39549999999999996</v>
      </c>
      <c r="I8" s="501">
        <f>Assum!$E$203</f>
        <v>0.39549999999999996</v>
      </c>
      <c r="J8" s="501">
        <f>Assum!$E$203</f>
        <v>0.39549999999999996</v>
      </c>
      <c r="K8" s="501">
        <f>Assum!$E$203</f>
        <v>0.39549999999999996</v>
      </c>
      <c r="L8" s="501">
        <f>Assum!$E$203</f>
        <v>0.39549999999999996</v>
      </c>
      <c r="M8" s="501">
        <f>Assum!$E$203</f>
        <v>0.39549999999999996</v>
      </c>
      <c r="N8" s="501">
        <f>Assum!$E$203</f>
        <v>0.39549999999999996</v>
      </c>
      <c r="O8" s="501">
        <f>Assum!$E$203</f>
        <v>0.39549999999999996</v>
      </c>
      <c r="P8" s="501">
        <f>Assum!$E$203</f>
        <v>0.39549999999999996</v>
      </c>
      <c r="Q8" s="501">
        <f>Assum!$E$203</f>
        <v>0.39549999999999996</v>
      </c>
      <c r="R8" s="501">
        <f>Assum!$E$203</f>
        <v>0.39549999999999996</v>
      </c>
      <c r="S8" s="501">
        <f>Assum!$E$203</f>
        <v>0.39549999999999996</v>
      </c>
      <c r="T8" s="501">
        <f>Assum!$E$203</f>
        <v>0.39549999999999996</v>
      </c>
      <c r="U8" s="501">
        <f>Assum!$E$203</f>
        <v>0.39549999999999996</v>
      </c>
      <c r="V8" s="501">
        <f>Assum!$E$203</f>
        <v>0.39549999999999996</v>
      </c>
      <c r="W8" s="501">
        <f>Assum!$E$203</f>
        <v>0.39549999999999996</v>
      </c>
      <c r="X8" s="501">
        <f>Assum!$E$203</f>
        <v>0.39549999999999996</v>
      </c>
      <c r="Y8" s="501">
        <f>Assum!$E$203</f>
        <v>0.39549999999999996</v>
      </c>
      <c r="Z8" s="501">
        <f>Assum!$E$203</f>
        <v>0.39549999999999996</v>
      </c>
      <c r="AA8" s="501">
        <f>Assum!$E$203</f>
        <v>0.39549999999999996</v>
      </c>
      <c r="AB8" s="501">
        <f>Assum!$E$203</f>
        <v>0.39549999999999996</v>
      </c>
      <c r="AC8" s="501">
        <f>Assum!$E$203</f>
        <v>0.39549999999999996</v>
      </c>
      <c r="AD8" s="501">
        <f>Assum!$E$203</f>
        <v>0.39549999999999996</v>
      </c>
      <c r="AE8" s="501">
        <f>Assum!$E$203</f>
        <v>0.39549999999999996</v>
      </c>
      <c r="AF8" s="501">
        <f>Assum!$E$203</f>
        <v>0.39549999999999996</v>
      </c>
      <c r="AG8" s="501">
        <f>Assum!$E$203</f>
        <v>0.39549999999999996</v>
      </c>
      <c r="AH8" s="501">
        <f>Assum!$E$203</f>
        <v>0.39549999999999996</v>
      </c>
      <c r="AI8" s="501">
        <f>Assum!$E$203</f>
        <v>0.39549999999999996</v>
      </c>
      <c r="AJ8" s="210"/>
      <c r="AK8" s="210"/>
      <c r="AL8" s="210"/>
      <c r="AM8" s="210"/>
      <c r="AN8" s="210"/>
      <c r="AO8" s="210"/>
      <c r="AP8" s="210"/>
      <c r="AQ8" s="210"/>
      <c r="AR8" s="210"/>
      <c r="AS8" s="210"/>
      <c r="AT8" s="210"/>
      <c r="AU8" s="210"/>
      <c r="AV8" s="210"/>
      <c r="AW8" s="210"/>
      <c r="AX8" s="210"/>
      <c r="AY8" s="210"/>
      <c r="AZ8" s="210"/>
      <c r="BA8" s="210"/>
      <c r="BB8" s="210"/>
      <c r="BC8" s="210"/>
      <c r="BD8" s="210"/>
      <c r="BE8" s="210"/>
      <c r="BF8" s="210"/>
      <c r="BG8" s="210"/>
      <c r="BH8" s="210"/>
      <c r="BI8" s="210"/>
      <c r="BJ8" s="210"/>
      <c r="BK8" s="210"/>
      <c r="BL8" s="210"/>
      <c r="BM8" s="210"/>
      <c r="BN8" s="210"/>
      <c r="BO8" s="210"/>
      <c r="BP8" s="210"/>
      <c r="BQ8" s="210"/>
      <c r="BR8" s="210"/>
      <c r="BS8" s="210"/>
      <c r="BT8" s="210"/>
      <c r="BU8" s="210"/>
      <c r="BV8" s="210"/>
      <c r="BW8" s="210"/>
      <c r="BX8" s="210"/>
      <c r="BY8" s="210"/>
      <c r="BZ8" s="210"/>
      <c r="CA8" s="210"/>
      <c r="CB8" s="210"/>
      <c r="CC8" s="210"/>
      <c r="CD8" s="210"/>
      <c r="CE8" s="210"/>
      <c r="CF8" s="210"/>
      <c r="CG8" s="210"/>
      <c r="CH8" s="210"/>
      <c r="CI8" s="210"/>
      <c r="CJ8" s="210"/>
      <c r="CK8" s="210"/>
      <c r="CL8" s="210"/>
      <c r="CM8" s="210"/>
      <c r="CN8" s="210"/>
      <c r="CO8" s="210"/>
      <c r="CP8" s="210"/>
      <c r="CQ8" s="210"/>
      <c r="CR8" s="210"/>
      <c r="CS8" s="210"/>
      <c r="CT8" s="210"/>
      <c r="CU8" s="210"/>
      <c r="CV8" s="210"/>
      <c r="CW8" s="210"/>
      <c r="CX8" s="210"/>
      <c r="CY8" s="210"/>
      <c r="CZ8" s="210"/>
      <c r="DA8" s="210"/>
      <c r="DB8" s="210"/>
      <c r="DC8" s="210"/>
      <c r="DD8" s="210"/>
      <c r="DE8" s="210"/>
      <c r="DF8" s="210"/>
      <c r="DG8" s="210"/>
      <c r="DH8" s="210"/>
      <c r="DI8" s="210"/>
      <c r="DJ8" s="210"/>
      <c r="DK8" s="210"/>
      <c r="DL8" s="210"/>
      <c r="DM8" s="210"/>
      <c r="DN8" s="210"/>
      <c r="DO8" s="210"/>
      <c r="DP8" s="210"/>
      <c r="DQ8" s="210"/>
      <c r="DR8" s="210"/>
      <c r="DS8" s="210"/>
      <c r="DT8" s="210"/>
      <c r="DU8" s="210"/>
      <c r="DV8" s="210"/>
      <c r="DW8" s="210"/>
      <c r="DX8" s="210"/>
      <c r="DY8" s="210"/>
      <c r="DZ8" s="210"/>
      <c r="EA8" s="210"/>
      <c r="EB8" s="210"/>
      <c r="EC8" s="210"/>
      <c r="ED8" s="210"/>
      <c r="EE8" s="210"/>
      <c r="EF8" s="210"/>
      <c r="EG8" s="210"/>
      <c r="EH8" s="210"/>
      <c r="EI8" s="210"/>
      <c r="EJ8" s="210"/>
      <c r="EK8" s="210"/>
      <c r="EL8" s="210"/>
      <c r="EM8" s="210"/>
      <c r="EN8" s="210"/>
    </row>
    <row r="9" spans="1:144" s="610" customFormat="1">
      <c r="A9" s="55"/>
      <c r="B9" s="450" t="s">
        <v>394</v>
      </c>
      <c r="C9" s="450"/>
      <c r="D9" s="607"/>
      <c r="E9" s="608">
        <f t="shared" ref="E9:AI9" ca="1" si="3">-E7*E8</f>
        <v>82.124726222045993</v>
      </c>
      <c r="F9" s="608">
        <f t="shared" ca="1" si="3"/>
        <v>146.74873066685086</v>
      </c>
      <c r="G9" s="608">
        <f t="shared" ca="1" si="3"/>
        <v>84.216958404117776</v>
      </c>
      <c r="H9" s="608">
        <f t="shared" ca="1" si="3"/>
        <v>46.666728242981122</v>
      </c>
      <c r="I9" s="608">
        <f t="shared" ca="1" si="3"/>
        <v>46.288582322607212</v>
      </c>
      <c r="J9" s="608">
        <f t="shared" ca="1" si="3"/>
        <v>16.692454409431313</v>
      </c>
      <c r="K9" s="608">
        <f t="shared" ca="1" si="3"/>
        <v>-10.123511179235257</v>
      </c>
      <c r="L9" s="608">
        <f t="shared" ca="1" si="3"/>
        <v>-10.759409559841837</v>
      </c>
      <c r="M9" s="608">
        <f t="shared" ca="1" si="3"/>
        <v>-11.421809498461885</v>
      </c>
      <c r="N9" s="608">
        <f t="shared" ca="1" si="3"/>
        <v>-12.454163744416705</v>
      </c>
      <c r="O9" s="608">
        <f t="shared" ca="1" si="3"/>
        <v>-13.604469819782976</v>
      </c>
      <c r="P9" s="608">
        <f t="shared" ca="1" si="3"/>
        <v>-14.952159200266326</v>
      </c>
      <c r="Q9" s="608">
        <f t="shared" ca="1" si="3"/>
        <v>-16.402615740543997</v>
      </c>
      <c r="R9" s="608">
        <f t="shared" ca="1" si="3"/>
        <v>-17.113636119615904</v>
      </c>
      <c r="S9" s="608">
        <f t="shared" ca="1" si="3"/>
        <v>-17.843245377321409</v>
      </c>
      <c r="T9" s="608">
        <f t="shared" ca="1" si="3"/>
        <v>-18.253219863704171</v>
      </c>
      <c r="U9" s="608">
        <f t="shared" ca="1" si="3"/>
        <v>-19.334145026413854</v>
      </c>
      <c r="V9" s="608">
        <f t="shared" ca="1" si="3"/>
        <v>-20.653227170223932</v>
      </c>
      <c r="W9" s="608">
        <f t="shared" ca="1" si="3"/>
        <v>-22.493833865005552</v>
      </c>
      <c r="X9" s="608">
        <f t="shared" ca="1" si="3"/>
        <v>-22.193909817873621</v>
      </c>
      <c r="Y9" s="608">
        <f t="shared" ca="1" si="3"/>
        <v>-6.5203981006123624E-2</v>
      </c>
      <c r="Z9" s="608">
        <f t="shared" ca="1" si="3"/>
        <v>0</v>
      </c>
      <c r="AA9" s="608">
        <f t="shared" ca="1" si="3"/>
        <v>0</v>
      </c>
      <c r="AB9" s="608">
        <f t="shared" ca="1" si="3"/>
        <v>0</v>
      </c>
      <c r="AC9" s="608">
        <f t="shared" ca="1" si="3"/>
        <v>0</v>
      </c>
      <c r="AD9" s="608">
        <f t="shared" ca="1" si="3"/>
        <v>0</v>
      </c>
      <c r="AE9" s="608">
        <f t="shared" ca="1" si="3"/>
        <v>0</v>
      </c>
      <c r="AF9" s="608">
        <f t="shared" ca="1" si="3"/>
        <v>0</v>
      </c>
      <c r="AG9" s="608">
        <f t="shared" ca="1" si="3"/>
        <v>0</v>
      </c>
      <c r="AH9" s="608">
        <f t="shared" ca="1" si="3"/>
        <v>0</v>
      </c>
      <c r="AI9" s="608">
        <f t="shared" ca="1" si="3"/>
        <v>0</v>
      </c>
      <c r="AJ9" s="608"/>
      <c r="AK9" s="608"/>
      <c r="AL9" s="608"/>
      <c r="AM9" s="608"/>
      <c r="AN9" s="608"/>
      <c r="AO9" s="608"/>
      <c r="AP9" s="608"/>
      <c r="AQ9" s="608"/>
      <c r="AR9" s="608"/>
      <c r="AS9" s="608"/>
      <c r="AT9" s="608"/>
      <c r="AU9" s="608"/>
      <c r="AV9" s="609"/>
      <c r="AW9" s="609"/>
      <c r="AX9" s="609"/>
      <c r="AY9" s="609"/>
      <c r="AZ9" s="609"/>
      <c r="BA9" s="609"/>
      <c r="BB9" s="609"/>
      <c r="BC9" s="609"/>
      <c r="BD9" s="609"/>
      <c r="BE9" s="609"/>
      <c r="BF9" s="609"/>
      <c r="BG9" s="609"/>
      <c r="BH9" s="609"/>
      <c r="BI9" s="609"/>
      <c r="BJ9" s="609"/>
      <c r="BK9" s="609"/>
      <c r="BL9" s="609"/>
      <c r="BM9" s="609"/>
      <c r="BN9" s="609"/>
      <c r="BO9" s="609"/>
      <c r="BP9" s="609"/>
      <c r="BQ9" s="609"/>
      <c r="BR9" s="609"/>
      <c r="BS9" s="609"/>
      <c r="BT9" s="609"/>
      <c r="BU9" s="609"/>
      <c r="BV9" s="609"/>
      <c r="BW9" s="609"/>
      <c r="BX9" s="609"/>
      <c r="BY9" s="609"/>
      <c r="BZ9" s="609"/>
      <c r="CA9" s="609"/>
      <c r="CB9" s="609"/>
      <c r="CC9" s="609"/>
      <c r="CD9" s="609"/>
      <c r="CE9" s="609"/>
      <c r="CF9" s="609"/>
      <c r="CG9" s="609"/>
      <c r="CH9" s="609"/>
      <c r="CI9" s="609"/>
      <c r="CJ9" s="609"/>
      <c r="CK9" s="609"/>
      <c r="CL9" s="609"/>
      <c r="CM9" s="609"/>
      <c r="CN9" s="609"/>
      <c r="CO9" s="609"/>
      <c r="CP9" s="609"/>
      <c r="CQ9" s="609"/>
      <c r="CR9" s="609"/>
      <c r="CS9" s="609"/>
      <c r="CT9" s="609"/>
      <c r="CU9" s="609"/>
      <c r="CV9" s="609"/>
      <c r="CW9" s="609"/>
      <c r="CX9" s="609"/>
      <c r="CY9" s="609"/>
      <c r="CZ9" s="609"/>
      <c r="DA9" s="609"/>
      <c r="DB9" s="609"/>
      <c r="DC9" s="609"/>
      <c r="DD9" s="609"/>
      <c r="DE9" s="609"/>
      <c r="DF9" s="609"/>
      <c r="DG9" s="609"/>
      <c r="DH9" s="609"/>
      <c r="DI9" s="609"/>
      <c r="DJ9" s="609"/>
      <c r="DK9" s="609"/>
      <c r="DL9" s="609"/>
      <c r="DM9" s="609"/>
      <c r="DN9" s="609"/>
      <c r="DO9" s="609"/>
      <c r="DP9" s="609"/>
      <c r="DQ9" s="609"/>
      <c r="DR9" s="609"/>
      <c r="DS9" s="609"/>
      <c r="DT9" s="609"/>
      <c r="DU9" s="609"/>
      <c r="DV9" s="609"/>
      <c r="DW9" s="609"/>
      <c r="DX9" s="609"/>
      <c r="DY9" s="609"/>
      <c r="DZ9" s="609"/>
      <c r="EA9" s="609"/>
      <c r="EB9" s="609"/>
      <c r="EC9" s="609"/>
      <c r="ED9" s="609"/>
      <c r="EE9" s="609"/>
      <c r="EF9" s="609"/>
      <c r="EG9" s="609"/>
      <c r="EH9" s="609"/>
      <c r="EI9" s="609"/>
      <c r="EJ9" s="609"/>
      <c r="EK9" s="609"/>
      <c r="EL9" s="609"/>
      <c r="EM9" s="609"/>
      <c r="EN9" s="609"/>
    </row>
    <row r="10" spans="1:144" s="209" customFormat="1">
      <c r="A10" s="55"/>
      <c r="B10" s="450"/>
      <c r="C10" s="450"/>
      <c r="D10" s="206"/>
      <c r="E10" s="207"/>
      <c r="F10" s="207"/>
      <c r="G10" s="207"/>
      <c r="H10" s="207"/>
      <c r="I10" s="207"/>
      <c r="J10" s="207"/>
      <c r="K10" s="207"/>
      <c r="L10" s="207"/>
      <c r="M10" s="207"/>
      <c r="N10" s="207"/>
      <c r="O10" s="207"/>
      <c r="P10" s="207"/>
      <c r="Q10" s="207"/>
      <c r="R10" s="207"/>
      <c r="S10" s="207"/>
      <c r="T10" s="207"/>
      <c r="U10" s="207"/>
      <c r="V10" s="207"/>
      <c r="W10" s="207"/>
      <c r="X10" s="207"/>
      <c r="Y10" s="207"/>
      <c r="Z10" s="207"/>
      <c r="AA10" s="207"/>
      <c r="AB10" s="207"/>
      <c r="AC10" s="207"/>
      <c r="AD10" s="207"/>
      <c r="AE10" s="207"/>
      <c r="AF10" s="207"/>
      <c r="AG10" s="207"/>
      <c r="AH10" s="207"/>
      <c r="AI10" s="207"/>
      <c r="AJ10" s="207"/>
      <c r="AK10" s="207"/>
      <c r="AL10" s="207"/>
      <c r="AM10" s="207"/>
      <c r="AN10" s="207"/>
      <c r="AO10" s="207"/>
      <c r="AP10" s="207"/>
      <c r="AQ10" s="207"/>
      <c r="AR10" s="207"/>
      <c r="AS10" s="207"/>
      <c r="AT10" s="207"/>
      <c r="AU10" s="207"/>
      <c r="AV10" s="208"/>
      <c r="AW10" s="208"/>
      <c r="AX10" s="208"/>
      <c r="AY10" s="208"/>
      <c r="AZ10" s="208"/>
      <c r="BA10" s="208"/>
      <c r="BB10" s="208"/>
      <c r="BC10" s="208"/>
      <c r="BD10" s="208"/>
      <c r="BE10" s="208"/>
      <c r="BF10" s="208"/>
      <c r="BG10" s="208"/>
      <c r="BH10" s="208"/>
      <c r="BI10" s="208"/>
      <c r="BJ10" s="208"/>
      <c r="BK10" s="208"/>
      <c r="BL10" s="208"/>
      <c r="BM10" s="208"/>
      <c r="BN10" s="208"/>
      <c r="BO10" s="208"/>
      <c r="BP10" s="208"/>
      <c r="BQ10" s="208"/>
      <c r="BR10" s="208"/>
      <c r="BS10" s="208"/>
      <c r="BT10" s="208"/>
      <c r="BU10" s="208"/>
      <c r="BV10" s="208"/>
      <c r="BW10" s="208"/>
      <c r="BX10" s="208"/>
      <c r="BY10" s="208"/>
      <c r="BZ10" s="208"/>
      <c r="CA10" s="208"/>
      <c r="CB10" s="208"/>
      <c r="CC10" s="208"/>
      <c r="CD10" s="208"/>
      <c r="CE10" s="208"/>
      <c r="CF10" s="208"/>
      <c r="CG10" s="208"/>
      <c r="CH10" s="208"/>
      <c r="CI10" s="208"/>
      <c r="CJ10" s="208"/>
      <c r="CK10" s="208"/>
      <c r="CL10" s="208"/>
      <c r="CM10" s="208"/>
      <c r="CN10" s="208"/>
      <c r="CO10" s="208"/>
      <c r="CP10" s="208"/>
      <c r="CQ10" s="208"/>
      <c r="CR10" s="208"/>
      <c r="CS10" s="208"/>
      <c r="CT10" s="208"/>
      <c r="CU10" s="208"/>
      <c r="CV10" s="208"/>
      <c r="CW10" s="208"/>
      <c r="CX10" s="208"/>
      <c r="CY10" s="208"/>
      <c r="CZ10" s="208"/>
      <c r="DA10" s="208"/>
      <c r="DB10" s="208"/>
      <c r="DC10" s="208"/>
      <c r="DD10" s="208"/>
      <c r="DE10" s="208"/>
      <c r="DF10" s="208"/>
      <c r="DG10" s="208"/>
      <c r="DH10" s="208"/>
      <c r="DI10" s="208"/>
      <c r="DJ10" s="208"/>
      <c r="DK10" s="208"/>
      <c r="DL10" s="208"/>
      <c r="DM10" s="208"/>
      <c r="DN10" s="208"/>
      <c r="DO10" s="208"/>
      <c r="DP10" s="208"/>
      <c r="DQ10" s="208"/>
      <c r="DR10" s="208"/>
      <c r="DS10" s="208"/>
      <c r="DT10" s="208"/>
      <c r="DU10" s="208"/>
      <c r="DV10" s="208"/>
      <c r="DW10" s="208"/>
      <c r="DX10" s="208"/>
      <c r="DY10" s="208"/>
      <c r="DZ10" s="208"/>
      <c r="EA10" s="208"/>
      <c r="EB10" s="208"/>
      <c r="EC10" s="208"/>
      <c r="ED10" s="208"/>
      <c r="EE10" s="208"/>
      <c r="EF10" s="208"/>
      <c r="EG10" s="208"/>
      <c r="EH10" s="208"/>
      <c r="EI10" s="208"/>
      <c r="EJ10" s="208"/>
      <c r="EK10" s="208"/>
      <c r="EL10" s="208"/>
      <c r="EM10" s="208"/>
      <c r="EN10" s="208"/>
    </row>
    <row r="11" spans="1:144" s="65" customFormat="1">
      <c r="A11" s="55"/>
      <c r="B11" s="495" t="s">
        <v>396</v>
      </c>
      <c r="C11" s="495"/>
      <c r="D11" s="194"/>
      <c r="E11" s="195"/>
      <c r="F11" s="195"/>
      <c r="G11" s="195"/>
      <c r="H11" s="195"/>
      <c r="I11" s="195"/>
      <c r="J11" s="195"/>
      <c r="K11" s="195"/>
      <c r="L11" s="195"/>
      <c r="M11" s="195"/>
      <c r="N11" s="195"/>
      <c r="O11" s="195"/>
      <c r="P11" s="195"/>
      <c r="Q11" s="195"/>
      <c r="R11" s="195"/>
      <c r="S11" s="195"/>
      <c r="T11" s="195"/>
      <c r="U11" s="195"/>
      <c r="V11" s="195"/>
      <c r="W11" s="195"/>
      <c r="X11" s="195"/>
      <c r="Y11" s="195"/>
      <c r="Z11" s="195"/>
      <c r="AA11" s="195"/>
      <c r="AB11" s="195"/>
      <c r="AC11" s="195"/>
      <c r="AD11" s="195"/>
      <c r="AE11" s="195"/>
      <c r="AF11" s="195"/>
      <c r="AG11" s="195"/>
      <c r="AH11" s="195"/>
      <c r="AI11" s="195"/>
      <c r="AJ11" s="195"/>
      <c r="AK11" s="195"/>
      <c r="AL11" s="195"/>
      <c r="AM11" s="195"/>
      <c r="AN11" s="195"/>
      <c r="AO11" s="195"/>
      <c r="AP11" s="195"/>
      <c r="AQ11" s="195"/>
      <c r="AR11" s="195"/>
      <c r="AS11" s="195"/>
      <c r="AT11" s="195"/>
      <c r="AU11" s="195"/>
      <c r="AV11" s="196"/>
      <c r="AW11" s="196"/>
      <c r="AX11" s="196"/>
      <c r="AY11" s="196"/>
      <c r="AZ11" s="196"/>
      <c r="BA11" s="196"/>
      <c r="BB11" s="196"/>
      <c r="BC11" s="196"/>
      <c r="BD11" s="196"/>
      <c r="BE11" s="196"/>
      <c r="BF11" s="196"/>
      <c r="BG11" s="196"/>
      <c r="BH11" s="196"/>
      <c r="BI11" s="196"/>
      <c r="BJ11" s="196"/>
      <c r="BK11" s="196"/>
      <c r="BL11" s="196"/>
      <c r="BM11" s="196"/>
      <c r="BN11" s="196"/>
      <c r="BO11" s="196"/>
      <c r="BP11" s="196"/>
      <c r="BQ11" s="196"/>
      <c r="BR11" s="196"/>
      <c r="BS11" s="196"/>
      <c r="BT11" s="196"/>
      <c r="BU11" s="196"/>
      <c r="BV11" s="196"/>
      <c r="BW11" s="196"/>
      <c r="BX11" s="196"/>
      <c r="BY11" s="196"/>
      <c r="BZ11" s="196"/>
      <c r="CA11" s="196"/>
      <c r="CB11" s="196"/>
      <c r="CC11" s="196"/>
      <c r="CD11" s="196"/>
      <c r="CE11" s="196"/>
      <c r="CF11" s="196"/>
      <c r="CG11" s="196"/>
      <c r="CH11" s="196"/>
      <c r="CI11" s="196"/>
      <c r="CJ11" s="196"/>
      <c r="CK11" s="196"/>
      <c r="CL11" s="196"/>
      <c r="CM11" s="196"/>
      <c r="CN11" s="196"/>
      <c r="CO11" s="196"/>
      <c r="CP11" s="196"/>
      <c r="CQ11" s="196"/>
      <c r="CR11" s="196"/>
      <c r="CS11" s="196"/>
      <c r="CT11" s="196"/>
      <c r="CU11" s="196"/>
      <c r="CV11" s="196"/>
      <c r="CW11" s="196"/>
      <c r="CX11" s="196"/>
      <c r="CY11" s="196"/>
      <c r="CZ11" s="196"/>
      <c r="DA11" s="196"/>
      <c r="DB11" s="196"/>
      <c r="DC11" s="196"/>
      <c r="DD11" s="196"/>
      <c r="DE11" s="196"/>
      <c r="DF11" s="196"/>
      <c r="DG11" s="196"/>
      <c r="DH11" s="196"/>
      <c r="DI11" s="196"/>
      <c r="DJ11" s="196"/>
      <c r="DK11" s="196"/>
      <c r="DL11" s="196"/>
      <c r="DM11" s="196"/>
      <c r="DN11" s="196"/>
      <c r="DO11" s="196"/>
      <c r="DP11" s="196"/>
      <c r="DQ11" s="196"/>
      <c r="DR11" s="196"/>
      <c r="DS11" s="196"/>
      <c r="DT11" s="196"/>
      <c r="DU11" s="196"/>
      <c r="DV11" s="196"/>
      <c r="DW11" s="196"/>
      <c r="DX11" s="196"/>
      <c r="DY11" s="190"/>
      <c r="DZ11" s="190"/>
      <c r="EA11" s="190"/>
      <c r="EB11" s="190"/>
      <c r="EC11" s="190"/>
      <c r="ED11" s="190"/>
      <c r="EE11" s="190"/>
      <c r="EF11" s="190"/>
      <c r="EG11" s="190"/>
      <c r="EH11" s="190"/>
      <c r="EI11" s="190"/>
      <c r="EJ11" s="190"/>
      <c r="EK11" s="190"/>
      <c r="EL11" s="190"/>
      <c r="EM11" s="190"/>
      <c r="EN11" s="190"/>
    </row>
    <row r="12" spans="1:144" s="308" customFormat="1">
      <c r="A12" s="55"/>
      <c r="B12" s="322" t="s">
        <v>113</v>
      </c>
      <c r="C12" s="322"/>
      <c r="D12" s="604"/>
      <c r="E12" s="352">
        <f>CashFlow!E70</f>
        <v>8417.9504699999998</v>
      </c>
      <c r="F12" s="352">
        <f>CashFlow!F70</f>
        <v>8441.3988000000008</v>
      </c>
      <c r="G12" s="352">
        <f>CashFlow!G70</f>
        <v>8441.3988000000008</v>
      </c>
      <c r="H12" s="352">
        <f>CashFlow!H70</f>
        <v>8910.3653999999988</v>
      </c>
      <c r="I12" s="352">
        <f>CashFlow!I70</f>
        <v>8910.3653999999988</v>
      </c>
      <c r="J12" s="352">
        <f>CashFlow!J70</f>
        <v>8910.3653999999988</v>
      </c>
      <c r="K12" s="352">
        <f>CashFlow!K70</f>
        <v>9379.3320000000003</v>
      </c>
      <c r="L12" s="352">
        <f>CashFlow!L70</f>
        <v>9379.3320000000003</v>
      </c>
      <c r="M12" s="352">
        <f>CashFlow!M70</f>
        <v>9848.2986000000001</v>
      </c>
      <c r="N12" s="352">
        <f>CashFlow!N70</f>
        <v>9848.2986000000001</v>
      </c>
      <c r="O12" s="352">
        <f>CashFlow!O70</f>
        <v>28.659069999999897</v>
      </c>
      <c r="P12" s="352">
        <f>CashFlow!P70</f>
        <v>0</v>
      </c>
      <c r="Q12" s="352">
        <f>CashFlow!Q70</f>
        <v>0</v>
      </c>
      <c r="R12" s="352">
        <f>CashFlow!R70</f>
        <v>0</v>
      </c>
      <c r="S12" s="352">
        <f>CashFlow!S70</f>
        <v>0</v>
      </c>
      <c r="T12" s="352">
        <f>CashFlow!T70</f>
        <v>0</v>
      </c>
      <c r="U12" s="352">
        <f>CashFlow!U70</f>
        <v>0</v>
      </c>
      <c r="V12" s="352">
        <f>CashFlow!V70</f>
        <v>0</v>
      </c>
      <c r="W12" s="352">
        <f>CashFlow!W70</f>
        <v>0</v>
      </c>
      <c r="X12" s="352">
        <f>CashFlow!X70</f>
        <v>0</v>
      </c>
      <c r="Y12" s="352">
        <f>CashFlow!Y70</f>
        <v>0</v>
      </c>
      <c r="Z12" s="352">
        <f>CashFlow!Z70</f>
        <v>0</v>
      </c>
      <c r="AA12" s="352">
        <f>CashFlow!AA70</f>
        <v>0</v>
      </c>
      <c r="AB12" s="352">
        <f>CashFlow!AB70</f>
        <v>0</v>
      </c>
      <c r="AC12" s="352">
        <f>CashFlow!AC70</f>
        <v>0</v>
      </c>
      <c r="AD12" s="352">
        <f>CashFlow!AD70</f>
        <v>0</v>
      </c>
      <c r="AE12" s="352">
        <f>CashFlow!AE70</f>
        <v>0</v>
      </c>
      <c r="AF12" s="352">
        <f>CashFlow!AF70</f>
        <v>0</v>
      </c>
      <c r="AG12" s="352">
        <f>CashFlow!AG70</f>
        <v>0</v>
      </c>
      <c r="AH12" s="352">
        <f>CashFlow!AH70</f>
        <v>0</v>
      </c>
      <c r="AI12" s="352">
        <f>CashFlow!AI70</f>
        <v>0</v>
      </c>
      <c r="AJ12" s="352"/>
      <c r="AK12" s="352"/>
      <c r="AL12" s="352"/>
      <c r="AM12" s="352"/>
      <c r="AN12" s="352"/>
      <c r="AO12" s="352"/>
      <c r="AP12" s="352"/>
      <c r="AQ12" s="352"/>
      <c r="AR12" s="352"/>
      <c r="AS12" s="352"/>
      <c r="AT12" s="352"/>
      <c r="AU12" s="352"/>
      <c r="AV12" s="307"/>
      <c r="AW12" s="307"/>
      <c r="AX12" s="307"/>
      <c r="AY12" s="307"/>
      <c r="AZ12" s="307"/>
      <c r="BA12" s="307"/>
      <c r="BB12" s="307"/>
      <c r="BC12" s="307"/>
      <c r="BD12" s="307"/>
      <c r="BE12" s="307"/>
      <c r="BF12" s="307"/>
      <c r="BG12" s="307"/>
      <c r="BH12" s="307"/>
      <c r="BI12" s="307"/>
      <c r="BJ12" s="307"/>
      <c r="BK12" s="307"/>
      <c r="BL12" s="307"/>
      <c r="BM12" s="307"/>
      <c r="BN12" s="307"/>
      <c r="BO12" s="307"/>
      <c r="BP12" s="307"/>
      <c r="BQ12" s="307"/>
      <c r="BR12" s="307"/>
      <c r="BS12" s="307"/>
      <c r="BT12" s="307"/>
      <c r="BU12" s="307"/>
      <c r="BV12" s="307"/>
      <c r="BW12" s="307"/>
      <c r="BX12" s="307"/>
      <c r="BY12" s="307"/>
      <c r="BZ12" s="307"/>
      <c r="CA12" s="307"/>
      <c r="CB12" s="307"/>
      <c r="CC12" s="307"/>
      <c r="CD12" s="307"/>
      <c r="CE12" s="307"/>
      <c r="CF12" s="307"/>
      <c r="CG12" s="307"/>
      <c r="CH12" s="307"/>
      <c r="CI12" s="307"/>
      <c r="CJ12" s="307"/>
      <c r="CK12" s="307"/>
      <c r="CL12" s="307"/>
      <c r="CM12" s="307"/>
      <c r="CN12" s="307"/>
      <c r="CO12" s="307"/>
      <c r="CP12" s="307"/>
      <c r="CQ12" s="307"/>
      <c r="CR12" s="307"/>
      <c r="CS12" s="307"/>
      <c r="CT12" s="307"/>
      <c r="CU12" s="307"/>
      <c r="CV12" s="307"/>
      <c r="CW12" s="307"/>
      <c r="CX12" s="307"/>
      <c r="CY12" s="307"/>
      <c r="CZ12" s="307"/>
      <c r="DA12" s="307"/>
      <c r="DB12" s="307"/>
      <c r="DC12" s="307"/>
      <c r="DD12" s="307"/>
      <c r="DE12" s="307"/>
      <c r="DF12" s="307"/>
      <c r="DG12" s="307"/>
      <c r="DH12" s="307"/>
      <c r="DI12" s="307"/>
      <c r="DJ12" s="307"/>
      <c r="DK12" s="307"/>
      <c r="DL12" s="307"/>
      <c r="DM12" s="307"/>
      <c r="DN12" s="307"/>
      <c r="DO12" s="307"/>
      <c r="DP12" s="307"/>
      <c r="DQ12" s="307"/>
      <c r="DR12" s="307"/>
      <c r="DS12" s="307"/>
      <c r="DT12" s="307"/>
      <c r="DU12" s="307"/>
      <c r="DV12" s="307"/>
      <c r="DW12" s="307"/>
      <c r="DX12" s="307"/>
      <c r="DY12" s="307"/>
      <c r="DZ12" s="307"/>
      <c r="EA12" s="307"/>
      <c r="EB12" s="307"/>
      <c r="EC12" s="307"/>
      <c r="ED12" s="307"/>
      <c r="EE12" s="307"/>
      <c r="EF12" s="307"/>
      <c r="EG12" s="307"/>
      <c r="EH12" s="307"/>
      <c r="EI12" s="307"/>
      <c r="EJ12" s="307"/>
      <c r="EK12" s="307"/>
      <c r="EL12" s="307"/>
      <c r="EM12" s="307"/>
      <c r="EN12" s="307"/>
    </row>
    <row r="13" spans="1:144">
      <c r="A13" s="55"/>
      <c r="B13" t="s">
        <v>632</v>
      </c>
      <c r="D13" s="56"/>
      <c r="E13" s="119">
        <f>Assum!E346</f>
        <v>0.01</v>
      </c>
      <c r="F13" s="119">
        <f>Assum!F346</f>
        <v>0.01</v>
      </c>
      <c r="G13" s="119">
        <f>Assum!G346</f>
        <v>0.01</v>
      </c>
      <c r="H13" s="119">
        <f>Assum!H346</f>
        <v>0.01</v>
      </c>
      <c r="I13" s="119">
        <f>Assum!I346</f>
        <v>0.01</v>
      </c>
      <c r="J13" s="119">
        <f>Assum!J346</f>
        <v>0.01</v>
      </c>
      <c r="K13" s="119">
        <f>Assum!K346</f>
        <v>0.01</v>
      </c>
      <c r="L13" s="119">
        <f>Assum!L346</f>
        <v>0.01</v>
      </c>
      <c r="M13" s="119">
        <f>Assum!M346</f>
        <v>0.01</v>
      </c>
      <c r="N13" s="119">
        <f>Assum!N346</f>
        <v>0.01</v>
      </c>
      <c r="O13" s="119">
        <f>Assum!O346</f>
        <v>0.01</v>
      </c>
      <c r="P13" s="119">
        <f>Assum!P346</f>
        <v>0.01</v>
      </c>
      <c r="Q13" s="119">
        <f>Assum!Q346</f>
        <v>0.01</v>
      </c>
      <c r="R13" s="119">
        <f>Assum!R346</f>
        <v>0.01</v>
      </c>
      <c r="S13" s="119">
        <f>Assum!S346</f>
        <v>0.01</v>
      </c>
      <c r="T13" s="119">
        <f>Assum!T346</f>
        <v>0.01</v>
      </c>
      <c r="U13" s="119">
        <f>Assum!U346</f>
        <v>0.01</v>
      </c>
      <c r="V13" s="119">
        <f>Assum!V346</f>
        <v>0.01</v>
      </c>
      <c r="W13" s="119">
        <f>Assum!W346</f>
        <v>0.01</v>
      </c>
      <c r="X13" s="119">
        <f>Assum!X346</f>
        <v>0.01</v>
      </c>
      <c r="Y13" s="119">
        <f>Assum!Y346</f>
        <v>0.01</v>
      </c>
      <c r="Z13" s="119">
        <f>Assum!Z346</f>
        <v>0.01</v>
      </c>
      <c r="AA13" s="119">
        <f>Assum!AA346</f>
        <v>0.01</v>
      </c>
      <c r="AB13" s="119">
        <f>Assum!AB346</f>
        <v>0.01</v>
      </c>
      <c r="AC13" s="119">
        <f>Assum!AC346</f>
        <v>0.01</v>
      </c>
      <c r="AD13" s="119">
        <f>Assum!AD346</f>
        <v>0.01</v>
      </c>
      <c r="AE13" s="119">
        <f>Assum!AE346</f>
        <v>0.01</v>
      </c>
      <c r="AF13" s="119">
        <f>Assum!AF346</f>
        <v>0.01</v>
      </c>
      <c r="AG13" s="119">
        <f>Assum!AG346</f>
        <v>0.01</v>
      </c>
      <c r="AH13" s="119">
        <f>Assum!AH346</f>
        <v>0.01</v>
      </c>
      <c r="AI13" s="119">
        <f>Assum!AI346</f>
        <v>0</v>
      </c>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56"/>
      <c r="BH13" s="56"/>
      <c r="BI13" s="56"/>
      <c r="BJ13" s="56"/>
      <c r="BK13" s="56"/>
      <c r="BL13" s="56"/>
      <c r="BM13" s="56"/>
      <c r="BN13" s="56"/>
      <c r="BO13" s="56"/>
      <c r="BP13" s="56"/>
      <c r="BQ13" s="56"/>
      <c r="BR13" s="56"/>
      <c r="BS13" s="56"/>
      <c r="BT13" s="56"/>
      <c r="BU13" s="56"/>
      <c r="BV13" s="56"/>
      <c r="BW13" s="56"/>
      <c r="BX13" s="56"/>
      <c r="BY13" s="56"/>
      <c r="BZ13" s="56"/>
      <c r="CA13" s="56"/>
      <c r="CB13" s="56"/>
      <c r="CC13" s="56"/>
      <c r="CD13" s="56"/>
      <c r="CE13" s="56"/>
      <c r="CF13" s="56"/>
      <c r="CG13" s="56"/>
      <c r="CH13" s="56"/>
      <c r="CI13" s="56"/>
      <c r="CJ13" s="56"/>
      <c r="CK13" s="56"/>
      <c r="CL13" s="56"/>
      <c r="CM13" s="56"/>
      <c r="CN13" s="56"/>
      <c r="CO13" s="56"/>
      <c r="CP13" s="56"/>
      <c r="CQ13" s="56"/>
      <c r="CR13" s="56"/>
      <c r="CS13" s="56"/>
      <c r="CT13" s="56"/>
      <c r="CU13" s="56"/>
      <c r="CV13" s="56"/>
      <c r="CW13" s="56"/>
      <c r="CX13" s="56"/>
      <c r="CY13" s="56"/>
      <c r="CZ13" s="56"/>
      <c r="DA13" s="56"/>
      <c r="DB13" s="56"/>
      <c r="DC13" s="56"/>
      <c r="DD13" s="56"/>
      <c r="DE13" s="56"/>
      <c r="DF13" s="56"/>
      <c r="DG13" s="56"/>
      <c r="DH13" s="56"/>
      <c r="DI13" s="56"/>
      <c r="DJ13" s="56"/>
      <c r="DK13" s="56"/>
      <c r="DL13" s="56"/>
      <c r="DM13" s="56"/>
      <c r="DN13" s="56"/>
      <c r="DO13" s="56"/>
      <c r="DP13" s="56"/>
      <c r="DQ13" s="56"/>
      <c r="DR13" s="56"/>
      <c r="DS13" s="56"/>
      <c r="DT13" s="56"/>
      <c r="DU13" s="56"/>
      <c r="DV13" s="56"/>
      <c r="DW13" s="56"/>
      <c r="DX13" s="56"/>
      <c r="DY13" s="58"/>
      <c r="DZ13" s="58"/>
      <c r="EA13" s="58"/>
      <c r="EB13" s="58"/>
      <c r="EC13" s="58"/>
      <c r="ED13" s="58"/>
      <c r="EE13" s="58"/>
      <c r="EF13" s="58"/>
      <c r="EG13" s="58"/>
      <c r="EH13" s="58"/>
      <c r="EI13" s="58"/>
      <c r="EJ13" s="58"/>
      <c r="EK13" s="58"/>
      <c r="EL13" s="58"/>
      <c r="EM13" s="58"/>
      <c r="EN13" s="58"/>
    </row>
    <row r="14" spans="1:144" s="241" customFormat="1">
      <c r="A14" s="55"/>
      <c r="B14" s="487" t="s">
        <v>395</v>
      </c>
      <c r="C14" s="487"/>
      <c r="D14" s="605"/>
      <c r="E14" s="494">
        <f>E12*E13</f>
        <v>84.179504699999995</v>
      </c>
      <c r="F14" s="494">
        <f t="shared" ref="F14:AG14" si="4">F12*F13</f>
        <v>84.413988000000003</v>
      </c>
      <c r="G14" s="494">
        <f t="shared" si="4"/>
        <v>84.413988000000003</v>
      </c>
      <c r="H14" s="494">
        <f t="shared" si="4"/>
        <v>89.103653999999992</v>
      </c>
      <c r="I14" s="494">
        <f t="shared" si="4"/>
        <v>89.103653999999992</v>
      </c>
      <c r="J14" s="494">
        <f t="shared" si="4"/>
        <v>89.103653999999992</v>
      </c>
      <c r="K14" s="494">
        <f t="shared" si="4"/>
        <v>93.793320000000008</v>
      </c>
      <c r="L14" s="494">
        <f t="shared" si="4"/>
        <v>93.793320000000008</v>
      </c>
      <c r="M14" s="494">
        <f t="shared" si="4"/>
        <v>98.482985999999997</v>
      </c>
      <c r="N14" s="494">
        <f t="shared" si="4"/>
        <v>98.482985999999997</v>
      </c>
      <c r="O14" s="494">
        <f t="shared" si="4"/>
        <v>0.28659069999999898</v>
      </c>
      <c r="P14" s="494">
        <f t="shared" si="4"/>
        <v>0</v>
      </c>
      <c r="Q14" s="494">
        <f t="shared" si="4"/>
        <v>0</v>
      </c>
      <c r="R14" s="494">
        <f t="shared" si="4"/>
        <v>0</v>
      </c>
      <c r="S14" s="494">
        <f t="shared" si="4"/>
        <v>0</v>
      </c>
      <c r="T14" s="494">
        <f t="shared" si="4"/>
        <v>0</v>
      </c>
      <c r="U14" s="494">
        <f t="shared" si="4"/>
        <v>0</v>
      </c>
      <c r="V14" s="494">
        <f t="shared" si="4"/>
        <v>0</v>
      </c>
      <c r="W14" s="494">
        <f t="shared" si="4"/>
        <v>0</v>
      </c>
      <c r="X14" s="494">
        <f t="shared" si="4"/>
        <v>0</v>
      </c>
      <c r="Y14" s="494">
        <f t="shared" si="4"/>
        <v>0</v>
      </c>
      <c r="Z14" s="494">
        <f t="shared" si="4"/>
        <v>0</v>
      </c>
      <c r="AA14" s="494">
        <f t="shared" si="4"/>
        <v>0</v>
      </c>
      <c r="AB14" s="494">
        <f t="shared" si="4"/>
        <v>0</v>
      </c>
      <c r="AC14" s="494">
        <f t="shared" si="4"/>
        <v>0</v>
      </c>
      <c r="AD14" s="494">
        <f t="shared" si="4"/>
        <v>0</v>
      </c>
      <c r="AE14" s="494">
        <f t="shared" si="4"/>
        <v>0</v>
      </c>
      <c r="AF14" s="494">
        <f t="shared" si="4"/>
        <v>0</v>
      </c>
      <c r="AG14" s="494">
        <f t="shared" si="4"/>
        <v>0</v>
      </c>
      <c r="AH14" s="494">
        <f>AH12*AH13</f>
        <v>0</v>
      </c>
      <c r="AI14" s="494">
        <f>AI12*AI13</f>
        <v>0</v>
      </c>
      <c r="AJ14" s="432"/>
      <c r="AK14" s="432"/>
      <c r="AL14" s="432"/>
      <c r="AM14" s="432"/>
      <c r="AN14" s="432"/>
      <c r="AO14" s="605"/>
      <c r="AP14" s="605"/>
      <c r="AQ14" s="605"/>
      <c r="AR14" s="605"/>
      <c r="AS14" s="605"/>
      <c r="AT14" s="605"/>
      <c r="AU14" s="605"/>
      <c r="AV14" s="605"/>
      <c r="AW14" s="605"/>
      <c r="AX14" s="605"/>
      <c r="AY14" s="605"/>
      <c r="AZ14" s="605"/>
      <c r="BA14" s="605"/>
      <c r="BB14" s="605"/>
      <c r="BC14" s="605"/>
      <c r="BD14" s="605"/>
      <c r="BE14" s="605"/>
      <c r="BF14" s="605"/>
      <c r="BG14" s="605"/>
      <c r="BH14" s="605"/>
      <c r="BI14" s="605"/>
      <c r="BJ14" s="605"/>
      <c r="BK14" s="605"/>
      <c r="BL14" s="605"/>
      <c r="BM14" s="605"/>
      <c r="BN14" s="605"/>
      <c r="BO14" s="605"/>
      <c r="BP14" s="605"/>
      <c r="BQ14" s="605"/>
      <c r="BR14" s="605"/>
      <c r="BS14" s="605"/>
      <c r="BT14" s="605"/>
      <c r="BU14" s="605"/>
      <c r="BV14" s="605"/>
      <c r="BW14" s="605"/>
      <c r="BX14" s="605"/>
      <c r="BY14" s="605"/>
      <c r="BZ14" s="605"/>
      <c r="CA14" s="605"/>
      <c r="CB14" s="605"/>
      <c r="CC14" s="605"/>
      <c r="CD14" s="605"/>
      <c r="CE14" s="605"/>
      <c r="CF14" s="605"/>
      <c r="CG14" s="605"/>
      <c r="CH14" s="605"/>
      <c r="CI14" s="605"/>
      <c r="CJ14" s="605"/>
      <c r="CK14" s="605"/>
      <c r="CL14" s="605"/>
      <c r="CM14" s="605"/>
      <c r="CN14" s="605"/>
      <c r="CO14" s="605"/>
      <c r="CP14" s="605"/>
      <c r="CQ14" s="605"/>
      <c r="CR14" s="605"/>
      <c r="CS14" s="605"/>
      <c r="CT14" s="605"/>
      <c r="CU14" s="605"/>
      <c r="CV14" s="605"/>
      <c r="CW14" s="605"/>
      <c r="CX14" s="605"/>
      <c r="CY14" s="605"/>
      <c r="CZ14" s="605"/>
      <c r="DA14" s="605"/>
      <c r="DB14" s="605"/>
      <c r="DC14" s="605"/>
      <c r="DD14" s="605"/>
      <c r="DE14" s="605"/>
      <c r="DF14" s="605"/>
      <c r="DG14" s="605"/>
      <c r="DH14" s="605"/>
      <c r="DI14" s="605"/>
      <c r="DJ14" s="605"/>
      <c r="DK14" s="605"/>
      <c r="DL14" s="605"/>
      <c r="DM14" s="605"/>
      <c r="DN14" s="605"/>
      <c r="DO14" s="605"/>
      <c r="DP14" s="605"/>
      <c r="DQ14" s="605"/>
      <c r="DR14" s="605"/>
      <c r="DS14" s="605"/>
      <c r="DT14" s="605"/>
      <c r="DU14" s="605"/>
      <c r="DV14" s="605"/>
      <c r="DW14" s="605"/>
      <c r="DX14" s="605"/>
      <c r="DY14" s="606"/>
      <c r="DZ14" s="606"/>
      <c r="EA14" s="606"/>
      <c r="EB14" s="606"/>
      <c r="EC14" s="606"/>
      <c r="ED14" s="606"/>
      <c r="EE14" s="606"/>
      <c r="EF14" s="606"/>
      <c r="EG14" s="606"/>
      <c r="EH14" s="606"/>
      <c r="EI14" s="606"/>
      <c r="EJ14" s="606"/>
      <c r="EK14" s="606"/>
      <c r="EL14" s="606"/>
      <c r="EM14" s="606"/>
      <c r="EN14" s="606"/>
    </row>
    <row r="15" spans="1:144">
      <c r="A15" s="55"/>
      <c r="B15" s="57"/>
      <c r="C15" s="57"/>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6"/>
      <c r="BG15" s="56"/>
      <c r="BH15" s="56"/>
      <c r="BI15" s="56"/>
      <c r="BJ15" s="56"/>
      <c r="BK15" s="56"/>
      <c r="BL15" s="56"/>
      <c r="BM15" s="56"/>
      <c r="BN15" s="56"/>
      <c r="BO15" s="56"/>
      <c r="BP15" s="56"/>
      <c r="BQ15" s="56"/>
      <c r="BR15" s="56"/>
      <c r="BS15" s="56"/>
      <c r="BT15" s="56"/>
      <c r="BU15" s="56"/>
      <c r="BV15" s="56"/>
      <c r="BW15" s="56"/>
      <c r="BX15" s="56"/>
      <c r="BY15" s="56"/>
      <c r="BZ15" s="56"/>
      <c r="CA15" s="56"/>
      <c r="CB15" s="56"/>
      <c r="CC15" s="56"/>
      <c r="CD15" s="56"/>
      <c r="CE15" s="56"/>
      <c r="CF15" s="56"/>
      <c r="CG15" s="56"/>
      <c r="CH15" s="56"/>
      <c r="CI15" s="56"/>
      <c r="CJ15" s="56"/>
      <c r="CK15" s="56"/>
      <c r="CL15" s="56"/>
      <c r="CM15" s="56"/>
      <c r="CN15" s="56"/>
      <c r="CO15" s="56"/>
      <c r="CP15" s="56"/>
      <c r="CQ15" s="56"/>
      <c r="CR15" s="56"/>
      <c r="CS15" s="56"/>
      <c r="CT15" s="56"/>
      <c r="CU15" s="56"/>
      <c r="CV15" s="56"/>
      <c r="CW15" s="56"/>
      <c r="CX15" s="56"/>
      <c r="CY15" s="56"/>
      <c r="CZ15" s="56"/>
      <c r="DA15" s="56"/>
      <c r="DB15" s="56"/>
      <c r="DC15" s="56"/>
      <c r="DD15" s="56"/>
      <c r="DE15" s="56"/>
      <c r="DF15" s="56"/>
      <c r="DG15" s="56"/>
      <c r="DH15" s="56"/>
      <c r="DI15" s="56"/>
      <c r="DJ15" s="56"/>
      <c r="DK15" s="56"/>
      <c r="DL15" s="56"/>
      <c r="DM15" s="56"/>
      <c r="DN15" s="56"/>
      <c r="DO15" s="56"/>
      <c r="DP15" s="56"/>
      <c r="DQ15" s="56"/>
      <c r="DR15" s="56"/>
      <c r="DS15" s="56"/>
      <c r="DT15" s="56"/>
      <c r="DU15" s="56"/>
      <c r="DV15" s="56"/>
      <c r="DW15" s="56"/>
      <c r="DX15" s="56"/>
      <c r="DY15" s="58"/>
      <c r="DZ15" s="58"/>
      <c r="EA15" s="58"/>
      <c r="EB15" s="58"/>
      <c r="EC15" s="58"/>
      <c r="ED15" s="58"/>
      <c r="EE15" s="58"/>
      <c r="EF15" s="58"/>
      <c r="EG15" s="58"/>
      <c r="EH15" s="58"/>
      <c r="EI15" s="58"/>
      <c r="EJ15" s="58"/>
      <c r="EK15" s="58"/>
      <c r="EL15" s="58"/>
      <c r="EM15" s="58"/>
      <c r="EN15" s="58"/>
    </row>
    <row r="16" spans="1:144">
      <c r="A16" s="55"/>
      <c r="B16" s="57"/>
      <c r="C16" s="57"/>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6"/>
      <c r="BG16" s="56"/>
      <c r="BH16" s="56"/>
      <c r="BI16" s="56"/>
      <c r="BJ16" s="56"/>
      <c r="BK16" s="56"/>
      <c r="BL16" s="56"/>
      <c r="BM16" s="56"/>
      <c r="BN16" s="56"/>
      <c r="BO16" s="56"/>
      <c r="BP16" s="56"/>
      <c r="BQ16" s="56"/>
      <c r="BR16" s="56"/>
      <c r="BS16" s="56"/>
      <c r="BT16" s="56"/>
      <c r="BU16" s="56"/>
      <c r="BV16" s="56"/>
      <c r="BW16" s="56"/>
      <c r="BX16" s="56"/>
      <c r="BY16" s="56"/>
      <c r="BZ16" s="56"/>
      <c r="CA16" s="56"/>
      <c r="CB16" s="56"/>
      <c r="CC16" s="56"/>
      <c r="CD16" s="56"/>
      <c r="CE16" s="56"/>
      <c r="CF16" s="56"/>
      <c r="CG16" s="56"/>
      <c r="CH16" s="56"/>
      <c r="CI16" s="56"/>
      <c r="CJ16" s="56"/>
      <c r="CK16" s="56"/>
      <c r="CL16" s="56"/>
      <c r="CM16" s="56"/>
      <c r="CN16" s="56"/>
      <c r="CO16" s="56"/>
      <c r="CP16" s="56"/>
      <c r="CQ16" s="56"/>
      <c r="CR16" s="56"/>
      <c r="CS16" s="56"/>
      <c r="CT16" s="56"/>
      <c r="CU16" s="56"/>
      <c r="CV16" s="56"/>
      <c r="CW16" s="56"/>
      <c r="CX16" s="56"/>
      <c r="CY16" s="56"/>
      <c r="CZ16" s="56"/>
      <c r="DA16" s="56"/>
      <c r="DB16" s="56"/>
      <c r="DC16" s="56"/>
      <c r="DD16" s="56"/>
      <c r="DE16" s="56"/>
      <c r="DF16" s="56"/>
      <c r="DG16" s="56"/>
      <c r="DH16" s="56"/>
      <c r="DI16" s="56"/>
      <c r="DJ16" s="56"/>
      <c r="DK16" s="56"/>
      <c r="DL16" s="56"/>
      <c r="DM16" s="56"/>
      <c r="DN16" s="56"/>
      <c r="DO16" s="56"/>
      <c r="DP16" s="56"/>
      <c r="DQ16" s="56"/>
      <c r="DR16" s="56"/>
      <c r="DS16" s="56"/>
      <c r="DT16" s="56"/>
      <c r="DU16" s="56"/>
      <c r="DV16" s="56"/>
      <c r="DW16" s="56"/>
      <c r="DX16" s="56"/>
      <c r="DY16" s="58"/>
      <c r="DZ16" s="58"/>
      <c r="EA16" s="58"/>
      <c r="EB16" s="58"/>
      <c r="EC16" s="58"/>
      <c r="ED16" s="58"/>
      <c r="EE16" s="58"/>
      <c r="EF16" s="58"/>
      <c r="EG16" s="58"/>
      <c r="EH16" s="58"/>
      <c r="EI16" s="58"/>
      <c r="EJ16" s="58"/>
      <c r="EK16" s="58"/>
      <c r="EL16" s="58"/>
      <c r="EM16" s="58"/>
      <c r="EN16" s="58"/>
    </row>
    <row r="17" spans="1:144" ht="13.5" thickBot="1">
      <c r="A17" s="55"/>
      <c r="B17" s="497" t="s">
        <v>392</v>
      </c>
      <c r="C17" s="497"/>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6"/>
      <c r="BB17" s="56"/>
      <c r="BC17" s="56"/>
      <c r="BD17" s="56"/>
      <c r="BE17" s="56"/>
      <c r="BF17" s="56"/>
      <c r="BG17" s="56"/>
      <c r="BH17" s="56"/>
      <c r="BI17" s="56"/>
      <c r="BJ17" s="56"/>
      <c r="BK17" s="56"/>
      <c r="BL17" s="56"/>
      <c r="BM17" s="56"/>
      <c r="BN17" s="56"/>
      <c r="BO17" s="56"/>
      <c r="BP17" s="56"/>
      <c r="BQ17" s="56"/>
      <c r="BR17" s="56"/>
      <c r="BS17" s="56"/>
      <c r="BT17" s="56"/>
      <c r="BU17" s="56"/>
      <c r="BV17" s="56"/>
      <c r="BW17" s="56"/>
      <c r="BX17" s="56"/>
      <c r="BY17" s="56"/>
      <c r="BZ17" s="56"/>
      <c r="CA17" s="56"/>
      <c r="CB17" s="56"/>
      <c r="CC17" s="56"/>
      <c r="CD17" s="56"/>
      <c r="CE17" s="56"/>
      <c r="CF17" s="56"/>
      <c r="CG17" s="56"/>
      <c r="CH17" s="56"/>
      <c r="CI17" s="56"/>
      <c r="CJ17" s="56"/>
      <c r="CK17" s="56"/>
      <c r="CL17" s="56"/>
      <c r="CM17" s="56"/>
      <c r="CN17" s="56"/>
      <c r="CO17" s="56"/>
      <c r="CP17" s="56"/>
      <c r="CQ17" s="56"/>
      <c r="CR17" s="56"/>
      <c r="CS17" s="56"/>
      <c r="CT17" s="56"/>
      <c r="CU17" s="56"/>
      <c r="CV17" s="56"/>
      <c r="CW17" s="56"/>
      <c r="CX17" s="56"/>
      <c r="CY17" s="56"/>
      <c r="CZ17" s="56"/>
      <c r="DA17" s="56"/>
      <c r="DB17" s="56"/>
      <c r="DC17" s="56"/>
      <c r="DD17" s="56"/>
      <c r="DE17" s="56"/>
      <c r="DF17" s="56"/>
      <c r="DG17" s="56"/>
      <c r="DH17" s="56"/>
      <c r="DI17" s="56"/>
      <c r="DJ17" s="56"/>
      <c r="DK17" s="56"/>
      <c r="DL17" s="56"/>
      <c r="DM17" s="56"/>
      <c r="DN17" s="56"/>
      <c r="DO17" s="56"/>
      <c r="DP17" s="56"/>
      <c r="DQ17" s="56"/>
      <c r="DR17" s="56"/>
      <c r="DS17" s="56"/>
      <c r="DT17" s="56"/>
      <c r="DU17" s="56"/>
      <c r="DV17" s="56"/>
      <c r="DW17" s="56"/>
      <c r="DX17" s="56"/>
      <c r="DY17" s="58"/>
      <c r="DZ17" s="58"/>
      <c r="EA17" s="58"/>
      <c r="EB17" s="58"/>
      <c r="EC17" s="58"/>
      <c r="ED17" s="58"/>
      <c r="EE17" s="58"/>
      <c r="EF17" s="58"/>
      <c r="EG17" s="58"/>
      <c r="EH17" s="58"/>
      <c r="EI17" s="58"/>
      <c r="EJ17" s="58"/>
      <c r="EK17" s="58"/>
      <c r="EL17" s="58"/>
      <c r="EM17" s="58"/>
      <c r="EN17" s="58"/>
    </row>
    <row r="18" spans="1:144" s="65" customFormat="1">
      <c r="A18" s="55"/>
      <c r="B18" s="290"/>
      <c r="C18" s="1164"/>
      <c r="D18" s="489"/>
      <c r="E18" s="489"/>
      <c r="F18" s="489"/>
      <c r="G18" s="489"/>
      <c r="H18" s="489"/>
      <c r="I18" s="489"/>
      <c r="J18" s="489"/>
      <c r="K18" s="489"/>
      <c r="L18" s="489"/>
      <c r="M18" s="489"/>
      <c r="N18" s="489"/>
      <c r="O18" s="489"/>
      <c r="P18" s="489"/>
      <c r="Q18" s="489"/>
      <c r="R18" s="489"/>
      <c r="S18" s="489"/>
      <c r="T18" s="489"/>
      <c r="U18" s="489"/>
      <c r="V18" s="489"/>
      <c r="W18" s="489"/>
      <c r="X18" s="489"/>
      <c r="Y18" s="489"/>
      <c r="Z18" s="489"/>
      <c r="AA18" s="489"/>
      <c r="AB18" s="489"/>
      <c r="AC18" s="489"/>
      <c r="AD18" s="489"/>
      <c r="AE18" s="489"/>
      <c r="AF18" s="489"/>
      <c r="AG18" s="489"/>
      <c r="AH18" s="489"/>
      <c r="AI18" s="1482"/>
      <c r="AK18" s="192"/>
      <c r="AL18" s="192"/>
      <c r="AM18" s="192"/>
      <c r="AN18" s="192"/>
      <c r="AO18" s="192"/>
      <c r="AP18" s="192"/>
      <c r="AQ18" s="192"/>
      <c r="AR18" s="192"/>
      <c r="AS18" s="192"/>
      <c r="AT18" s="192"/>
      <c r="AU18" s="192"/>
      <c r="AV18" s="192"/>
      <c r="AW18" s="192"/>
      <c r="AX18" s="192"/>
      <c r="AY18" s="192"/>
      <c r="AZ18" s="192"/>
      <c r="BA18" s="192"/>
      <c r="BB18" s="192"/>
      <c r="BC18" s="192"/>
      <c r="BD18" s="192"/>
      <c r="BE18" s="192"/>
      <c r="BF18" s="192"/>
      <c r="BG18" s="192"/>
      <c r="BH18" s="192"/>
      <c r="BI18" s="192"/>
      <c r="BJ18" s="192"/>
      <c r="BK18" s="192"/>
      <c r="BL18" s="192"/>
      <c r="BM18" s="192"/>
      <c r="BN18" s="192"/>
      <c r="BO18" s="192"/>
      <c r="BP18" s="192"/>
      <c r="BQ18" s="192"/>
      <c r="BR18" s="192"/>
      <c r="BS18" s="192"/>
      <c r="BT18" s="192"/>
      <c r="BU18" s="192"/>
      <c r="BV18" s="192"/>
      <c r="BW18" s="192"/>
      <c r="BX18" s="192"/>
      <c r="BY18" s="192"/>
      <c r="BZ18" s="192"/>
      <c r="CA18" s="192"/>
      <c r="CB18" s="192"/>
      <c r="CC18" s="192"/>
      <c r="CD18" s="192"/>
      <c r="CE18" s="192"/>
      <c r="CF18" s="192"/>
      <c r="CG18" s="192"/>
      <c r="CH18" s="192"/>
      <c r="CI18" s="192"/>
      <c r="CJ18" s="192"/>
      <c r="CK18" s="192"/>
      <c r="CL18" s="192"/>
      <c r="CM18" s="192"/>
      <c r="CN18" s="192"/>
      <c r="CO18" s="192"/>
      <c r="CP18" s="192"/>
      <c r="CQ18" s="192"/>
      <c r="CR18" s="192"/>
      <c r="CS18" s="192"/>
      <c r="CT18" s="192"/>
      <c r="CU18" s="192"/>
      <c r="CV18" s="192"/>
      <c r="CW18" s="192"/>
      <c r="CX18" s="192"/>
      <c r="CY18" s="192"/>
      <c r="CZ18" s="192"/>
      <c r="DA18" s="192"/>
      <c r="DB18" s="192"/>
      <c r="DC18" s="192"/>
      <c r="DD18" s="192"/>
      <c r="DE18" s="192"/>
      <c r="DF18" s="192"/>
      <c r="DG18" s="192"/>
      <c r="DH18" s="192"/>
      <c r="DI18" s="192"/>
      <c r="DJ18" s="192"/>
      <c r="DK18" s="192"/>
      <c r="DL18" s="192"/>
      <c r="DM18" s="192"/>
      <c r="DN18" s="192"/>
      <c r="DO18" s="192"/>
      <c r="DP18" s="192"/>
      <c r="DQ18" s="192"/>
      <c r="DR18" s="192"/>
      <c r="DS18" s="192"/>
      <c r="DT18" s="192"/>
      <c r="DU18" s="192"/>
      <c r="DV18" s="192"/>
      <c r="DW18" s="192"/>
      <c r="DX18" s="192"/>
      <c r="DY18" s="190"/>
      <c r="DZ18" s="190"/>
      <c r="EA18" s="190"/>
      <c r="EB18" s="190"/>
      <c r="EC18" s="190"/>
      <c r="ED18" s="190"/>
      <c r="EE18" s="190"/>
      <c r="EF18" s="190"/>
      <c r="EG18" s="190"/>
      <c r="EH18" s="190"/>
      <c r="EI18" s="190"/>
      <c r="EJ18" s="190"/>
      <c r="EK18" s="190"/>
      <c r="EL18" s="190"/>
      <c r="EM18" s="190"/>
      <c r="EN18" s="190"/>
    </row>
    <row r="19" spans="1:144" s="177" customFormat="1" ht="12.75" customHeight="1">
      <c r="A19" s="55"/>
      <c r="B19" s="272" t="s">
        <v>391</v>
      </c>
      <c r="C19" s="273"/>
      <c r="D19" s="317">
        <f ca="1">-Srcs_Uses!E7</f>
        <v>-913.40320994341164</v>
      </c>
      <c r="E19" s="251"/>
      <c r="F19" s="252"/>
      <c r="G19" s="253"/>
      <c r="H19" s="253"/>
      <c r="I19" s="253"/>
      <c r="J19" s="253"/>
      <c r="K19" s="253"/>
      <c r="L19" s="253"/>
      <c r="M19" s="253"/>
      <c r="N19" s="253"/>
      <c r="O19" s="253"/>
      <c r="P19" s="253"/>
      <c r="Q19" s="253"/>
      <c r="R19" s="253"/>
      <c r="S19" s="253"/>
      <c r="T19" s="253"/>
      <c r="U19" s="253"/>
      <c r="V19" s="253"/>
      <c r="W19" s="253"/>
      <c r="X19" s="253"/>
      <c r="Y19" s="253"/>
      <c r="Z19" s="253"/>
      <c r="AA19" s="253"/>
      <c r="AB19" s="253"/>
      <c r="AC19" s="253"/>
      <c r="AD19" s="253"/>
      <c r="AE19" s="253"/>
      <c r="AF19" s="253"/>
      <c r="AG19" s="253"/>
      <c r="AH19" s="253"/>
      <c r="AI19" s="254"/>
      <c r="AK19" s="176"/>
      <c r="AL19" s="176"/>
      <c r="AM19" s="176"/>
      <c r="AN19" s="176"/>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c r="CS19" s="176"/>
      <c r="CT19" s="176"/>
      <c r="CU19" s="176"/>
      <c r="CV19" s="176"/>
      <c r="CW19" s="176"/>
      <c r="CX19" s="176"/>
      <c r="CY19" s="176"/>
      <c r="CZ19" s="176"/>
      <c r="DA19" s="176"/>
      <c r="DB19" s="176"/>
      <c r="DC19" s="176"/>
      <c r="DD19" s="176"/>
      <c r="DE19" s="176"/>
      <c r="DF19" s="176"/>
      <c r="DG19" s="176"/>
      <c r="DH19" s="176"/>
      <c r="DI19" s="176"/>
      <c r="DJ19" s="176"/>
      <c r="DK19" s="176"/>
      <c r="DL19" s="176"/>
      <c r="DM19" s="176"/>
      <c r="DN19" s="176"/>
      <c r="DO19" s="176"/>
      <c r="DP19" s="176"/>
      <c r="DQ19" s="176"/>
      <c r="DR19" s="176"/>
      <c r="DS19" s="176"/>
      <c r="DT19" s="176"/>
      <c r="DU19" s="176"/>
      <c r="DV19" s="176"/>
      <c r="DW19" s="176"/>
      <c r="DX19" s="176"/>
      <c r="DY19" s="176"/>
      <c r="DZ19" s="176"/>
      <c r="EA19" s="176"/>
      <c r="EB19" s="176"/>
      <c r="EC19" s="176"/>
      <c r="ED19" s="176"/>
      <c r="EE19" s="176"/>
      <c r="EF19" s="176"/>
      <c r="EG19" s="176"/>
      <c r="EH19" s="176"/>
      <c r="EI19" s="176"/>
      <c r="EJ19" s="176"/>
      <c r="EK19" s="176"/>
      <c r="EL19" s="176"/>
      <c r="EM19" s="176"/>
      <c r="EN19" s="176"/>
    </row>
    <row r="20" spans="1:144" s="177" customFormat="1" ht="12.75" customHeight="1">
      <c r="A20" s="55"/>
      <c r="B20" s="250" t="s">
        <v>127</v>
      </c>
      <c r="C20" s="1165"/>
      <c r="D20" s="317"/>
      <c r="E20" s="255">
        <f>-CashFlow!E46</f>
        <v>0</v>
      </c>
      <c r="F20" s="251">
        <f>-CashFlow!F46</f>
        <v>0</v>
      </c>
      <c r="G20" s="251">
        <f>-CashFlow!G46</f>
        <v>0</v>
      </c>
      <c r="H20" s="251">
        <f>-CashFlow!H46</f>
        <v>0</v>
      </c>
      <c r="I20" s="251">
        <f>-CashFlow!I46</f>
        <v>0</v>
      </c>
      <c r="J20" s="251">
        <f>-CashFlow!J46</f>
        <v>0</v>
      </c>
      <c r="K20" s="251">
        <f>-CashFlow!K46</f>
        <v>0</v>
      </c>
      <c r="L20" s="251">
        <f>-CashFlow!L46</f>
        <v>0</v>
      </c>
      <c r="M20" s="251">
        <f>-CashFlow!M46</f>
        <v>0</v>
      </c>
      <c r="N20" s="251">
        <f>-CashFlow!N46</f>
        <v>0</v>
      </c>
      <c r="O20" s="251">
        <f>-CashFlow!O46</f>
        <v>0</v>
      </c>
      <c r="P20" s="251">
        <f>-CashFlow!P46</f>
        <v>0</v>
      </c>
      <c r="Q20" s="251">
        <f>-CashFlow!Q46</f>
        <v>0</v>
      </c>
      <c r="R20" s="251">
        <f>-CashFlow!R46</f>
        <v>0</v>
      </c>
      <c r="S20" s="251">
        <f>-CashFlow!S46</f>
        <v>0</v>
      </c>
      <c r="T20" s="251">
        <f>-CashFlow!T46</f>
        <v>0</v>
      </c>
      <c r="U20" s="251">
        <f>-CashFlow!U46</f>
        <v>0</v>
      </c>
      <c r="V20" s="251">
        <f>-CashFlow!V46</f>
        <v>0</v>
      </c>
      <c r="W20" s="251">
        <f>-CashFlow!W46</f>
        <v>0</v>
      </c>
      <c r="X20" s="251">
        <f>-CashFlow!X46</f>
        <v>0</v>
      </c>
      <c r="Y20" s="251">
        <f>-CashFlow!Y46</f>
        <v>0</v>
      </c>
      <c r="Z20" s="251">
        <f>-CashFlow!Z46</f>
        <v>0</v>
      </c>
      <c r="AA20" s="251">
        <f>-CashFlow!AA46</f>
        <v>0</v>
      </c>
      <c r="AB20" s="251">
        <f>-CashFlow!AB46</f>
        <v>0</v>
      </c>
      <c r="AC20" s="251">
        <f>-CashFlow!AC46</f>
        <v>0</v>
      </c>
      <c r="AD20" s="251">
        <f>-CashFlow!AD46</f>
        <v>0</v>
      </c>
      <c r="AE20" s="251">
        <f>-CashFlow!AE46</f>
        <v>0</v>
      </c>
      <c r="AF20" s="251">
        <f>-CashFlow!AF46</f>
        <v>0</v>
      </c>
      <c r="AG20" s="251">
        <f>-CashFlow!AG46</f>
        <v>0</v>
      </c>
      <c r="AH20" s="251">
        <f>-CashFlow!AH46</f>
        <v>0</v>
      </c>
      <c r="AI20" s="256">
        <f>-CashFlow!AI46</f>
        <v>0</v>
      </c>
      <c r="AK20" s="176"/>
      <c r="AL20" s="176"/>
      <c r="AM20" s="176"/>
      <c r="AN20" s="176"/>
      <c r="AO20" s="176"/>
      <c r="AP20" s="176"/>
      <c r="AQ20" s="176"/>
      <c r="AR20" s="176"/>
      <c r="AS20" s="176"/>
      <c r="AT20" s="176"/>
      <c r="AU20" s="176"/>
      <c r="AV20" s="176"/>
      <c r="AW20" s="176"/>
      <c r="AX20" s="176"/>
      <c r="AY20" s="176"/>
      <c r="AZ20" s="176"/>
      <c r="BA20" s="176"/>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6"/>
      <c r="CS20" s="176"/>
      <c r="CT20" s="176"/>
      <c r="CU20" s="176"/>
      <c r="CV20" s="176"/>
      <c r="CW20" s="176"/>
      <c r="CX20" s="176"/>
      <c r="CY20" s="176"/>
      <c r="CZ20" s="176"/>
      <c r="DA20" s="176"/>
      <c r="DB20" s="176"/>
      <c r="DC20" s="176"/>
      <c r="DD20" s="176"/>
      <c r="DE20" s="176"/>
      <c r="DF20" s="176"/>
      <c r="DG20" s="176"/>
      <c r="DH20" s="176"/>
      <c r="DI20" s="176"/>
      <c r="DJ20" s="176"/>
      <c r="DK20" s="176"/>
      <c r="DL20" s="176"/>
      <c r="DM20" s="176"/>
      <c r="DN20" s="176"/>
      <c r="DO20" s="176"/>
      <c r="DP20" s="176"/>
      <c r="DQ20" s="176"/>
      <c r="DR20" s="176"/>
      <c r="DS20" s="176"/>
      <c r="DT20" s="176"/>
      <c r="DU20" s="176"/>
      <c r="DV20" s="176"/>
      <c r="DW20" s="176"/>
      <c r="DX20" s="176"/>
      <c r="DY20" s="176"/>
      <c r="DZ20" s="176"/>
      <c r="EA20" s="176"/>
      <c r="EB20" s="176"/>
      <c r="EC20" s="176"/>
      <c r="ED20" s="176"/>
      <c r="EE20" s="176"/>
      <c r="EF20" s="176"/>
      <c r="EG20" s="176"/>
      <c r="EH20" s="176"/>
      <c r="EI20" s="176"/>
      <c r="EJ20" s="176"/>
      <c r="EK20" s="176"/>
      <c r="EL20" s="176"/>
      <c r="EM20" s="176"/>
      <c r="EN20" s="176"/>
    </row>
    <row r="21" spans="1:144" s="177" customFormat="1" ht="12.75" customHeight="1">
      <c r="A21" s="55"/>
      <c r="B21" s="250" t="s">
        <v>452</v>
      </c>
      <c r="C21" s="1165"/>
      <c r="D21" s="317"/>
      <c r="E21" s="255">
        <f>CashFlow!E65</f>
        <v>19.852107806507153</v>
      </c>
      <c r="F21" s="251">
        <f>CashFlow!F65</f>
        <v>14.804926450176845</v>
      </c>
      <c r="G21" s="251">
        <f>CashFlow!G65</f>
        <v>14.920973072087177</v>
      </c>
      <c r="H21" s="251">
        <f>CashFlow!H65</f>
        <v>14.813737017094782</v>
      </c>
      <c r="I21" s="251">
        <f>CashFlow!I65</f>
        <v>14.704180329030397</v>
      </c>
      <c r="J21" s="251">
        <f>CashFlow!J65</f>
        <v>15.552441263446903</v>
      </c>
      <c r="K21" s="251">
        <f>CashFlow!K65</f>
        <v>14.316968912728516</v>
      </c>
      <c r="L21" s="251">
        <f>CashFlow!L65</f>
        <v>14.300057177907275</v>
      </c>
      <c r="M21" s="251">
        <f>CashFlow!M65</f>
        <v>14.276939298011376</v>
      </c>
      <c r="N21" s="251">
        <f>CashFlow!N65</f>
        <v>14.471040927683948</v>
      </c>
      <c r="O21" s="251">
        <f>CashFlow!O65</f>
        <v>14.701758999941049</v>
      </c>
      <c r="P21" s="251">
        <f>CashFlow!P65</f>
        <v>14.962425943695834</v>
      </c>
      <c r="Q21" s="251">
        <f>CashFlow!Q65</f>
        <v>15.271247714941282</v>
      </c>
      <c r="R21" s="251">
        <f>CashFlow!R65</f>
        <v>14.951697626794498</v>
      </c>
      <c r="S21" s="251">
        <f>CashFlow!S65</f>
        <v>14.594654492119744</v>
      </c>
      <c r="T21" s="251">
        <f>CashFlow!T65</f>
        <v>13.907946428457581</v>
      </c>
      <c r="U21" s="251">
        <f>CashFlow!U65</f>
        <v>13.70359605820188</v>
      </c>
      <c r="V21" s="251">
        <f>CashFlow!V65</f>
        <v>23.205205604021085</v>
      </c>
      <c r="W21" s="251">
        <f>CashFlow!W65</f>
        <v>58.169380609148455</v>
      </c>
      <c r="X21" s="251">
        <f>CashFlow!X65</f>
        <v>64.405071598288487</v>
      </c>
      <c r="Y21" s="251">
        <f>CashFlow!Y65</f>
        <v>0.16844521113537</v>
      </c>
      <c r="Z21" s="251">
        <f>CashFlow!Z65</f>
        <v>0</v>
      </c>
      <c r="AA21" s="251">
        <f>CashFlow!AA65</f>
        <v>0</v>
      </c>
      <c r="AB21" s="251">
        <f>CashFlow!AB65</f>
        <v>0</v>
      </c>
      <c r="AC21" s="251">
        <f>CashFlow!AC65</f>
        <v>0</v>
      </c>
      <c r="AD21" s="251">
        <f>CashFlow!AD65</f>
        <v>0</v>
      </c>
      <c r="AE21" s="251">
        <f>CashFlow!AE65</f>
        <v>0</v>
      </c>
      <c r="AF21" s="251">
        <f>CashFlow!AF65</f>
        <v>0</v>
      </c>
      <c r="AG21" s="251">
        <f>CashFlow!AG65</f>
        <v>0</v>
      </c>
      <c r="AH21" s="251">
        <f>CashFlow!AH65</f>
        <v>0</v>
      </c>
      <c r="AI21" s="256">
        <f>CashFlow!AI65</f>
        <v>0</v>
      </c>
      <c r="AK21" s="176"/>
      <c r="AL21" s="176"/>
      <c r="AM21" s="176"/>
      <c r="AN21" s="176"/>
      <c r="AO21" s="176"/>
      <c r="AP21" s="176"/>
      <c r="AQ21" s="176"/>
      <c r="AR21" s="176"/>
      <c r="AS21" s="176"/>
      <c r="AT21" s="176"/>
      <c r="AU21" s="176"/>
      <c r="AV21" s="176"/>
      <c r="AW21" s="176"/>
      <c r="AX21" s="176"/>
      <c r="AY21" s="176"/>
      <c r="AZ21" s="176"/>
      <c r="BA21" s="176"/>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6"/>
      <c r="CS21" s="176"/>
      <c r="CT21" s="176"/>
      <c r="CU21" s="176"/>
      <c r="CV21" s="176"/>
      <c r="CW21" s="176"/>
      <c r="CX21" s="176"/>
      <c r="CY21" s="176"/>
      <c r="CZ21" s="176"/>
      <c r="DA21" s="176"/>
      <c r="DB21" s="176"/>
      <c r="DC21" s="176"/>
      <c r="DD21" s="176"/>
      <c r="DE21" s="176"/>
      <c r="DF21" s="176"/>
      <c r="DG21" s="176"/>
      <c r="DH21" s="176"/>
      <c r="DI21" s="176"/>
      <c r="DJ21" s="176"/>
      <c r="DK21" s="176"/>
      <c r="DL21" s="176"/>
      <c r="DM21" s="176"/>
      <c r="DN21" s="176"/>
      <c r="DO21" s="176"/>
      <c r="DP21" s="176"/>
      <c r="DQ21" s="176"/>
      <c r="DR21" s="176"/>
      <c r="DS21" s="176"/>
      <c r="DT21" s="176"/>
      <c r="DU21" s="176"/>
      <c r="DV21" s="176"/>
      <c r="DW21" s="176"/>
      <c r="DX21" s="176"/>
      <c r="DY21" s="176"/>
      <c r="DZ21" s="176"/>
      <c r="EA21" s="176"/>
      <c r="EB21" s="176"/>
      <c r="EC21" s="176"/>
      <c r="ED21" s="176"/>
      <c r="EE21" s="176"/>
      <c r="EF21" s="176"/>
      <c r="EG21" s="176"/>
      <c r="EH21" s="176"/>
      <c r="EI21" s="176"/>
      <c r="EJ21" s="176"/>
      <c r="EK21" s="176"/>
      <c r="EL21" s="176"/>
      <c r="EM21" s="176"/>
      <c r="EN21" s="176"/>
    </row>
    <row r="22" spans="1:144" s="177" customFormat="1" ht="12.75" customHeight="1">
      <c r="A22" s="55"/>
      <c r="B22" s="481" t="s">
        <v>389</v>
      </c>
      <c r="C22" s="453"/>
      <c r="D22" s="317"/>
      <c r="E22" s="454">
        <f t="shared" ref="E22:AI22" ca="1" si="5">E9</f>
        <v>82.124726222045993</v>
      </c>
      <c r="F22" s="454">
        <f t="shared" ca="1" si="5"/>
        <v>146.74873066685086</v>
      </c>
      <c r="G22" s="454">
        <f t="shared" ca="1" si="5"/>
        <v>84.216958404117776</v>
      </c>
      <c r="H22" s="454">
        <f t="shared" ca="1" si="5"/>
        <v>46.666728242981122</v>
      </c>
      <c r="I22" s="454">
        <f t="shared" ca="1" si="5"/>
        <v>46.288582322607212</v>
      </c>
      <c r="J22" s="454">
        <f t="shared" ca="1" si="5"/>
        <v>16.692454409431313</v>
      </c>
      <c r="K22" s="454">
        <f t="shared" ca="1" si="5"/>
        <v>-10.123511179235257</v>
      </c>
      <c r="L22" s="454">
        <f t="shared" ca="1" si="5"/>
        <v>-10.759409559841837</v>
      </c>
      <c r="M22" s="454">
        <f t="shared" ca="1" si="5"/>
        <v>-11.421809498461885</v>
      </c>
      <c r="N22" s="454">
        <f t="shared" ca="1" si="5"/>
        <v>-12.454163744416705</v>
      </c>
      <c r="O22" s="454">
        <f t="shared" ca="1" si="5"/>
        <v>-13.604469819782976</v>
      </c>
      <c r="P22" s="454">
        <f t="shared" ca="1" si="5"/>
        <v>-14.952159200266326</v>
      </c>
      <c r="Q22" s="454">
        <f t="shared" ca="1" si="5"/>
        <v>-16.402615740543997</v>
      </c>
      <c r="R22" s="454">
        <f t="shared" ca="1" si="5"/>
        <v>-17.113636119615904</v>
      </c>
      <c r="S22" s="454">
        <f t="shared" ca="1" si="5"/>
        <v>-17.843245377321409</v>
      </c>
      <c r="T22" s="454">
        <f t="shared" ca="1" si="5"/>
        <v>-18.253219863704171</v>
      </c>
      <c r="U22" s="454">
        <f t="shared" ca="1" si="5"/>
        <v>-19.334145026413854</v>
      </c>
      <c r="V22" s="454">
        <f t="shared" ca="1" si="5"/>
        <v>-20.653227170223932</v>
      </c>
      <c r="W22" s="454">
        <f t="shared" ca="1" si="5"/>
        <v>-22.493833865005552</v>
      </c>
      <c r="X22" s="454">
        <f t="shared" ca="1" si="5"/>
        <v>-22.193909817873621</v>
      </c>
      <c r="Y22" s="454">
        <f t="shared" ca="1" si="5"/>
        <v>-6.5203981006123624E-2</v>
      </c>
      <c r="Z22" s="454">
        <f t="shared" ca="1" si="5"/>
        <v>0</v>
      </c>
      <c r="AA22" s="454">
        <f t="shared" ca="1" si="5"/>
        <v>0</v>
      </c>
      <c r="AB22" s="454">
        <f t="shared" ca="1" si="5"/>
        <v>0</v>
      </c>
      <c r="AC22" s="454">
        <f t="shared" ca="1" si="5"/>
        <v>0</v>
      </c>
      <c r="AD22" s="454">
        <f t="shared" ca="1" si="5"/>
        <v>0</v>
      </c>
      <c r="AE22" s="454">
        <f t="shared" ca="1" si="5"/>
        <v>0</v>
      </c>
      <c r="AF22" s="454">
        <f t="shared" ca="1" si="5"/>
        <v>0</v>
      </c>
      <c r="AG22" s="454">
        <f t="shared" ca="1" si="5"/>
        <v>0</v>
      </c>
      <c r="AH22" s="454">
        <f t="shared" ca="1" si="5"/>
        <v>0</v>
      </c>
      <c r="AI22" s="486">
        <f t="shared" ca="1" si="5"/>
        <v>0</v>
      </c>
      <c r="AK22" s="176"/>
      <c r="AL22" s="176"/>
      <c r="AM22" s="176"/>
      <c r="AN22" s="176"/>
      <c r="AO22" s="176"/>
      <c r="AP22" s="176"/>
      <c r="AQ22" s="176"/>
      <c r="AR22" s="176"/>
      <c r="AS22" s="176"/>
      <c r="AT22" s="176"/>
      <c r="AU22" s="176"/>
      <c r="AV22" s="176"/>
      <c r="AW22" s="176"/>
      <c r="AX22" s="176"/>
      <c r="AY22" s="176"/>
      <c r="AZ22" s="176"/>
      <c r="BA22" s="176"/>
      <c r="BB22" s="176"/>
      <c r="BC22" s="176"/>
      <c r="BD22" s="176"/>
      <c r="BE22" s="176"/>
      <c r="BF22" s="176"/>
      <c r="BG22" s="176"/>
      <c r="BH22" s="176"/>
      <c r="BI22" s="176"/>
      <c r="BJ22" s="176"/>
      <c r="BK22" s="176"/>
      <c r="BL22" s="176"/>
      <c r="BM22" s="176"/>
      <c r="BN22" s="176"/>
      <c r="BO22" s="176"/>
      <c r="BP22" s="176"/>
      <c r="BQ22" s="176"/>
      <c r="BR22" s="176"/>
      <c r="BS22" s="176"/>
      <c r="BT22" s="176"/>
      <c r="BU22" s="176"/>
      <c r="BV22" s="176"/>
      <c r="BW22" s="176"/>
      <c r="BX22" s="176"/>
      <c r="BY22" s="176"/>
      <c r="BZ22" s="176"/>
      <c r="CA22" s="176"/>
      <c r="CB22" s="176"/>
      <c r="CC22" s="176"/>
      <c r="CD22" s="176"/>
      <c r="CE22" s="176"/>
      <c r="CF22" s="176"/>
      <c r="CG22" s="176"/>
      <c r="CH22" s="176"/>
      <c r="CI22" s="176"/>
      <c r="CJ22" s="176"/>
      <c r="CK22" s="176"/>
      <c r="CL22" s="176"/>
      <c r="CM22" s="176"/>
      <c r="CN22" s="176"/>
      <c r="CO22" s="176"/>
      <c r="CP22" s="176"/>
      <c r="CQ22" s="176"/>
      <c r="CR22" s="176"/>
      <c r="CS22" s="176"/>
      <c r="CT22" s="176"/>
      <c r="CU22" s="176"/>
      <c r="CV22" s="176"/>
      <c r="CW22" s="176"/>
      <c r="CX22" s="176"/>
      <c r="CY22" s="176"/>
      <c r="CZ22" s="176"/>
      <c r="DA22" s="176"/>
      <c r="DB22" s="176"/>
      <c r="DC22" s="176"/>
      <c r="DD22" s="176"/>
      <c r="DE22" s="176"/>
      <c r="DF22" s="176"/>
      <c r="DG22" s="176"/>
      <c r="DH22" s="176"/>
      <c r="DI22" s="176"/>
      <c r="DJ22" s="176"/>
      <c r="DK22" s="176"/>
      <c r="DL22" s="176"/>
      <c r="DM22" s="176"/>
      <c r="DN22" s="176"/>
      <c r="DO22" s="176"/>
      <c r="DP22" s="176"/>
      <c r="DQ22" s="176"/>
      <c r="DR22" s="176"/>
      <c r="DS22" s="176"/>
      <c r="DT22" s="176"/>
      <c r="DU22" s="176"/>
      <c r="DV22" s="176"/>
      <c r="DW22" s="176"/>
      <c r="DX22" s="176"/>
      <c r="DY22" s="176"/>
      <c r="DZ22" s="176"/>
      <c r="EA22" s="176"/>
      <c r="EB22" s="176"/>
      <c r="EC22" s="176"/>
      <c r="ED22" s="176"/>
      <c r="EE22" s="176"/>
      <c r="EF22" s="176"/>
      <c r="EG22" s="176"/>
      <c r="EH22" s="176"/>
      <c r="EI22" s="176"/>
      <c r="EJ22" s="176"/>
      <c r="EK22" s="176"/>
      <c r="EL22" s="176"/>
      <c r="EM22" s="176"/>
      <c r="EN22" s="176"/>
    </row>
    <row r="23" spans="1:144" s="177" customFormat="1" ht="12.75" customHeight="1">
      <c r="A23" s="55"/>
      <c r="B23" s="641" t="s">
        <v>83</v>
      </c>
      <c r="C23" s="1166"/>
      <c r="D23" s="317"/>
      <c r="E23" s="634">
        <f t="shared" ref="E23:AI23" si="6">E14</f>
        <v>84.179504699999995</v>
      </c>
      <c r="F23" s="634">
        <f t="shared" si="6"/>
        <v>84.413988000000003</v>
      </c>
      <c r="G23" s="634">
        <f t="shared" si="6"/>
        <v>84.413988000000003</v>
      </c>
      <c r="H23" s="634">
        <f t="shared" si="6"/>
        <v>89.103653999999992</v>
      </c>
      <c r="I23" s="634">
        <f t="shared" si="6"/>
        <v>89.103653999999992</v>
      </c>
      <c r="J23" s="634">
        <f t="shared" si="6"/>
        <v>89.103653999999992</v>
      </c>
      <c r="K23" s="634">
        <f t="shared" si="6"/>
        <v>93.793320000000008</v>
      </c>
      <c r="L23" s="634">
        <f t="shared" si="6"/>
        <v>93.793320000000008</v>
      </c>
      <c r="M23" s="634">
        <f t="shared" si="6"/>
        <v>98.482985999999997</v>
      </c>
      <c r="N23" s="634">
        <f t="shared" si="6"/>
        <v>98.482985999999997</v>
      </c>
      <c r="O23" s="634">
        <f t="shared" si="6"/>
        <v>0.28659069999999898</v>
      </c>
      <c r="P23" s="634">
        <f t="shared" si="6"/>
        <v>0</v>
      </c>
      <c r="Q23" s="634">
        <f t="shared" si="6"/>
        <v>0</v>
      </c>
      <c r="R23" s="634">
        <f t="shared" si="6"/>
        <v>0</v>
      </c>
      <c r="S23" s="634">
        <f t="shared" si="6"/>
        <v>0</v>
      </c>
      <c r="T23" s="634">
        <f t="shared" si="6"/>
        <v>0</v>
      </c>
      <c r="U23" s="634">
        <f t="shared" si="6"/>
        <v>0</v>
      </c>
      <c r="V23" s="634">
        <f t="shared" si="6"/>
        <v>0</v>
      </c>
      <c r="W23" s="634">
        <f t="shared" si="6"/>
        <v>0</v>
      </c>
      <c r="X23" s="634">
        <f t="shared" si="6"/>
        <v>0</v>
      </c>
      <c r="Y23" s="634">
        <f t="shared" si="6"/>
        <v>0</v>
      </c>
      <c r="Z23" s="634">
        <f t="shared" si="6"/>
        <v>0</v>
      </c>
      <c r="AA23" s="634">
        <f t="shared" si="6"/>
        <v>0</v>
      </c>
      <c r="AB23" s="634">
        <f t="shared" si="6"/>
        <v>0</v>
      </c>
      <c r="AC23" s="634">
        <f t="shared" si="6"/>
        <v>0</v>
      </c>
      <c r="AD23" s="634">
        <f t="shared" si="6"/>
        <v>0</v>
      </c>
      <c r="AE23" s="634">
        <f t="shared" si="6"/>
        <v>0</v>
      </c>
      <c r="AF23" s="634">
        <f t="shared" si="6"/>
        <v>0</v>
      </c>
      <c r="AG23" s="634">
        <f t="shared" si="6"/>
        <v>0</v>
      </c>
      <c r="AH23" s="634">
        <f t="shared" si="6"/>
        <v>0</v>
      </c>
      <c r="AI23" s="642">
        <f t="shared" si="6"/>
        <v>0</v>
      </c>
      <c r="AK23" s="176"/>
      <c r="AL23" s="176"/>
      <c r="AM23" s="176"/>
      <c r="AN23" s="176"/>
      <c r="AO23" s="176"/>
      <c r="AP23" s="176"/>
      <c r="AQ23" s="176"/>
      <c r="AR23" s="176"/>
      <c r="AS23" s="176"/>
      <c r="AT23" s="176"/>
      <c r="AU23" s="176"/>
      <c r="AV23" s="176"/>
      <c r="AW23" s="176"/>
      <c r="AX23" s="176"/>
      <c r="AY23" s="176"/>
      <c r="AZ23" s="176"/>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176"/>
      <c r="CL23" s="176"/>
      <c r="CM23" s="176"/>
      <c r="CN23" s="176"/>
      <c r="CO23" s="176"/>
      <c r="CP23" s="176"/>
      <c r="CQ23" s="176"/>
      <c r="CR23" s="176"/>
      <c r="CS23" s="176"/>
      <c r="CT23" s="176"/>
      <c r="CU23" s="176"/>
      <c r="CV23" s="176"/>
      <c r="CW23" s="176"/>
      <c r="CX23" s="176"/>
      <c r="CY23" s="176"/>
      <c r="CZ23" s="176"/>
      <c r="DA23" s="176"/>
      <c r="DB23" s="176"/>
      <c r="DC23" s="176"/>
      <c r="DD23" s="176"/>
      <c r="DE23" s="176"/>
      <c r="DF23" s="176"/>
      <c r="DG23" s="176"/>
      <c r="DH23" s="176"/>
      <c r="DI23" s="176"/>
      <c r="DJ23" s="176"/>
      <c r="DK23" s="176"/>
      <c r="DL23" s="176"/>
      <c r="DM23" s="176"/>
      <c r="DN23" s="176"/>
      <c r="DO23" s="176"/>
      <c r="DP23" s="176"/>
      <c r="DQ23" s="176"/>
      <c r="DR23" s="176"/>
      <c r="DS23" s="176"/>
      <c r="DT23" s="176"/>
      <c r="DU23" s="176"/>
      <c r="DV23" s="176"/>
      <c r="DW23" s="176"/>
      <c r="DX23" s="176"/>
      <c r="DY23" s="176"/>
      <c r="DZ23" s="176"/>
      <c r="EA23" s="176"/>
      <c r="EB23" s="176"/>
      <c r="EC23" s="176"/>
      <c r="ED23" s="176"/>
      <c r="EE23" s="176"/>
      <c r="EF23" s="176"/>
      <c r="EG23" s="176"/>
      <c r="EH23" s="176"/>
      <c r="EI23" s="176"/>
      <c r="EJ23" s="176"/>
      <c r="EK23" s="176"/>
      <c r="EL23" s="176"/>
      <c r="EM23" s="176"/>
      <c r="EN23" s="176"/>
    </row>
    <row r="24" spans="1:144" s="177" customFormat="1" ht="12.75" customHeight="1">
      <c r="A24" s="55"/>
      <c r="B24" s="250"/>
      <c r="C24" s="1165"/>
      <c r="D24" s="317"/>
      <c r="E24" s="255"/>
      <c r="F24" s="255"/>
      <c r="G24" s="255"/>
      <c r="H24" s="255"/>
      <c r="I24" s="255"/>
      <c r="J24" s="255"/>
      <c r="K24" s="255"/>
      <c r="L24" s="255"/>
      <c r="M24" s="255"/>
      <c r="N24" s="255"/>
      <c r="O24" s="255"/>
      <c r="P24" s="255"/>
      <c r="Q24" s="255"/>
      <c r="R24" s="255"/>
      <c r="S24" s="255"/>
      <c r="T24" s="255"/>
      <c r="U24" s="255"/>
      <c r="V24" s="255"/>
      <c r="W24" s="255"/>
      <c r="X24" s="255"/>
      <c r="Y24" s="255"/>
      <c r="Z24" s="255"/>
      <c r="AA24" s="255"/>
      <c r="AB24" s="255"/>
      <c r="AC24" s="255"/>
      <c r="AD24" s="255"/>
      <c r="AE24" s="255"/>
      <c r="AF24" s="255"/>
      <c r="AG24" s="255"/>
      <c r="AH24" s="255"/>
      <c r="AI24" s="257"/>
      <c r="AK24" s="176"/>
      <c r="AL24" s="176"/>
      <c r="AM24" s="176"/>
      <c r="AN24" s="176"/>
      <c r="AO24" s="176"/>
      <c r="AP24" s="176"/>
      <c r="AQ24" s="176"/>
      <c r="AR24" s="176"/>
      <c r="AS24" s="176"/>
      <c r="AT24" s="176"/>
      <c r="AU24" s="176"/>
      <c r="AV24" s="176"/>
      <c r="AW24" s="176"/>
      <c r="AX24" s="176"/>
      <c r="AY24" s="176"/>
      <c r="AZ24" s="176"/>
      <c r="BA24" s="176"/>
      <c r="BB24" s="176"/>
      <c r="BC24" s="176"/>
      <c r="BD24" s="176"/>
      <c r="BE24" s="176"/>
      <c r="BF24" s="176"/>
      <c r="BG24" s="176"/>
      <c r="BH24" s="176"/>
      <c r="BI24" s="176"/>
      <c r="BJ24" s="176"/>
      <c r="BK24" s="176"/>
      <c r="BL24" s="176"/>
      <c r="BM24" s="176"/>
      <c r="BN24" s="176"/>
      <c r="BO24" s="176"/>
      <c r="BP24" s="176"/>
      <c r="BQ24" s="176"/>
      <c r="BR24" s="176"/>
      <c r="BS24" s="176"/>
      <c r="BT24" s="176"/>
      <c r="BU24" s="176"/>
      <c r="BV24" s="176"/>
      <c r="BW24" s="176"/>
      <c r="BX24" s="176"/>
      <c r="BY24" s="176"/>
      <c r="BZ24" s="176"/>
      <c r="CA24" s="176"/>
      <c r="CB24" s="176"/>
      <c r="CC24" s="176"/>
      <c r="CD24" s="176"/>
      <c r="CE24" s="176"/>
      <c r="CF24" s="176"/>
      <c r="CG24" s="176"/>
      <c r="CH24" s="176"/>
      <c r="CI24" s="176"/>
      <c r="CJ24" s="176"/>
      <c r="CK24" s="176"/>
      <c r="CL24" s="176"/>
      <c r="CM24" s="176"/>
      <c r="CN24" s="176"/>
      <c r="CO24" s="176"/>
      <c r="CP24" s="176"/>
      <c r="CQ24" s="176"/>
      <c r="CR24" s="176"/>
      <c r="CS24" s="176"/>
      <c r="CT24" s="176"/>
      <c r="CU24" s="176"/>
      <c r="CV24" s="176"/>
      <c r="CW24" s="176"/>
      <c r="CX24" s="176"/>
      <c r="CY24" s="176"/>
      <c r="CZ24" s="176"/>
      <c r="DA24" s="176"/>
      <c r="DB24" s="176"/>
      <c r="DC24" s="176"/>
      <c r="DD24" s="176"/>
      <c r="DE24" s="176"/>
      <c r="DF24" s="176"/>
      <c r="DG24" s="176"/>
      <c r="DH24" s="176"/>
      <c r="DI24" s="176"/>
      <c r="DJ24" s="176"/>
      <c r="DK24" s="176"/>
      <c r="DL24" s="176"/>
      <c r="DM24" s="176"/>
      <c r="DN24" s="176"/>
      <c r="DO24" s="176"/>
      <c r="DP24" s="176"/>
      <c r="DQ24" s="176"/>
      <c r="DR24" s="176"/>
      <c r="DS24" s="176"/>
      <c r="DT24" s="176"/>
      <c r="DU24" s="176"/>
      <c r="DV24" s="176"/>
      <c r="DW24" s="176"/>
      <c r="DX24" s="176"/>
      <c r="DY24" s="176"/>
      <c r="DZ24" s="176"/>
      <c r="EA24" s="176"/>
      <c r="EB24" s="176"/>
      <c r="EC24" s="176"/>
      <c r="ED24" s="176"/>
      <c r="EE24" s="176"/>
      <c r="EF24" s="176"/>
      <c r="EG24" s="176"/>
      <c r="EH24" s="176"/>
      <c r="EI24" s="176"/>
      <c r="EJ24" s="176"/>
      <c r="EK24" s="176"/>
      <c r="EL24" s="176"/>
      <c r="EM24" s="176"/>
      <c r="EN24" s="176"/>
    </row>
    <row r="25" spans="1:144" s="177" customFormat="1" ht="12.75" customHeight="1">
      <c r="A25" s="55"/>
      <c r="B25" s="480" t="s">
        <v>128</v>
      </c>
      <c r="C25" s="868"/>
      <c r="D25" s="500">
        <f ca="1">SUM(D19:D21)</f>
        <v>-913.40320994341164</v>
      </c>
      <c r="E25" s="440">
        <f>E21</f>
        <v>19.852107806507153</v>
      </c>
      <c r="F25" s="440">
        <f t="shared" ref="F25:AH25" si="7">F21</f>
        <v>14.804926450176845</v>
      </c>
      <c r="G25" s="440">
        <f t="shared" si="7"/>
        <v>14.920973072087177</v>
      </c>
      <c r="H25" s="440">
        <f t="shared" si="7"/>
        <v>14.813737017094782</v>
      </c>
      <c r="I25" s="440">
        <f t="shared" si="7"/>
        <v>14.704180329030397</v>
      </c>
      <c r="J25" s="440">
        <f t="shared" si="7"/>
        <v>15.552441263446903</v>
      </c>
      <c r="K25" s="440">
        <f t="shared" si="7"/>
        <v>14.316968912728516</v>
      </c>
      <c r="L25" s="440">
        <f t="shared" si="7"/>
        <v>14.300057177907275</v>
      </c>
      <c r="M25" s="440">
        <f t="shared" si="7"/>
        <v>14.276939298011376</v>
      </c>
      <c r="N25" s="440">
        <f t="shared" si="7"/>
        <v>14.471040927683948</v>
      </c>
      <c r="O25" s="440">
        <f t="shared" si="7"/>
        <v>14.701758999941049</v>
      </c>
      <c r="P25" s="440">
        <f t="shared" si="7"/>
        <v>14.962425943695834</v>
      </c>
      <c r="Q25" s="440">
        <f t="shared" si="7"/>
        <v>15.271247714941282</v>
      </c>
      <c r="R25" s="440">
        <f t="shared" si="7"/>
        <v>14.951697626794498</v>
      </c>
      <c r="S25" s="440">
        <f t="shared" si="7"/>
        <v>14.594654492119744</v>
      </c>
      <c r="T25" s="440">
        <f t="shared" si="7"/>
        <v>13.907946428457581</v>
      </c>
      <c r="U25" s="440">
        <f t="shared" si="7"/>
        <v>13.70359605820188</v>
      </c>
      <c r="V25" s="440">
        <f t="shared" si="7"/>
        <v>23.205205604021085</v>
      </c>
      <c r="W25" s="440">
        <f t="shared" si="7"/>
        <v>58.169380609148455</v>
      </c>
      <c r="X25" s="440">
        <f t="shared" si="7"/>
        <v>64.405071598288487</v>
      </c>
      <c r="Y25" s="440">
        <f t="shared" si="7"/>
        <v>0.16844521113537</v>
      </c>
      <c r="Z25" s="440">
        <f t="shared" si="7"/>
        <v>0</v>
      </c>
      <c r="AA25" s="440">
        <f t="shared" si="7"/>
        <v>0</v>
      </c>
      <c r="AB25" s="440">
        <f t="shared" si="7"/>
        <v>0</v>
      </c>
      <c r="AC25" s="440">
        <f t="shared" si="7"/>
        <v>0</v>
      </c>
      <c r="AD25" s="440">
        <f t="shared" si="7"/>
        <v>0</v>
      </c>
      <c r="AE25" s="440">
        <f t="shared" si="7"/>
        <v>0</v>
      </c>
      <c r="AF25" s="440">
        <f t="shared" si="7"/>
        <v>0</v>
      </c>
      <c r="AG25" s="440">
        <f t="shared" si="7"/>
        <v>0</v>
      </c>
      <c r="AH25" s="440">
        <f t="shared" si="7"/>
        <v>0</v>
      </c>
      <c r="AI25" s="483">
        <f>AI21</f>
        <v>0</v>
      </c>
      <c r="AK25" s="176"/>
      <c r="AL25" s="176"/>
      <c r="AM25" s="176"/>
      <c r="AN25" s="176"/>
      <c r="AO25" s="176"/>
      <c r="AP25" s="176"/>
      <c r="AQ25" s="176"/>
      <c r="AR25" s="176"/>
      <c r="AS25" s="176"/>
      <c r="AT25" s="176"/>
      <c r="AU25" s="176"/>
      <c r="AV25" s="176"/>
      <c r="AW25" s="176"/>
      <c r="AX25" s="176"/>
      <c r="AY25" s="176"/>
      <c r="AZ25" s="176"/>
      <c r="BA25" s="176"/>
      <c r="BB25" s="176"/>
      <c r="BC25" s="176"/>
      <c r="BD25" s="176"/>
      <c r="BE25" s="176"/>
      <c r="BF25" s="176"/>
      <c r="BG25" s="176"/>
      <c r="BH25" s="176"/>
      <c r="BI25" s="176"/>
      <c r="BJ25" s="176"/>
      <c r="BK25" s="176"/>
      <c r="BL25" s="176"/>
      <c r="BM25" s="176"/>
      <c r="BN25" s="176"/>
      <c r="BO25" s="176"/>
      <c r="BP25" s="176"/>
      <c r="BQ25" s="176"/>
      <c r="BR25" s="176"/>
      <c r="BS25" s="176"/>
      <c r="BT25" s="176"/>
      <c r="BU25" s="176"/>
      <c r="BV25" s="176"/>
      <c r="BW25" s="176"/>
      <c r="BX25" s="176"/>
      <c r="BY25" s="176"/>
      <c r="BZ25" s="176"/>
      <c r="CA25" s="176"/>
      <c r="CB25" s="176"/>
      <c r="CC25" s="176"/>
      <c r="CD25" s="176"/>
      <c r="CE25" s="176"/>
      <c r="CF25" s="176"/>
      <c r="CG25" s="176"/>
      <c r="CH25" s="176"/>
      <c r="CI25" s="176"/>
      <c r="CJ25" s="176"/>
      <c r="CK25" s="176"/>
      <c r="CL25" s="176"/>
      <c r="CM25" s="176"/>
      <c r="CN25" s="176"/>
      <c r="CO25" s="176"/>
      <c r="CP25" s="176"/>
      <c r="CQ25" s="176"/>
      <c r="CR25" s="176"/>
      <c r="CS25" s="176"/>
      <c r="CT25" s="176"/>
      <c r="CU25" s="176"/>
      <c r="CV25" s="176"/>
      <c r="CW25" s="176"/>
      <c r="CX25" s="176"/>
      <c r="CY25" s="176"/>
      <c r="CZ25" s="176"/>
      <c r="DA25" s="176"/>
      <c r="DB25" s="176"/>
      <c r="DC25" s="176"/>
      <c r="DD25" s="176"/>
      <c r="DE25" s="176"/>
      <c r="DF25" s="176"/>
      <c r="DG25" s="176"/>
      <c r="DH25" s="176"/>
      <c r="DI25" s="176"/>
      <c r="DJ25" s="176"/>
      <c r="DK25" s="176"/>
      <c r="DL25" s="176"/>
      <c r="DM25" s="176"/>
      <c r="DN25" s="176"/>
      <c r="DO25" s="176"/>
      <c r="DP25" s="176"/>
      <c r="DQ25" s="176"/>
      <c r="DR25" s="176"/>
      <c r="DS25" s="176"/>
      <c r="DT25" s="176"/>
      <c r="DU25" s="176"/>
      <c r="DV25" s="176"/>
      <c r="DW25" s="176"/>
      <c r="DX25" s="176"/>
      <c r="DY25" s="176"/>
      <c r="DZ25" s="176"/>
      <c r="EA25" s="176"/>
      <c r="EB25" s="176"/>
      <c r="EC25" s="176"/>
      <c r="ED25" s="176"/>
      <c r="EE25" s="176"/>
      <c r="EF25" s="176"/>
      <c r="EG25" s="176"/>
      <c r="EH25" s="176"/>
      <c r="EI25" s="176"/>
      <c r="EJ25" s="176"/>
      <c r="EK25" s="176"/>
      <c r="EL25" s="176"/>
      <c r="EM25" s="176"/>
      <c r="EN25" s="176"/>
    </row>
    <row r="26" spans="1:144" s="177" customFormat="1" ht="12.75" customHeight="1">
      <c r="A26" s="55"/>
      <c r="B26" s="498" t="s">
        <v>129</v>
      </c>
      <c r="C26" s="1167"/>
      <c r="D26" s="317">
        <f ca="1">D25</f>
        <v>-913.40320994341164</v>
      </c>
      <c r="E26" s="255">
        <f t="shared" ref="E26:AI26" ca="1" si="8">D26+E25</f>
        <v>-893.55110213690443</v>
      </c>
      <c r="F26" s="255">
        <f t="shared" ca="1" si="8"/>
        <v>-878.74617568672761</v>
      </c>
      <c r="G26" s="255">
        <f t="shared" ca="1" si="8"/>
        <v>-863.82520261464049</v>
      </c>
      <c r="H26" s="255">
        <f t="shared" ca="1" si="8"/>
        <v>-849.01146559754568</v>
      </c>
      <c r="I26" s="255">
        <f t="shared" ca="1" si="8"/>
        <v>-834.30728526851533</v>
      </c>
      <c r="J26" s="255">
        <f t="shared" ca="1" si="8"/>
        <v>-818.75484400506843</v>
      </c>
      <c r="K26" s="255">
        <f t="shared" ca="1" si="8"/>
        <v>-804.43787509233994</v>
      </c>
      <c r="L26" s="255">
        <f t="shared" ca="1" si="8"/>
        <v>-790.13781791443262</v>
      </c>
      <c r="M26" s="255">
        <f t="shared" ca="1" si="8"/>
        <v>-775.86087861642125</v>
      </c>
      <c r="N26" s="255">
        <f t="shared" ca="1" si="8"/>
        <v>-761.38983768873732</v>
      </c>
      <c r="O26" s="255">
        <f t="shared" ca="1" si="8"/>
        <v>-746.68807868879628</v>
      </c>
      <c r="P26" s="255">
        <f t="shared" ca="1" si="8"/>
        <v>-731.72565274510043</v>
      </c>
      <c r="Q26" s="255">
        <f t="shared" ca="1" si="8"/>
        <v>-716.45440503015914</v>
      </c>
      <c r="R26" s="255">
        <f t="shared" ca="1" si="8"/>
        <v>-701.50270740336464</v>
      </c>
      <c r="S26" s="255">
        <f t="shared" ca="1" si="8"/>
        <v>-686.90805291124491</v>
      </c>
      <c r="T26" s="255">
        <f t="shared" ca="1" si="8"/>
        <v>-673.00010648278737</v>
      </c>
      <c r="U26" s="255">
        <f t="shared" ca="1" si="8"/>
        <v>-659.29651042458545</v>
      </c>
      <c r="V26" s="255">
        <f t="shared" ca="1" si="8"/>
        <v>-636.09130482056435</v>
      </c>
      <c r="W26" s="255">
        <f t="shared" ca="1" si="8"/>
        <v>-577.9219242114159</v>
      </c>
      <c r="X26" s="255">
        <f t="shared" ca="1" si="8"/>
        <v>-513.51685261312741</v>
      </c>
      <c r="Y26" s="255">
        <f t="shared" ca="1" si="8"/>
        <v>-513.34840740199206</v>
      </c>
      <c r="Z26" s="255">
        <f t="shared" ca="1" si="8"/>
        <v>-513.34840740199206</v>
      </c>
      <c r="AA26" s="255">
        <f t="shared" ca="1" si="8"/>
        <v>-513.34840740199206</v>
      </c>
      <c r="AB26" s="255">
        <f t="shared" ca="1" si="8"/>
        <v>-513.34840740199206</v>
      </c>
      <c r="AC26" s="255">
        <f t="shared" ca="1" si="8"/>
        <v>-513.34840740199206</v>
      </c>
      <c r="AD26" s="255">
        <f t="shared" ca="1" si="8"/>
        <v>-513.34840740199206</v>
      </c>
      <c r="AE26" s="255">
        <f t="shared" ca="1" si="8"/>
        <v>-513.34840740199206</v>
      </c>
      <c r="AF26" s="255">
        <f t="shared" ca="1" si="8"/>
        <v>-513.34840740199206</v>
      </c>
      <c r="AG26" s="255">
        <f t="shared" ca="1" si="8"/>
        <v>-513.34840740199206</v>
      </c>
      <c r="AH26" s="255">
        <f t="shared" ca="1" si="8"/>
        <v>-513.34840740199206</v>
      </c>
      <c r="AI26" s="257">
        <f t="shared" ca="1" si="8"/>
        <v>-513.34840740199206</v>
      </c>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c r="CS26" s="176"/>
      <c r="CT26" s="176"/>
      <c r="CU26" s="176"/>
      <c r="CV26" s="176"/>
      <c r="CW26" s="176"/>
      <c r="CX26" s="176"/>
      <c r="CY26" s="176"/>
      <c r="CZ26" s="176"/>
      <c r="DA26" s="176"/>
      <c r="DB26" s="176"/>
      <c r="DC26" s="176"/>
      <c r="DD26" s="176"/>
      <c r="DE26" s="176"/>
      <c r="DF26" s="176"/>
      <c r="DG26" s="176"/>
      <c r="DH26" s="176"/>
      <c r="DI26" s="176"/>
      <c r="DJ26" s="176"/>
      <c r="DK26" s="176"/>
      <c r="DL26" s="176"/>
      <c r="DM26" s="176"/>
      <c r="DN26" s="176"/>
      <c r="DO26" s="176"/>
      <c r="DP26" s="176"/>
      <c r="DQ26" s="176"/>
      <c r="DR26" s="176"/>
      <c r="DS26" s="176"/>
      <c r="DT26" s="176"/>
      <c r="DU26" s="176"/>
      <c r="DV26" s="176"/>
      <c r="DW26" s="176"/>
      <c r="DX26" s="176"/>
      <c r="DY26" s="176"/>
      <c r="DZ26" s="176"/>
      <c r="EA26" s="176"/>
      <c r="EB26" s="176"/>
      <c r="EC26" s="176"/>
      <c r="ED26" s="176"/>
      <c r="EE26" s="176"/>
      <c r="EF26" s="176"/>
      <c r="EG26" s="176"/>
      <c r="EH26" s="176"/>
      <c r="EI26" s="176"/>
      <c r="EJ26" s="176"/>
      <c r="EK26" s="176"/>
      <c r="EL26" s="176"/>
      <c r="EM26" s="176"/>
      <c r="EN26" s="176"/>
    </row>
    <row r="27" spans="1:144" s="177" customFormat="1" ht="12.75" customHeight="1">
      <c r="A27" s="55"/>
      <c r="B27" s="250"/>
      <c r="C27" s="1165"/>
      <c r="D27" s="317"/>
      <c r="E27" s="255"/>
      <c r="F27" s="255"/>
      <c r="G27" s="255"/>
      <c r="H27" s="255"/>
      <c r="I27" s="255"/>
      <c r="J27" s="255"/>
      <c r="K27" s="255"/>
      <c r="L27" s="255"/>
      <c r="M27" s="255"/>
      <c r="N27" s="255"/>
      <c r="O27" s="255"/>
      <c r="P27" s="255"/>
      <c r="Q27" s="255"/>
      <c r="R27" s="255"/>
      <c r="S27" s="255"/>
      <c r="T27" s="255"/>
      <c r="U27" s="255"/>
      <c r="V27" s="255"/>
      <c r="W27" s="255"/>
      <c r="X27" s="255"/>
      <c r="Y27" s="255"/>
      <c r="Z27" s="255"/>
      <c r="AA27" s="255"/>
      <c r="AB27" s="255"/>
      <c r="AC27" s="255"/>
      <c r="AD27" s="255"/>
      <c r="AE27" s="255"/>
      <c r="AF27" s="255"/>
      <c r="AG27" s="255"/>
      <c r="AH27" s="255"/>
      <c r="AI27" s="257"/>
      <c r="AK27" s="176"/>
      <c r="AL27" s="176"/>
      <c r="AM27" s="176"/>
      <c r="AN27" s="176"/>
      <c r="AO27" s="176"/>
      <c r="AP27" s="176"/>
      <c r="AQ27" s="176"/>
      <c r="AR27" s="176"/>
      <c r="AS27" s="176"/>
      <c r="AT27" s="176"/>
      <c r="AU27" s="176"/>
      <c r="AV27" s="176"/>
      <c r="AW27" s="176"/>
      <c r="AX27" s="176"/>
      <c r="AY27" s="176"/>
      <c r="AZ27" s="176"/>
      <c r="BA27" s="176"/>
      <c r="BB27" s="176"/>
      <c r="BC27" s="176"/>
      <c r="BD27" s="176"/>
      <c r="BE27" s="176"/>
      <c r="BF27" s="176"/>
      <c r="BG27" s="176"/>
      <c r="BH27" s="176"/>
      <c r="BI27" s="176"/>
      <c r="BJ27" s="176"/>
      <c r="BK27" s="176"/>
      <c r="BL27" s="176"/>
      <c r="BM27" s="176"/>
      <c r="BN27" s="176"/>
      <c r="BO27" s="176"/>
      <c r="BP27" s="176"/>
      <c r="BQ27" s="176"/>
      <c r="BR27" s="176"/>
      <c r="BS27" s="176"/>
      <c r="BT27" s="176"/>
      <c r="BU27" s="176"/>
      <c r="BV27" s="176"/>
      <c r="BW27" s="176"/>
      <c r="BX27" s="176"/>
      <c r="BY27" s="176"/>
      <c r="BZ27" s="176"/>
      <c r="CA27" s="176"/>
      <c r="CB27" s="176"/>
      <c r="CC27" s="176"/>
      <c r="CD27" s="176"/>
      <c r="CE27" s="176"/>
      <c r="CF27" s="176"/>
      <c r="CG27" s="176"/>
      <c r="CH27" s="176"/>
      <c r="CI27" s="176"/>
      <c r="CJ27" s="176"/>
      <c r="CK27" s="176"/>
      <c r="CL27" s="176"/>
      <c r="CM27" s="176"/>
      <c r="CN27" s="176"/>
      <c r="CO27" s="176"/>
      <c r="CP27" s="176"/>
      <c r="CQ27" s="176"/>
      <c r="CR27" s="176"/>
      <c r="CS27" s="176"/>
      <c r="CT27" s="176"/>
      <c r="CU27" s="176"/>
      <c r="CV27" s="176"/>
      <c r="CW27" s="176"/>
      <c r="CX27" s="176"/>
      <c r="CY27" s="176"/>
      <c r="CZ27" s="176"/>
      <c r="DA27" s="176"/>
      <c r="DB27" s="176"/>
      <c r="DC27" s="176"/>
      <c r="DD27" s="176"/>
      <c r="DE27" s="176"/>
      <c r="DF27" s="176"/>
      <c r="DG27" s="176"/>
      <c r="DH27" s="176"/>
      <c r="DI27" s="176"/>
      <c r="DJ27" s="176"/>
      <c r="DK27" s="176"/>
      <c r="DL27" s="176"/>
      <c r="DM27" s="176"/>
      <c r="DN27" s="176"/>
      <c r="DO27" s="176"/>
      <c r="DP27" s="176"/>
      <c r="DQ27" s="176"/>
      <c r="DR27" s="176"/>
      <c r="DS27" s="176"/>
      <c r="DT27" s="176"/>
      <c r="DU27" s="176"/>
      <c r="DV27" s="176"/>
      <c r="DW27" s="176"/>
      <c r="DX27" s="176"/>
      <c r="DY27" s="176"/>
      <c r="DZ27" s="176"/>
      <c r="EA27" s="176"/>
      <c r="EB27" s="176"/>
      <c r="EC27" s="176"/>
      <c r="ED27" s="176"/>
      <c r="EE27" s="176"/>
      <c r="EF27" s="176"/>
      <c r="EG27" s="176"/>
      <c r="EH27" s="176"/>
      <c r="EI27" s="176"/>
      <c r="EJ27" s="176"/>
      <c r="EK27" s="176"/>
      <c r="EL27" s="176"/>
      <c r="EM27" s="176"/>
      <c r="EN27" s="176"/>
    </row>
    <row r="28" spans="1:144" s="177" customFormat="1" ht="12.75" customHeight="1">
      <c r="A28" s="55"/>
      <c r="B28" s="480" t="s">
        <v>130</v>
      </c>
      <c r="C28" s="868"/>
      <c r="D28" s="500">
        <f ca="1">SUM(D19:D23)</f>
        <v>-913.40320994341164</v>
      </c>
      <c r="E28" s="440">
        <f ca="1">SUM(E19:E23)</f>
        <v>186.15633872855312</v>
      </c>
      <c r="F28" s="440">
        <f t="shared" ref="F28:AH28" ca="1" si="9">SUM(F19:F23)</f>
        <v>245.9676451170277</v>
      </c>
      <c r="G28" s="440">
        <f t="shared" ca="1" si="9"/>
        <v>183.55191947620494</v>
      </c>
      <c r="H28" s="440">
        <f t="shared" ca="1" si="9"/>
        <v>150.58411926007591</v>
      </c>
      <c r="I28" s="440">
        <f t="shared" ca="1" si="9"/>
        <v>150.09641665163758</v>
      </c>
      <c r="J28" s="440">
        <f t="shared" ca="1" si="9"/>
        <v>121.34854967287821</v>
      </c>
      <c r="K28" s="440">
        <f t="shared" ca="1" si="9"/>
        <v>97.98677773349327</v>
      </c>
      <c r="L28" s="440">
        <f t="shared" ca="1" si="9"/>
        <v>97.333967618065444</v>
      </c>
      <c r="M28" s="440">
        <f t="shared" ca="1" si="9"/>
        <v>101.33811579954948</v>
      </c>
      <c r="N28" s="440">
        <f t="shared" ca="1" si="9"/>
        <v>100.49986318326724</v>
      </c>
      <c r="O28" s="440">
        <f t="shared" ca="1" si="9"/>
        <v>1.3838798801580723</v>
      </c>
      <c r="P28" s="440">
        <f t="shared" ca="1" si="9"/>
        <v>1.0266743429507841E-2</v>
      </c>
      <c r="Q28" s="440">
        <f t="shared" ca="1" si="9"/>
        <v>-1.1313680256027148</v>
      </c>
      <c r="R28" s="440">
        <f t="shared" ca="1" si="9"/>
        <v>-2.161938492821406</v>
      </c>
      <c r="S28" s="440">
        <f t="shared" ca="1" si="9"/>
        <v>-3.2485908852016649</v>
      </c>
      <c r="T28" s="440">
        <f t="shared" ca="1" si="9"/>
        <v>-4.3452734352465896</v>
      </c>
      <c r="U28" s="440">
        <f t="shared" ca="1" si="9"/>
        <v>-5.6305489682119738</v>
      </c>
      <c r="V28" s="440">
        <f t="shared" ca="1" si="9"/>
        <v>2.5519784337971529</v>
      </c>
      <c r="W28" s="440">
        <f t="shared" ca="1" si="9"/>
        <v>35.675546744142906</v>
      </c>
      <c r="X28" s="440">
        <f t="shared" ca="1" si="9"/>
        <v>42.211161780414869</v>
      </c>
      <c r="Y28" s="440">
        <f t="shared" ca="1" si="9"/>
        <v>0.10324123012924638</v>
      </c>
      <c r="Z28" s="440">
        <f t="shared" ca="1" si="9"/>
        <v>0</v>
      </c>
      <c r="AA28" s="440">
        <f t="shared" ca="1" si="9"/>
        <v>0</v>
      </c>
      <c r="AB28" s="440">
        <f t="shared" ca="1" si="9"/>
        <v>0</v>
      </c>
      <c r="AC28" s="440">
        <f t="shared" ca="1" si="9"/>
        <v>0</v>
      </c>
      <c r="AD28" s="440">
        <f t="shared" ca="1" si="9"/>
        <v>0</v>
      </c>
      <c r="AE28" s="440">
        <f t="shared" ca="1" si="9"/>
        <v>0</v>
      </c>
      <c r="AF28" s="440">
        <f t="shared" ca="1" si="9"/>
        <v>0</v>
      </c>
      <c r="AG28" s="440">
        <f t="shared" ca="1" si="9"/>
        <v>0</v>
      </c>
      <c r="AH28" s="440">
        <f t="shared" ca="1" si="9"/>
        <v>0</v>
      </c>
      <c r="AI28" s="483">
        <f ca="1">SUM(AI19:AI23)</f>
        <v>0</v>
      </c>
      <c r="AK28" s="176"/>
      <c r="AL28" s="176"/>
      <c r="AM28" s="176"/>
      <c r="AN28" s="176"/>
      <c r="AO28" s="176"/>
      <c r="AP28" s="176"/>
      <c r="AQ28" s="176"/>
      <c r="AR28" s="176"/>
      <c r="AS28" s="176"/>
      <c r="AT28" s="176"/>
      <c r="AU28" s="176"/>
      <c r="AV28" s="176"/>
      <c r="AW28" s="176"/>
      <c r="AX28" s="176"/>
      <c r="AY28" s="176"/>
      <c r="AZ28" s="176"/>
      <c r="BA28" s="176"/>
      <c r="BB28" s="176"/>
      <c r="BC28" s="176"/>
      <c r="BD28" s="176"/>
      <c r="BE28" s="176"/>
      <c r="BF28" s="176"/>
      <c r="BG28" s="176"/>
      <c r="BH28" s="176"/>
      <c r="BI28" s="176"/>
      <c r="BJ28" s="176"/>
      <c r="BK28" s="176"/>
      <c r="BL28" s="176"/>
      <c r="BM28" s="176"/>
      <c r="BN28" s="176"/>
      <c r="BO28" s="176"/>
      <c r="BP28" s="176"/>
      <c r="BQ28" s="176"/>
      <c r="BR28" s="176"/>
      <c r="BS28" s="176"/>
      <c r="BT28" s="176"/>
      <c r="BU28" s="176"/>
      <c r="BV28" s="176"/>
      <c r="BW28" s="176"/>
      <c r="BX28" s="176"/>
      <c r="BY28" s="176"/>
      <c r="BZ28" s="176"/>
      <c r="CA28" s="176"/>
      <c r="CB28" s="176"/>
      <c r="CC28" s="176"/>
      <c r="CD28" s="176"/>
      <c r="CE28" s="176"/>
      <c r="CF28" s="176"/>
      <c r="CG28" s="176"/>
      <c r="CH28" s="176"/>
      <c r="CI28" s="176"/>
      <c r="CJ28" s="176"/>
      <c r="CK28" s="176"/>
      <c r="CL28" s="176"/>
      <c r="CM28" s="176"/>
      <c r="CN28" s="176"/>
      <c r="CO28" s="176"/>
      <c r="CP28" s="176"/>
      <c r="CQ28" s="176"/>
      <c r="CR28" s="176"/>
      <c r="CS28" s="176"/>
      <c r="CT28" s="176"/>
      <c r="CU28" s="176"/>
      <c r="CV28" s="176"/>
      <c r="CW28" s="176"/>
      <c r="CX28" s="176"/>
      <c r="CY28" s="176"/>
      <c r="CZ28" s="176"/>
      <c r="DA28" s="176"/>
      <c r="DB28" s="176"/>
      <c r="DC28" s="176"/>
      <c r="DD28" s="176"/>
      <c r="DE28" s="176"/>
      <c r="DF28" s="176"/>
      <c r="DG28" s="176"/>
      <c r="DH28" s="176"/>
      <c r="DI28" s="176"/>
      <c r="DJ28" s="176"/>
      <c r="DK28" s="176"/>
      <c r="DL28" s="176"/>
      <c r="DM28" s="176"/>
      <c r="DN28" s="176"/>
      <c r="DO28" s="176"/>
      <c r="DP28" s="176"/>
      <c r="DQ28" s="176"/>
      <c r="DR28" s="176"/>
      <c r="DS28" s="176"/>
      <c r="DT28" s="176"/>
      <c r="DU28" s="176"/>
      <c r="DV28" s="176"/>
      <c r="DW28" s="176"/>
      <c r="DX28" s="176"/>
      <c r="DY28" s="176"/>
      <c r="DZ28" s="176"/>
      <c r="EA28" s="176"/>
      <c r="EB28" s="176"/>
      <c r="EC28" s="176"/>
      <c r="ED28" s="176"/>
      <c r="EE28" s="176"/>
      <c r="EF28" s="176"/>
      <c r="EG28" s="176"/>
      <c r="EH28" s="176"/>
      <c r="EI28" s="176"/>
      <c r="EJ28" s="176"/>
      <c r="EK28" s="176"/>
      <c r="EL28" s="176"/>
      <c r="EM28" s="176"/>
      <c r="EN28" s="176"/>
    </row>
    <row r="29" spans="1:144" s="177" customFormat="1">
      <c r="A29" s="55"/>
      <c r="B29" s="498" t="s">
        <v>131</v>
      </c>
      <c r="C29" s="1167"/>
      <c r="D29" s="317">
        <f ca="1">D28</f>
        <v>-913.40320994341164</v>
      </c>
      <c r="E29" s="255">
        <f t="shared" ref="E29:AI29" ca="1" si="10">D29+E28</f>
        <v>-727.24687121485852</v>
      </c>
      <c r="F29" s="255">
        <f t="shared" ca="1" si="10"/>
        <v>-481.27922609783081</v>
      </c>
      <c r="G29" s="255">
        <f t="shared" ca="1" si="10"/>
        <v>-297.72730662162587</v>
      </c>
      <c r="H29" s="255">
        <f t="shared" ca="1" si="10"/>
        <v>-147.14318736154996</v>
      </c>
      <c r="I29" s="255">
        <f t="shared" ca="1" si="10"/>
        <v>2.95322929008762</v>
      </c>
      <c r="J29" s="255">
        <f t="shared" ca="1" si="10"/>
        <v>124.30177896296583</v>
      </c>
      <c r="K29" s="255">
        <f t="shared" ca="1" si="10"/>
        <v>222.2885566964591</v>
      </c>
      <c r="L29" s="255">
        <f t="shared" ca="1" si="10"/>
        <v>319.62252431452453</v>
      </c>
      <c r="M29" s="255">
        <f t="shared" ca="1" si="10"/>
        <v>420.96064011407401</v>
      </c>
      <c r="N29" s="255">
        <f t="shared" ca="1" si="10"/>
        <v>521.46050329734123</v>
      </c>
      <c r="O29" s="255">
        <f t="shared" ca="1" si="10"/>
        <v>522.84438317749925</v>
      </c>
      <c r="P29" s="255">
        <f t="shared" ca="1" si="10"/>
        <v>522.85464992092875</v>
      </c>
      <c r="Q29" s="255">
        <f t="shared" ca="1" si="10"/>
        <v>521.72328189532607</v>
      </c>
      <c r="R29" s="255">
        <f t="shared" ca="1" si="10"/>
        <v>519.56134340250469</v>
      </c>
      <c r="S29" s="255">
        <f t="shared" ca="1" si="10"/>
        <v>516.31275251730301</v>
      </c>
      <c r="T29" s="255">
        <f t="shared" ca="1" si="10"/>
        <v>511.9674790820564</v>
      </c>
      <c r="U29" s="255">
        <f t="shared" ca="1" si="10"/>
        <v>506.3369301138444</v>
      </c>
      <c r="V29" s="255">
        <f t="shared" ca="1" si="10"/>
        <v>508.88890854764156</v>
      </c>
      <c r="W29" s="255">
        <f t="shared" ca="1" si="10"/>
        <v>544.5644552917845</v>
      </c>
      <c r="X29" s="255">
        <f t="shared" ca="1" si="10"/>
        <v>586.77561707219934</v>
      </c>
      <c r="Y29" s="255">
        <f t="shared" ca="1" si="10"/>
        <v>586.87885830232858</v>
      </c>
      <c r="Z29" s="255">
        <f t="shared" ca="1" si="10"/>
        <v>586.87885830232858</v>
      </c>
      <c r="AA29" s="255">
        <f t="shared" ca="1" si="10"/>
        <v>586.87885830232858</v>
      </c>
      <c r="AB29" s="255">
        <f t="shared" ca="1" si="10"/>
        <v>586.87885830232858</v>
      </c>
      <c r="AC29" s="255">
        <f t="shared" ca="1" si="10"/>
        <v>586.87885830232858</v>
      </c>
      <c r="AD29" s="255">
        <f t="shared" ca="1" si="10"/>
        <v>586.87885830232858</v>
      </c>
      <c r="AE29" s="255">
        <f t="shared" ca="1" si="10"/>
        <v>586.87885830232858</v>
      </c>
      <c r="AF29" s="255">
        <f t="shared" ca="1" si="10"/>
        <v>586.87885830232858</v>
      </c>
      <c r="AG29" s="255">
        <f t="shared" ca="1" si="10"/>
        <v>586.87885830232858</v>
      </c>
      <c r="AH29" s="255">
        <f t="shared" ca="1" si="10"/>
        <v>586.87885830232858</v>
      </c>
      <c r="AI29" s="257">
        <f t="shared" ca="1" si="10"/>
        <v>586.87885830232858</v>
      </c>
      <c r="AK29" s="176"/>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c r="CS29" s="176"/>
      <c r="CT29" s="176"/>
      <c r="CU29" s="176"/>
      <c r="CV29" s="176"/>
      <c r="CW29" s="176"/>
      <c r="CX29" s="176"/>
      <c r="CY29" s="176"/>
      <c r="CZ29" s="176"/>
      <c r="DA29" s="176"/>
      <c r="DB29" s="176"/>
      <c r="DC29" s="176"/>
      <c r="DD29" s="176"/>
      <c r="DE29" s="176"/>
      <c r="DF29" s="176"/>
      <c r="DG29" s="176"/>
      <c r="DH29" s="176"/>
      <c r="DI29" s="176"/>
      <c r="DJ29" s="176"/>
      <c r="DK29" s="176"/>
      <c r="DL29" s="176"/>
      <c r="DM29" s="176"/>
      <c r="DN29" s="176"/>
      <c r="DO29" s="176"/>
      <c r="DP29" s="176"/>
      <c r="DQ29" s="176"/>
      <c r="DR29" s="176"/>
      <c r="DS29" s="176"/>
      <c r="DT29" s="176"/>
      <c r="DU29" s="176"/>
      <c r="DV29" s="176"/>
      <c r="DW29" s="176"/>
      <c r="DX29" s="176"/>
      <c r="DY29" s="176"/>
      <c r="DZ29" s="176"/>
      <c r="EA29" s="176"/>
      <c r="EB29" s="176"/>
      <c r="EC29" s="176"/>
      <c r="ED29" s="176"/>
      <c r="EE29" s="176"/>
      <c r="EF29" s="176"/>
      <c r="EG29" s="176"/>
      <c r="EH29" s="176"/>
      <c r="EI29" s="176"/>
      <c r="EJ29" s="176"/>
      <c r="EK29" s="176"/>
      <c r="EL29" s="176"/>
      <c r="EM29" s="176"/>
      <c r="EN29" s="176"/>
    </row>
    <row r="30" spans="1:144" s="325" customFormat="1" ht="13.5" thickBot="1">
      <c r="A30" s="55"/>
      <c r="B30" s="499"/>
      <c r="C30" s="1168"/>
      <c r="D30" s="619"/>
      <c r="E30" s="620"/>
      <c r="F30" s="620"/>
      <c r="G30" s="620"/>
      <c r="H30" s="620"/>
      <c r="I30" s="620"/>
      <c r="J30" s="620"/>
      <c r="K30" s="620"/>
      <c r="L30" s="620"/>
      <c r="M30" s="620"/>
      <c r="N30" s="620"/>
      <c r="O30" s="620"/>
      <c r="P30" s="620"/>
      <c r="Q30" s="620"/>
      <c r="R30" s="620"/>
      <c r="S30" s="620"/>
      <c r="T30" s="620"/>
      <c r="U30" s="620"/>
      <c r="V30" s="620"/>
      <c r="W30" s="620"/>
      <c r="X30" s="620"/>
      <c r="Y30" s="620"/>
      <c r="Z30" s="620"/>
      <c r="AA30" s="620"/>
      <c r="AB30" s="620"/>
      <c r="AC30" s="620"/>
      <c r="AD30" s="620"/>
      <c r="AE30" s="620"/>
      <c r="AF30" s="620"/>
      <c r="AG30" s="620"/>
      <c r="AH30" s="620"/>
      <c r="AI30" s="621"/>
      <c r="AK30" s="324"/>
      <c r="AL30" s="324"/>
      <c r="AM30" s="324"/>
      <c r="AN30" s="324"/>
      <c r="AO30" s="324"/>
      <c r="AP30" s="324"/>
      <c r="AQ30" s="324"/>
      <c r="AR30" s="324"/>
      <c r="AS30" s="324"/>
      <c r="AT30" s="324"/>
      <c r="AU30" s="324"/>
      <c r="AV30" s="324"/>
      <c r="AW30" s="324"/>
      <c r="AX30" s="324"/>
      <c r="AY30" s="324"/>
      <c r="AZ30" s="324"/>
      <c r="BA30" s="324"/>
      <c r="BB30" s="324"/>
      <c r="BC30" s="324"/>
      <c r="BD30" s="324"/>
      <c r="BE30" s="324"/>
      <c r="BF30" s="324"/>
      <c r="BG30" s="324"/>
      <c r="BH30" s="324"/>
      <c r="BI30" s="324"/>
      <c r="BJ30" s="324"/>
      <c r="BK30" s="324"/>
      <c r="BL30" s="324"/>
      <c r="BM30" s="324"/>
      <c r="BN30" s="324"/>
      <c r="BO30" s="324"/>
      <c r="BP30" s="324"/>
      <c r="BQ30" s="324"/>
      <c r="BR30" s="324"/>
      <c r="BS30" s="324"/>
      <c r="BT30" s="324"/>
      <c r="BU30" s="324"/>
      <c r="BV30" s="324"/>
      <c r="BW30" s="324"/>
      <c r="BX30" s="324"/>
      <c r="BY30" s="324"/>
      <c r="BZ30" s="324"/>
      <c r="CA30" s="324"/>
      <c r="CB30" s="324"/>
      <c r="CC30" s="324"/>
      <c r="CD30" s="324"/>
      <c r="CE30" s="324"/>
      <c r="CF30" s="324"/>
      <c r="CG30" s="324"/>
      <c r="CH30" s="324"/>
      <c r="CI30" s="324"/>
      <c r="CJ30" s="324"/>
      <c r="CK30" s="324"/>
      <c r="CL30" s="324"/>
      <c r="CM30" s="324"/>
      <c r="CN30" s="324"/>
      <c r="CO30" s="324"/>
      <c r="CP30" s="324"/>
      <c r="CQ30" s="324"/>
      <c r="CR30" s="324"/>
      <c r="CS30" s="324"/>
      <c r="CT30" s="324"/>
      <c r="CU30" s="324"/>
      <c r="CV30" s="324"/>
      <c r="CW30" s="324"/>
      <c r="CX30" s="324"/>
      <c r="CY30" s="324"/>
      <c r="CZ30" s="324"/>
      <c r="DA30" s="324"/>
      <c r="DB30" s="324"/>
      <c r="DC30" s="324"/>
      <c r="DD30" s="324"/>
      <c r="DE30" s="324"/>
      <c r="DF30" s="324"/>
      <c r="DG30" s="324"/>
      <c r="DH30" s="324"/>
      <c r="DI30" s="324"/>
      <c r="DJ30" s="324"/>
      <c r="DK30" s="324"/>
      <c r="DL30" s="324"/>
      <c r="DM30" s="324"/>
      <c r="DN30" s="324"/>
      <c r="DO30" s="324"/>
      <c r="DP30" s="324"/>
      <c r="DQ30" s="324"/>
      <c r="DR30" s="324"/>
      <c r="DS30" s="324"/>
      <c r="DT30" s="324"/>
      <c r="DU30" s="324"/>
      <c r="DV30" s="324"/>
      <c r="DW30" s="324"/>
      <c r="DX30" s="324"/>
      <c r="DY30" s="324"/>
      <c r="DZ30" s="324"/>
      <c r="EA30" s="324"/>
      <c r="EB30" s="324"/>
      <c r="EC30" s="324"/>
      <c r="ED30" s="324"/>
      <c r="EE30" s="324"/>
      <c r="EF30" s="324"/>
      <c r="EG30" s="324"/>
      <c r="EH30" s="324"/>
      <c r="EI30" s="324"/>
      <c r="EJ30" s="324"/>
      <c r="EK30" s="324"/>
      <c r="EL30" s="324"/>
      <c r="EM30" s="324"/>
    </row>
    <row r="31" spans="1:144" s="65" customFormat="1" ht="13.5" thickBot="1">
      <c r="A31" s="55"/>
      <c r="B31" s="193"/>
      <c r="C31" s="193"/>
      <c r="D31" s="219"/>
      <c r="E31" s="219"/>
      <c r="F31" s="219"/>
      <c r="G31" s="219"/>
      <c r="H31" s="219"/>
      <c r="I31" s="219"/>
      <c r="J31" s="219"/>
      <c r="K31" s="219"/>
      <c r="L31" s="219"/>
      <c r="M31" s="219"/>
      <c r="N31" s="219"/>
      <c r="O31" s="219"/>
      <c r="P31" s="219"/>
      <c r="Q31" s="219"/>
      <c r="R31" s="219"/>
      <c r="S31" s="219"/>
      <c r="T31" s="219"/>
      <c r="U31" s="219"/>
      <c r="V31" s="219"/>
      <c r="W31" s="219"/>
      <c r="X31" s="219"/>
      <c r="Y31" s="219"/>
      <c r="Z31" s="219"/>
      <c r="AA31" s="219"/>
      <c r="AB31" s="219"/>
      <c r="AC31" s="219"/>
      <c r="AD31" s="219"/>
      <c r="AE31" s="219"/>
      <c r="AF31" s="219"/>
      <c r="AG31" s="219"/>
      <c r="AH31" s="219"/>
      <c r="AI31" s="190"/>
      <c r="AJ31" s="190"/>
      <c r="AK31" s="190"/>
      <c r="AL31" s="190"/>
      <c r="AM31" s="190"/>
      <c r="AN31" s="190"/>
      <c r="AO31" s="190"/>
      <c r="AP31" s="190"/>
      <c r="AQ31" s="190"/>
      <c r="AR31" s="190"/>
      <c r="AS31" s="190"/>
      <c r="AT31" s="190"/>
      <c r="AU31" s="190"/>
      <c r="AV31" s="190"/>
      <c r="AW31" s="190"/>
      <c r="AX31" s="190"/>
      <c r="AY31" s="190"/>
      <c r="AZ31" s="190"/>
      <c r="BA31" s="190"/>
      <c r="BB31" s="190"/>
      <c r="BC31" s="190"/>
      <c r="BD31" s="190"/>
      <c r="BE31" s="190"/>
      <c r="BF31" s="190"/>
      <c r="BG31" s="190"/>
      <c r="BH31" s="190"/>
      <c r="BI31" s="190"/>
      <c r="BJ31" s="190"/>
      <c r="BK31" s="190"/>
      <c r="BL31" s="190"/>
      <c r="BM31" s="190"/>
      <c r="BN31" s="190"/>
      <c r="BO31" s="190"/>
      <c r="BP31" s="190"/>
      <c r="BQ31" s="190"/>
      <c r="BR31" s="190"/>
      <c r="BS31" s="190"/>
      <c r="BT31" s="190"/>
      <c r="BU31" s="190"/>
      <c r="BV31" s="190"/>
      <c r="BW31" s="190"/>
      <c r="BX31" s="190"/>
      <c r="BY31" s="190"/>
      <c r="BZ31" s="190"/>
      <c r="CA31" s="190"/>
      <c r="CB31" s="190"/>
      <c r="CC31" s="190"/>
      <c r="CD31" s="190"/>
      <c r="CE31" s="190"/>
      <c r="CF31" s="190"/>
      <c r="CG31" s="190"/>
      <c r="CH31" s="190"/>
      <c r="CI31" s="190"/>
      <c r="CJ31" s="190"/>
      <c r="CK31" s="190"/>
      <c r="CL31" s="190"/>
      <c r="CM31" s="190"/>
      <c r="CN31" s="190"/>
      <c r="CO31" s="190"/>
      <c r="CP31" s="190"/>
      <c r="CQ31" s="190"/>
      <c r="CR31" s="190"/>
      <c r="CS31" s="190"/>
      <c r="CT31" s="190"/>
      <c r="CU31" s="190"/>
      <c r="CV31" s="190"/>
      <c r="CW31" s="190"/>
      <c r="CX31" s="190"/>
      <c r="CY31" s="190"/>
      <c r="CZ31" s="190"/>
      <c r="DA31" s="190"/>
      <c r="DB31" s="190"/>
      <c r="DC31" s="190"/>
      <c r="DD31" s="190"/>
      <c r="DE31" s="190"/>
      <c r="DF31" s="190"/>
      <c r="DG31" s="190"/>
      <c r="DH31" s="190"/>
      <c r="DI31" s="190"/>
      <c r="DJ31" s="190"/>
      <c r="DK31" s="190"/>
      <c r="DL31" s="190"/>
      <c r="DM31" s="190"/>
      <c r="DN31" s="190"/>
      <c r="DO31" s="190"/>
      <c r="DP31" s="190"/>
      <c r="DQ31" s="190"/>
      <c r="DR31" s="190"/>
      <c r="DS31" s="190"/>
      <c r="DT31" s="190"/>
      <c r="DU31" s="190"/>
      <c r="DV31" s="190"/>
      <c r="DW31" s="190"/>
      <c r="DX31" s="190"/>
      <c r="DY31" s="190"/>
      <c r="DZ31" s="190"/>
      <c r="EA31" s="190"/>
      <c r="EB31" s="190"/>
      <c r="EC31" s="190"/>
      <c r="ED31" s="190"/>
      <c r="EE31" s="190"/>
      <c r="EF31" s="190"/>
      <c r="EG31" s="190"/>
      <c r="EH31" s="190"/>
      <c r="EI31" s="190"/>
      <c r="EJ31" s="190"/>
      <c r="EK31" s="190"/>
      <c r="EL31" s="190"/>
      <c r="EM31" s="190"/>
      <c r="EN31" s="190"/>
    </row>
    <row r="32" spans="1:144" s="65" customFormat="1">
      <c r="A32" s="55"/>
      <c r="B32" s="371" t="s">
        <v>796</v>
      </c>
      <c r="C32" s="489"/>
      <c r="D32" s="2" t="s">
        <v>20</v>
      </c>
      <c r="E32" s="2"/>
      <c r="F32" s="1516"/>
      <c r="H32" s="191"/>
      <c r="I32" s="190"/>
      <c r="J32" s="191"/>
      <c r="K32" s="191"/>
      <c r="L32" s="191"/>
      <c r="M32" s="191"/>
      <c r="N32" s="191"/>
      <c r="O32" s="190"/>
      <c r="P32" s="190"/>
      <c r="Q32" s="190"/>
      <c r="R32" s="190"/>
      <c r="S32" s="190"/>
      <c r="T32" s="190"/>
      <c r="U32" s="190"/>
      <c r="V32" s="190"/>
      <c r="W32" s="190"/>
      <c r="X32" s="190"/>
      <c r="Y32" s="190"/>
      <c r="Z32" s="190"/>
      <c r="AA32" s="190"/>
      <c r="AB32" s="190"/>
      <c r="AC32" s="190"/>
      <c r="AD32" s="190"/>
      <c r="AE32" s="190"/>
      <c r="AF32" s="190"/>
      <c r="AG32" s="190"/>
      <c r="AH32" s="190"/>
      <c r="AI32" s="190"/>
      <c r="AJ32" s="190"/>
      <c r="AK32" s="190"/>
      <c r="AL32" s="190"/>
      <c r="AM32" s="190"/>
      <c r="AN32" s="190"/>
      <c r="AO32" s="190"/>
      <c r="AP32" s="190"/>
      <c r="AQ32" s="190"/>
      <c r="AR32" s="190"/>
      <c r="AS32" s="190"/>
      <c r="AT32" s="190"/>
      <c r="AU32" s="190"/>
      <c r="AV32" s="190"/>
      <c r="AW32" s="190"/>
      <c r="AX32" s="190"/>
      <c r="AY32" s="190"/>
      <c r="AZ32" s="190"/>
      <c r="BA32" s="190"/>
      <c r="BB32" s="190"/>
      <c r="BC32" s="190"/>
      <c r="BD32" s="190"/>
      <c r="BE32" s="190"/>
      <c r="BF32" s="190"/>
      <c r="BG32" s="190"/>
      <c r="BH32" s="190"/>
      <c r="BI32" s="190"/>
      <c r="BJ32" s="190"/>
      <c r="BK32" s="190"/>
      <c r="BL32" s="190"/>
      <c r="BM32" s="190"/>
      <c r="BN32" s="190"/>
      <c r="BO32" s="190"/>
      <c r="BP32" s="190"/>
      <c r="BQ32" s="190"/>
      <c r="BR32" s="190"/>
      <c r="BS32" s="190"/>
      <c r="BT32" s="190"/>
      <c r="BU32" s="190"/>
      <c r="BV32" s="190"/>
      <c r="BW32" s="190"/>
      <c r="BX32" s="190"/>
      <c r="BY32" s="190"/>
      <c r="BZ32" s="190"/>
      <c r="CA32" s="190"/>
      <c r="CB32" s="190"/>
      <c r="CC32" s="190"/>
      <c r="CD32" s="190"/>
      <c r="CE32" s="190"/>
      <c r="CF32" s="190"/>
      <c r="CG32" s="190"/>
      <c r="CH32" s="190"/>
      <c r="CI32" s="190"/>
      <c r="CJ32" s="190"/>
      <c r="CK32" s="190"/>
      <c r="CL32" s="190"/>
      <c r="CM32" s="190"/>
      <c r="CN32" s="190"/>
      <c r="CO32" s="190"/>
      <c r="CP32" s="190"/>
      <c r="CQ32" s="190"/>
      <c r="CR32" s="190"/>
      <c r="CS32" s="190"/>
      <c r="CT32" s="190"/>
      <c r="CU32" s="190"/>
      <c r="CV32" s="190"/>
      <c r="CW32" s="190"/>
      <c r="CX32" s="190"/>
      <c r="CY32" s="190"/>
      <c r="CZ32" s="190"/>
      <c r="DA32" s="190"/>
      <c r="DB32" s="190"/>
      <c r="DC32" s="190"/>
      <c r="DD32" s="190"/>
      <c r="DE32" s="190"/>
      <c r="DF32" s="190"/>
      <c r="DG32" s="190"/>
      <c r="DH32" s="190"/>
      <c r="DI32" s="190"/>
      <c r="DJ32" s="190"/>
      <c r="DK32" s="190"/>
      <c r="DL32" s="190"/>
      <c r="DM32" s="190"/>
      <c r="DN32" s="190"/>
      <c r="DO32" s="190"/>
      <c r="DP32" s="190"/>
      <c r="DQ32" s="190"/>
      <c r="DR32" s="190"/>
      <c r="DS32" s="190"/>
      <c r="DT32" s="190"/>
      <c r="DU32" s="190"/>
      <c r="DV32" s="190"/>
      <c r="DW32" s="190"/>
      <c r="DX32" s="190"/>
      <c r="DY32" s="190"/>
      <c r="DZ32" s="190"/>
      <c r="EA32" s="190"/>
      <c r="EB32" s="190"/>
      <c r="EC32" s="190"/>
      <c r="ED32" s="190"/>
      <c r="EE32" s="190"/>
      <c r="EF32" s="190"/>
      <c r="EG32" s="190"/>
      <c r="EH32" s="190"/>
      <c r="EI32" s="190"/>
      <c r="EJ32" s="190"/>
      <c r="EK32" s="190"/>
      <c r="EL32" s="190"/>
      <c r="EM32" s="190"/>
      <c r="EN32" s="190"/>
    </row>
    <row r="33" spans="1:144" s="65" customFormat="1">
      <c r="A33" s="55"/>
      <c r="B33" s="373"/>
      <c r="C33" s="316"/>
      <c r="D33" s="370" t="s">
        <v>765</v>
      </c>
      <c r="E33" s="370" t="s">
        <v>784</v>
      </c>
      <c r="F33" s="812"/>
      <c r="H33" s="191"/>
      <c r="I33" s="190"/>
      <c r="J33" s="191"/>
      <c r="K33" s="191"/>
      <c r="L33" s="191"/>
      <c r="M33" s="191"/>
      <c r="N33" s="191"/>
      <c r="O33" s="190"/>
      <c r="P33" s="190"/>
      <c r="Q33" s="190"/>
      <c r="R33" s="190"/>
      <c r="S33" s="190"/>
      <c r="T33" s="190"/>
      <c r="U33" s="190"/>
      <c r="V33" s="190"/>
      <c r="W33" s="190"/>
      <c r="X33" s="190"/>
      <c r="Y33" s="190"/>
      <c r="Z33" s="190"/>
      <c r="AA33" s="190"/>
      <c r="AB33" s="190"/>
      <c r="AC33" s="190"/>
      <c r="AD33" s="190"/>
      <c r="AE33" s="190"/>
      <c r="AF33" s="190"/>
      <c r="AG33" s="190"/>
      <c r="AH33" s="190"/>
      <c r="AI33" s="190"/>
      <c r="AJ33" s="190"/>
      <c r="AK33" s="190"/>
      <c r="AL33" s="190"/>
      <c r="AM33" s="190"/>
      <c r="AN33" s="190"/>
      <c r="AO33" s="190"/>
      <c r="AP33" s="190"/>
      <c r="AQ33" s="190"/>
      <c r="AR33" s="190"/>
      <c r="AS33" s="190"/>
      <c r="AT33" s="190"/>
      <c r="AU33" s="190"/>
      <c r="AV33" s="190"/>
      <c r="AW33" s="190"/>
      <c r="AX33" s="190"/>
      <c r="AY33" s="190"/>
      <c r="AZ33" s="190"/>
      <c r="BA33" s="190"/>
      <c r="BB33" s="190"/>
      <c r="BC33" s="190"/>
      <c r="BD33" s="190"/>
      <c r="BE33" s="190"/>
      <c r="BF33" s="190"/>
      <c r="BG33" s="190"/>
      <c r="BH33" s="190"/>
      <c r="BI33" s="190"/>
      <c r="BJ33" s="190"/>
      <c r="BK33" s="190"/>
      <c r="BL33" s="190"/>
      <c r="BM33" s="190"/>
      <c r="BN33" s="190"/>
      <c r="BO33" s="190"/>
      <c r="BP33" s="190"/>
      <c r="BQ33" s="190"/>
      <c r="BR33" s="190"/>
      <c r="BS33" s="190"/>
      <c r="BT33" s="190"/>
      <c r="BU33" s="190"/>
      <c r="BV33" s="190"/>
      <c r="BW33" s="190"/>
      <c r="BX33" s="190"/>
      <c r="BY33" s="190"/>
      <c r="BZ33" s="190"/>
      <c r="CA33" s="190"/>
      <c r="CB33" s="190"/>
      <c r="CC33" s="190"/>
      <c r="CD33" s="190"/>
      <c r="CE33" s="190"/>
      <c r="CF33" s="190"/>
      <c r="CG33" s="190"/>
      <c r="CH33" s="190"/>
      <c r="CI33" s="190"/>
      <c r="CJ33" s="190"/>
      <c r="CK33" s="190"/>
      <c r="CL33" s="190"/>
      <c r="CM33" s="190"/>
      <c r="CN33" s="190"/>
      <c r="CO33" s="190"/>
      <c r="CP33" s="190"/>
      <c r="CQ33" s="190"/>
      <c r="CR33" s="190"/>
      <c r="CS33" s="190"/>
      <c r="CT33" s="190"/>
      <c r="CU33" s="190"/>
      <c r="CV33" s="190"/>
      <c r="CW33" s="190"/>
      <c r="CX33" s="190"/>
      <c r="CY33" s="190"/>
      <c r="CZ33" s="190"/>
      <c r="DA33" s="190"/>
      <c r="DB33" s="190"/>
      <c r="DC33" s="190"/>
      <c r="DD33" s="190"/>
      <c r="DE33" s="190"/>
      <c r="DF33" s="190"/>
      <c r="DG33" s="190"/>
      <c r="DH33" s="190"/>
      <c r="DI33" s="190"/>
      <c r="DJ33" s="190"/>
      <c r="DK33" s="190"/>
      <c r="DL33" s="190"/>
      <c r="DM33" s="190"/>
      <c r="DN33" s="190"/>
      <c r="DO33" s="190"/>
      <c r="DP33" s="190"/>
      <c r="DQ33" s="190"/>
      <c r="DR33" s="190"/>
      <c r="DS33" s="190"/>
      <c r="DT33" s="190"/>
      <c r="DU33" s="190"/>
      <c r="DV33" s="190"/>
      <c r="DW33" s="190"/>
      <c r="DX33" s="190"/>
      <c r="DY33" s="190"/>
      <c r="DZ33" s="190"/>
      <c r="EA33" s="190"/>
      <c r="EB33" s="190"/>
      <c r="EC33" s="190"/>
      <c r="ED33" s="190"/>
      <c r="EE33" s="190"/>
      <c r="EF33" s="190"/>
      <c r="EG33" s="190"/>
      <c r="EH33" s="190"/>
      <c r="EI33" s="190"/>
      <c r="EJ33" s="190"/>
      <c r="EK33" s="190"/>
      <c r="EL33" s="190"/>
      <c r="EM33" s="190"/>
      <c r="EN33" s="190"/>
    </row>
    <row r="34" spans="1:144" s="65" customFormat="1">
      <c r="A34" s="55"/>
      <c r="B34" s="1506"/>
      <c r="C34" s="275"/>
      <c r="D34" s="222"/>
      <c r="E34" s="282">
        <f>Assum!E330</f>
        <v>0.125</v>
      </c>
      <c r="F34" s="812"/>
      <c r="H34" s="191"/>
      <c r="I34" s="190"/>
      <c r="J34" s="191"/>
      <c r="K34" s="191"/>
      <c r="L34" s="191"/>
      <c r="M34" s="191"/>
      <c r="N34" s="191"/>
      <c r="O34" s="190"/>
      <c r="P34" s="190"/>
      <c r="Q34" s="190"/>
      <c r="R34" s="190"/>
      <c r="S34" s="190"/>
      <c r="T34" s="190"/>
      <c r="U34" s="190"/>
      <c r="V34" s="190"/>
      <c r="W34" s="190"/>
      <c r="X34" s="190"/>
      <c r="Y34" s="190"/>
      <c r="Z34" s="190"/>
      <c r="AA34" s="190"/>
      <c r="AB34" s="190"/>
      <c r="AC34" s="190"/>
      <c r="AD34" s="190"/>
      <c r="AE34" s="190"/>
      <c r="AF34" s="190"/>
      <c r="AG34" s="190"/>
      <c r="AH34" s="190"/>
      <c r="AI34" s="190"/>
      <c r="AJ34" s="190"/>
      <c r="AK34" s="190"/>
      <c r="AL34" s="190"/>
      <c r="AM34" s="190"/>
      <c r="AN34" s="190"/>
      <c r="AO34" s="190"/>
      <c r="AP34" s="190"/>
      <c r="AQ34" s="190"/>
      <c r="AR34" s="190"/>
      <c r="AS34" s="190"/>
      <c r="AT34" s="190"/>
      <c r="AU34" s="190"/>
      <c r="AV34" s="190"/>
      <c r="AW34" s="190"/>
      <c r="AX34" s="190"/>
      <c r="AY34" s="190"/>
      <c r="AZ34" s="190"/>
      <c r="BA34" s="190"/>
      <c r="BB34" s="190"/>
      <c r="BC34" s="190"/>
      <c r="BD34" s="190"/>
      <c r="BE34" s="190"/>
      <c r="BF34" s="190"/>
      <c r="BG34" s="190"/>
      <c r="BH34" s="190"/>
      <c r="BI34" s="190"/>
      <c r="BJ34" s="190"/>
      <c r="BK34" s="190"/>
      <c r="BL34" s="190"/>
      <c r="BM34" s="190"/>
      <c r="BN34" s="190"/>
      <c r="BO34" s="190"/>
      <c r="BP34" s="190"/>
      <c r="BQ34" s="190"/>
      <c r="BR34" s="190"/>
      <c r="BS34" s="190"/>
      <c r="BT34" s="190"/>
      <c r="BU34" s="190"/>
      <c r="BV34" s="190"/>
      <c r="BW34" s="190"/>
      <c r="BX34" s="190"/>
      <c r="BY34" s="190"/>
      <c r="BZ34" s="190"/>
      <c r="CA34" s="190"/>
      <c r="CB34" s="190"/>
      <c r="CC34" s="190"/>
      <c r="CD34" s="190"/>
      <c r="CE34" s="190"/>
      <c r="CF34" s="190"/>
      <c r="CG34" s="190"/>
      <c r="CH34" s="190"/>
      <c r="CI34" s="190"/>
      <c r="CJ34" s="190"/>
      <c r="CK34" s="190"/>
      <c r="CL34" s="190"/>
      <c r="CM34" s="190"/>
      <c r="CN34" s="190"/>
      <c r="CO34" s="190"/>
      <c r="CP34" s="190"/>
      <c r="CQ34" s="190"/>
      <c r="CR34" s="190"/>
      <c r="CS34" s="190"/>
      <c r="CT34" s="190"/>
      <c r="CU34" s="190"/>
      <c r="CV34" s="190"/>
      <c r="CW34" s="190"/>
      <c r="CX34" s="190"/>
      <c r="CY34" s="190"/>
      <c r="CZ34" s="190"/>
      <c r="DA34" s="190"/>
      <c r="DB34" s="190"/>
      <c r="DC34" s="190"/>
      <c r="DD34" s="190"/>
      <c r="DE34" s="190"/>
      <c r="DF34" s="190"/>
      <c r="DG34" s="190"/>
      <c r="DH34" s="190"/>
      <c r="DI34" s="190"/>
      <c r="DJ34" s="190"/>
      <c r="DK34" s="190"/>
      <c r="DL34" s="190"/>
      <c r="DM34" s="190"/>
      <c r="DN34" s="190"/>
      <c r="DO34" s="190"/>
      <c r="DP34" s="190"/>
      <c r="DQ34" s="190"/>
      <c r="DR34" s="190"/>
      <c r="DS34" s="190"/>
      <c r="DT34" s="190"/>
      <c r="DU34" s="190"/>
      <c r="DV34" s="190"/>
      <c r="DW34" s="190"/>
      <c r="DX34" s="190"/>
      <c r="DY34" s="190"/>
      <c r="DZ34" s="190"/>
      <c r="EA34" s="190"/>
      <c r="EB34" s="190"/>
      <c r="EC34" s="190"/>
      <c r="ED34" s="190"/>
      <c r="EE34" s="190"/>
      <c r="EF34" s="190"/>
      <c r="EG34" s="190"/>
      <c r="EH34" s="190"/>
      <c r="EI34" s="190"/>
      <c r="EJ34" s="190"/>
      <c r="EK34" s="190"/>
      <c r="EL34" s="190"/>
      <c r="EM34" s="190"/>
      <c r="EN34" s="190"/>
    </row>
    <row r="35" spans="1:144" s="65" customFormat="1">
      <c r="A35" s="55"/>
      <c r="B35" s="274"/>
      <c r="C35" s="1498" t="s">
        <v>786</v>
      </c>
      <c r="D35" s="281">
        <f ca="1">IRR(D28:N28,0.05)</f>
        <v>0.11178897612553351</v>
      </c>
      <c r="E35" s="219">
        <f ca="1">NPV(E34,D28:N28)</f>
        <v>-36.051010125478314</v>
      </c>
      <c r="F35" s="812"/>
      <c r="G35" s="344"/>
      <c r="H35" s="191"/>
      <c r="I35" s="190"/>
      <c r="J35" s="191"/>
      <c r="K35" s="191"/>
      <c r="L35" s="309"/>
      <c r="M35" s="191"/>
      <c r="N35" s="191"/>
      <c r="O35" s="190"/>
      <c r="P35" s="190"/>
      <c r="Q35" s="190"/>
      <c r="R35" s="190"/>
      <c r="S35" s="190"/>
      <c r="T35" s="190"/>
      <c r="U35" s="190"/>
      <c r="V35" s="190"/>
      <c r="W35" s="190"/>
      <c r="X35" s="190"/>
      <c r="Y35" s="190"/>
      <c r="Z35" s="190"/>
      <c r="AA35" s="190"/>
      <c r="AB35" s="190"/>
      <c r="AC35" s="190"/>
      <c r="AD35" s="190"/>
      <c r="AE35" s="190"/>
      <c r="AF35" s="190"/>
      <c r="AG35" s="190"/>
      <c r="AH35" s="190"/>
      <c r="AI35" s="190"/>
      <c r="AJ35" s="190"/>
      <c r="AK35" s="190"/>
      <c r="AL35" s="190"/>
      <c r="AM35" s="190"/>
      <c r="AN35" s="190"/>
      <c r="AO35" s="190"/>
      <c r="AP35" s="190"/>
      <c r="AQ35" s="190"/>
      <c r="AR35" s="190"/>
      <c r="AS35" s="190"/>
      <c r="AT35" s="190"/>
      <c r="AU35" s="190"/>
      <c r="AV35" s="190"/>
      <c r="AW35" s="190"/>
      <c r="AX35" s="190"/>
      <c r="AY35" s="190"/>
      <c r="AZ35" s="190"/>
      <c r="BA35" s="190"/>
      <c r="BB35" s="190"/>
      <c r="BC35" s="190"/>
      <c r="BD35" s="190"/>
      <c r="BE35" s="190"/>
      <c r="BF35" s="190"/>
      <c r="BG35" s="190"/>
      <c r="BH35" s="190"/>
      <c r="BI35" s="190"/>
      <c r="BJ35" s="190"/>
      <c r="BK35" s="190"/>
      <c r="BL35" s="190"/>
      <c r="BM35" s="190"/>
      <c r="BN35" s="190"/>
      <c r="BO35" s="190"/>
      <c r="BP35" s="190"/>
      <c r="BQ35" s="190"/>
      <c r="BR35" s="190"/>
      <c r="BS35" s="190"/>
      <c r="BT35" s="190"/>
      <c r="BU35" s="190"/>
      <c r="BV35" s="190"/>
      <c r="BW35" s="190"/>
      <c r="BX35" s="190"/>
      <c r="BY35" s="190"/>
      <c r="BZ35" s="190"/>
      <c r="CA35" s="190"/>
      <c r="CB35" s="190"/>
      <c r="CC35" s="190"/>
      <c r="CD35" s="190"/>
      <c r="CE35" s="190"/>
      <c r="CF35" s="190"/>
      <c r="CG35" s="190"/>
      <c r="CH35" s="190"/>
      <c r="CI35" s="190"/>
      <c r="CJ35" s="190"/>
      <c r="CK35" s="190"/>
      <c r="CL35" s="190"/>
      <c r="CM35" s="190"/>
      <c r="CN35" s="190"/>
      <c r="CO35" s="190"/>
      <c r="CP35" s="190"/>
      <c r="CQ35" s="190"/>
      <c r="CR35" s="190"/>
      <c r="CS35" s="190"/>
      <c r="CT35" s="190"/>
      <c r="CU35" s="190"/>
      <c r="CV35" s="190"/>
      <c r="CW35" s="190"/>
      <c r="CX35" s="190"/>
      <c r="CY35" s="190"/>
      <c r="CZ35" s="190"/>
      <c r="DA35" s="190"/>
      <c r="DB35" s="190"/>
      <c r="DC35" s="190"/>
      <c r="DD35" s="190"/>
      <c r="DE35" s="190"/>
      <c r="DF35" s="190"/>
      <c r="DG35" s="190"/>
      <c r="DH35" s="190"/>
      <c r="DI35" s="190"/>
      <c r="DJ35" s="190"/>
      <c r="DK35" s="190"/>
      <c r="DL35" s="190"/>
      <c r="DM35" s="190"/>
      <c r="DN35" s="190"/>
      <c r="DO35" s="190"/>
      <c r="DP35" s="190"/>
      <c r="DQ35" s="190"/>
      <c r="DR35" s="190"/>
      <c r="DS35" s="190"/>
      <c r="DT35" s="190"/>
      <c r="DU35" s="190"/>
      <c r="DV35" s="190"/>
      <c r="DW35" s="190"/>
      <c r="DX35" s="190"/>
      <c r="DY35" s="190"/>
      <c r="DZ35" s="190"/>
      <c r="EA35" s="190"/>
      <c r="EB35" s="190"/>
      <c r="EC35" s="190"/>
      <c r="ED35" s="190"/>
      <c r="EE35" s="190"/>
      <c r="EF35" s="190"/>
      <c r="EG35" s="190"/>
      <c r="EH35" s="190"/>
      <c r="EI35" s="190"/>
      <c r="EJ35" s="190"/>
      <c r="EK35" s="190"/>
      <c r="EL35" s="190"/>
      <c r="EM35" s="190"/>
      <c r="EN35" s="190"/>
    </row>
    <row r="36" spans="1:144" s="65" customFormat="1">
      <c r="A36" s="55"/>
      <c r="B36" s="274"/>
      <c r="C36" s="1498" t="s">
        <v>787</v>
      </c>
      <c r="D36" s="281">
        <f ca="1">IRR(D28:X28,0.1)</f>
        <v>0.11405227563752218</v>
      </c>
      <c r="E36" s="219">
        <f ca="1">NPV(E34,D28:X28)</f>
        <v>-30.841429456361588</v>
      </c>
      <c r="F36" s="812"/>
      <c r="G36" s="251"/>
      <c r="H36" s="191"/>
      <c r="I36" s="190"/>
      <c r="J36" s="191"/>
      <c r="K36" s="191"/>
      <c r="L36" s="191"/>
      <c r="M36" s="191"/>
      <c r="N36" s="191"/>
      <c r="O36" s="190"/>
      <c r="P36" s="190"/>
      <c r="Q36" s="190"/>
      <c r="R36" s="190"/>
      <c r="S36" s="190"/>
      <c r="T36" s="190"/>
      <c r="U36" s="190"/>
      <c r="V36" s="190"/>
      <c r="W36" s="190"/>
      <c r="X36" s="190"/>
      <c r="Y36" s="190"/>
      <c r="Z36" s="190"/>
      <c r="AA36" s="190"/>
      <c r="AB36" s="190"/>
      <c r="AC36" s="190"/>
      <c r="AD36" s="190"/>
      <c r="AE36" s="190"/>
      <c r="AF36" s="190"/>
      <c r="AG36" s="190"/>
      <c r="AH36" s="190"/>
      <c r="AI36" s="190"/>
      <c r="AJ36" s="190"/>
      <c r="AK36" s="190"/>
      <c r="AL36" s="190"/>
      <c r="AM36" s="190"/>
      <c r="AN36" s="190"/>
      <c r="AO36" s="190"/>
      <c r="AP36" s="190"/>
      <c r="AQ36" s="190"/>
      <c r="AR36" s="190"/>
      <c r="AS36" s="190"/>
      <c r="AT36" s="190"/>
      <c r="AU36" s="190"/>
      <c r="AV36" s="190"/>
      <c r="AW36" s="190"/>
      <c r="AX36" s="190"/>
      <c r="AY36" s="190"/>
      <c r="AZ36" s="190"/>
      <c r="BA36" s="190"/>
      <c r="BB36" s="190"/>
      <c r="BC36" s="190"/>
      <c r="BD36" s="190"/>
      <c r="BE36" s="190"/>
      <c r="BF36" s="190"/>
      <c r="BG36" s="190"/>
      <c r="BH36" s="190"/>
      <c r="BI36" s="190"/>
      <c r="BJ36" s="190"/>
      <c r="BK36" s="190"/>
      <c r="BL36" s="190"/>
      <c r="BM36" s="190"/>
      <c r="BN36" s="190"/>
      <c r="BO36" s="190"/>
      <c r="BP36" s="190"/>
      <c r="BQ36" s="190"/>
      <c r="BR36" s="190"/>
      <c r="BS36" s="190"/>
      <c r="BT36" s="190"/>
      <c r="BU36" s="190"/>
      <c r="BV36" s="190"/>
      <c r="BW36" s="190"/>
      <c r="BX36" s="190"/>
      <c r="BY36" s="190"/>
      <c r="BZ36" s="190"/>
      <c r="CA36" s="190"/>
      <c r="CB36" s="190"/>
      <c r="CC36" s="190"/>
      <c r="CD36" s="190"/>
      <c r="CE36" s="190"/>
      <c r="CF36" s="190"/>
      <c r="CG36" s="190"/>
      <c r="CH36" s="190"/>
      <c r="CI36" s="190"/>
      <c r="CJ36" s="190"/>
      <c r="CK36" s="190"/>
      <c r="CL36" s="190"/>
      <c r="CM36" s="190"/>
      <c r="CN36" s="190"/>
      <c r="CO36" s="190"/>
      <c r="CP36" s="190"/>
      <c r="CQ36" s="190"/>
      <c r="CR36" s="190"/>
      <c r="CS36" s="190"/>
      <c r="CT36" s="190"/>
      <c r="CU36" s="190"/>
      <c r="CV36" s="190"/>
      <c r="CW36" s="190"/>
      <c r="CX36" s="190"/>
      <c r="CY36" s="190"/>
      <c r="CZ36" s="190"/>
      <c r="DA36" s="190"/>
      <c r="DB36" s="190"/>
      <c r="DC36" s="190"/>
      <c r="DD36" s="190"/>
      <c r="DE36" s="190"/>
      <c r="DF36" s="190"/>
      <c r="DG36" s="190"/>
      <c r="DH36" s="190"/>
      <c r="DI36" s="190"/>
      <c r="DJ36" s="190"/>
      <c r="DK36" s="190"/>
      <c r="DL36" s="190"/>
      <c r="DM36" s="190"/>
      <c r="DN36" s="190"/>
      <c r="DO36" s="190"/>
      <c r="DP36" s="190"/>
      <c r="DQ36" s="190"/>
      <c r="DR36" s="190"/>
      <c r="DS36" s="190"/>
      <c r="DT36" s="190"/>
      <c r="DU36" s="190"/>
      <c r="DV36" s="190"/>
      <c r="DW36" s="190"/>
      <c r="DX36" s="190"/>
      <c r="DY36" s="190"/>
      <c r="DZ36" s="190"/>
      <c r="EA36" s="190"/>
      <c r="EB36" s="190"/>
      <c r="EC36" s="190"/>
      <c r="ED36" s="190"/>
      <c r="EE36" s="190"/>
      <c r="EF36" s="190"/>
      <c r="EG36" s="190"/>
      <c r="EH36" s="190"/>
      <c r="EI36" s="190"/>
      <c r="EJ36" s="190"/>
      <c r="EK36" s="190"/>
      <c r="EL36" s="190"/>
      <c r="EM36" s="190"/>
      <c r="EN36" s="190"/>
    </row>
    <row r="37" spans="1:144" s="65" customFormat="1">
      <c r="A37" s="55"/>
      <c r="B37" s="274"/>
      <c r="C37" s="1498" t="s">
        <v>788</v>
      </c>
      <c r="D37" s="281">
        <f ca="1">IRR(D28:AH28,0.05)</f>
        <v>0.11405553218801168</v>
      </c>
      <c r="E37" s="219">
        <f ca="1">NPV(E34,D28:AH28)</f>
        <v>-30.833693790956261</v>
      </c>
      <c r="F37" s="812"/>
      <c r="G37" s="251"/>
      <c r="H37" s="191"/>
      <c r="I37" s="190"/>
      <c r="J37" s="191"/>
      <c r="K37" s="191"/>
      <c r="L37" s="191"/>
      <c r="M37" s="191"/>
      <c r="N37" s="191"/>
      <c r="O37" s="190"/>
      <c r="P37" s="190"/>
      <c r="Q37" s="190"/>
      <c r="R37" s="190"/>
      <c r="S37" s="190"/>
      <c r="T37" s="190"/>
      <c r="U37" s="190"/>
      <c r="V37" s="190"/>
      <c r="W37" s="190"/>
      <c r="X37" s="190"/>
      <c r="Y37" s="190"/>
      <c r="Z37" s="190"/>
      <c r="AA37" s="190"/>
      <c r="AB37" s="190"/>
      <c r="AC37" s="190"/>
      <c r="AD37" s="190"/>
      <c r="AE37" s="190"/>
      <c r="AF37" s="190"/>
      <c r="AG37" s="190"/>
      <c r="AH37" s="190"/>
      <c r="AI37" s="190"/>
      <c r="AJ37" s="190"/>
      <c r="AK37" s="190"/>
      <c r="AL37" s="190"/>
      <c r="AM37" s="190"/>
      <c r="AN37" s="190"/>
      <c r="AO37" s="190"/>
      <c r="AP37" s="190"/>
      <c r="AQ37" s="190"/>
      <c r="AR37" s="190"/>
      <c r="AS37" s="190"/>
      <c r="AT37" s="190"/>
      <c r="AU37" s="190"/>
      <c r="AV37" s="190"/>
      <c r="AW37" s="190"/>
      <c r="AX37" s="190"/>
      <c r="AY37" s="190"/>
      <c r="AZ37" s="190"/>
      <c r="BA37" s="190"/>
      <c r="BB37" s="190"/>
      <c r="BC37" s="190"/>
      <c r="BD37" s="190"/>
      <c r="BE37" s="190"/>
      <c r="BF37" s="190"/>
      <c r="BG37" s="190"/>
      <c r="BH37" s="190"/>
      <c r="BI37" s="190"/>
      <c r="BJ37" s="190"/>
      <c r="BK37" s="190"/>
      <c r="BL37" s="190"/>
      <c r="BM37" s="190"/>
      <c r="BN37" s="190"/>
      <c r="BO37" s="190"/>
      <c r="BP37" s="190"/>
      <c r="BQ37" s="190"/>
      <c r="BR37" s="190"/>
      <c r="BS37" s="190"/>
      <c r="BT37" s="190"/>
      <c r="BU37" s="190"/>
      <c r="BV37" s="190"/>
      <c r="BW37" s="190"/>
      <c r="BX37" s="190"/>
      <c r="BY37" s="190"/>
      <c r="BZ37" s="190"/>
      <c r="CA37" s="190"/>
      <c r="CB37" s="190"/>
      <c r="CC37" s="190"/>
      <c r="CD37" s="190"/>
      <c r="CE37" s="190"/>
      <c r="CF37" s="190"/>
      <c r="CG37" s="190"/>
      <c r="CH37" s="190"/>
      <c r="CI37" s="190"/>
      <c r="CJ37" s="190"/>
      <c r="CK37" s="190"/>
      <c r="CL37" s="190"/>
      <c r="CM37" s="190"/>
      <c r="CN37" s="190"/>
      <c r="CO37" s="190"/>
      <c r="CP37" s="190"/>
      <c r="CQ37" s="190"/>
      <c r="CR37" s="190"/>
      <c r="CS37" s="190"/>
      <c r="CT37" s="190"/>
      <c r="CU37" s="190"/>
      <c r="CV37" s="190"/>
      <c r="CW37" s="190"/>
      <c r="CX37" s="190"/>
      <c r="CY37" s="190"/>
      <c r="CZ37" s="190"/>
      <c r="DA37" s="190"/>
      <c r="DB37" s="190"/>
      <c r="DC37" s="190"/>
      <c r="DD37" s="190"/>
      <c r="DE37" s="190"/>
      <c r="DF37" s="190"/>
      <c r="DG37" s="190"/>
      <c r="DH37" s="190"/>
      <c r="DI37" s="190"/>
      <c r="DJ37" s="190"/>
      <c r="DK37" s="190"/>
      <c r="DL37" s="190"/>
      <c r="DM37" s="190"/>
      <c r="DN37" s="190"/>
      <c r="DO37" s="190"/>
      <c r="DP37" s="190"/>
      <c r="DQ37" s="190"/>
      <c r="DR37" s="190"/>
      <c r="DS37" s="190"/>
      <c r="DT37" s="190"/>
      <c r="DU37" s="190"/>
      <c r="DV37" s="190"/>
      <c r="DW37" s="190"/>
      <c r="DX37" s="190"/>
      <c r="DY37" s="190"/>
      <c r="DZ37" s="190"/>
      <c r="EA37" s="190"/>
      <c r="EB37" s="190"/>
      <c r="EC37" s="190"/>
      <c r="ED37" s="190"/>
      <c r="EE37" s="190"/>
      <c r="EF37" s="190"/>
      <c r="EG37" s="190"/>
      <c r="EH37" s="190"/>
      <c r="EI37" s="190"/>
      <c r="EJ37" s="190"/>
      <c r="EK37" s="190"/>
      <c r="EL37" s="190"/>
      <c r="EM37" s="190"/>
      <c r="EN37" s="190"/>
    </row>
    <row r="38" spans="1:144" s="65" customFormat="1">
      <c r="A38" s="55"/>
      <c r="B38" s="274"/>
      <c r="C38" s="316"/>
      <c r="D38" s="222"/>
      <c r="E38" s="280"/>
      <c r="F38" s="812"/>
      <c r="G38" s="251"/>
      <c r="H38" s="191"/>
      <c r="I38" s="190"/>
      <c r="J38" s="191"/>
      <c r="K38" s="191"/>
      <c r="L38" s="191"/>
      <c r="M38" s="191"/>
      <c r="N38" s="191"/>
      <c r="O38" s="190"/>
      <c r="P38" s="190"/>
      <c r="Q38" s="190"/>
      <c r="R38" s="190"/>
      <c r="S38" s="190"/>
      <c r="T38" s="190"/>
      <c r="U38" s="190"/>
      <c r="V38" s="190"/>
      <c r="W38" s="190"/>
      <c r="X38" s="190"/>
      <c r="Y38" s="190"/>
      <c r="Z38" s="190"/>
      <c r="AA38" s="190"/>
      <c r="AB38" s="190"/>
      <c r="AC38" s="190"/>
      <c r="AD38" s="190"/>
      <c r="AE38" s="190"/>
      <c r="AF38" s="190"/>
      <c r="AG38" s="190"/>
      <c r="AH38" s="190"/>
      <c r="AI38" s="190"/>
      <c r="AJ38" s="190"/>
      <c r="AK38" s="190"/>
      <c r="AL38" s="190"/>
      <c r="AM38" s="190"/>
      <c r="AN38" s="190"/>
      <c r="AO38" s="190"/>
      <c r="AP38" s="190"/>
      <c r="AQ38" s="190"/>
      <c r="AR38" s="190"/>
      <c r="AS38" s="190"/>
      <c r="AT38" s="190"/>
      <c r="AU38" s="190"/>
      <c r="AV38" s="190"/>
      <c r="AW38" s="190"/>
      <c r="AX38" s="190"/>
      <c r="AY38" s="190"/>
      <c r="AZ38" s="190"/>
      <c r="BA38" s="190"/>
      <c r="BB38" s="190"/>
      <c r="BC38" s="190"/>
      <c r="BD38" s="190"/>
      <c r="BE38" s="190"/>
      <c r="BF38" s="190"/>
      <c r="BG38" s="190"/>
      <c r="BH38" s="190"/>
      <c r="BI38" s="190"/>
      <c r="BJ38" s="190"/>
      <c r="BK38" s="190"/>
      <c r="BL38" s="190"/>
      <c r="BM38" s="190"/>
      <c r="BN38" s="190"/>
      <c r="BO38" s="190"/>
      <c r="BP38" s="190"/>
      <c r="BQ38" s="190"/>
      <c r="BR38" s="190"/>
      <c r="BS38" s="190"/>
      <c r="BT38" s="190"/>
      <c r="BU38" s="190"/>
      <c r="BV38" s="190"/>
      <c r="BW38" s="190"/>
      <c r="BX38" s="190"/>
      <c r="BY38" s="190"/>
      <c r="BZ38" s="190"/>
      <c r="CA38" s="190"/>
      <c r="CB38" s="190"/>
      <c r="CC38" s="190"/>
      <c r="CD38" s="190"/>
      <c r="CE38" s="190"/>
      <c r="CF38" s="190"/>
      <c r="CG38" s="190"/>
      <c r="CH38" s="190"/>
      <c r="CI38" s="190"/>
      <c r="CJ38" s="190"/>
      <c r="CK38" s="190"/>
      <c r="CL38" s="190"/>
      <c r="CM38" s="190"/>
      <c r="CN38" s="190"/>
      <c r="CO38" s="190"/>
      <c r="CP38" s="190"/>
      <c r="CQ38" s="190"/>
      <c r="CR38" s="190"/>
      <c r="CS38" s="190"/>
      <c r="CT38" s="190"/>
      <c r="CU38" s="190"/>
      <c r="CV38" s="190"/>
      <c r="CW38" s="190"/>
      <c r="CX38" s="190"/>
      <c r="CY38" s="190"/>
      <c r="CZ38" s="190"/>
      <c r="DA38" s="190"/>
      <c r="DB38" s="190"/>
      <c r="DC38" s="190"/>
      <c r="DD38" s="190"/>
      <c r="DE38" s="190"/>
      <c r="DF38" s="190"/>
      <c r="DG38" s="190"/>
      <c r="DH38" s="190"/>
      <c r="DI38" s="190"/>
      <c r="DJ38" s="190"/>
      <c r="DK38" s="190"/>
      <c r="DL38" s="190"/>
      <c r="DM38" s="190"/>
      <c r="DN38" s="190"/>
      <c r="DO38" s="190"/>
      <c r="DP38" s="190"/>
      <c r="DQ38" s="190"/>
      <c r="DR38" s="190"/>
      <c r="DS38" s="190"/>
      <c r="DT38" s="190"/>
      <c r="DU38" s="190"/>
      <c r="DV38" s="190"/>
      <c r="DW38" s="190"/>
      <c r="DX38" s="190"/>
      <c r="DY38" s="190"/>
      <c r="DZ38" s="190"/>
      <c r="EA38" s="190"/>
      <c r="EB38" s="190"/>
      <c r="EC38" s="190"/>
      <c r="ED38" s="190"/>
      <c r="EE38" s="190"/>
      <c r="EF38" s="190"/>
      <c r="EG38" s="190"/>
      <c r="EH38" s="190"/>
      <c r="EI38" s="190"/>
      <c r="EJ38" s="190"/>
      <c r="EK38" s="190"/>
      <c r="EL38" s="190"/>
      <c r="EM38" s="190"/>
      <c r="EN38" s="190"/>
    </row>
    <row r="39" spans="1:144" s="65" customFormat="1">
      <c r="A39" s="55"/>
      <c r="B39" s="274"/>
      <c r="C39" s="316"/>
      <c r="D39" s="1" t="s">
        <v>195</v>
      </c>
      <c r="E39" s="1"/>
      <c r="F39" s="812"/>
      <c r="G39" s="191"/>
      <c r="H39" s="191"/>
      <c r="I39" s="190"/>
      <c r="J39" s="191"/>
      <c r="K39" s="191"/>
      <c r="L39" s="191"/>
      <c r="M39" s="191"/>
      <c r="N39" s="191"/>
      <c r="O39" s="190"/>
      <c r="P39" s="190"/>
      <c r="Q39" s="190"/>
      <c r="R39" s="190"/>
      <c r="S39" s="190"/>
      <c r="T39" s="190"/>
      <c r="U39" s="190"/>
      <c r="V39" s="190"/>
      <c r="W39" s="190"/>
      <c r="X39" s="190"/>
      <c r="Y39" s="190"/>
      <c r="Z39" s="190"/>
      <c r="AA39" s="190"/>
      <c r="AB39" s="190"/>
      <c r="AC39" s="190"/>
      <c r="AD39" s="190"/>
      <c r="AE39" s="190"/>
      <c r="AF39" s="190"/>
      <c r="AG39" s="190"/>
      <c r="AH39" s="190"/>
      <c r="AI39" s="190"/>
      <c r="AJ39" s="190"/>
      <c r="AK39" s="190"/>
      <c r="AL39" s="190"/>
      <c r="AM39" s="190"/>
      <c r="AN39" s="190"/>
      <c r="AO39" s="190"/>
      <c r="AP39" s="190"/>
      <c r="AQ39" s="190"/>
      <c r="AR39" s="190"/>
      <c r="AS39" s="190"/>
      <c r="AT39" s="190"/>
      <c r="AU39" s="190"/>
      <c r="AV39" s="190"/>
      <c r="AW39" s="190"/>
      <c r="AX39" s="190"/>
      <c r="AY39" s="190"/>
      <c r="AZ39" s="190"/>
      <c r="BA39" s="190"/>
      <c r="BB39" s="190"/>
      <c r="BC39" s="190"/>
      <c r="BD39" s="190"/>
      <c r="BE39" s="190"/>
      <c r="BF39" s="190"/>
      <c r="BG39" s="190"/>
      <c r="BH39" s="190"/>
      <c r="BI39" s="190"/>
      <c r="BJ39" s="190"/>
      <c r="BK39" s="190"/>
      <c r="BL39" s="190"/>
      <c r="BM39" s="190"/>
      <c r="BN39" s="190"/>
      <c r="BO39" s="190"/>
      <c r="BP39" s="190"/>
      <c r="BQ39" s="190"/>
      <c r="BR39" s="190"/>
      <c r="BS39" s="190"/>
      <c r="BT39" s="190"/>
      <c r="BU39" s="190"/>
      <c r="BV39" s="190"/>
      <c r="BW39" s="190"/>
      <c r="BX39" s="190"/>
      <c r="BY39" s="190"/>
      <c r="BZ39" s="190"/>
      <c r="CA39" s="190"/>
      <c r="CB39" s="190"/>
      <c r="CC39" s="190"/>
      <c r="CD39" s="190"/>
      <c r="CE39" s="190"/>
      <c r="CF39" s="190"/>
      <c r="CG39" s="190"/>
      <c r="CH39" s="190"/>
      <c r="CI39" s="190"/>
      <c r="CJ39" s="190"/>
      <c r="CK39" s="190"/>
      <c r="CL39" s="190"/>
      <c r="CM39" s="190"/>
      <c r="CN39" s="190"/>
      <c r="CO39" s="190"/>
      <c r="CP39" s="190"/>
      <c r="CQ39" s="190"/>
      <c r="CR39" s="190"/>
      <c r="CS39" s="190"/>
      <c r="CT39" s="190"/>
      <c r="CU39" s="190"/>
      <c r="CV39" s="190"/>
      <c r="CW39" s="190"/>
      <c r="CX39" s="190"/>
      <c r="CY39" s="190"/>
      <c r="CZ39" s="190"/>
      <c r="DA39" s="190"/>
      <c r="DB39" s="190"/>
      <c r="DC39" s="190"/>
      <c r="DD39" s="190"/>
      <c r="DE39" s="190"/>
      <c r="DF39" s="190"/>
      <c r="DG39" s="190"/>
      <c r="DH39" s="190"/>
      <c r="DI39" s="190"/>
      <c r="DJ39" s="190"/>
      <c r="DK39" s="190"/>
      <c r="DL39" s="190"/>
      <c r="DM39" s="190"/>
      <c r="DN39" s="190"/>
      <c r="DO39" s="190"/>
      <c r="DP39" s="190"/>
      <c r="DQ39" s="190"/>
      <c r="DR39" s="190"/>
      <c r="DS39" s="190"/>
      <c r="DT39" s="190"/>
      <c r="DU39" s="190"/>
      <c r="DV39" s="190"/>
      <c r="DW39" s="190"/>
      <c r="DX39" s="190"/>
      <c r="DY39" s="190"/>
      <c r="DZ39" s="190"/>
      <c r="EA39" s="190"/>
      <c r="EB39" s="190"/>
      <c r="EC39" s="190"/>
      <c r="ED39" s="190"/>
      <c r="EE39" s="190"/>
      <c r="EF39" s="190"/>
      <c r="EG39" s="190"/>
      <c r="EH39" s="190"/>
      <c r="EI39" s="190"/>
      <c r="EJ39" s="190"/>
      <c r="EK39" s="190"/>
      <c r="EL39" s="190"/>
      <c r="EM39" s="190"/>
      <c r="EN39" s="190"/>
    </row>
    <row r="40" spans="1:144" s="65" customFormat="1">
      <c r="A40" s="55"/>
      <c r="B40" s="274"/>
      <c r="C40" s="1498" t="s">
        <v>786</v>
      </c>
      <c r="D40" s="281">
        <f ca="1">IRR(D25:N25,-0.05)</f>
        <v>-0.24276250698160473</v>
      </c>
      <c r="E40" s="219">
        <f ca="1">NPV((E34),D25:N25)</f>
        <v>-735.33067312256912</v>
      </c>
      <c r="F40" s="812"/>
      <c r="G40" s="191"/>
      <c r="H40" s="191"/>
      <c r="I40" s="190"/>
      <c r="J40" s="191"/>
      <c r="K40" s="191"/>
      <c r="L40" s="191"/>
      <c r="M40" s="191"/>
      <c r="N40" s="191"/>
      <c r="O40" s="190"/>
      <c r="P40" s="190"/>
      <c r="Q40" s="190"/>
      <c r="R40" s="190"/>
      <c r="S40" s="190"/>
      <c r="T40" s="190"/>
      <c r="U40" s="190"/>
      <c r="V40" s="190"/>
      <c r="W40" s="190"/>
      <c r="X40" s="190"/>
      <c r="Y40" s="190"/>
      <c r="Z40" s="190"/>
      <c r="AA40" s="190"/>
      <c r="AB40" s="190"/>
      <c r="AC40" s="190"/>
      <c r="AD40" s="190"/>
      <c r="AE40" s="190"/>
      <c r="AF40" s="190"/>
      <c r="AG40" s="190"/>
      <c r="AH40" s="190"/>
      <c r="AI40" s="190"/>
      <c r="AJ40" s="190"/>
      <c r="AK40" s="190"/>
      <c r="AL40" s="190"/>
      <c r="AM40" s="190"/>
      <c r="AN40" s="190"/>
      <c r="AO40" s="190"/>
      <c r="AP40" s="190"/>
      <c r="AQ40" s="190"/>
      <c r="AR40" s="190"/>
      <c r="AS40" s="190"/>
      <c r="AT40" s="190"/>
      <c r="AU40" s="190"/>
      <c r="AV40" s="190"/>
      <c r="AW40" s="190"/>
      <c r="AX40" s="190"/>
      <c r="AY40" s="190"/>
      <c r="AZ40" s="190"/>
      <c r="BA40" s="190"/>
      <c r="BB40" s="190"/>
      <c r="BC40" s="190"/>
      <c r="BD40" s="190"/>
      <c r="BE40" s="190"/>
      <c r="BF40" s="190"/>
      <c r="BG40" s="190"/>
      <c r="BH40" s="190"/>
      <c r="BI40" s="190"/>
      <c r="BJ40" s="190"/>
      <c r="BK40" s="190"/>
      <c r="BL40" s="190"/>
      <c r="BM40" s="190"/>
      <c r="BN40" s="190"/>
      <c r="BO40" s="190"/>
      <c r="BP40" s="190"/>
      <c r="BQ40" s="190"/>
      <c r="BR40" s="190"/>
      <c r="BS40" s="190"/>
      <c r="BT40" s="190"/>
      <c r="BU40" s="190"/>
      <c r="BV40" s="190"/>
      <c r="BW40" s="190"/>
      <c r="BX40" s="190"/>
      <c r="BY40" s="190"/>
      <c r="BZ40" s="190"/>
      <c r="CA40" s="190"/>
      <c r="CB40" s="190"/>
      <c r="CC40" s="190"/>
      <c r="CD40" s="190"/>
      <c r="CE40" s="190"/>
      <c r="CF40" s="190"/>
      <c r="CG40" s="190"/>
      <c r="CH40" s="190"/>
      <c r="CI40" s="190"/>
      <c r="CJ40" s="190"/>
      <c r="CK40" s="190"/>
      <c r="CL40" s="190"/>
      <c r="CM40" s="190"/>
      <c r="CN40" s="190"/>
      <c r="CO40" s="190"/>
      <c r="CP40" s="190"/>
      <c r="CQ40" s="190"/>
      <c r="CR40" s="190"/>
      <c r="CS40" s="190"/>
      <c r="CT40" s="190"/>
      <c r="CU40" s="190"/>
      <c r="CV40" s="190"/>
      <c r="CW40" s="190"/>
      <c r="CX40" s="190"/>
      <c r="CY40" s="190"/>
      <c r="CZ40" s="190"/>
      <c r="DA40" s="190"/>
      <c r="DB40" s="190"/>
      <c r="DC40" s="190"/>
      <c r="DD40" s="190"/>
      <c r="DE40" s="190"/>
      <c r="DF40" s="190"/>
      <c r="DG40" s="190"/>
      <c r="DH40" s="190"/>
      <c r="DI40" s="190"/>
      <c r="DJ40" s="190"/>
      <c r="DK40" s="190"/>
      <c r="DL40" s="190"/>
      <c r="DM40" s="190"/>
      <c r="DN40" s="190"/>
      <c r="DO40" s="190"/>
      <c r="DP40" s="190"/>
      <c r="DQ40" s="190"/>
      <c r="DR40" s="190"/>
      <c r="DS40" s="190"/>
      <c r="DT40" s="190"/>
      <c r="DU40" s="190"/>
      <c r="DV40" s="190"/>
      <c r="DW40" s="190"/>
      <c r="DX40" s="190"/>
      <c r="DY40" s="190"/>
      <c r="DZ40" s="190"/>
      <c r="EA40" s="190"/>
      <c r="EB40" s="190"/>
      <c r="EC40" s="190"/>
      <c r="ED40" s="190"/>
      <c r="EE40" s="190"/>
      <c r="EF40" s="190"/>
      <c r="EG40" s="190"/>
      <c r="EH40" s="190"/>
      <c r="EI40" s="190"/>
      <c r="EJ40" s="190"/>
      <c r="EK40" s="190"/>
      <c r="EL40" s="190"/>
      <c r="EM40" s="190"/>
      <c r="EN40" s="190"/>
    </row>
    <row r="41" spans="1:144" s="65" customFormat="1">
      <c r="A41" s="55"/>
      <c r="B41" s="274"/>
      <c r="C41" s="1498" t="s">
        <v>787</v>
      </c>
      <c r="D41" s="281">
        <f ca="1">IRR(D25:X25,0.05)</f>
        <v>-5.820955190441468E-2</v>
      </c>
      <c r="E41" s="219">
        <f ca="1">NPV((E34),D25:X25)</f>
        <v>-703.86607944178638</v>
      </c>
      <c r="F41" s="812"/>
      <c r="G41" s="191"/>
      <c r="H41" s="191"/>
      <c r="I41" s="190"/>
      <c r="J41" s="191"/>
      <c r="K41" s="191"/>
      <c r="L41" s="191"/>
      <c r="M41" s="191"/>
      <c r="N41" s="191"/>
      <c r="O41" s="190"/>
      <c r="P41" s="190"/>
      <c r="Q41" s="190"/>
      <c r="R41" s="190"/>
      <c r="S41" s="190"/>
      <c r="T41" s="190"/>
      <c r="U41" s="190"/>
      <c r="V41" s="190"/>
      <c r="W41" s="190"/>
      <c r="X41" s="190"/>
      <c r="Y41" s="190"/>
      <c r="Z41" s="190"/>
      <c r="AA41" s="190"/>
      <c r="AB41" s="190"/>
      <c r="AC41" s="190"/>
      <c r="AD41" s="190"/>
      <c r="AE41" s="190"/>
      <c r="AF41" s="190"/>
      <c r="AG41" s="190"/>
      <c r="AH41" s="190"/>
      <c r="AI41" s="190"/>
      <c r="AJ41" s="190"/>
      <c r="AK41" s="190"/>
      <c r="AL41" s="190"/>
      <c r="AM41" s="190"/>
      <c r="AN41" s="190"/>
      <c r="AO41" s="190"/>
      <c r="AP41" s="190"/>
      <c r="AQ41" s="190"/>
      <c r="AR41" s="190"/>
      <c r="AS41" s="190"/>
      <c r="AT41" s="190"/>
      <c r="AU41" s="190"/>
      <c r="AV41" s="190"/>
      <c r="AW41" s="190"/>
      <c r="AX41" s="190"/>
      <c r="AY41" s="190"/>
      <c r="AZ41" s="190"/>
      <c r="BA41" s="190"/>
      <c r="BB41" s="190"/>
      <c r="BC41" s="190"/>
      <c r="BD41" s="190"/>
      <c r="BE41" s="190"/>
      <c r="BF41" s="190"/>
      <c r="BG41" s="190"/>
      <c r="BH41" s="190"/>
      <c r="BI41" s="190"/>
      <c r="BJ41" s="190"/>
      <c r="BK41" s="190"/>
      <c r="BL41" s="190"/>
      <c r="BM41" s="190"/>
      <c r="BN41" s="190"/>
      <c r="BO41" s="190"/>
      <c r="BP41" s="190"/>
      <c r="BQ41" s="190"/>
      <c r="BR41" s="190"/>
      <c r="BS41" s="190"/>
      <c r="BT41" s="190"/>
      <c r="BU41" s="190"/>
      <c r="BV41" s="190"/>
      <c r="BW41" s="190"/>
      <c r="BX41" s="190"/>
      <c r="BY41" s="190"/>
      <c r="BZ41" s="190"/>
      <c r="CA41" s="190"/>
      <c r="CB41" s="190"/>
      <c r="CC41" s="190"/>
      <c r="CD41" s="190"/>
      <c r="CE41" s="190"/>
      <c r="CF41" s="190"/>
      <c r="CG41" s="190"/>
      <c r="CH41" s="190"/>
      <c r="CI41" s="190"/>
      <c r="CJ41" s="190"/>
      <c r="CK41" s="190"/>
      <c r="CL41" s="190"/>
      <c r="CM41" s="190"/>
      <c r="CN41" s="190"/>
      <c r="CO41" s="190"/>
      <c r="CP41" s="190"/>
      <c r="CQ41" s="190"/>
      <c r="CR41" s="190"/>
      <c r="CS41" s="190"/>
      <c r="CT41" s="190"/>
      <c r="CU41" s="190"/>
      <c r="CV41" s="190"/>
      <c r="CW41" s="190"/>
      <c r="CX41" s="190"/>
      <c r="CY41" s="190"/>
      <c r="CZ41" s="190"/>
      <c r="DA41" s="190"/>
      <c r="DB41" s="190"/>
      <c r="DC41" s="190"/>
      <c r="DD41" s="190"/>
      <c r="DE41" s="190"/>
      <c r="DF41" s="190"/>
      <c r="DG41" s="190"/>
      <c r="DH41" s="190"/>
      <c r="DI41" s="190"/>
      <c r="DJ41" s="190"/>
      <c r="DK41" s="190"/>
      <c r="DL41" s="190"/>
      <c r="DM41" s="190"/>
      <c r="DN41" s="190"/>
      <c r="DO41" s="190"/>
      <c r="DP41" s="190"/>
      <c r="DQ41" s="190"/>
      <c r="DR41" s="190"/>
      <c r="DS41" s="190"/>
      <c r="DT41" s="190"/>
      <c r="DU41" s="190"/>
      <c r="DV41" s="190"/>
      <c r="DW41" s="190"/>
      <c r="DX41" s="190"/>
      <c r="DY41" s="190"/>
      <c r="DZ41" s="190"/>
      <c r="EA41" s="190"/>
      <c r="EB41" s="190"/>
      <c r="EC41" s="190"/>
      <c r="ED41" s="190"/>
      <c r="EE41" s="190"/>
      <c r="EF41" s="190"/>
      <c r="EG41" s="190"/>
      <c r="EH41" s="190"/>
      <c r="EI41" s="190"/>
      <c r="EJ41" s="190"/>
      <c r="EK41" s="190"/>
      <c r="EL41" s="190"/>
      <c r="EM41" s="190"/>
      <c r="EN41" s="190"/>
    </row>
    <row r="42" spans="1:144" s="65" customFormat="1" ht="13.5" thickBot="1">
      <c r="A42" s="55"/>
      <c r="B42" s="279"/>
      <c r="C42" s="1507" t="s">
        <v>788</v>
      </c>
      <c r="D42" s="1517">
        <f ca="1">IRR(D25:AH25,0.05)</f>
        <v>-5.8168351116509753E-2</v>
      </c>
      <c r="E42" s="220">
        <f ca="1">NPV((E34),D25:AH25)</f>
        <v>-703.8534581683781</v>
      </c>
      <c r="F42" s="1518"/>
      <c r="G42" s="191"/>
      <c r="H42" s="191"/>
      <c r="I42" s="190"/>
      <c r="J42" s="191"/>
      <c r="K42" s="191"/>
      <c r="L42" s="191"/>
      <c r="M42" s="191"/>
      <c r="N42" s="191"/>
      <c r="O42" s="190"/>
      <c r="P42" s="190"/>
      <c r="Q42" s="190"/>
      <c r="R42" s="190"/>
      <c r="S42" s="190"/>
      <c r="T42" s="190"/>
      <c r="U42" s="190"/>
      <c r="V42" s="190"/>
      <c r="W42" s="190"/>
      <c r="X42" s="190"/>
      <c r="Y42" s="190"/>
      <c r="Z42" s="190"/>
      <c r="AA42" s="190"/>
      <c r="AB42" s="190"/>
      <c r="AC42" s="190"/>
      <c r="AD42" s="190"/>
      <c r="AE42" s="190"/>
      <c r="AF42" s="190"/>
      <c r="AG42" s="190"/>
      <c r="AH42" s="190"/>
      <c r="AI42" s="190"/>
      <c r="AJ42" s="190"/>
      <c r="AK42" s="190"/>
      <c r="AL42" s="190"/>
      <c r="AM42" s="190"/>
      <c r="AN42" s="190"/>
      <c r="AO42" s="190"/>
      <c r="AP42" s="190"/>
      <c r="AQ42" s="190"/>
      <c r="AR42" s="190"/>
      <c r="AS42" s="190"/>
      <c r="AT42" s="190"/>
      <c r="AU42" s="190"/>
      <c r="AV42" s="190"/>
      <c r="AW42" s="190"/>
      <c r="AX42" s="190"/>
      <c r="AY42" s="190"/>
      <c r="AZ42" s="190"/>
      <c r="BA42" s="190"/>
      <c r="BB42" s="190"/>
      <c r="BC42" s="190"/>
      <c r="BD42" s="190"/>
      <c r="BE42" s="190"/>
      <c r="BF42" s="190"/>
      <c r="BG42" s="190"/>
      <c r="BH42" s="190"/>
      <c r="BI42" s="190"/>
      <c r="BJ42" s="190"/>
      <c r="BK42" s="190"/>
      <c r="BL42" s="190"/>
      <c r="BM42" s="190"/>
      <c r="BN42" s="190"/>
      <c r="BO42" s="190"/>
      <c r="BP42" s="190"/>
      <c r="BQ42" s="190"/>
      <c r="BR42" s="190"/>
      <c r="BS42" s="190"/>
      <c r="BT42" s="190"/>
      <c r="BU42" s="190"/>
      <c r="BV42" s="190"/>
      <c r="BW42" s="190"/>
      <c r="BX42" s="190"/>
      <c r="BY42" s="190"/>
      <c r="BZ42" s="190"/>
      <c r="CA42" s="190"/>
      <c r="CB42" s="190"/>
      <c r="CC42" s="190"/>
      <c r="CD42" s="190"/>
      <c r="CE42" s="190"/>
      <c r="CF42" s="190"/>
      <c r="CG42" s="190"/>
      <c r="CH42" s="190"/>
      <c r="CI42" s="190"/>
      <c r="CJ42" s="190"/>
      <c r="CK42" s="190"/>
      <c r="CL42" s="190"/>
      <c r="CM42" s="190"/>
      <c r="CN42" s="190"/>
      <c r="CO42" s="190"/>
      <c r="CP42" s="190"/>
      <c r="CQ42" s="190"/>
      <c r="CR42" s="190"/>
      <c r="CS42" s="190"/>
      <c r="CT42" s="190"/>
      <c r="CU42" s="190"/>
      <c r="CV42" s="190"/>
      <c r="CW42" s="190"/>
      <c r="CX42" s="190"/>
      <c r="CY42" s="190"/>
      <c r="CZ42" s="190"/>
      <c r="DA42" s="190"/>
      <c r="DB42" s="190"/>
      <c r="DC42" s="190"/>
      <c r="DD42" s="190"/>
      <c r="DE42" s="190"/>
      <c r="DF42" s="190"/>
      <c r="DG42" s="190"/>
      <c r="DH42" s="190"/>
      <c r="DI42" s="190"/>
      <c r="DJ42" s="190"/>
      <c r="DK42" s="190"/>
      <c r="DL42" s="190"/>
      <c r="DM42" s="190"/>
      <c r="DN42" s="190"/>
      <c r="DO42" s="190"/>
      <c r="DP42" s="190"/>
      <c r="DQ42" s="190"/>
      <c r="DR42" s="190"/>
      <c r="DS42" s="190"/>
      <c r="DT42" s="190"/>
      <c r="DU42" s="190"/>
      <c r="DV42" s="190"/>
      <c r="DW42" s="190"/>
      <c r="DX42" s="190"/>
      <c r="DY42" s="190"/>
      <c r="DZ42" s="190"/>
      <c r="EA42" s="190"/>
      <c r="EB42" s="190"/>
      <c r="EC42" s="190"/>
      <c r="ED42" s="190"/>
      <c r="EE42" s="190"/>
      <c r="EF42" s="190"/>
      <c r="EG42" s="190"/>
      <c r="EH42" s="190"/>
      <c r="EI42" s="190"/>
      <c r="EJ42" s="190"/>
      <c r="EK42" s="190"/>
      <c r="EL42" s="190"/>
      <c r="EM42" s="190"/>
      <c r="EN42" s="190"/>
    </row>
    <row r="43" spans="1:144" s="65" customFormat="1">
      <c r="A43" s="55"/>
      <c r="B43" s="189"/>
      <c r="C43" s="189"/>
      <c r="D43" s="191"/>
      <c r="F43" s="191"/>
      <c r="G43" s="191"/>
      <c r="H43" s="191"/>
      <c r="I43" s="190"/>
      <c r="J43" s="191"/>
      <c r="K43" s="191"/>
      <c r="L43" s="191"/>
      <c r="M43" s="191"/>
      <c r="N43" s="191"/>
      <c r="O43" s="190"/>
      <c r="P43" s="190"/>
      <c r="Q43" s="190"/>
      <c r="R43" s="190"/>
      <c r="S43" s="190"/>
      <c r="T43" s="190"/>
      <c r="U43" s="190"/>
      <c r="V43" s="190"/>
      <c r="W43" s="190"/>
      <c r="X43" s="190"/>
      <c r="Y43" s="190"/>
      <c r="Z43" s="190"/>
      <c r="AA43" s="190"/>
      <c r="AB43" s="190"/>
      <c r="AC43" s="190"/>
      <c r="AD43" s="190"/>
      <c r="AE43" s="190"/>
      <c r="AF43" s="190"/>
      <c r="AG43" s="190"/>
      <c r="AH43" s="190"/>
      <c r="AI43" s="190"/>
      <c r="AJ43" s="190"/>
      <c r="AK43" s="190"/>
      <c r="AL43" s="190"/>
      <c r="AM43" s="190"/>
      <c r="AN43" s="190"/>
      <c r="AO43" s="190"/>
      <c r="AP43" s="190"/>
      <c r="AQ43" s="190"/>
      <c r="AR43" s="190"/>
      <c r="AS43" s="190"/>
      <c r="AT43" s="190"/>
      <c r="AU43" s="190"/>
      <c r="AV43" s="190"/>
      <c r="AW43" s="190"/>
      <c r="AX43" s="190"/>
      <c r="AY43" s="190"/>
      <c r="AZ43" s="190"/>
      <c r="BA43" s="190"/>
      <c r="BB43" s="190"/>
      <c r="BC43" s="190"/>
      <c r="BD43" s="190"/>
      <c r="BE43" s="190"/>
      <c r="BF43" s="190"/>
      <c r="BG43" s="190"/>
      <c r="BH43" s="190"/>
      <c r="BI43" s="190"/>
      <c r="BJ43" s="190"/>
      <c r="BK43" s="190"/>
      <c r="BL43" s="190"/>
      <c r="BM43" s="190"/>
      <c r="BN43" s="190"/>
      <c r="BO43" s="190"/>
      <c r="BP43" s="190"/>
      <c r="BQ43" s="190"/>
      <c r="BR43" s="190"/>
      <c r="BS43" s="190"/>
      <c r="BT43" s="190"/>
      <c r="BU43" s="190"/>
      <c r="BV43" s="190"/>
      <c r="BW43" s="190"/>
      <c r="BX43" s="190"/>
      <c r="BY43" s="190"/>
      <c r="BZ43" s="190"/>
      <c r="CA43" s="190"/>
      <c r="CB43" s="190"/>
      <c r="CC43" s="190"/>
      <c r="CD43" s="190"/>
      <c r="CE43" s="190"/>
      <c r="CF43" s="190"/>
      <c r="CG43" s="190"/>
      <c r="CH43" s="190"/>
      <c r="CI43" s="190"/>
      <c r="CJ43" s="190"/>
      <c r="CK43" s="190"/>
      <c r="CL43" s="190"/>
      <c r="CM43" s="190"/>
      <c r="CN43" s="190"/>
      <c r="CO43" s="190"/>
      <c r="CP43" s="190"/>
      <c r="CQ43" s="190"/>
      <c r="CR43" s="190"/>
      <c r="CS43" s="190"/>
      <c r="CT43" s="190"/>
      <c r="CU43" s="190"/>
      <c r="CV43" s="190"/>
      <c r="CW43" s="190"/>
      <c r="CX43" s="190"/>
      <c r="CY43" s="190"/>
      <c r="CZ43" s="190"/>
      <c r="DA43" s="190"/>
      <c r="DB43" s="190"/>
      <c r="DC43" s="190"/>
      <c r="DD43" s="190"/>
      <c r="DE43" s="190"/>
      <c r="DF43" s="190"/>
      <c r="DG43" s="190"/>
      <c r="DH43" s="190"/>
      <c r="DI43" s="190"/>
      <c r="DJ43" s="190"/>
      <c r="DK43" s="190"/>
      <c r="DL43" s="190"/>
      <c r="DM43" s="190"/>
      <c r="DN43" s="190"/>
      <c r="DO43" s="190"/>
      <c r="DP43" s="190"/>
      <c r="DQ43" s="190"/>
      <c r="DR43" s="190"/>
      <c r="DS43" s="190"/>
      <c r="DT43" s="190"/>
      <c r="DU43" s="190"/>
      <c r="DV43" s="190"/>
      <c r="DW43" s="190"/>
      <c r="DX43" s="190"/>
      <c r="DY43" s="190"/>
      <c r="DZ43" s="190"/>
      <c r="EA43" s="190"/>
      <c r="EB43" s="190"/>
      <c r="EC43" s="190"/>
      <c r="ED43" s="190"/>
      <c r="EE43" s="190"/>
      <c r="EF43" s="190"/>
      <c r="EG43" s="190"/>
      <c r="EH43" s="190"/>
      <c r="EI43" s="190"/>
      <c r="EJ43" s="190"/>
      <c r="EK43" s="190"/>
      <c r="EL43" s="190"/>
      <c r="EM43" s="190"/>
      <c r="EN43" s="190"/>
    </row>
    <row r="44" spans="1:144" s="65" customFormat="1">
      <c r="A44" s="55"/>
      <c r="B44" s="189"/>
      <c r="C44" s="189"/>
      <c r="D44" s="191"/>
      <c r="E44" s="191"/>
      <c r="F44" s="191"/>
      <c r="G44" s="191"/>
      <c r="H44" s="191"/>
      <c r="I44" s="190"/>
      <c r="J44" s="191"/>
      <c r="K44" s="191"/>
      <c r="L44" s="191"/>
      <c r="M44" s="191"/>
      <c r="N44" s="191"/>
      <c r="O44" s="190"/>
      <c r="P44" s="190"/>
      <c r="Q44" s="190"/>
      <c r="R44" s="190"/>
      <c r="S44" s="190"/>
      <c r="T44" s="190"/>
      <c r="U44" s="190"/>
      <c r="V44" s="190"/>
      <c r="W44" s="190"/>
      <c r="X44" s="190"/>
      <c r="Y44" s="190"/>
      <c r="Z44" s="190"/>
      <c r="AA44" s="190"/>
      <c r="AB44" s="190"/>
      <c r="AC44" s="190"/>
      <c r="AD44" s="190"/>
      <c r="AE44" s="190"/>
      <c r="AF44" s="190"/>
      <c r="AG44" s="190"/>
      <c r="AH44" s="190"/>
      <c r="AI44" s="190"/>
      <c r="AJ44" s="190"/>
      <c r="AK44" s="190"/>
      <c r="AL44" s="190"/>
      <c r="AM44" s="190"/>
      <c r="AN44" s="190"/>
      <c r="AO44" s="190"/>
      <c r="AP44" s="190"/>
      <c r="AQ44" s="190"/>
      <c r="AR44" s="190"/>
      <c r="AS44" s="190"/>
      <c r="AT44" s="190"/>
      <c r="AU44" s="190"/>
      <c r="AV44" s="190"/>
      <c r="AW44" s="190"/>
      <c r="AX44" s="190"/>
      <c r="AY44" s="190"/>
      <c r="AZ44" s="190"/>
      <c r="BA44" s="190"/>
      <c r="BB44" s="190"/>
      <c r="BC44" s="190"/>
      <c r="BD44" s="190"/>
      <c r="BE44" s="190"/>
      <c r="BF44" s="190"/>
      <c r="BG44" s="190"/>
      <c r="BH44" s="190"/>
      <c r="BI44" s="190"/>
      <c r="BJ44" s="190"/>
      <c r="BK44" s="190"/>
      <c r="BL44" s="190"/>
      <c r="BM44" s="190"/>
      <c r="BN44" s="190"/>
      <c r="BO44" s="190"/>
      <c r="BP44" s="190"/>
      <c r="BQ44" s="190"/>
      <c r="BR44" s="190"/>
      <c r="BS44" s="190"/>
      <c r="BT44" s="190"/>
      <c r="BU44" s="190"/>
      <c r="BV44" s="190"/>
      <c r="BW44" s="190"/>
      <c r="BX44" s="190"/>
      <c r="BY44" s="190"/>
      <c r="BZ44" s="190"/>
      <c r="CA44" s="190"/>
      <c r="CB44" s="190"/>
      <c r="CC44" s="190"/>
      <c r="CD44" s="190"/>
      <c r="CE44" s="190"/>
      <c r="CF44" s="190"/>
      <c r="CG44" s="190"/>
      <c r="CH44" s="190"/>
      <c r="CI44" s="190"/>
      <c r="CJ44" s="190"/>
      <c r="CK44" s="190"/>
      <c r="CL44" s="190"/>
      <c r="CM44" s="190"/>
      <c r="CN44" s="190"/>
      <c r="CO44" s="190"/>
      <c r="CP44" s="190"/>
      <c r="CQ44" s="190"/>
      <c r="CR44" s="190"/>
      <c r="CS44" s="190"/>
      <c r="CT44" s="190"/>
      <c r="CU44" s="190"/>
      <c r="CV44" s="190"/>
      <c r="CW44" s="190"/>
      <c r="CX44" s="190"/>
      <c r="CY44" s="190"/>
      <c r="CZ44" s="190"/>
      <c r="DA44" s="190"/>
      <c r="DB44" s="190"/>
      <c r="DC44" s="190"/>
      <c r="DD44" s="190"/>
      <c r="DE44" s="190"/>
      <c r="DF44" s="190"/>
      <c r="DG44" s="190"/>
      <c r="DH44" s="190"/>
      <c r="DI44" s="190"/>
      <c r="DJ44" s="190"/>
      <c r="DK44" s="190"/>
      <c r="DL44" s="190"/>
      <c r="DM44" s="190"/>
      <c r="DN44" s="190"/>
      <c r="DO44" s="190"/>
      <c r="DP44" s="190"/>
      <c r="DQ44" s="190"/>
      <c r="DR44" s="190"/>
      <c r="DS44" s="190"/>
      <c r="DT44" s="190"/>
      <c r="DU44" s="190"/>
      <c r="DV44" s="190"/>
      <c r="DW44" s="190"/>
      <c r="DX44" s="190"/>
      <c r="DY44" s="190"/>
      <c r="DZ44" s="190"/>
      <c r="EA44" s="190"/>
      <c r="EB44" s="190"/>
      <c r="EC44" s="190"/>
      <c r="ED44" s="190"/>
      <c r="EE44" s="190"/>
      <c r="EF44" s="190"/>
      <c r="EG44" s="190"/>
      <c r="EH44" s="190"/>
      <c r="EI44" s="190"/>
      <c r="EJ44" s="190"/>
      <c r="EK44" s="190"/>
      <c r="EL44" s="190"/>
      <c r="EM44" s="190"/>
      <c r="EN44" s="190"/>
    </row>
    <row r="45" spans="1:144" s="65" customFormat="1">
      <c r="A45" s="55"/>
      <c r="B45" s="189"/>
      <c r="C45" s="189"/>
      <c r="D45" s="191"/>
      <c r="E45" s="191"/>
      <c r="F45" s="191"/>
      <c r="G45" s="191"/>
      <c r="H45" s="191"/>
      <c r="I45" s="190"/>
      <c r="J45" s="191"/>
      <c r="K45" s="191"/>
      <c r="L45" s="191"/>
      <c r="M45" s="191"/>
      <c r="N45" s="191"/>
      <c r="O45" s="190"/>
      <c r="P45" s="190"/>
      <c r="Q45" s="190"/>
      <c r="R45" s="190"/>
      <c r="S45" s="190"/>
      <c r="T45" s="190"/>
      <c r="U45" s="190"/>
      <c r="V45" s="190"/>
      <c r="W45" s="190"/>
      <c r="X45" s="190"/>
      <c r="Y45" s="190"/>
      <c r="Z45" s="190"/>
      <c r="AA45" s="190"/>
      <c r="AB45" s="190"/>
      <c r="AC45" s="190"/>
      <c r="AD45" s="190"/>
      <c r="AE45" s="190"/>
      <c r="AF45" s="190"/>
      <c r="AG45" s="190"/>
      <c r="AH45" s="190"/>
      <c r="AI45" s="190"/>
      <c r="AJ45" s="190"/>
      <c r="AK45" s="190"/>
      <c r="AL45" s="190"/>
      <c r="AM45" s="190"/>
      <c r="AN45" s="190"/>
      <c r="AO45" s="190"/>
      <c r="AP45" s="190"/>
      <c r="AQ45" s="190"/>
      <c r="AR45" s="190"/>
      <c r="AS45" s="190"/>
      <c r="AT45" s="190"/>
      <c r="AU45" s="190"/>
      <c r="AV45" s="190"/>
      <c r="AW45" s="190"/>
      <c r="AX45" s="190"/>
      <c r="AY45" s="190"/>
      <c r="AZ45" s="190"/>
      <c r="BA45" s="190"/>
      <c r="BB45" s="190"/>
      <c r="BC45" s="190"/>
      <c r="BD45" s="190"/>
      <c r="BE45" s="190"/>
      <c r="BF45" s="190"/>
      <c r="BG45" s="190"/>
      <c r="BH45" s="190"/>
      <c r="BI45" s="190"/>
      <c r="BJ45" s="190"/>
      <c r="BK45" s="190"/>
      <c r="BL45" s="190"/>
      <c r="BM45" s="190"/>
      <c r="BN45" s="190"/>
      <c r="BO45" s="190"/>
      <c r="BP45" s="190"/>
      <c r="BQ45" s="190"/>
      <c r="BR45" s="190"/>
      <c r="BS45" s="190"/>
      <c r="BT45" s="190"/>
      <c r="BU45" s="190"/>
      <c r="BV45" s="190"/>
      <c r="BW45" s="190"/>
      <c r="BX45" s="190"/>
      <c r="BY45" s="190"/>
      <c r="BZ45" s="190"/>
      <c r="CA45" s="190"/>
      <c r="CB45" s="190"/>
      <c r="CC45" s="190"/>
      <c r="CD45" s="190"/>
      <c r="CE45" s="190"/>
      <c r="CF45" s="190"/>
      <c r="CG45" s="190"/>
      <c r="CH45" s="190"/>
      <c r="CI45" s="190"/>
      <c r="CJ45" s="190"/>
      <c r="CK45" s="190"/>
      <c r="CL45" s="190"/>
      <c r="CM45" s="190"/>
      <c r="CN45" s="190"/>
      <c r="CO45" s="190"/>
      <c r="CP45" s="190"/>
      <c r="CQ45" s="190"/>
      <c r="CR45" s="190"/>
      <c r="CS45" s="190"/>
      <c r="CT45" s="190"/>
      <c r="CU45" s="190"/>
      <c r="CV45" s="190"/>
      <c r="CW45" s="190"/>
      <c r="CX45" s="190"/>
      <c r="CY45" s="190"/>
      <c r="CZ45" s="190"/>
      <c r="DA45" s="190"/>
      <c r="DB45" s="190"/>
      <c r="DC45" s="190"/>
      <c r="DD45" s="190"/>
      <c r="DE45" s="190"/>
      <c r="DF45" s="190"/>
      <c r="DG45" s="190"/>
      <c r="DH45" s="190"/>
      <c r="DI45" s="190"/>
      <c r="DJ45" s="190"/>
      <c r="DK45" s="190"/>
      <c r="DL45" s="190"/>
      <c r="DM45" s="190"/>
      <c r="DN45" s="190"/>
      <c r="DO45" s="190"/>
      <c r="DP45" s="190"/>
      <c r="DQ45" s="190"/>
      <c r="DR45" s="190"/>
      <c r="DS45" s="190"/>
      <c r="DT45" s="190"/>
      <c r="DU45" s="190"/>
      <c r="DV45" s="190"/>
      <c r="DW45" s="190"/>
      <c r="DX45" s="190"/>
      <c r="DY45" s="190"/>
      <c r="DZ45" s="190"/>
      <c r="EA45" s="190"/>
      <c r="EB45" s="190"/>
      <c r="EC45" s="190"/>
      <c r="ED45" s="190"/>
      <c r="EE45" s="190"/>
      <c r="EF45" s="190"/>
      <c r="EG45" s="190"/>
      <c r="EH45" s="190"/>
      <c r="EI45" s="190"/>
      <c r="EJ45" s="190"/>
      <c r="EK45" s="190"/>
      <c r="EL45" s="190"/>
      <c r="EM45" s="190"/>
      <c r="EN45" s="190"/>
    </row>
    <row r="46" spans="1:144">
      <c r="A46" s="188"/>
      <c r="B46" s="46" t="s">
        <v>792</v>
      </c>
      <c r="C46" s="38"/>
      <c r="D46" s="38" t="s">
        <v>20</v>
      </c>
      <c r="F46" s="1479"/>
      <c r="G46" s="1479"/>
      <c r="H46" s="1479"/>
      <c r="I46" s="1479"/>
      <c r="J46" s="1479"/>
      <c r="K46" s="1479"/>
      <c r="L46" s="1479"/>
      <c r="M46" s="1479"/>
      <c r="N46" s="1479"/>
      <c r="O46" s="1479"/>
      <c r="P46" s="1479"/>
      <c r="Q46" s="1479"/>
      <c r="R46" s="1479"/>
      <c r="S46" s="1479"/>
      <c r="T46" s="1479"/>
      <c r="U46" s="1479"/>
      <c r="V46" s="1479"/>
      <c r="W46" s="1479"/>
      <c r="X46" s="1479"/>
      <c r="Y46" s="1479"/>
      <c r="Z46" s="1479"/>
      <c r="AA46" s="1479"/>
      <c r="AB46" s="1479"/>
      <c r="AC46" s="1479"/>
      <c r="AD46" s="1479"/>
      <c r="AE46" s="1479"/>
      <c r="AF46" s="1479"/>
      <c r="AG46" s="1479"/>
      <c r="AH46" s="1479"/>
      <c r="AI46" s="1479"/>
      <c r="AJ46" s="38"/>
      <c r="AK46" s="38"/>
      <c r="AL46" s="38"/>
      <c r="AM46" s="38"/>
      <c r="AN46" s="38"/>
      <c r="AO46" s="38"/>
      <c r="AP46" s="38"/>
      <c r="AQ46" s="38"/>
      <c r="AR46" s="38"/>
      <c r="AS46" s="38"/>
      <c r="AT46" s="38"/>
      <c r="AU46" s="38"/>
      <c r="AV46" s="38"/>
      <c r="AW46" s="38"/>
      <c r="AX46" s="38"/>
      <c r="AY46" s="38"/>
      <c r="AZ46" s="38"/>
      <c r="BA46" s="38"/>
      <c r="BB46" s="38"/>
      <c r="BC46" s="38"/>
      <c r="BD46" s="38"/>
      <c r="BE46" s="38"/>
      <c r="BF46" s="38"/>
      <c r="BG46" s="38"/>
      <c r="BH46" s="38"/>
      <c r="BI46" s="38"/>
      <c r="BJ46" s="38"/>
      <c r="BK46" s="38"/>
      <c r="BL46" s="38"/>
      <c r="BM46" s="38"/>
      <c r="BN46" s="38"/>
      <c r="BO46" s="38"/>
      <c r="BP46" s="38"/>
      <c r="BQ46" s="38"/>
      <c r="BR46" s="38"/>
      <c r="BS46" s="38"/>
      <c r="BT46" s="38"/>
      <c r="BU46" s="38"/>
      <c r="BV46" s="38"/>
      <c r="BW46" s="38"/>
      <c r="BX46" s="38"/>
      <c r="BY46" s="38"/>
      <c r="BZ46" s="38"/>
      <c r="CA46" s="38"/>
      <c r="CB46" s="38"/>
      <c r="CC46" s="38"/>
      <c r="CD46" s="38"/>
      <c r="CE46" s="38"/>
      <c r="CF46" s="38"/>
      <c r="CG46" s="38"/>
      <c r="CH46" s="38"/>
      <c r="CI46" s="38"/>
      <c r="CJ46" s="38"/>
      <c r="CK46" s="38"/>
      <c r="CL46" s="38"/>
      <c r="CM46" s="38"/>
      <c r="CN46" s="38"/>
      <c r="CO46" s="38"/>
      <c r="CP46" s="38"/>
      <c r="CQ46" s="38"/>
      <c r="CR46" s="38"/>
      <c r="CS46" s="38"/>
      <c r="CT46" s="38"/>
      <c r="CU46" s="38"/>
      <c r="CV46" s="38"/>
      <c r="CW46" s="38"/>
      <c r="CX46" s="38"/>
      <c r="CY46" s="38"/>
      <c r="CZ46" s="38"/>
      <c r="DA46" s="38"/>
      <c r="DB46" s="38"/>
      <c r="DC46" s="38"/>
      <c r="DD46" s="38"/>
      <c r="DE46" s="38"/>
      <c r="DF46" s="38"/>
      <c r="DG46" s="38"/>
      <c r="DH46" s="38"/>
      <c r="DI46" s="38"/>
      <c r="DJ46" s="38"/>
      <c r="DK46" s="38"/>
      <c r="DL46" s="38"/>
      <c r="DM46" s="38"/>
      <c r="DN46" s="38"/>
      <c r="DO46" s="38"/>
      <c r="DP46" s="38"/>
      <c r="DQ46" s="38"/>
      <c r="DR46" s="38"/>
      <c r="DS46" s="38"/>
      <c r="DT46" s="38"/>
      <c r="DU46" s="38"/>
      <c r="DV46" s="38"/>
      <c r="DW46" s="38"/>
      <c r="DX46" s="38"/>
      <c r="DY46" s="38"/>
      <c r="DZ46" s="38"/>
      <c r="EA46" s="38"/>
      <c r="EB46" s="38"/>
      <c r="EC46" s="38"/>
      <c r="ED46" s="38"/>
      <c r="EE46" s="38"/>
      <c r="EF46" s="38"/>
      <c r="EG46" s="38"/>
      <c r="EH46" s="38"/>
      <c r="EI46" s="38"/>
      <c r="EJ46" s="38"/>
      <c r="EK46" s="38"/>
      <c r="EL46" s="38"/>
    </row>
    <row r="47" spans="1:144">
      <c r="A47" s="188"/>
      <c r="B47" s="38"/>
      <c r="C47" s="38"/>
      <c r="D47" s="1492">
        <f>Assum!F24</f>
        <v>35795</v>
      </c>
      <c r="E47" s="1526">
        <f>IF(Assum!$F$25-274&lt;D47,D47,Assum!$F$25-274)</f>
        <v>35885</v>
      </c>
      <c r="F47" s="1493">
        <f t="shared" ref="F47:AI47" si="11">EDATE(E50,3)</f>
        <v>36250</v>
      </c>
      <c r="G47" s="1493">
        <f t="shared" si="11"/>
        <v>36616</v>
      </c>
      <c r="H47" s="1493">
        <f t="shared" si="11"/>
        <v>36981</v>
      </c>
      <c r="I47" s="1493">
        <f t="shared" si="11"/>
        <v>37346</v>
      </c>
      <c r="J47" s="1493">
        <f t="shared" si="11"/>
        <v>37711</v>
      </c>
      <c r="K47" s="1493">
        <f t="shared" si="11"/>
        <v>38077</v>
      </c>
      <c r="L47" s="1493">
        <f t="shared" si="11"/>
        <v>38442</v>
      </c>
      <c r="M47" s="1493">
        <f t="shared" si="11"/>
        <v>38807</v>
      </c>
      <c r="N47" s="1493">
        <f t="shared" si="11"/>
        <v>39172</v>
      </c>
      <c r="O47" s="1493">
        <f t="shared" si="11"/>
        <v>39538</v>
      </c>
      <c r="P47" s="1493">
        <f t="shared" si="11"/>
        <v>39903</v>
      </c>
      <c r="Q47" s="1493">
        <f t="shared" si="11"/>
        <v>40268</v>
      </c>
      <c r="R47" s="1493">
        <f t="shared" si="11"/>
        <v>40633</v>
      </c>
      <c r="S47" s="1493">
        <f t="shared" si="11"/>
        <v>40999</v>
      </c>
      <c r="T47" s="1493">
        <f t="shared" si="11"/>
        <v>41364</v>
      </c>
      <c r="U47" s="1493">
        <f t="shared" si="11"/>
        <v>41729</v>
      </c>
      <c r="V47" s="1493">
        <f t="shared" si="11"/>
        <v>42094</v>
      </c>
      <c r="W47" s="1493">
        <f t="shared" si="11"/>
        <v>42460</v>
      </c>
      <c r="X47" s="1493">
        <f t="shared" si="11"/>
        <v>42825</v>
      </c>
      <c r="Y47" s="1493">
        <f t="shared" si="11"/>
        <v>43190</v>
      </c>
      <c r="Z47" s="1493">
        <f t="shared" si="11"/>
        <v>43555</v>
      </c>
      <c r="AA47" s="1493">
        <f t="shared" si="11"/>
        <v>43921</v>
      </c>
      <c r="AB47" s="1493">
        <f t="shared" si="11"/>
        <v>44286</v>
      </c>
      <c r="AC47" s="1493">
        <f t="shared" si="11"/>
        <v>44651</v>
      </c>
      <c r="AD47" s="1493">
        <f t="shared" si="11"/>
        <v>45016</v>
      </c>
      <c r="AE47" s="1493">
        <f t="shared" si="11"/>
        <v>45382</v>
      </c>
      <c r="AF47" s="1493">
        <f t="shared" si="11"/>
        <v>45747</v>
      </c>
      <c r="AG47" s="1493">
        <f t="shared" si="11"/>
        <v>46112</v>
      </c>
      <c r="AH47" s="1493">
        <f t="shared" si="11"/>
        <v>46477</v>
      </c>
      <c r="AI47" s="1493">
        <f t="shared" si="11"/>
        <v>46843</v>
      </c>
      <c r="AJ47" s="38"/>
      <c r="AK47" s="38"/>
      <c r="AL47" s="38"/>
      <c r="AM47" s="38"/>
      <c r="AN47" s="38"/>
      <c r="AO47" s="38"/>
      <c r="AP47" s="38"/>
      <c r="AQ47" s="38"/>
      <c r="AR47" s="38"/>
      <c r="AS47" s="38"/>
      <c r="AT47" s="38"/>
      <c r="AU47" s="38"/>
      <c r="AV47" s="38"/>
      <c r="AW47" s="38"/>
      <c r="AX47" s="38"/>
      <c r="AY47" s="38"/>
      <c r="AZ47" s="38"/>
      <c r="BA47" s="38"/>
      <c r="BB47" s="38"/>
      <c r="BC47" s="38"/>
      <c r="BD47" s="38"/>
      <c r="BE47" s="38"/>
      <c r="BF47" s="38"/>
      <c r="BG47" s="38"/>
      <c r="BH47" s="38"/>
      <c r="BI47" s="38"/>
      <c r="BJ47" s="38"/>
      <c r="BK47" s="38"/>
      <c r="BL47" s="38"/>
      <c r="BM47" s="38"/>
      <c r="BN47" s="38"/>
      <c r="BO47" s="38"/>
      <c r="BP47" s="38"/>
      <c r="BQ47" s="38"/>
      <c r="BR47" s="38"/>
      <c r="BS47" s="38"/>
      <c r="BT47" s="38"/>
      <c r="BU47" s="38"/>
      <c r="BV47" s="38"/>
      <c r="BW47" s="38"/>
      <c r="BX47" s="38"/>
      <c r="BY47" s="38"/>
      <c r="BZ47" s="38"/>
      <c r="CA47" s="38"/>
      <c r="CB47" s="38"/>
      <c r="CC47" s="38"/>
      <c r="CD47" s="38"/>
      <c r="CE47" s="38"/>
      <c r="CF47" s="38"/>
      <c r="CG47" s="38"/>
      <c r="CH47" s="38"/>
      <c r="CI47" s="38"/>
      <c r="CJ47" s="38"/>
      <c r="CK47" s="38"/>
      <c r="CL47" s="38"/>
      <c r="CM47" s="38"/>
      <c r="CN47" s="38"/>
      <c r="CO47" s="38"/>
      <c r="CP47" s="38"/>
      <c r="CQ47" s="38"/>
      <c r="CR47" s="38"/>
      <c r="CS47" s="38"/>
      <c r="CT47" s="38"/>
      <c r="CU47" s="38"/>
      <c r="CV47" s="38"/>
      <c r="CW47" s="38"/>
      <c r="CX47" s="38"/>
      <c r="CY47" s="38"/>
      <c r="CZ47" s="38"/>
      <c r="DA47" s="38"/>
      <c r="DB47" s="38"/>
      <c r="DC47" s="38"/>
      <c r="DD47" s="38"/>
      <c r="DE47" s="38"/>
      <c r="DF47" s="38"/>
      <c r="DG47" s="38"/>
      <c r="DH47" s="38"/>
      <c r="DI47" s="38"/>
      <c r="DJ47" s="38"/>
      <c r="DK47" s="38"/>
      <c r="DL47" s="38"/>
      <c r="DM47" s="38"/>
      <c r="DN47" s="38"/>
      <c r="DO47" s="38"/>
      <c r="DP47" s="38"/>
      <c r="DQ47" s="38"/>
      <c r="DR47" s="38"/>
      <c r="DS47" s="38"/>
      <c r="DT47" s="38"/>
      <c r="DU47" s="38"/>
      <c r="DV47" s="38"/>
      <c r="DW47" s="38"/>
      <c r="DX47" s="38"/>
      <c r="DY47" s="38"/>
      <c r="DZ47" s="38"/>
      <c r="EA47" s="38"/>
      <c r="EB47" s="38"/>
      <c r="EC47" s="38"/>
      <c r="ED47" s="38"/>
      <c r="EE47" s="38"/>
      <c r="EF47" s="38"/>
      <c r="EG47" s="38"/>
      <c r="EH47" s="38"/>
      <c r="EI47" s="38"/>
      <c r="EJ47" s="38"/>
      <c r="EK47" s="38"/>
      <c r="EL47" s="38"/>
    </row>
    <row r="48" spans="1:144">
      <c r="A48" s="188"/>
      <c r="B48" s="38"/>
      <c r="C48" s="38"/>
      <c r="D48" s="1574">
        <f>$D$47</f>
        <v>35795</v>
      </c>
      <c r="E48" s="1528">
        <f>IF(Assum!$F$25-182&lt;D48,D48,Assum!$F$25-182)</f>
        <v>35977</v>
      </c>
      <c r="F48" s="1494">
        <f t="shared" ref="F48:O50" si="12">EDATE(F47,3)</f>
        <v>36341</v>
      </c>
      <c r="G48" s="1494">
        <f t="shared" si="12"/>
        <v>36707</v>
      </c>
      <c r="H48" s="1494">
        <f t="shared" si="12"/>
        <v>37072</v>
      </c>
      <c r="I48" s="1494">
        <f t="shared" si="12"/>
        <v>37437</v>
      </c>
      <c r="J48" s="1494">
        <f t="shared" si="12"/>
        <v>37802</v>
      </c>
      <c r="K48" s="1494">
        <f t="shared" si="12"/>
        <v>38168</v>
      </c>
      <c r="L48" s="1494">
        <f t="shared" si="12"/>
        <v>38533</v>
      </c>
      <c r="M48" s="1494">
        <f t="shared" si="12"/>
        <v>38898</v>
      </c>
      <c r="N48" s="1494">
        <f t="shared" si="12"/>
        <v>39263</v>
      </c>
      <c r="O48" s="1494">
        <f t="shared" si="12"/>
        <v>39629</v>
      </c>
      <c r="P48" s="1494">
        <f t="shared" ref="P48:Y50" si="13">EDATE(P47,3)</f>
        <v>39994</v>
      </c>
      <c r="Q48" s="1494">
        <f t="shared" si="13"/>
        <v>40359</v>
      </c>
      <c r="R48" s="1494">
        <f t="shared" si="13"/>
        <v>40724</v>
      </c>
      <c r="S48" s="1494">
        <f t="shared" si="13"/>
        <v>41090</v>
      </c>
      <c r="T48" s="1494">
        <f t="shared" si="13"/>
        <v>41455</v>
      </c>
      <c r="U48" s="1494">
        <f t="shared" si="13"/>
        <v>41820</v>
      </c>
      <c r="V48" s="1494">
        <f t="shared" si="13"/>
        <v>42185</v>
      </c>
      <c r="W48" s="1494">
        <f t="shared" si="13"/>
        <v>42551</v>
      </c>
      <c r="X48" s="1494">
        <f t="shared" si="13"/>
        <v>42916</v>
      </c>
      <c r="Y48" s="1494">
        <f t="shared" si="13"/>
        <v>43281</v>
      </c>
      <c r="Z48" s="1494">
        <f t="shared" ref="Z48:AI50" si="14">EDATE(Z47,3)</f>
        <v>43646</v>
      </c>
      <c r="AA48" s="1494">
        <f t="shared" si="14"/>
        <v>44012</v>
      </c>
      <c r="AB48" s="1494">
        <f t="shared" si="14"/>
        <v>44377</v>
      </c>
      <c r="AC48" s="1494">
        <f t="shared" si="14"/>
        <v>44742</v>
      </c>
      <c r="AD48" s="1494">
        <f t="shared" si="14"/>
        <v>45107</v>
      </c>
      <c r="AE48" s="1494">
        <f t="shared" si="14"/>
        <v>45473</v>
      </c>
      <c r="AF48" s="1494">
        <f t="shared" si="14"/>
        <v>45838</v>
      </c>
      <c r="AG48" s="1494">
        <f t="shared" si="14"/>
        <v>46203</v>
      </c>
      <c r="AH48" s="1494">
        <f t="shared" si="14"/>
        <v>46568</v>
      </c>
      <c r="AI48" s="1495">
        <f t="shared" si="14"/>
        <v>46934</v>
      </c>
      <c r="AJ48" s="38"/>
      <c r="AK48" s="38"/>
      <c r="AL48" s="38"/>
      <c r="AM48" s="38"/>
      <c r="AN48" s="38"/>
      <c r="AO48" s="38"/>
      <c r="AP48" s="38"/>
      <c r="AQ48" s="38"/>
      <c r="AR48" s="38"/>
      <c r="AS48" s="38"/>
      <c r="AT48" s="38"/>
      <c r="AU48" s="38"/>
      <c r="AV48" s="38"/>
      <c r="AW48" s="38"/>
      <c r="AX48" s="38"/>
      <c r="AY48" s="38"/>
      <c r="AZ48" s="38"/>
      <c r="BA48" s="38"/>
      <c r="BB48" s="38"/>
      <c r="BC48" s="38"/>
      <c r="BD48" s="38"/>
      <c r="BE48" s="38"/>
      <c r="BF48" s="38"/>
      <c r="BG48" s="38"/>
      <c r="BH48" s="38"/>
      <c r="BI48" s="38"/>
      <c r="BJ48" s="38"/>
      <c r="BK48" s="38"/>
      <c r="BL48" s="38"/>
      <c r="BM48" s="38"/>
      <c r="BN48" s="38"/>
      <c r="BO48" s="38"/>
      <c r="BP48" s="38"/>
      <c r="BQ48" s="38"/>
      <c r="BR48" s="38"/>
      <c r="BS48" s="38"/>
      <c r="BT48" s="38"/>
      <c r="BU48" s="38"/>
      <c r="BV48" s="38"/>
      <c r="BW48" s="38"/>
      <c r="BX48" s="38"/>
      <c r="BY48" s="38"/>
      <c r="BZ48" s="38"/>
      <c r="CA48" s="38"/>
      <c r="CB48" s="38"/>
      <c r="CC48" s="38"/>
      <c r="CD48" s="38"/>
      <c r="CE48" s="38"/>
      <c r="CF48" s="38"/>
      <c r="CG48" s="38"/>
      <c r="CH48" s="38"/>
      <c r="CI48" s="38"/>
      <c r="CJ48" s="38"/>
      <c r="CK48" s="38"/>
      <c r="CL48" s="38"/>
      <c r="CM48" s="38"/>
      <c r="CN48" s="38"/>
      <c r="CO48" s="38"/>
      <c r="CP48" s="38"/>
      <c r="CQ48" s="38"/>
      <c r="CR48" s="38"/>
      <c r="CS48" s="38"/>
      <c r="CT48" s="38"/>
      <c r="CU48" s="38"/>
      <c r="CV48" s="38"/>
      <c r="CW48" s="38"/>
      <c r="CX48" s="38"/>
      <c r="CY48" s="38"/>
      <c r="CZ48" s="38"/>
      <c r="DA48" s="38"/>
      <c r="DB48" s="38"/>
      <c r="DC48" s="38"/>
      <c r="DD48" s="38"/>
      <c r="DE48" s="38"/>
      <c r="DF48" s="38"/>
      <c r="DG48" s="38"/>
      <c r="DH48" s="38"/>
      <c r="DI48" s="38"/>
      <c r="DJ48" s="38"/>
      <c r="DK48" s="38"/>
      <c r="DL48" s="38"/>
      <c r="DM48" s="38"/>
      <c r="DN48" s="38"/>
      <c r="DO48" s="38"/>
      <c r="DP48" s="38"/>
      <c r="DQ48" s="38"/>
      <c r="DR48" s="38"/>
      <c r="DS48" s="38"/>
      <c r="DT48" s="38"/>
      <c r="DU48" s="38"/>
      <c r="DV48" s="38"/>
      <c r="DW48" s="38"/>
      <c r="DX48" s="38"/>
      <c r="DY48" s="38"/>
      <c r="DZ48" s="38"/>
      <c r="EA48" s="38"/>
      <c r="EB48" s="38"/>
      <c r="EC48" s="38"/>
      <c r="ED48" s="38"/>
      <c r="EE48" s="38"/>
      <c r="EF48" s="38"/>
      <c r="EG48" s="38"/>
      <c r="EH48" s="38"/>
      <c r="EI48" s="38"/>
      <c r="EJ48" s="38"/>
      <c r="EK48" s="38"/>
      <c r="EL48" s="38"/>
    </row>
    <row r="49" spans="1:142">
      <c r="A49" s="188"/>
      <c r="B49" s="38"/>
      <c r="C49" s="38"/>
      <c r="D49" s="1574">
        <f>$D$47</f>
        <v>35795</v>
      </c>
      <c r="E49" s="1528">
        <f>IF(Assum!$F$25-92&lt;D49,D49,Assum!$F$25-92)</f>
        <v>36067</v>
      </c>
      <c r="F49" s="1494">
        <f t="shared" si="12"/>
        <v>36433</v>
      </c>
      <c r="G49" s="1494">
        <f t="shared" si="12"/>
        <v>36799</v>
      </c>
      <c r="H49" s="1494">
        <f t="shared" si="12"/>
        <v>37164</v>
      </c>
      <c r="I49" s="1494">
        <f t="shared" si="12"/>
        <v>37529</v>
      </c>
      <c r="J49" s="1494">
        <f t="shared" si="12"/>
        <v>37894</v>
      </c>
      <c r="K49" s="1494">
        <f t="shared" si="12"/>
        <v>38260</v>
      </c>
      <c r="L49" s="1494">
        <f t="shared" si="12"/>
        <v>38625</v>
      </c>
      <c r="M49" s="1494">
        <f t="shared" si="12"/>
        <v>38990</v>
      </c>
      <c r="N49" s="1494">
        <f t="shared" si="12"/>
        <v>39355</v>
      </c>
      <c r="O49" s="1494">
        <f t="shared" si="12"/>
        <v>39721</v>
      </c>
      <c r="P49" s="1494">
        <f t="shared" si="13"/>
        <v>40086</v>
      </c>
      <c r="Q49" s="1494">
        <f t="shared" si="13"/>
        <v>40451</v>
      </c>
      <c r="R49" s="1494">
        <f t="shared" si="13"/>
        <v>40816</v>
      </c>
      <c r="S49" s="1494">
        <f t="shared" si="13"/>
        <v>41182</v>
      </c>
      <c r="T49" s="1494">
        <f t="shared" si="13"/>
        <v>41547</v>
      </c>
      <c r="U49" s="1494">
        <f t="shared" si="13"/>
        <v>41912</v>
      </c>
      <c r="V49" s="1494">
        <f t="shared" si="13"/>
        <v>42277</v>
      </c>
      <c r="W49" s="1494">
        <f t="shared" si="13"/>
        <v>42643</v>
      </c>
      <c r="X49" s="1494">
        <f t="shared" si="13"/>
        <v>43008</v>
      </c>
      <c r="Y49" s="1494">
        <f t="shared" si="13"/>
        <v>43373</v>
      </c>
      <c r="Z49" s="1494">
        <f t="shared" si="14"/>
        <v>43738</v>
      </c>
      <c r="AA49" s="1494">
        <f t="shared" si="14"/>
        <v>44104</v>
      </c>
      <c r="AB49" s="1494">
        <f t="shared" si="14"/>
        <v>44469</v>
      </c>
      <c r="AC49" s="1494">
        <f t="shared" si="14"/>
        <v>44834</v>
      </c>
      <c r="AD49" s="1494">
        <f t="shared" si="14"/>
        <v>45199</v>
      </c>
      <c r="AE49" s="1494">
        <f t="shared" si="14"/>
        <v>45565</v>
      </c>
      <c r="AF49" s="1494">
        <f t="shared" si="14"/>
        <v>45930</v>
      </c>
      <c r="AG49" s="1494">
        <f t="shared" si="14"/>
        <v>46295</v>
      </c>
      <c r="AH49" s="1494">
        <f t="shared" si="14"/>
        <v>46660</v>
      </c>
      <c r="AI49" s="1494">
        <f t="shared" si="14"/>
        <v>47026</v>
      </c>
      <c r="AJ49" s="38"/>
      <c r="AK49" s="38"/>
      <c r="AL49" s="38"/>
      <c r="AM49" s="38"/>
      <c r="AN49" s="38"/>
      <c r="AO49" s="38"/>
      <c r="AP49" s="38"/>
      <c r="AQ49" s="38"/>
      <c r="AR49" s="38"/>
      <c r="AS49" s="38"/>
      <c r="AT49" s="38"/>
      <c r="AU49" s="38"/>
      <c r="AV49" s="38"/>
      <c r="AW49" s="38"/>
      <c r="AX49" s="38"/>
      <c r="AY49" s="38"/>
      <c r="AZ49" s="38"/>
      <c r="BA49" s="38"/>
      <c r="BB49" s="38"/>
      <c r="BC49" s="38"/>
      <c r="BD49" s="38"/>
      <c r="BE49" s="38"/>
      <c r="BF49" s="38"/>
      <c r="BG49" s="38"/>
      <c r="BH49" s="38"/>
      <c r="BI49" s="38"/>
      <c r="BJ49" s="38"/>
      <c r="BK49" s="38"/>
      <c r="BL49" s="38"/>
      <c r="BM49" s="38"/>
      <c r="BN49" s="38"/>
      <c r="BO49" s="38"/>
      <c r="BP49" s="38"/>
      <c r="BQ49" s="38"/>
      <c r="BR49" s="38"/>
      <c r="BS49" s="38"/>
      <c r="BT49" s="38"/>
      <c r="BU49" s="38"/>
      <c r="BV49" s="38"/>
      <c r="BW49" s="38"/>
      <c r="BX49" s="38"/>
      <c r="BY49" s="38"/>
      <c r="BZ49" s="38"/>
      <c r="CA49" s="38"/>
      <c r="CB49" s="38"/>
      <c r="CC49" s="38"/>
      <c r="CD49" s="38"/>
      <c r="CE49" s="38"/>
      <c r="CF49" s="38"/>
      <c r="CG49" s="38"/>
      <c r="CH49" s="38"/>
      <c r="CI49" s="38"/>
      <c r="CJ49" s="38"/>
      <c r="CK49" s="38"/>
      <c r="CL49" s="38"/>
      <c r="CM49" s="38"/>
      <c r="CN49" s="38"/>
      <c r="CO49" s="38"/>
      <c r="CP49" s="38"/>
      <c r="CQ49" s="38"/>
      <c r="CR49" s="38"/>
      <c r="CS49" s="38"/>
      <c r="CT49" s="38"/>
      <c r="CU49" s="38"/>
      <c r="CV49" s="38"/>
      <c r="CW49" s="38"/>
      <c r="CX49" s="38"/>
      <c r="CY49" s="38"/>
      <c r="CZ49" s="38"/>
      <c r="DA49" s="38"/>
      <c r="DB49" s="38"/>
      <c r="DC49" s="38"/>
      <c r="DD49" s="38"/>
      <c r="DE49" s="38"/>
      <c r="DF49" s="38"/>
      <c r="DG49" s="38"/>
      <c r="DH49" s="38"/>
      <c r="DI49" s="38"/>
      <c r="DJ49" s="38"/>
      <c r="DK49" s="38"/>
      <c r="DL49" s="38"/>
      <c r="DM49" s="38"/>
      <c r="DN49" s="38"/>
      <c r="DO49" s="38"/>
      <c r="DP49" s="38"/>
      <c r="DQ49" s="38"/>
      <c r="DR49" s="38"/>
      <c r="DS49" s="38"/>
      <c r="DT49" s="38"/>
      <c r="DU49" s="38"/>
      <c r="DV49" s="38"/>
      <c r="DW49" s="38"/>
      <c r="DX49" s="38"/>
      <c r="DY49" s="38"/>
      <c r="DZ49" s="38"/>
      <c r="EA49" s="38"/>
      <c r="EB49" s="38"/>
      <c r="EC49" s="38"/>
      <c r="ED49" s="38"/>
      <c r="EE49" s="38"/>
      <c r="EF49" s="38"/>
      <c r="EG49" s="38"/>
      <c r="EH49" s="38"/>
      <c r="EI49" s="38"/>
      <c r="EJ49" s="38"/>
      <c r="EK49" s="38"/>
      <c r="EL49" s="38"/>
    </row>
    <row r="50" spans="1:142">
      <c r="A50" s="188"/>
      <c r="B50" s="38"/>
      <c r="C50" s="38"/>
      <c r="D50" s="1574">
        <f>$D$47</f>
        <v>35795</v>
      </c>
      <c r="E50" s="1529">
        <f>IF(Assum!$F$25+1&lt;D50,D50,Assum!$F$25+1)</f>
        <v>36160</v>
      </c>
      <c r="F50" s="1494">
        <f t="shared" si="12"/>
        <v>36525</v>
      </c>
      <c r="G50" s="1494">
        <f t="shared" si="12"/>
        <v>36891</v>
      </c>
      <c r="H50" s="1494">
        <f t="shared" si="12"/>
        <v>37256</v>
      </c>
      <c r="I50" s="1494">
        <f t="shared" si="12"/>
        <v>37621</v>
      </c>
      <c r="J50" s="1494">
        <f t="shared" si="12"/>
        <v>37986</v>
      </c>
      <c r="K50" s="1494">
        <f t="shared" si="12"/>
        <v>38352</v>
      </c>
      <c r="L50" s="1494">
        <f t="shared" si="12"/>
        <v>38717</v>
      </c>
      <c r="M50" s="1494">
        <f t="shared" si="12"/>
        <v>39082</v>
      </c>
      <c r="N50" s="1494">
        <f t="shared" si="12"/>
        <v>39447</v>
      </c>
      <c r="O50" s="1494">
        <f t="shared" si="12"/>
        <v>39813</v>
      </c>
      <c r="P50" s="1494">
        <f t="shared" si="13"/>
        <v>40178</v>
      </c>
      <c r="Q50" s="1494">
        <f t="shared" si="13"/>
        <v>40543</v>
      </c>
      <c r="R50" s="1494">
        <f t="shared" si="13"/>
        <v>40908</v>
      </c>
      <c r="S50" s="1494">
        <f t="shared" si="13"/>
        <v>41274</v>
      </c>
      <c r="T50" s="1494">
        <f t="shared" si="13"/>
        <v>41639</v>
      </c>
      <c r="U50" s="1494">
        <f t="shared" si="13"/>
        <v>42004</v>
      </c>
      <c r="V50" s="1494">
        <f t="shared" si="13"/>
        <v>42369</v>
      </c>
      <c r="W50" s="1494">
        <f t="shared" si="13"/>
        <v>42735</v>
      </c>
      <c r="X50" s="1494">
        <f t="shared" si="13"/>
        <v>43100</v>
      </c>
      <c r="Y50" s="1494">
        <f t="shared" si="13"/>
        <v>43465</v>
      </c>
      <c r="Z50" s="1494">
        <f t="shared" si="14"/>
        <v>43830</v>
      </c>
      <c r="AA50" s="1494">
        <f t="shared" si="14"/>
        <v>44196</v>
      </c>
      <c r="AB50" s="1494">
        <f t="shared" si="14"/>
        <v>44561</v>
      </c>
      <c r="AC50" s="1494">
        <f t="shared" si="14"/>
        <v>44926</v>
      </c>
      <c r="AD50" s="1494">
        <f t="shared" si="14"/>
        <v>45291</v>
      </c>
      <c r="AE50" s="1494">
        <f t="shared" si="14"/>
        <v>45657</v>
      </c>
      <c r="AF50" s="1494">
        <f t="shared" si="14"/>
        <v>46022</v>
      </c>
      <c r="AG50" s="1494">
        <f t="shared" si="14"/>
        <v>46387</v>
      </c>
      <c r="AH50" s="1494">
        <f t="shared" si="14"/>
        <v>46752</v>
      </c>
      <c r="AI50" s="1494">
        <f t="shared" si="14"/>
        <v>47118</v>
      </c>
      <c r="AJ50" s="38"/>
      <c r="AK50" s="38"/>
      <c r="AL50" s="38"/>
      <c r="AM50" s="38"/>
      <c r="AN50" s="38"/>
      <c r="AO50" s="38"/>
      <c r="AP50" s="38"/>
      <c r="AQ50" s="38"/>
      <c r="AR50" s="38"/>
      <c r="AS50" s="38"/>
      <c r="AT50" s="38"/>
      <c r="AU50" s="38"/>
      <c r="AV50" s="38"/>
      <c r="AW50" s="38"/>
      <c r="AX50" s="38"/>
      <c r="AY50" s="38"/>
      <c r="AZ50" s="38"/>
      <c r="BA50" s="38"/>
      <c r="BB50" s="38"/>
      <c r="BC50" s="38"/>
      <c r="BD50" s="38"/>
      <c r="BE50" s="38"/>
      <c r="BF50" s="38"/>
      <c r="BG50" s="38"/>
      <c r="BH50" s="38"/>
      <c r="BI50" s="38"/>
      <c r="BJ50" s="38"/>
      <c r="BK50" s="38"/>
      <c r="BL50" s="38"/>
      <c r="BM50" s="38"/>
      <c r="BN50" s="38"/>
      <c r="BO50" s="38"/>
      <c r="BP50" s="38"/>
      <c r="BQ50" s="38"/>
      <c r="BR50" s="38"/>
      <c r="BS50" s="38"/>
      <c r="BT50" s="38"/>
      <c r="BU50" s="38"/>
      <c r="BV50" s="38"/>
      <c r="BW50" s="38"/>
      <c r="BX50" s="38"/>
      <c r="BY50" s="38"/>
      <c r="BZ50" s="38"/>
      <c r="CA50" s="38"/>
      <c r="CB50" s="38"/>
      <c r="CC50" s="38"/>
      <c r="CD50" s="38"/>
      <c r="CE50" s="38"/>
      <c r="CF50" s="38"/>
      <c r="CG50" s="38"/>
      <c r="CH50" s="38"/>
      <c r="CI50" s="38"/>
      <c r="CJ50" s="38"/>
      <c r="CK50" s="38"/>
      <c r="CL50" s="38"/>
      <c r="CM50" s="38"/>
      <c r="CN50" s="38"/>
      <c r="CO50" s="38"/>
      <c r="CP50" s="38"/>
      <c r="CQ50" s="38"/>
      <c r="CR50" s="38"/>
      <c r="CS50" s="38"/>
      <c r="CT50" s="38"/>
      <c r="CU50" s="38"/>
      <c r="CV50" s="38"/>
      <c r="CW50" s="38"/>
      <c r="CX50" s="38"/>
      <c r="CY50" s="38"/>
      <c r="CZ50" s="38"/>
      <c r="DA50" s="38"/>
      <c r="DB50" s="38"/>
      <c r="DC50" s="38"/>
      <c r="DD50" s="38"/>
      <c r="DE50" s="38"/>
      <c r="DF50" s="38"/>
      <c r="DG50" s="38"/>
      <c r="DH50" s="38"/>
      <c r="DI50" s="38"/>
      <c r="DJ50" s="38"/>
      <c r="DK50" s="38"/>
      <c r="DL50" s="38"/>
      <c r="DM50" s="38"/>
      <c r="DN50" s="38"/>
      <c r="DO50" s="38"/>
      <c r="DP50" s="38"/>
      <c r="DQ50" s="38"/>
      <c r="DR50" s="38"/>
      <c r="DS50" s="38"/>
      <c r="DT50" s="38"/>
      <c r="DU50" s="38"/>
      <c r="DV50" s="38"/>
      <c r="DW50" s="38"/>
      <c r="DX50" s="38"/>
      <c r="DY50" s="38"/>
      <c r="DZ50" s="38"/>
      <c r="EA50" s="38"/>
      <c r="EB50" s="38"/>
      <c r="EC50" s="38"/>
      <c r="ED50" s="38"/>
      <c r="EE50" s="38"/>
      <c r="EF50" s="38"/>
      <c r="EG50" s="38"/>
      <c r="EH50" s="38"/>
      <c r="EI50" s="38"/>
      <c r="EJ50" s="38"/>
      <c r="EK50" s="38"/>
      <c r="EL50" s="38"/>
    </row>
    <row r="51" spans="1:142">
      <c r="A51" s="188"/>
      <c r="B51" s="379" t="s">
        <v>798</v>
      </c>
      <c r="C51" s="1496">
        <f>D47</f>
        <v>35795</v>
      </c>
      <c r="D51" s="1575">
        <f>$D$47</f>
        <v>35795</v>
      </c>
      <c r="E51" s="1522">
        <f>Assum!E326</f>
        <v>36158</v>
      </c>
      <c r="F51" s="1497">
        <f t="shared" ref="F51:AI51" si="15">EDATE(E51,12)</f>
        <v>36523</v>
      </c>
      <c r="G51" s="1497">
        <f t="shared" si="15"/>
        <v>36889</v>
      </c>
      <c r="H51" s="1497">
        <f t="shared" si="15"/>
        <v>37254</v>
      </c>
      <c r="I51" s="1497">
        <f t="shared" si="15"/>
        <v>37619</v>
      </c>
      <c r="J51" s="1497">
        <f t="shared" si="15"/>
        <v>37984</v>
      </c>
      <c r="K51" s="1497">
        <f t="shared" si="15"/>
        <v>38350</v>
      </c>
      <c r="L51" s="1497">
        <f t="shared" si="15"/>
        <v>38715</v>
      </c>
      <c r="M51" s="1497">
        <f t="shared" si="15"/>
        <v>39080</v>
      </c>
      <c r="N51" s="1497">
        <f t="shared" si="15"/>
        <v>39445</v>
      </c>
      <c r="O51" s="1497">
        <f t="shared" si="15"/>
        <v>39811</v>
      </c>
      <c r="P51" s="1497">
        <f t="shared" si="15"/>
        <v>40176</v>
      </c>
      <c r="Q51" s="1497">
        <f t="shared" si="15"/>
        <v>40541</v>
      </c>
      <c r="R51" s="1497">
        <f t="shared" si="15"/>
        <v>40906</v>
      </c>
      <c r="S51" s="1497">
        <f t="shared" si="15"/>
        <v>41272</v>
      </c>
      <c r="T51" s="1497">
        <f t="shared" si="15"/>
        <v>41637</v>
      </c>
      <c r="U51" s="1497">
        <f t="shared" si="15"/>
        <v>42002</v>
      </c>
      <c r="V51" s="1497">
        <f t="shared" si="15"/>
        <v>42367</v>
      </c>
      <c r="W51" s="1497">
        <f t="shared" si="15"/>
        <v>42733</v>
      </c>
      <c r="X51" s="1497">
        <f t="shared" si="15"/>
        <v>43098</v>
      </c>
      <c r="Y51" s="1497">
        <f t="shared" si="15"/>
        <v>43463</v>
      </c>
      <c r="Z51" s="1497">
        <f t="shared" si="15"/>
        <v>43828</v>
      </c>
      <c r="AA51" s="1497">
        <f t="shared" si="15"/>
        <v>44194</v>
      </c>
      <c r="AB51" s="1497">
        <f t="shared" si="15"/>
        <v>44559</v>
      </c>
      <c r="AC51" s="1497">
        <f t="shared" si="15"/>
        <v>44924</v>
      </c>
      <c r="AD51" s="1497">
        <f t="shared" si="15"/>
        <v>45289</v>
      </c>
      <c r="AE51" s="1497">
        <f t="shared" si="15"/>
        <v>45655</v>
      </c>
      <c r="AF51" s="1497">
        <f t="shared" si="15"/>
        <v>46020</v>
      </c>
      <c r="AG51" s="1497">
        <f t="shared" si="15"/>
        <v>46385</v>
      </c>
      <c r="AH51" s="1497">
        <f t="shared" si="15"/>
        <v>46750</v>
      </c>
      <c r="AI51" s="1497">
        <f t="shared" si="15"/>
        <v>47116</v>
      </c>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c r="BO51" s="38"/>
      <c r="BP51" s="38"/>
      <c r="BQ51" s="38"/>
      <c r="BR51" s="38"/>
      <c r="BS51" s="38"/>
      <c r="BT51" s="38"/>
      <c r="BU51" s="38"/>
      <c r="BV51" s="38"/>
      <c r="BW51" s="38"/>
      <c r="BX51" s="38"/>
      <c r="BY51" s="38"/>
      <c r="BZ51" s="38"/>
      <c r="CA51" s="38"/>
      <c r="CB51" s="38"/>
      <c r="CC51" s="38"/>
      <c r="CD51" s="38"/>
      <c r="CE51" s="38"/>
      <c r="CF51" s="38"/>
      <c r="CG51" s="38"/>
      <c r="CH51" s="38"/>
      <c r="CI51" s="38"/>
      <c r="CJ51" s="38"/>
      <c r="CK51" s="38"/>
      <c r="CL51" s="38"/>
      <c r="CM51" s="38"/>
      <c r="CN51" s="38"/>
      <c r="CO51" s="38"/>
      <c r="CP51" s="38"/>
      <c r="CQ51" s="38"/>
      <c r="CR51" s="38"/>
      <c r="CS51" s="38"/>
      <c r="CT51" s="38"/>
      <c r="CU51" s="38"/>
      <c r="CV51" s="38"/>
      <c r="CW51" s="38"/>
      <c r="CX51" s="38"/>
      <c r="CY51" s="38"/>
      <c r="CZ51" s="38"/>
      <c r="DA51" s="38"/>
      <c r="DB51" s="38"/>
      <c r="DC51" s="38"/>
      <c r="DD51" s="38"/>
      <c r="DE51" s="38"/>
      <c r="DF51" s="38"/>
      <c r="DG51" s="38"/>
      <c r="DH51" s="38"/>
      <c r="DI51" s="38"/>
      <c r="DJ51" s="38"/>
      <c r="DK51" s="38"/>
      <c r="DL51" s="38"/>
      <c r="DM51" s="38"/>
      <c r="DN51" s="38"/>
      <c r="DO51" s="38"/>
      <c r="DP51" s="38"/>
      <c r="DQ51" s="38"/>
      <c r="DR51" s="38"/>
      <c r="DS51" s="38"/>
      <c r="DT51" s="38"/>
      <c r="DU51" s="38"/>
      <c r="DV51" s="38"/>
      <c r="DW51" s="38"/>
      <c r="DX51" s="38"/>
      <c r="DY51" s="38"/>
      <c r="DZ51" s="38"/>
      <c r="EA51" s="38"/>
      <c r="EB51" s="38"/>
      <c r="EC51" s="38"/>
      <c r="ED51" s="38"/>
      <c r="EE51" s="38"/>
      <c r="EF51" s="38"/>
      <c r="EG51" s="38"/>
      <c r="EH51" s="38"/>
      <c r="EI51" s="38"/>
      <c r="EJ51" s="38"/>
      <c r="EK51" s="38"/>
      <c r="EL51" s="38"/>
    </row>
    <row r="52" spans="1:142">
      <c r="A52" s="188"/>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38"/>
      <c r="BC52" s="38"/>
      <c r="BD52" s="38"/>
      <c r="BE52" s="38"/>
      <c r="BF52" s="38"/>
      <c r="BG52" s="38"/>
      <c r="BH52" s="38"/>
      <c r="BI52" s="38"/>
      <c r="BJ52" s="38"/>
      <c r="BK52" s="38"/>
      <c r="BL52" s="38"/>
      <c r="BM52" s="38"/>
      <c r="BN52" s="38"/>
      <c r="BO52" s="38"/>
      <c r="BP52" s="38"/>
      <c r="BQ52" s="38"/>
      <c r="BR52" s="38"/>
      <c r="BS52" s="38"/>
      <c r="BT52" s="38"/>
      <c r="BU52" s="38"/>
      <c r="BV52" s="38"/>
      <c r="BW52" s="38"/>
      <c r="BX52" s="38"/>
      <c r="BY52" s="38"/>
      <c r="BZ52" s="38"/>
      <c r="CA52" s="38"/>
      <c r="CB52" s="38"/>
      <c r="CC52" s="38"/>
      <c r="CD52" s="38"/>
      <c r="CE52" s="38"/>
      <c r="CF52" s="38"/>
      <c r="CG52" s="38"/>
      <c r="CH52" s="38"/>
      <c r="CI52" s="38"/>
      <c r="CJ52" s="38"/>
      <c r="CK52" s="38"/>
      <c r="CL52" s="38"/>
      <c r="CM52" s="38"/>
      <c r="CN52" s="38"/>
      <c r="CO52" s="38"/>
      <c r="CP52" s="38"/>
      <c r="CQ52" s="38"/>
      <c r="CR52" s="38"/>
      <c r="CS52" s="38"/>
      <c r="CT52" s="38"/>
      <c r="CU52" s="38"/>
      <c r="CV52" s="38"/>
      <c r="CW52" s="38"/>
      <c r="CX52" s="38"/>
      <c r="CY52" s="38"/>
      <c r="CZ52" s="38"/>
      <c r="DA52" s="38"/>
      <c r="DB52" s="38"/>
      <c r="DC52" s="38"/>
      <c r="DD52" s="38"/>
      <c r="DE52" s="38"/>
      <c r="DF52" s="38"/>
      <c r="DG52" s="38"/>
      <c r="DH52" s="38"/>
      <c r="DI52" s="38"/>
      <c r="DJ52" s="38"/>
      <c r="DK52" s="38"/>
      <c r="DL52" s="38"/>
      <c r="DM52" s="38"/>
      <c r="DN52" s="38"/>
      <c r="DO52" s="38"/>
      <c r="DP52" s="38"/>
      <c r="DQ52" s="38"/>
      <c r="DR52" s="38"/>
      <c r="DS52" s="38"/>
      <c r="DT52" s="38"/>
      <c r="DU52" s="38"/>
      <c r="DV52" s="38"/>
      <c r="DW52" s="38"/>
      <c r="DX52" s="38"/>
      <c r="DY52" s="38"/>
      <c r="DZ52" s="38"/>
      <c r="EA52" s="38"/>
      <c r="EB52" s="38"/>
      <c r="EC52" s="38"/>
      <c r="ED52" s="38"/>
      <c r="EE52" s="38"/>
      <c r="EF52" s="38"/>
      <c r="EG52" s="38"/>
      <c r="EH52" s="38"/>
      <c r="EI52" s="38"/>
      <c r="EJ52" s="38"/>
      <c r="EK52" s="38"/>
      <c r="EL52" s="38"/>
    </row>
    <row r="53" spans="1:142">
      <c r="A53" s="188"/>
      <c r="B53" s="46" t="s">
        <v>791</v>
      </c>
      <c r="C53" s="38"/>
      <c r="D53" s="38" t="s">
        <v>20</v>
      </c>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38"/>
      <c r="AW53" s="38"/>
      <c r="AX53" s="38"/>
      <c r="AY53" s="38"/>
      <c r="AZ53" s="38"/>
      <c r="BA53" s="38"/>
      <c r="BB53" s="38"/>
      <c r="BC53" s="38"/>
      <c r="BD53" s="38"/>
      <c r="BE53" s="38"/>
      <c r="BF53" s="38"/>
      <c r="BG53" s="38"/>
      <c r="BH53" s="38"/>
      <c r="BI53" s="38"/>
      <c r="BJ53" s="38"/>
      <c r="BK53" s="38"/>
      <c r="BL53" s="38"/>
      <c r="BM53" s="38"/>
      <c r="BN53" s="38"/>
      <c r="BO53" s="38"/>
      <c r="BP53" s="38"/>
      <c r="BQ53" s="38"/>
      <c r="BR53" s="38"/>
      <c r="BS53" s="38"/>
      <c r="BT53" s="38"/>
      <c r="BU53" s="38"/>
      <c r="BV53" s="38"/>
      <c r="BW53" s="38"/>
      <c r="BX53" s="38"/>
      <c r="BY53" s="38"/>
      <c r="BZ53" s="38"/>
      <c r="CA53" s="38"/>
      <c r="CB53" s="38"/>
      <c r="CC53" s="38"/>
      <c r="CD53" s="38"/>
      <c r="CE53" s="38"/>
      <c r="CF53" s="38"/>
      <c r="CG53" s="38"/>
      <c r="CH53" s="38"/>
      <c r="CI53" s="38"/>
      <c r="CJ53" s="38"/>
      <c r="CK53" s="38"/>
      <c r="CL53" s="38"/>
      <c r="CM53" s="38"/>
      <c r="CN53" s="38"/>
      <c r="CO53" s="38"/>
      <c r="CP53" s="38"/>
      <c r="CQ53" s="38"/>
      <c r="CR53" s="38"/>
      <c r="CS53" s="38"/>
      <c r="CT53" s="38"/>
      <c r="CU53" s="38"/>
      <c r="CV53" s="38"/>
      <c r="CW53" s="38"/>
      <c r="CX53" s="38"/>
      <c r="CY53" s="38"/>
      <c r="CZ53" s="38"/>
      <c r="DA53" s="38"/>
      <c r="DB53" s="38"/>
      <c r="DC53" s="38"/>
      <c r="DD53" s="38"/>
      <c r="DE53" s="38"/>
      <c r="DF53" s="38"/>
      <c r="DG53" s="38"/>
      <c r="DH53" s="38"/>
      <c r="DI53" s="38"/>
      <c r="DJ53" s="38"/>
      <c r="DK53" s="38"/>
      <c r="DL53" s="38"/>
      <c r="DM53" s="38"/>
      <c r="DN53" s="38"/>
      <c r="DO53" s="38"/>
      <c r="DP53" s="38"/>
      <c r="DQ53" s="38"/>
      <c r="DR53" s="38"/>
      <c r="DS53" s="38"/>
      <c r="DT53" s="38"/>
      <c r="DU53" s="38"/>
      <c r="DV53" s="38"/>
      <c r="DW53" s="38"/>
      <c r="DX53" s="38"/>
      <c r="DY53" s="38"/>
      <c r="DZ53" s="38"/>
      <c r="EA53" s="38"/>
      <c r="EB53" s="38"/>
      <c r="EC53" s="38"/>
      <c r="ED53" s="38"/>
      <c r="EE53" s="38"/>
      <c r="EF53" s="38"/>
      <c r="EG53" s="38"/>
      <c r="EH53" s="38"/>
      <c r="EI53" s="38"/>
      <c r="EJ53" s="38"/>
      <c r="EK53" s="38"/>
      <c r="EL53" s="38"/>
    </row>
    <row r="54" spans="1:142">
      <c r="A54" s="188"/>
      <c r="B54" s="38"/>
      <c r="D54" s="1488">
        <f ca="1">D19</f>
        <v>-913.40320994341164</v>
      </c>
      <c r="E54" s="1489">
        <f ca="1">IF(Assum!$H$24=1,SUM(EWC!$E$22:$E$23)/4,0)</f>
        <v>41.576057730511494</v>
      </c>
      <c r="F54" s="1489">
        <f t="shared" ref="F54:N57" ca="1" si="16">SUMPRODUCT($C$77:$C$80,F$20:F$23)</f>
        <v>57.79067966671272</v>
      </c>
      <c r="G54" s="1489">
        <f t="shared" ca="1" si="16"/>
        <v>42.157736601029441</v>
      </c>
      <c r="H54" s="1489">
        <f t="shared" ca="1" si="16"/>
        <v>33.942595560745275</v>
      </c>
      <c r="I54" s="1489">
        <f t="shared" ca="1" si="16"/>
        <v>33.848059080651801</v>
      </c>
      <c r="J54" s="1489">
        <f t="shared" ca="1" si="16"/>
        <v>26.449027102357825</v>
      </c>
      <c r="K54" s="1489">
        <f t="shared" ca="1" si="16"/>
        <v>20.917452205191189</v>
      </c>
      <c r="L54" s="1489">
        <f t="shared" ca="1" si="16"/>
        <v>20.758477610039542</v>
      </c>
      <c r="M54" s="1489">
        <f t="shared" ca="1" si="16"/>
        <v>21.765294125384528</v>
      </c>
      <c r="N54" s="1489">
        <f t="shared" ca="1" si="16"/>
        <v>21.507205563895823</v>
      </c>
      <c r="O54" s="1489">
        <f t="shared" ref="O54:X57" ca="1" si="17">SUMPRODUCT($C$77:$C$80,O$20:O$23)</f>
        <v>-3.329469779945744</v>
      </c>
      <c r="P54" s="1489">
        <f t="shared" ca="1" si="17"/>
        <v>-3.7380398000665815</v>
      </c>
      <c r="Q54" s="1489">
        <f t="shared" ca="1" si="17"/>
        <v>-4.1006539351359992</v>
      </c>
      <c r="R54" s="1489">
        <f t="shared" ca="1" si="17"/>
        <v>-4.2784090299039761</v>
      </c>
      <c r="S54" s="1489">
        <f t="shared" ca="1" si="17"/>
        <v>-4.4608113443303523</v>
      </c>
      <c r="T54" s="1489">
        <f t="shared" ca="1" si="17"/>
        <v>-4.5633049659260427</v>
      </c>
      <c r="U54" s="1489">
        <f t="shared" ca="1" si="17"/>
        <v>-4.8335362566034634</v>
      </c>
      <c r="V54" s="1489">
        <f t="shared" ca="1" si="17"/>
        <v>-5.163306792555983</v>
      </c>
      <c r="W54" s="1489">
        <f t="shared" ca="1" si="17"/>
        <v>-5.623458466251388</v>
      </c>
      <c r="X54" s="1489">
        <f t="shared" ca="1" si="17"/>
        <v>-5.5484774544684052</v>
      </c>
      <c r="Y54" s="1489">
        <f t="shared" ref="Y54:AI57" ca="1" si="18">SUMPRODUCT($C$77:$C$80,Y$20:Y$23)</f>
        <v>-1.6300995251530906E-2</v>
      </c>
      <c r="Z54" s="1489">
        <f t="shared" ca="1" si="18"/>
        <v>0</v>
      </c>
      <c r="AA54" s="1489">
        <f t="shared" ca="1" si="18"/>
        <v>0</v>
      </c>
      <c r="AB54" s="1489">
        <f t="shared" ca="1" si="18"/>
        <v>0</v>
      </c>
      <c r="AC54" s="1489">
        <f t="shared" ca="1" si="18"/>
        <v>0</v>
      </c>
      <c r="AD54" s="1489">
        <f t="shared" ca="1" si="18"/>
        <v>0</v>
      </c>
      <c r="AE54" s="1489">
        <f t="shared" ca="1" si="18"/>
        <v>0</v>
      </c>
      <c r="AF54" s="1489">
        <f t="shared" ca="1" si="18"/>
        <v>0</v>
      </c>
      <c r="AG54" s="1489">
        <f t="shared" ca="1" si="18"/>
        <v>0</v>
      </c>
      <c r="AH54" s="1489">
        <f t="shared" ca="1" si="18"/>
        <v>0</v>
      </c>
      <c r="AI54" s="1490">
        <f t="shared" ca="1" si="18"/>
        <v>0</v>
      </c>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c r="BI54" s="38"/>
      <c r="BJ54" s="38"/>
      <c r="BK54" s="38"/>
      <c r="BL54" s="38"/>
      <c r="BM54" s="38"/>
      <c r="BN54" s="38"/>
      <c r="BO54" s="38"/>
      <c r="BP54" s="38"/>
      <c r="BQ54" s="38"/>
      <c r="BR54" s="38"/>
      <c r="BS54" s="38"/>
      <c r="BT54" s="38"/>
      <c r="BU54" s="38"/>
      <c r="BV54" s="38"/>
      <c r="BW54" s="38"/>
      <c r="BX54" s="38"/>
      <c r="BY54" s="38"/>
      <c r="BZ54" s="38"/>
      <c r="CA54" s="38"/>
      <c r="CB54" s="38"/>
      <c r="CC54" s="38"/>
      <c r="CD54" s="38"/>
      <c r="CE54" s="38"/>
      <c r="CF54" s="38"/>
      <c r="CG54" s="38"/>
      <c r="CH54" s="38"/>
      <c r="CI54" s="38"/>
      <c r="CJ54" s="38"/>
      <c r="CK54" s="38"/>
      <c r="CL54" s="38"/>
      <c r="CM54" s="38"/>
      <c r="CN54" s="38"/>
      <c r="CO54" s="38"/>
      <c r="CP54" s="38"/>
      <c r="CQ54" s="38"/>
      <c r="CR54" s="38"/>
      <c r="CS54" s="38"/>
      <c r="CT54" s="38"/>
      <c r="CU54" s="38"/>
      <c r="CV54" s="38"/>
      <c r="CW54" s="38"/>
      <c r="CX54" s="38"/>
      <c r="CY54" s="38"/>
      <c r="CZ54" s="38"/>
      <c r="DA54" s="38"/>
      <c r="DB54" s="38"/>
      <c r="DC54" s="38"/>
      <c r="DD54" s="38"/>
      <c r="DE54" s="38"/>
      <c r="DF54" s="38"/>
      <c r="DG54" s="38"/>
      <c r="DH54" s="38"/>
      <c r="DI54" s="38"/>
      <c r="DJ54" s="38"/>
      <c r="DK54" s="38"/>
      <c r="DL54" s="38"/>
      <c r="DM54" s="38"/>
      <c r="DN54" s="38"/>
      <c r="DO54" s="38"/>
      <c r="DP54" s="38"/>
      <c r="DQ54" s="38"/>
      <c r="DR54" s="38"/>
      <c r="DS54" s="38"/>
      <c r="DT54" s="38"/>
      <c r="DU54" s="38"/>
      <c r="DV54" s="38"/>
      <c r="DW54" s="38"/>
      <c r="DX54" s="38"/>
      <c r="DY54" s="38"/>
      <c r="DZ54" s="38"/>
      <c r="EA54" s="38"/>
      <c r="EB54" s="38"/>
      <c r="EC54" s="38"/>
      <c r="ED54" s="38"/>
      <c r="EE54" s="38"/>
      <c r="EF54" s="38"/>
      <c r="EG54" s="38"/>
      <c r="EH54" s="38"/>
      <c r="EI54" s="38"/>
      <c r="EJ54" s="38"/>
      <c r="EK54" s="38"/>
      <c r="EL54" s="38"/>
    </row>
    <row r="55" spans="1:142">
      <c r="A55" s="188"/>
      <c r="D55" s="1576">
        <v>0</v>
      </c>
      <c r="E55" s="1480">
        <f ca="1">IF(Assum!$H$24=1,SUM(EWC!$E$22:$E$23)/4,IF(Assum!$H$24=0.75,SUM(EWC!$E$22:$E$23)/3,0))</f>
        <v>41.576057730511494</v>
      </c>
      <c r="F55" s="1480">
        <f t="shared" ca="1" si="16"/>
        <v>57.79067966671272</v>
      </c>
      <c r="G55" s="1480">
        <f t="shared" ca="1" si="16"/>
        <v>42.157736601029441</v>
      </c>
      <c r="H55" s="1480">
        <f t="shared" ca="1" si="16"/>
        <v>33.942595560745275</v>
      </c>
      <c r="I55" s="1480">
        <f t="shared" ca="1" si="16"/>
        <v>33.848059080651801</v>
      </c>
      <c r="J55" s="1480">
        <f t="shared" ca="1" si="16"/>
        <v>26.449027102357825</v>
      </c>
      <c r="K55" s="1480">
        <f t="shared" ca="1" si="16"/>
        <v>20.917452205191189</v>
      </c>
      <c r="L55" s="1480">
        <f t="shared" ca="1" si="16"/>
        <v>20.758477610039542</v>
      </c>
      <c r="M55" s="1480">
        <f t="shared" ca="1" si="16"/>
        <v>21.765294125384528</v>
      </c>
      <c r="N55" s="1480">
        <f t="shared" ca="1" si="16"/>
        <v>21.507205563895823</v>
      </c>
      <c r="O55" s="1480">
        <f t="shared" ca="1" si="17"/>
        <v>-3.329469779945744</v>
      </c>
      <c r="P55" s="1480">
        <f t="shared" ca="1" si="17"/>
        <v>-3.7380398000665815</v>
      </c>
      <c r="Q55" s="1480">
        <f t="shared" ca="1" si="17"/>
        <v>-4.1006539351359992</v>
      </c>
      <c r="R55" s="1480">
        <f t="shared" ca="1" si="17"/>
        <v>-4.2784090299039761</v>
      </c>
      <c r="S55" s="1480">
        <f t="shared" ca="1" si="17"/>
        <v>-4.4608113443303523</v>
      </c>
      <c r="T55" s="1480">
        <f t="shared" ca="1" si="17"/>
        <v>-4.5633049659260427</v>
      </c>
      <c r="U55" s="1480">
        <f t="shared" ca="1" si="17"/>
        <v>-4.8335362566034634</v>
      </c>
      <c r="V55" s="1480">
        <f t="shared" ca="1" si="17"/>
        <v>-5.163306792555983</v>
      </c>
      <c r="W55" s="1480">
        <f t="shared" ca="1" si="17"/>
        <v>-5.623458466251388</v>
      </c>
      <c r="X55" s="1480">
        <f t="shared" ca="1" si="17"/>
        <v>-5.5484774544684052</v>
      </c>
      <c r="Y55" s="1480">
        <f t="shared" ca="1" si="18"/>
        <v>-1.6300995251530906E-2</v>
      </c>
      <c r="Z55" s="1480">
        <f t="shared" ca="1" si="18"/>
        <v>0</v>
      </c>
      <c r="AA55" s="1480">
        <f t="shared" ca="1" si="18"/>
        <v>0</v>
      </c>
      <c r="AB55" s="1480">
        <f t="shared" ca="1" si="18"/>
        <v>0</v>
      </c>
      <c r="AC55" s="1480">
        <f t="shared" ca="1" si="18"/>
        <v>0</v>
      </c>
      <c r="AD55" s="1480">
        <f t="shared" ca="1" si="18"/>
        <v>0</v>
      </c>
      <c r="AE55" s="1480">
        <f t="shared" ca="1" si="18"/>
        <v>0</v>
      </c>
      <c r="AF55" s="1480">
        <f t="shared" ca="1" si="18"/>
        <v>0</v>
      </c>
      <c r="AG55" s="1480">
        <f t="shared" ca="1" si="18"/>
        <v>0</v>
      </c>
      <c r="AH55" s="1480">
        <f t="shared" ca="1" si="18"/>
        <v>0</v>
      </c>
      <c r="AI55" s="1491">
        <f t="shared" ca="1" si="18"/>
        <v>0</v>
      </c>
    </row>
    <row r="56" spans="1:142">
      <c r="A56" s="188"/>
      <c r="D56" s="1576">
        <v>0</v>
      </c>
      <c r="E56" s="1480">
        <f ca="1">IF(Assum!$H$24=1,SUM(EWC!$E$22:$E$23)/4,IF(Assum!$H$24=0.75,SUM(EWC!$E$22:$E$23)/3,IF(Assum!$H$24=0.5,SUM(EWC!$E$22:$E$23)/2,0)))</f>
        <v>41.576057730511494</v>
      </c>
      <c r="F56" s="1480">
        <f t="shared" ca="1" si="16"/>
        <v>57.79067966671272</v>
      </c>
      <c r="G56" s="1480">
        <f t="shared" ca="1" si="16"/>
        <v>42.157736601029441</v>
      </c>
      <c r="H56" s="1480">
        <f t="shared" ca="1" si="16"/>
        <v>33.942595560745275</v>
      </c>
      <c r="I56" s="1480">
        <f t="shared" ca="1" si="16"/>
        <v>33.848059080651801</v>
      </c>
      <c r="J56" s="1480">
        <f t="shared" ca="1" si="16"/>
        <v>26.449027102357825</v>
      </c>
      <c r="K56" s="1480">
        <f t="shared" ca="1" si="16"/>
        <v>20.917452205191189</v>
      </c>
      <c r="L56" s="1480">
        <f t="shared" ca="1" si="16"/>
        <v>20.758477610039542</v>
      </c>
      <c r="M56" s="1480">
        <f t="shared" ca="1" si="16"/>
        <v>21.765294125384528</v>
      </c>
      <c r="N56" s="1480">
        <f t="shared" ca="1" si="16"/>
        <v>21.507205563895823</v>
      </c>
      <c r="O56" s="1480">
        <f t="shared" ca="1" si="17"/>
        <v>-3.329469779945744</v>
      </c>
      <c r="P56" s="1480">
        <f t="shared" ca="1" si="17"/>
        <v>-3.7380398000665815</v>
      </c>
      <c r="Q56" s="1480">
        <f t="shared" ca="1" si="17"/>
        <v>-4.1006539351359992</v>
      </c>
      <c r="R56" s="1480">
        <f t="shared" ca="1" si="17"/>
        <v>-4.2784090299039761</v>
      </c>
      <c r="S56" s="1480">
        <f t="shared" ca="1" si="17"/>
        <v>-4.4608113443303523</v>
      </c>
      <c r="T56" s="1480">
        <f t="shared" ca="1" si="17"/>
        <v>-4.5633049659260427</v>
      </c>
      <c r="U56" s="1480">
        <f t="shared" ca="1" si="17"/>
        <v>-4.8335362566034634</v>
      </c>
      <c r="V56" s="1480">
        <f t="shared" ca="1" si="17"/>
        <v>-5.163306792555983</v>
      </c>
      <c r="W56" s="1480">
        <f t="shared" ca="1" si="17"/>
        <v>-5.623458466251388</v>
      </c>
      <c r="X56" s="1480">
        <f t="shared" ca="1" si="17"/>
        <v>-5.5484774544684052</v>
      </c>
      <c r="Y56" s="1480">
        <f t="shared" ca="1" si="18"/>
        <v>-1.6300995251530906E-2</v>
      </c>
      <c r="Z56" s="1480">
        <f t="shared" ca="1" si="18"/>
        <v>0</v>
      </c>
      <c r="AA56" s="1480">
        <f t="shared" ca="1" si="18"/>
        <v>0</v>
      </c>
      <c r="AB56" s="1480">
        <f t="shared" ca="1" si="18"/>
        <v>0</v>
      </c>
      <c r="AC56" s="1480">
        <f t="shared" ca="1" si="18"/>
        <v>0</v>
      </c>
      <c r="AD56" s="1480">
        <f t="shared" ca="1" si="18"/>
        <v>0</v>
      </c>
      <c r="AE56" s="1480">
        <f t="shared" ca="1" si="18"/>
        <v>0</v>
      </c>
      <c r="AF56" s="1480">
        <f t="shared" ca="1" si="18"/>
        <v>0</v>
      </c>
      <c r="AG56" s="1480">
        <f t="shared" ca="1" si="18"/>
        <v>0</v>
      </c>
      <c r="AH56" s="1480">
        <f t="shared" ca="1" si="18"/>
        <v>0</v>
      </c>
      <c r="AI56" s="1491">
        <f t="shared" ca="1" si="18"/>
        <v>0</v>
      </c>
    </row>
    <row r="57" spans="1:142">
      <c r="A57" s="188"/>
      <c r="D57" s="1576">
        <v>0</v>
      </c>
      <c r="E57" s="1525">
        <f ca="1">IF(Assum!$H$24=1,SUM(EWC!$E$22:$E$23)/4,IF(Assum!$H$24=0.75,SUM(EWC!$E$22:$E$23)/3,IF(Assum!$H$24=0.5,SUM(EWC!$E$22:E23)/2,SUM($E$22:E23))))</f>
        <v>41.576057730511494</v>
      </c>
      <c r="F57" s="1480">
        <f t="shared" ca="1" si="16"/>
        <v>57.79067966671272</v>
      </c>
      <c r="G57" s="1480">
        <f t="shared" ca="1" si="16"/>
        <v>42.157736601029441</v>
      </c>
      <c r="H57" s="1480">
        <f t="shared" ca="1" si="16"/>
        <v>33.942595560745275</v>
      </c>
      <c r="I57" s="1480">
        <f t="shared" ca="1" si="16"/>
        <v>33.848059080651801</v>
      </c>
      <c r="J57" s="1480">
        <f t="shared" ca="1" si="16"/>
        <v>26.449027102357825</v>
      </c>
      <c r="K57" s="1480">
        <f t="shared" ca="1" si="16"/>
        <v>20.917452205191189</v>
      </c>
      <c r="L57" s="1480">
        <f t="shared" ca="1" si="16"/>
        <v>20.758477610039542</v>
      </c>
      <c r="M57" s="1480">
        <f t="shared" ca="1" si="16"/>
        <v>21.765294125384528</v>
      </c>
      <c r="N57" s="1480">
        <f t="shared" ca="1" si="16"/>
        <v>21.507205563895823</v>
      </c>
      <c r="O57" s="1480">
        <f t="shared" ca="1" si="17"/>
        <v>-3.329469779945744</v>
      </c>
      <c r="P57" s="1480">
        <f t="shared" ca="1" si="17"/>
        <v>-3.7380398000665815</v>
      </c>
      <c r="Q57" s="1480">
        <f t="shared" ca="1" si="17"/>
        <v>-4.1006539351359992</v>
      </c>
      <c r="R57" s="1480">
        <f t="shared" ca="1" si="17"/>
        <v>-4.2784090299039761</v>
      </c>
      <c r="S57" s="1480">
        <f t="shared" ca="1" si="17"/>
        <v>-4.4608113443303523</v>
      </c>
      <c r="T57" s="1480">
        <f t="shared" ca="1" si="17"/>
        <v>-4.5633049659260427</v>
      </c>
      <c r="U57" s="1480">
        <f t="shared" ca="1" si="17"/>
        <v>-4.8335362566034634</v>
      </c>
      <c r="V57" s="1480">
        <f t="shared" ca="1" si="17"/>
        <v>-5.163306792555983</v>
      </c>
      <c r="W57" s="1480">
        <f t="shared" ca="1" si="17"/>
        <v>-5.623458466251388</v>
      </c>
      <c r="X57" s="1480">
        <f t="shared" ca="1" si="17"/>
        <v>-5.5484774544684052</v>
      </c>
      <c r="Y57" s="1480">
        <f t="shared" ca="1" si="18"/>
        <v>-1.6300995251530906E-2</v>
      </c>
      <c r="Z57" s="1480">
        <f t="shared" ca="1" si="18"/>
        <v>0</v>
      </c>
      <c r="AA57" s="1480">
        <f t="shared" ca="1" si="18"/>
        <v>0</v>
      </c>
      <c r="AB57" s="1480">
        <f t="shared" ca="1" si="18"/>
        <v>0</v>
      </c>
      <c r="AC57" s="1480">
        <f t="shared" ca="1" si="18"/>
        <v>0</v>
      </c>
      <c r="AD57" s="1480">
        <f t="shared" ca="1" si="18"/>
        <v>0</v>
      </c>
      <c r="AE57" s="1480">
        <f t="shared" ca="1" si="18"/>
        <v>0</v>
      </c>
      <c r="AF57" s="1480">
        <f t="shared" ca="1" si="18"/>
        <v>0</v>
      </c>
      <c r="AG57" s="1480">
        <f t="shared" ca="1" si="18"/>
        <v>0</v>
      </c>
      <c r="AH57" s="1480">
        <f t="shared" ca="1" si="18"/>
        <v>0</v>
      </c>
      <c r="AI57" s="1480">
        <f t="shared" ca="1" si="18"/>
        <v>0</v>
      </c>
    </row>
    <row r="58" spans="1:142">
      <c r="A58" s="188"/>
      <c r="B58" s="379" t="s">
        <v>798</v>
      </c>
      <c r="C58" s="1485">
        <f ca="1">D54</f>
        <v>-913.40320994341164</v>
      </c>
      <c r="D58" s="1577">
        <v>0</v>
      </c>
      <c r="E58" s="1486">
        <f t="shared" ref="E58:AI58" ca="1" si="19">SUMPRODUCT($D$77:$D$80,E$20:E$23)</f>
        <v>19.852107806507153</v>
      </c>
      <c r="F58" s="1486">
        <f t="shared" ca="1" si="19"/>
        <v>14.804926450176845</v>
      </c>
      <c r="G58" s="1486">
        <f t="shared" ca="1" si="19"/>
        <v>14.920973072087177</v>
      </c>
      <c r="H58" s="1486">
        <f t="shared" ca="1" si="19"/>
        <v>14.813737017094782</v>
      </c>
      <c r="I58" s="1486">
        <f t="shared" ca="1" si="19"/>
        <v>14.704180329030397</v>
      </c>
      <c r="J58" s="1486">
        <f t="shared" ca="1" si="19"/>
        <v>15.552441263446903</v>
      </c>
      <c r="K58" s="1486">
        <f t="shared" ca="1" si="19"/>
        <v>14.316968912728516</v>
      </c>
      <c r="L58" s="1486">
        <f t="shared" ca="1" si="19"/>
        <v>14.300057177907275</v>
      </c>
      <c r="M58" s="1486">
        <f t="shared" ca="1" si="19"/>
        <v>14.276939298011376</v>
      </c>
      <c r="N58" s="1486">
        <f t="shared" ca="1" si="19"/>
        <v>14.471040927683948</v>
      </c>
      <c r="O58" s="1486">
        <f t="shared" ca="1" si="19"/>
        <v>14.701758999941049</v>
      </c>
      <c r="P58" s="1486">
        <f t="shared" ca="1" si="19"/>
        <v>14.962425943695834</v>
      </c>
      <c r="Q58" s="1486">
        <f t="shared" ca="1" si="19"/>
        <v>15.271247714941282</v>
      </c>
      <c r="R58" s="1486">
        <f t="shared" ca="1" si="19"/>
        <v>14.951697626794498</v>
      </c>
      <c r="S58" s="1486">
        <f t="shared" ca="1" si="19"/>
        <v>14.594654492119744</v>
      </c>
      <c r="T58" s="1486">
        <f t="shared" ca="1" si="19"/>
        <v>13.907946428457581</v>
      </c>
      <c r="U58" s="1486">
        <f t="shared" ca="1" si="19"/>
        <v>13.70359605820188</v>
      </c>
      <c r="V58" s="1486">
        <f t="shared" ca="1" si="19"/>
        <v>23.205205604021085</v>
      </c>
      <c r="W58" s="1486">
        <f t="shared" ca="1" si="19"/>
        <v>58.169380609148455</v>
      </c>
      <c r="X58" s="1486">
        <f t="shared" ca="1" si="19"/>
        <v>64.405071598288487</v>
      </c>
      <c r="Y58" s="1486">
        <f t="shared" ca="1" si="19"/>
        <v>0.16844521113537</v>
      </c>
      <c r="Z58" s="1486">
        <f t="shared" ca="1" si="19"/>
        <v>0</v>
      </c>
      <c r="AA58" s="1486">
        <f t="shared" ca="1" si="19"/>
        <v>0</v>
      </c>
      <c r="AB58" s="1486">
        <f t="shared" ca="1" si="19"/>
        <v>0</v>
      </c>
      <c r="AC58" s="1486">
        <f t="shared" ca="1" si="19"/>
        <v>0</v>
      </c>
      <c r="AD58" s="1486">
        <f t="shared" ca="1" si="19"/>
        <v>0</v>
      </c>
      <c r="AE58" s="1486">
        <f t="shared" ca="1" si="19"/>
        <v>0</v>
      </c>
      <c r="AF58" s="1486">
        <f t="shared" ca="1" si="19"/>
        <v>0</v>
      </c>
      <c r="AG58" s="1486">
        <f t="shared" ca="1" si="19"/>
        <v>0</v>
      </c>
      <c r="AH58" s="1486">
        <f t="shared" ca="1" si="19"/>
        <v>0</v>
      </c>
      <c r="AI58" s="1487">
        <f t="shared" ca="1" si="19"/>
        <v>0</v>
      </c>
    </row>
    <row r="59" spans="1:142" ht="12" customHeight="1">
      <c r="A59" s="188"/>
    </row>
    <row r="60" spans="1:142" s="1512" customFormat="1" ht="16.5" customHeight="1">
      <c r="A60" s="1511"/>
      <c r="B60" s="1511" t="s">
        <v>790</v>
      </c>
      <c r="E60" s="1513">
        <f t="shared" ref="E60:AI60" ca="1" si="20">SUM(E54:E58)</f>
        <v>186.15633872855312</v>
      </c>
      <c r="F60" s="1513">
        <f t="shared" ca="1" si="20"/>
        <v>245.96764511702773</v>
      </c>
      <c r="G60" s="1513">
        <f t="shared" ca="1" si="20"/>
        <v>183.55191947620494</v>
      </c>
      <c r="H60" s="1513">
        <f t="shared" ca="1" si="20"/>
        <v>150.58411926007588</v>
      </c>
      <c r="I60" s="1513">
        <f t="shared" ca="1" si="20"/>
        <v>150.09641665163761</v>
      </c>
      <c r="J60" s="1513">
        <f t="shared" ca="1" si="20"/>
        <v>121.34854967287821</v>
      </c>
      <c r="K60" s="1513">
        <f t="shared" ca="1" si="20"/>
        <v>97.98677773349327</v>
      </c>
      <c r="L60" s="1513">
        <f t="shared" ca="1" si="20"/>
        <v>97.333967618065444</v>
      </c>
      <c r="M60" s="1513">
        <f t="shared" ca="1" si="20"/>
        <v>101.33811579954948</v>
      </c>
      <c r="N60" s="1513">
        <f t="shared" ca="1" si="20"/>
        <v>100.49986318326724</v>
      </c>
      <c r="O60" s="1513">
        <f t="shared" ca="1" si="20"/>
        <v>1.383879880158073</v>
      </c>
      <c r="P60" s="1513">
        <f t="shared" ca="1" si="20"/>
        <v>1.0266743429507841E-2</v>
      </c>
      <c r="Q60" s="1513">
        <f t="shared" ca="1" si="20"/>
        <v>-1.1313680256027148</v>
      </c>
      <c r="R60" s="1513">
        <f t="shared" ca="1" si="20"/>
        <v>-2.161938492821406</v>
      </c>
      <c r="S60" s="1513">
        <f t="shared" ca="1" si="20"/>
        <v>-3.2485908852016649</v>
      </c>
      <c r="T60" s="1513">
        <f t="shared" ca="1" si="20"/>
        <v>-4.3452734352465896</v>
      </c>
      <c r="U60" s="1513">
        <f t="shared" ca="1" si="20"/>
        <v>-5.6305489682119738</v>
      </c>
      <c r="V60" s="1513">
        <f t="shared" ca="1" si="20"/>
        <v>2.5519784337971529</v>
      </c>
      <c r="W60" s="1513">
        <f t="shared" ca="1" si="20"/>
        <v>35.675546744142906</v>
      </c>
      <c r="X60" s="1513">
        <f t="shared" ca="1" si="20"/>
        <v>42.211161780414869</v>
      </c>
      <c r="Y60" s="1513">
        <f t="shared" ca="1" si="20"/>
        <v>0.10324123012924638</v>
      </c>
      <c r="Z60" s="1513">
        <f t="shared" ca="1" si="20"/>
        <v>0</v>
      </c>
      <c r="AA60" s="1513">
        <f t="shared" ca="1" si="20"/>
        <v>0</v>
      </c>
      <c r="AB60" s="1513">
        <f t="shared" ca="1" si="20"/>
        <v>0</v>
      </c>
      <c r="AC60" s="1513">
        <f t="shared" ca="1" si="20"/>
        <v>0</v>
      </c>
      <c r="AD60" s="1513">
        <f t="shared" ca="1" si="20"/>
        <v>0</v>
      </c>
      <c r="AE60" s="1513">
        <f t="shared" ca="1" si="20"/>
        <v>0</v>
      </c>
      <c r="AF60" s="1513">
        <f t="shared" ca="1" si="20"/>
        <v>0</v>
      </c>
      <c r="AG60" s="1513">
        <f t="shared" ca="1" si="20"/>
        <v>0</v>
      </c>
      <c r="AH60" s="1513">
        <f t="shared" ca="1" si="20"/>
        <v>0</v>
      </c>
      <c r="AI60" s="1513">
        <f t="shared" ca="1" si="20"/>
        <v>0</v>
      </c>
    </row>
    <row r="61" spans="1:142" ht="16.5" customHeight="1" thickBot="1">
      <c r="A61" s="188"/>
    </row>
    <row r="62" spans="1:142" ht="12" customHeight="1">
      <c r="A62" s="188"/>
      <c r="B62" s="371" t="s">
        <v>789</v>
      </c>
      <c r="C62" s="489"/>
      <c r="D62" s="2" t="s">
        <v>20</v>
      </c>
      <c r="E62" s="2"/>
      <c r="F62" s="2"/>
      <c r="G62" s="1482"/>
    </row>
    <row r="63" spans="1:142" ht="12" customHeight="1">
      <c r="A63" s="188"/>
      <c r="B63" s="373"/>
      <c r="C63" s="316"/>
      <c r="D63" s="370" t="s">
        <v>765</v>
      </c>
      <c r="E63" s="370" t="s">
        <v>784</v>
      </c>
      <c r="F63" s="370" t="s">
        <v>785</v>
      </c>
      <c r="G63" s="537"/>
    </row>
    <row r="64" spans="1:142">
      <c r="A64" s="188"/>
      <c r="B64" s="373"/>
      <c r="C64" s="316"/>
      <c r="D64" s="316"/>
      <c r="E64" s="1499">
        <f>Assum!E330</f>
        <v>0.125</v>
      </c>
      <c r="F64" s="1499">
        <f>Assum!E330</f>
        <v>0.125</v>
      </c>
      <c r="G64" s="537"/>
    </row>
    <row r="65" spans="1:8">
      <c r="A65" s="188"/>
      <c r="B65" s="373"/>
      <c r="C65" s="1498" t="s">
        <v>786</v>
      </c>
      <c r="D65" s="1500">
        <f ca="1">XIRR(D54:N58,D47:N51)</f>
        <v>0.12338958382606507</v>
      </c>
      <c r="E65" s="317">
        <f ca="1">XNPV($E$64,$D$54:$N$58,$D$47:$N$51)</f>
        <v>-4.5155833718464526</v>
      </c>
      <c r="F65" s="317">
        <f ca="1">E65-$C$58</f>
        <v>908.88762657156519</v>
      </c>
      <c r="G65" s="537"/>
    </row>
    <row r="66" spans="1:8">
      <c r="A66" s="188"/>
      <c r="B66" s="373"/>
      <c r="C66" s="1498" t="s">
        <v>787</v>
      </c>
      <c r="D66" s="1500">
        <f ca="1">XIRR(D54:X58,D47:X51)</f>
        <v>0.12499999403953552</v>
      </c>
      <c r="E66" s="317">
        <f ca="1">XNPV($E$64,$D$54:$X$58,$D$47:$X$51)</f>
        <v>-4.2274534095554372E-8</v>
      </c>
      <c r="F66" s="317">
        <f ca="1">E66-$C$58</f>
        <v>913.40320990113707</v>
      </c>
      <c r="G66" s="1006"/>
    </row>
    <row r="67" spans="1:8">
      <c r="A67" s="188"/>
      <c r="B67" s="373"/>
      <c r="C67" s="1498" t="s">
        <v>788</v>
      </c>
      <c r="D67" s="1500">
        <f ca="1">XIRR(D54:AI58,D47:AI51)</f>
        <v>0.12500291466712951</v>
      </c>
      <c r="E67" s="317">
        <f ca="1">XNPV($E$64,$D$54:$AI$58,$D$47:$AI$51)</f>
        <v>8.4451382798159582E-3</v>
      </c>
      <c r="F67" s="317">
        <f ca="1">E67-$C$58</f>
        <v>913.41165508169149</v>
      </c>
      <c r="G67" s="537"/>
    </row>
    <row r="68" spans="1:8">
      <c r="A68" s="188"/>
      <c r="B68" s="373"/>
      <c r="C68" s="316"/>
      <c r="D68" s="316"/>
      <c r="E68" s="316"/>
      <c r="F68" s="316"/>
      <c r="G68" s="537"/>
    </row>
    <row r="69" spans="1:8">
      <c r="A69" s="188"/>
      <c r="B69" s="373"/>
      <c r="C69" s="316"/>
      <c r="D69" s="1" t="s">
        <v>195</v>
      </c>
      <c r="E69" s="1"/>
      <c r="F69" s="1"/>
      <c r="G69" s="537"/>
    </row>
    <row r="70" spans="1:8">
      <c r="A70" s="188"/>
      <c r="B70" s="373"/>
      <c r="C70" s="1498" t="s">
        <v>786</v>
      </c>
      <c r="D70" s="1500">
        <f ca="1">XIRR(C58:N58,C51:N51)</f>
        <v>-0.24279000870883469</v>
      </c>
      <c r="E70" s="317">
        <f ca="1">XNPV($E$64,$C$58:$N$58,$C$51:$N$51)</f>
        <v>-827.21658641982322</v>
      </c>
      <c r="F70" s="424">
        <f ca="1">E70-$C$58</f>
        <v>86.186623523588423</v>
      </c>
      <c r="G70" s="537"/>
    </row>
    <row r="71" spans="1:8">
      <c r="A71" s="188"/>
      <c r="B71" s="373"/>
      <c r="C71" s="1498" t="s">
        <v>787</v>
      </c>
      <c r="D71" s="1500">
        <f ca="1">XIRR(C58:X58,C51:X51)</f>
        <v>-5.8192253857851026E-2</v>
      </c>
      <c r="E71" s="317">
        <f ca="1">XNPV($E$64,$C$58:$X$58,$C$51:$X$51)</f>
        <v>-791.84126194084388</v>
      </c>
      <c r="F71" s="424">
        <f ca="1">E71-$C$58</f>
        <v>121.56194800256776</v>
      </c>
      <c r="G71" s="537"/>
    </row>
    <row r="72" spans="1:8">
      <c r="A72" s="188"/>
      <c r="B72" s="373"/>
      <c r="C72" s="1498" t="s">
        <v>788</v>
      </c>
      <c r="D72" s="1500">
        <f ca="1">XIRR(C58:AI58,C51:AI51)</f>
        <v>-5.8151063323020932E-2</v>
      </c>
      <c r="E72" s="317">
        <f ca="1">XNPV($E$64,$C$58:$AI$58,$C$51:$AI$51)</f>
        <v>-791.82707674730727</v>
      </c>
      <c r="F72" s="424">
        <f ca="1">E72-$C$58</f>
        <v>121.57613319610437</v>
      </c>
      <c r="G72" s="537"/>
    </row>
    <row r="73" spans="1:8" ht="13.5" thickBot="1">
      <c r="A73" s="188"/>
      <c r="B73" s="376"/>
      <c r="C73" s="639"/>
      <c r="D73" s="639"/>
      <c r="E73" s="639"/>
      <c r="F73" s="639"/>
      <c r="G73" s="640"/>
    </row>
    <row r="74" spans="1:8" ht="13.5" customHeight="1">
      <c r="A74" s="188"/>
    </row>
    <row r="75" spans="1:8">
      <c r="A75" s="188"/>
    </row>
    <row r="76" spans="1:8" ht="13.5" thickBot="1">
      <c r="A76" s="188"/>
      <c r="B76" t="s">
        <v>799</v>
      </c>
    </row>
    <row r="77" spans="1:8">
      <c r="A77" s="188"/>
      <c r="B77" s="1481" t="s">
        <v>127</v>
      </c>
      <c r="C77" s="489">
        <v>0</v>
      </c>
      <c r="D77" s="1482">
        <v>1</v>
      </c>
    </row>
    <row r="78" spans="1:8">
      <c r="A78" s="188"/>
      <c r="B78" s="250" t="s">
        <v>452</v>
      </c>
      <c r="C78" s="1480">
        <v>0</v>
      </c>
      <c r="D78" s="1483">
        <v>1</v>
      </c>
    </row>
    <row r="79" spans="1:8">
      <c r="A79" s="188"/>
      <c r="B79" s="481" t="s">
        <v>389</v>
      </c>
      <c r="C79" s="316">
        <v>0.25</v>
      </c>
      <c r="D79" s="537">
        <v>0</v>
      </c>
    </row>
    <row r="80" spans="1:8" ht="13.5" thickBot="1">
      <c r="A80" s="188"/>
      <c r="B80" s="1484" t="s">
        <v>83</v>
      </c>
      <c r="C80" s="639">
        <v>0.25</v>
      </c>
      <c r="D80" s="640">
        <v>0</v>
      </c>
      <c r="H80" s="1498"/>
    </row>
    <row r="81" spans="1:144" s="65" customFormat="1">
      <c r="A81" s="55"/>
      <c r="B81" s="189"/>
      <c r="C81" s="189"/>
      <c r="D81" s="191"/>
      <c r="E81" s="191"/>
      <c r="F81" s="191"/>
      <c r="G81" s="191"/>
      <c r="H81" s="191"/>
      <c r="I81" s="190"/>
      <c r="J81" s="191"/>
      <c r="K81" s="191"/>
      <c r="L81" s="191"/>
      <c r="M81" s="191"/>
      <c r="N81" s="191"/>
      <c r="O81" s="190"/>
      <c r="P81" s="190"/>
      <c r="Q81" s="190"/>
      <c r="R81" s="190"/>
      <c r="S81" s="190"/>
      <c r="T81" s="190"/>
      <c r="U81" s="190"/>
      <c r="V81" s="190"/>
      <c r="W81" s="190"/>
      <c r="X81" s="190"/>
      <c r="Y81" s="190"/>
      <c r="Z81" s="190"/>
      <c r="AA81" s="190"/>
      <c r="AB81" s="190"/>
      <c r="AC81" s="190"/>
      <c r="AD81" s="190"/>
      <c r="AE81" s="190"/>
      <c r="AF81" s="190"/>
      <c r="AG81" s="190"/>
      <c r="AH81" s="190"/>
      <c r="AI81" s="190"/>
      <c r="AJ81" s="190"/>
      <c r="AK81" s="190"/>
      <c r="AL81" s="190"/>
      <c r="AM81" s="190"/>
      <c r="AN81" s="190"/>
      <c r="AO81" s="190"/>
      <c r="AP81" s="190"/>
      <c r="AQ81" s="190"/>
      <c r="AR81" s="190"/>
      <c r="AS81" s="190"/>
      <c r="AT81" s="190"/>
      <c r="AU81" s="190"/>
      <c r="AV81" s="190"/>
      <c r="AW81" s="190"/>
      <c r="AX81" s="190"/>
      <c r="AY81" s="190"/>
      <c r="AZ81" s="190"/>
      <c r="BA81" s="190"/>
      <c r="BB81" s="190"/>
      <c r="BC81" s="190"/>
      <c r="BD81" s="190"/>
      <c r="BE81" s="190"/>
      <c r="BF81" s="190"/>
      <c r="BG81" s="190"/>
      <c r="BH81" s="190"/>
      <c r="BI81" s="190"/>
      <c r="BJ81" s="190"/>
      <c r="BK81" s="190"/>
      <c r="BL81" s="190"/>
      <c r="BM81" s="190"/>
      <c r="BN81" s="190"/>
      <c r="BO81" s="190"/>
      <c r="BP81" s="190"/>
      <c r="BQ81" s="190"/>
      <c r="BR81" s="190"/>
      <c r="BS81" s="190"/>
      <c r="BT81" s="190"/>
      <c r="BU81" s="190"/>
      <c r="BV81" s="190"/>
      <c r="BW81" s="190"/>
      <c r="BX81" s="190"/>
      <c r="BY81" s="190"/>
      <c r="BZ81" s="190"/>
      <c r="CA81" s="190"/>
      <c r="CB81" s="190"/>
      <c r="CC81" s="190"/>
      <c r="CD81" s="190"/>
      <c r="CE81" s="190"/>
      <c r="CF81" s="190"/>
      <c r="CG81" s="190"/>
      <c r="CH81" s="190"/>
      <c r="CI81" s="190"/>
      <c r="CJ81" s="190"/>
      <c r="CK81" s="190"/>
      <c r="CL81" s="190"/>
      <c r="CM81" s="190"/>
      <c r="CN81" s="190"/>
      <c r="CO81" s="190"/>
      <c r="CP81" s="190"/>
      <c r="CQ81" s="190"/>
      <c r="CR81" s="190"/>
      <c r="CS81" s="190"/>
      <c r="CT81" s="190"/>
      <c r="CU81" s="190"/>
      <c r="CV81" s="190"/>
      <c r="CW81" s="190"/>
      <c r="CX81" s="190"/>
      <c r="CY81" s="190"/>
      <c r="CZ81" s="190"/>
      <c r="DA81" s="190"/>
      <c r="DB81" s="190"/>
      <c r="DC81" s="190"/>
      <c r="DD81" s="190"/>
      <c r="DE81" s="190"/>
      <c r="DF81" s="190"/>
      <c r="DG81" s="190"/>
      <c r="DH81" s="190"/>
      <c r="DI81" s="190"/>
      <c r="DJ81" s="190"/>
      <c r="DK81" s="190"/>
      <c r="DL81" s="190"/>
      <c r="DM81" s="190"/>
      <c r="DN81" s="190"/>
      <c r="DO81" s="190"/>
      <c r="DP81" s="190"/>
      <c r="DQ81" s="190"/>
      <c r="DR81" s="190"/>
      <c r="DS81" s="190"/>
      <c r="DT81" s="190"/>
      <c r="DU81" s="190"/>
      <c r="DV81" s="190"/>
      <c r="DW81" s="190"/>
      <c r="DX81" s="190"/>
      <c r="DY81" s="190"/>
      <c r="DZ81" s="190"/>
      <c r="EA81" s="190"/>
      <c r="EB81" s="190"/>
      <c r="EC81" s="190"/>
      <c r="ED81" s="190"/>
      <c r="EE81" s="190"/>
      <c r="EF81" s="190"/>
      <c r="EG81" s="190"/>
      <c r="EH81" s="190"/>
      <c r="EI81" s="190"/>
      <c r="EJ81" s="190"/>
      <c r="EK81" s="190"/>
      <c r="EL81" s="190"/>
      <c r="EM81" s="190"/>
      <c r="EN81" s="190"/>
    </row>
    <row r="82" spans="1:144" s="65" customFormat="1">
      <c r="A82" s="55"/>
      <c r="B82" s="189"/>
      <c r="C82" s="189"/>
      <c r="D82" s="191"/>
      <c r="E82" s="191"/>
      <c r="F82" s="191"/>
      <c r="G82" s="191"/>
      <c r="H82" s="191"/>
      <c r="I82" s="190"/>
      <c r="J82" s="191"/>
      <c r="K82" s="191"/>
      <c r="L82" s="191"/>
      <c r="M82" s="191"/>
      <c r="N82" s="191"/>
      <c r="O82" s="190"/>
      <c r="P82" s="190"/>
      <c r="Q82" s="190"/>
      <c r="R82" s="190"/>
      <c r="S82" s="190"/>
      <c r="T82" s="190"/>
      <c r="U82" s="190"/>
      <c r="V82" s="190"/>
      <c r="W82" s="190"/>
      <c r="X82" s="190"/>
      <c r="Y82" s="190"/>
      <c r="Z82" s="190"/>
      <c r="AA82" s="190"/>
      <c r="AB82" s="190"/>
      <c r="AC82" s="190"/>
      <c r="AD82" s="190"/>
      <c r="AE82" s="190"/>
      <c r="AF82" s="190"/>
      <c r="AG82" s="190"/>
      <c r="AH82" s="190"/>
      <c r="AI82" s="190"/>
      <c r="AJ82" s="190"/>
      <c r="AK82" s="190"/>
      <c r="AL82" s="190"/>
      <c r="AM82" s="190"/>
      <c r="AN82" s="190"/>
      <c r="AO82" s="190"/>
      <c r="AP82" s="190"/>
      <c r="AQ82" s="190"/>
      <c r="AR82" s="190"/>
      <c r="AS82" s="190"/>
      <c r="AT82" s="190"/>
      <c r="AU82" s="190"/>
      <c r="AV82" s="190"/>
      <c r="AW82" s="190"/>
      <c r="AX82" s="190"/>
      <c r="AY82" s="190"/>
      <c r="AZ82" s="190"/>
      <c r="BA82" s="190"/>
      <c r="BB82" s="190"/>
      <c r="BC82" s="190"/>
      <c r="BD82" s="190"/>
      <c r="BE82" s="190"/>
      <c r="BF82" s="190"/>
      <c r="BG82" s="190"/>
      <c r="BH82" s="190"/>
      <c r="BI82" s="190"/>
      <c r="BJ82" s="190"/>
      <c r="BK82" s="190"/>
      <c r="BL82" s="190"/>
      <c r="BM82" s="190"/>
      <c r="BN82" s="190"/>
      <c r="BO82" s="190"/>
      <c r="BP82" s="190"/>
      <c r="BQ82" s="190"/>
      <c r="BR82" s="190"/>
      <c r="BS82" s="190"/>
      <c r="BT82" s="190"/>
      <c r="BU82" s="190"/>
      <c r="BV82" s="190"/>
      <c r="BW82" s="190"/>
      <c r="BX82" s="190"/>
      <c r="BY82" s="190"/>
      <c r="BZ82" s="190"/>
      <c r="CA82" s="190"/>
      <c r="CB82" s="190"/>
      <c r="CC82" s="190"/>
      <c r="CD82" s="190"/>
      <c r="CE82" s="190"/>
      <c r="CF82" s="190"/>
      <c r="CG82" s="190"/>
      <c r="CH82" s="190"/>
      <c r="CI82" s="190"/>
      <c r="CJ82" s="190"/>
      <c r="CK82" s="190"/>
      <c r="CL82" s="190"/>
      <c r="CM82" s="190"/>
      <c r="CN82" s="190"/>
      <c r="CO82" s="190"/>
      <c r="CP82" s="190"/>
      <c r="CQ82" s="190"/>
      <c r="CR82" s="190"/>
      <c r="CS82" s="190"/>
      <c r="CT82" s="190"/>
      <c r="CU82" s="190"/>
      <c r="CV82" s="190"/>
      <c r="CW82" s="190"/>
      <c r="CX82" s="190"/>
      <c r="CY82" s="190"/>
      <c r="CZ82" s="190"/>
      <c r="DA82" s="190"/>
      <c r="DB82" s="190"/>
      <c r="DC82" s="190"/>
      <c r="DD82" s="190"/>
      <c r="DE82" s="190"/>
      <c r="DF82" s="190"/>
      <c r="DG82" s="190"/>
      <c r="DH82" s="190"/>
      <c r="DI82" s="190"/>
      <c r="DJ82" s="190"/>
      <c r="DK82" s="190"/>
      <c r="DL82" s="190"/>
      <c r="DM82" s="190"/>
      <c r="DN82" s="190"/>
      <c r="DO82" s="190"/>
      <c r="DP82" s="190"/>
      <c r="DQ82" s="190"/>
      <c r="DR82" s="190"/>
      <c r="DS82" s="190"/>
      <c r="DT82" s="190"/>
      <c r="DU82" s="190"/>
      <c r="DV82" s="190"/>
      <c r="DW82" s="190"/>
      <c r="DX82" s="190"/>
      <c r="DY82" s="190"/>
      <c r="DZ82" s="190"/>
      <c r="EA82" s="190"/>
      <c r="EB82" s="190"/>
      <c r="EC82" s="190"/>
      <c r="ED82" s="190"/>
      <c r="EE82" s="190"/>
      <c r="EF82" s="190"/>
      <c r="EG82" s="190"/>
      <c r="EH82" s="190"/>
      <c r="EI82" s="190"/>
      <c r="EJ82" s="190"/>
      <c r="EK82" s="190"/>
      <c r="EL82" s="190"/>
      <c r="EM82" s="190"/>
      <c r="EN82" s="190"/>
    </row>
    <row r="83" spans="1:144" s="65" customFormat="1">
      <c r="A83" s="55"/>
      <c r="B83" s="587"/>
      <c r="C83" s="587"/>
      <c r="D83" s="282"/>
      <c r="E83" s="219"/>
      <c r="F83" s="219"/>
      <c r="G83" s="190"/>
      <c r="H83" s="190"/>
      <c r="I83" s="190"/>
      <c r="J83" s="190"/>
      <c r="K83" s="190"/>
      <c r="L83" s="190"/>
      <c r="M83" s="190"/>
      <c r="N83" s="190"/>
      <c r="O83" s="190"/>
      <c r="P83" s="190"/>
      <c r="Q83" s="190"/>
      <c r="R83" s="190"/>
      <c r="S83" s="190"/>
      <c r="T83" s="190"/>
      <c r="U83" s="190"/>
      <c r="V83" s="190"/>
      <c r="W83" s="190"/>
      <c r="X83" s="190"/>
      <c r="Y83" s="190"/>
      <c r="Z83" s="190"/>
      <c r="AA83" s="190"/>
      <c r="AB83" s="190"/>
      <c r="AC83" s="190"/>
      <c r="AD83" s="190"/>
      <c r="AE83" s="190"/>
      <c r="AF83" s="190"/>
      <c r="AG83" s="190"/>
      <c r="AH83" s="190"/>
      <c r="AI83" s="190"/>
      <c r="AJ83" s="190"/>
      <c r="AK83" s="190"/>
      <c r="AL83" s="190"/>
      <c r="AM83" s="190"/>
      <c r="AN83" s="190"/>
      <c r="AO83" s="190"/>
      <c r="AP83" s="190"/>
      <c r="AQ83" s="190"/>
      <c r="AR83" s="190"/>
      <c r="AS83" s="190"/>
      <c r="AT83" s="190"/>
      <c r="AU83" s="190"/>
      <c r="AV83" s="190"/>
      <c r="AW83" s="190"/>
      <c r="AX83" s="190"/>
      <c r="AY83" s="190"/>
      <c r="AZ83" s="190"/>
      <c r="BA83" s="190"/>
      <c r="BB83" s="190"/>
      <c r="BC83" s="190"/>
      <c r="BD83" s="190"/>
      <c r="BE83" s="190"/>
      <c r="BF83" s="190"/>
      <c r="BG83" s="190"/>
      <c r="BH83" s="190"/>
      <c r="BI83" s="190"/>
      <c r="BJ83" s="190"/>
      <c r="BK83" s="190"/>
      <c r="BL83" s="190"/>
      <c r="BM83" s="190"/>
      <c r="BN83" s="190"/>
      <c r="BO83" s="190"/>
      <c r="BP83" s="190"/>
      <c r="BQ83" s="190"/>
      <c r="BR83" s="190"/>
      <c r="BS83" s="190"/>
      <c r="BT83" s="190"/>
      <c r="BU83" s="190"/>
      <c r="BV83" s="190"/>
      <c r="BW83" s="190"/>
      <c r="BX83" s="190"/>
      <c r="BY83" s="190"/>
      <c r="BZ83" s="190"/>
      <c r="CA83" s="190"/>
      <c r="CB83" s="190"/>
      <c r="CC83" s="190"/>
      <c r="CD83" s="190"/>
      <c r="CE83" s="190"/>
      <c r="CF83" s="190"/>
      <c r="CG83" s="190"/>
      <c r="CH83" s="190"/>
      <c r="CI83" s="190"/>
      <c r="CJ83" s="190"/>
      <c r="CK83" s="190"/>
      <c r="CL83" s="190"/>
      <c r="CM83" s="190"/>
      <c r="CN83" s="190"/>
      <c r="CO83" s="190"/>
      <c r="CP83" s="190"/>
      <c r="CQ83" s="190"/>
      <c r="CR83" s="190"/>
      <c r="CS83" s="190"/>
      <c r="CT83" s="190"/>
      <c r="CU83" s="190"/>
      <c r="CV83" s="190"/>
      <c r="CW83" s="190"/>
      <c r="CX83" s="190"/>
      <c r="CY83" s="190"/>
      <c r="CZ83" s="190"/>
      <c r="DA83" s="190"/>
      <c r="DB83" s="190"/>
      <c r="DC83" s="190"/>
      <c r="DD83" s="190"/>
      <c r="DE83" s="190"/>
      <c r="DF83" s="190"/>
      <c r="DG83" s="190"/>
      <c r="DH83" s="190"/>
      <c r="DI83" s="190"/>
      <c r="DJ83" s="190"/>
      <c r="DK83" s="190"/>
      <c r="DL83" s="190"/>
      <c r="DM83" s="190"/>
      <c r="DN83" s="190"/>
      <c r="DO83" s="190"/>
      <c r="DP83" s="190"/>
      <c r="DQ83" s="190"/>
      <c r="DR83" s="190"/>
      <c r="DS83" s="190"/>
      <c r="DT83" s="190"/>
      <c r="DU83" s="190"/>
      <c r="DV83" s="190"/>
      <c r="DW83" s="190"/>
      <c r="DX83" s="190"/>
      <c r="DY83" s="190"/>
      <c r="DZ83" s="190"/>
      <c r="EA83" s="190"/>
      <c r="EB83" s="190"/>
      <c r="EC83" s="190"/>
      <c r="ED83" s="190"/>
      <c r="EE83" s="190"/>
      <c r="EF83" s="190"/>
      <c r="EG83" s="190"/>
      <c r="EH83" s="190"/>
      <c r="EI83" s="190"/>
      <c r="EJ83" s="190"/>
      <c r="EK83" s="190"/>
      <c r="EL83" s="190"/>
      <c r="EM83" s="190"/>
      <c r="EN83" s="190"/>
    </row>
    <row r="84" spans="1:144" s="214" customFormat="1">
      <c r="A84" s="530"/>
      <c r="B84" s="925"/>
      <c r="C84" s="925"/>
      <c r="D84" s="599"/>
      <c r="E84" s="600"/>
      <c r="F84" s="600"/>
      <c r="G84" s="531"/>
      <c r="H84" s="531"/>
      <c r="I84" s="531"/>
      <c r="J84" s="531"/>
      <c r="K84" s="531"/>
      <c r="L84" s="531"/>
      <c r="M84" s="531"/>
      <c r="N84" s="531"/>
      <c r="O84" s="531"/>
      <c r="P84" s="531"/>
      <c r="Q84" s="531"/>
      <c r="R84" s="531"/>
      <c r="S84" s="531"/>
      <c r="T84" s="531"/>
      <c r="U84" s="531"/>
      <c r="V84" s="531"/>
      <c r="W84" s="531"/>
      <c r="X84" s="531"/>
      <c r="Y84" s="531"/>
      <c r="Z84" s="531"/>
      <c r="AA84" s="531"/>
      <c r="AB84" s="531"/>
      <c r="AC84" s="531"/>
      <c r="AD84" s="531"/>
      <c r="AE84" s="531"/>
      <c r="AF84" s="531"/>
      <c r="AG84" s="531"/>
      <c r="AH84" s="531"/>
      <c r="AI84" s="531"/>
      <c r="AJ84" s="531"/>
      <c r="AK84" s="531"/>
      <c r="AL84" s="531"/>
      <c r="AM84" s="531"/>
      <c r="AN84" s="531"/>
      <c r="AO84" s="531"/>
      <c r="AP84" s="531"/>
      <c r="AQ84" s="531"/>
      <c r="AR84" s="531"/>
      <c r="AS84" s="531"/>
      <c r="AT84" s="531"/>
      <c r="AU84" s="531"/>
      <c r="AV84" s="531"/>
      <c r="AW84" s="531"/>
      <c r="AX84" s="531"/>
      <c r="AY84" s="531"/>
      <c r="AZ84" s="531"/>
      <c r="BA84" s="531"/>
      <c r="BB84" s="531"/>
      <c r="BC84" s="531"/>
      <c r="BD84" s="531"/>
      <c r="BE84" s="531"/>
      <c r="BF84" s="531"/>
      <c r="BG84" s="531"/>
      <c r="BH84" s="531"/>
      <c r="BI84" s="531"/>
      <c r="BJ84" s="531"/>
      <c r="BK84" s="531"/>
      <c r="BL84" s="531"/>
      <c r="BM84" s="531"/>
      <c r="BN84" s="531"/>
      <c r="BO84" s="531"/>
      <c r="BP84" s="531"/>
      <c r="BQ84" s="531"/>
      <c r="BR84" s="531"/>
      <c r="BS84" s="531"/>
      <c r="BT84" s="531"/>
      <c r="BU84" s="531"/>
      <c r="BV84" s="531"/>
      <c r="BW84" s="531"/>
      <c r="BX84" s="531"/>
      <c r="BY84" s="531"/>
      <c r="BZ84" s="531"/>
      <c r="CA84" s="531"/>
      <c r="CB84" s="531"/>
      <c r="CC84" s="531"/>
      <c r="CD84" s="531"/>
      <c r="CE84" s="531"/>
      <c r="CF84" s="531"/>
      <c r="CG84" s="531"/>
      <c r="CH84" s="531"/>
      <c r="CI84" s="531"/>
      <c r="CJ84" s="531"/>
      <c r="CK84" s="531"/>
      <c r="CL84" s="531"/>
      <c r="CM84" s="531"/>
      <c r="CN84" s="531"/>
      <c r="CO84" s="531"/>
      <c r="CP84" s="531"/>
      <c r="CQ84" s="531"/>
      <c r="CR84" s="531"/>
      <c r="CS84" s="531"/>
      <c r="CT84" s="531"/>
      <c r="CU84" s="531"/>
      <c r="CV84" s="531"/>
      <c r="CW84" s="531"/>
      <c r="CX84" s="531"/>
      <c r="CY84" s="531"/>
      <c r="CZ84" s="531"/>
      <c r="DA84" s="531"/>
      <c r="DB84" s="531"/>
      <c r="DC84" s="531"/>
      <c r="DD84" s="531"/>
      <c r="DE84" s="531"/>
      <c r="DF84" s="531"/>
      <c r="DG84" s="531"/>
      <c r="DH84" s="531"/>
      <c r="DI84" s="531"/>
      <c r="DJ84" s="531"/>
      <c r="DK84" s="531"/>
      <c r="DL84" s="531"/>
      <c r="DM84" s="531"/>
      <c r="DN84" s="531"/>
      <c r="DO84" s="531"/>
      <c r="DP84" s="531"/>
      <c r="DQ84" s="531"/>
      <c r="DR84" s="531"/>
      <c r="DS84" s="531"/>
      <c r="DT84" s="531"/>
      <c r="DU84" s="531"/>
      <c r="DV84" s="531"/>
      <c r="DW84" s="531"/>
      <c r="DX84" s="531"/>
      <c r="DY84" s="531"/>
      <c r="DZ84" s="531"/>
      <c r="EA84" s="531"/>
      <c r="EB84" s="531"/>
      <c r="EC84" s="531"/>
      <c r="ED84" s="531"/>
      <c r="EE84" s="531"/>
      <c r="EF84" s="531"/>
      <c r="EG84" s="531"/>
      <c r="EH84" s="531"/>
      <c r="EI84" s="531"/>
      <c r="EJ84" s="531"/>
      <c r="EK84" s="531"/>
      <c r="EL84" s="531"/>
      <c r="EM84" s="531"/>
      <c r="EN84" s="531"/>
    </row>
    <row r="113" spans="1:144" s="65" customFormat="1">
      <c r="A113" s="189"/>
      <c r="B113" s="190"/>
      <c r="C113" s="190"/>
      <c r="D113" s="190"/>
      <c r="E113" s="190"/>
      <c r="F113" s="190"/>
      <c r="G113" s="190"/>
      <c r="H113" s="190"/>
      <c r="I113" s="190"/>
      <c r="J113" s="190"/>
      <c r="K113" s="190"/>
      <c r="L113" s="190"/>
      <c r="M113" s="190"/>
      <c r="N113" s="190"/>
      <c r="O113" s="190"/>
      <c r="P113" s="190"/>
      <c r="Q113" s="190"/>
      <c r="R113" s="190"/>
      <c r="S113" s="190"/>
      <c r="T113" s="190"/>
      <c r="U113" s="190"/>
      <c r="V113" s="190"/>
      <c r="W113" s="190"/>
      <c r="X113" s="190"/>
      <c r="Y113" s="190"/>
      <c r="Z113" s="190"/>
      <c r="AA113" s="190"/>
      <c r="AB113" s="190"/>
      <c r="AC113" s="190"/>
      <c r="AD113" s="190"/>
      <c r="AE113" s="190"/>
      <c r="AF113" s="190"/>
      <c r="AG113" s="190"/>
      <c r="AH113" s="190"/>
      <c r="AI113" s="190"/>
      <c r="AJ113" s="190"/>
      <c r="AK113" s="190"/>
      <c r="AL113" s="190"/>
      <c r="AM113" s="190"/>
      <c r="AN113" s="190"/>
      <c r="AO113" s="190"/>
      <c r="AP113" s="190"/>
      <c r="AQ113" s="190"/>
      <c r="AR113" s="190"/>
      <c r="AS113" s="190"/>
      <c r="AT113" s="190"/>
      <c r="AU113" s="190"/>
      <c r="AV113" s="190"/>
      <c r="AW113" s="190"/>
      <c r="AX113" s="190"/>
      <c r="AY113" s="190"/>
      <c r="AZ113" s="190"/>
      <c r="BA113" s="190"/>
      <c r="BB113" s="190"/>
      <c r="BC113" s="190"/>
      <c r="BD113" s="190"/>
      <c r="BE113" s="190"/>
      <c r="BF113" s="190"/>
      <c r="BG113" s="190"/>
      <c r="BH113" s="190"/>
      <c r="BI113" s="190"/>
      <c r="BJ113" s="190"/>
      <c r="BK113" s="190"/>
      <c r="BL113" s="190"/>
      <c r="BM113" s="190"/>
      <c r="BN113" s="190"/>
      <c r="BO113" s="190"/>
      <c r="BP113" s="190"/>
      <c r="BQ113" s="190"/>
      <c r="BR113" s="190"/>
      <c r="BS113" s="190"/>
      <c r="BT113" s="190"/>
      <c r="BU113" s="190"/>
      <c r="BV113" s="190"/>
      <c r="BW113" s="190"/>
      <c r="BX113" s="190"/>
      <c r="BY113" s="190"/>
      <c r="BZ113" s="190"/>
      <c r="CA113" s="190"/>
      <c r="CB113" s="190"/>
      <c r="CC113" s="190"/>
      <c r="CD113" s="190"/>
      <c r="CE113" s="190"/>
      <c r="CF113" s="190"/>
      <c r="CG113" s="190"/>
      <c r="CH113" s="190"/>
      <c r="CI113" s="190"/>
      <c r="CJ113" s="190"/>
      <c r="CK113" s="190"/>
      <c r="CL113" s="190"/>
      <c r="CM113" s="190"/>
      <c r="CN113" s="190"/>
      <c r="CO113" s="190"/>
      <c r="CP113" s="190"/>
      <c r="CQ113" s="190"/>
      <c r="CR113" s="190"/>
      <c r="CS113" s="190"/>
      <c r="CT113" s="190"/>
      <c r="CU113" s="190"/>
      <c r="CV113" s="190"/>
      <c r="CW113" s="190"/>
      <c r="CX113" s="190"/>
      <c r="CY113" s="190"/>
      <c r="CZ113" s="190"/>
      <c r="DA113" s="190"/>
      <c r="DB113" s="190"/>
      <c r="DC113" s="190"/>
      <c r="DD113" s="190"/>
      <c r="DE113" s="190"/>
      <c r="DF113" s="190"/>
      <c r="DG113" s="190"/>
      <c r="DH113" s="190"/>
      <c r="DI113" s="190"/>
      <c r="DJ113" s="190"/>
      <c r="DK113" s="190"/>
      <c r="DL113" s="190"/>
      <c r="DM113" s="190"/>
      <c r="DN113" s="190"/>
      <c r="DO113" s="190"/>
      <c r="DP113" s="190"/>
      <c r="DQ113" s="190"/>
      <c r="DR113" s="190"/>
      <c r="DS113" s="190"/>
      <c r="DT113" s="190"/>
      <c r="DU113" s="190"/>
      <c r="DV113" s="190"/>
      <c r="DW113" s="190"/>
      <c r="DX113" s="190"/>
      <c r="DY113" s="190"/>
      <c r="DZ113" s="190"/>
      <c r="EA113" s="190"/>
      <c r="EB113" s="190"/>
      <c r="EC113" s="190"/>
      <c r="ED113" s="190"/>
      <c r="EE113" s="190"/>
      <c r="EF113" s="190"/>
      <c r="EG113" s="190"/>
      <c r="EH113" s="190"/>
      <c r="EI113" s="190"/>
      <c r="EJ113" s="190"/>
      <c r="EK113" s="190"/>
      <c r="EL113" s="190"/>
      <c r="EM113" s="190"/>
      <c r="EN113" s="190"/>
    </row>
    <row r="114" spans="1:144" s="65" customFormat="1">
      <c r="A114" s="189"/>
      <c r="B114" s="190"/>
      <c r="C114" s="190"/>
      <c r="D114" s="190"/>
      <c r="E114" s="190"/>
      <c r="F114" s="190"/>
      <c r="G114" s="190"/>
      <c r="H114" s="190"/>
      <c r="I114" s="190"/>
      <c r="J114" s="190"/>
      <c r="K114" s="190"/>
      <c r="L114" s="190"/>
      <c r="M114" s="190"/>
      <c r="N114" s="190"/>
      <c r="O114" s="190"/>
      <c r="P114" s="190"/>
      <c r="Q114" s="190"/>
      <c r="R114" s="190"/>
      <c r="S114" s="190"/>
      <c r="T114" s="190"/>
      <c r="U114" s="190"/>
      <c r="V114" s="190"/>
      <c r="W114" s="190"/>
      <c r="X114" s="190"/>
      <c r="Y114" s="190"/>
      <c r="Z114" s="190"/>
      <c r="AA114" s="190"/>
      <c r="AB114" s="190"/>
      <c r="AC114" s="190"/>
      <c r="AD114" s="190"/>
      <c r="AE114" s="190"/>
      <c r="AF114" s="190"/>
      <c r="AG114" s="190"/>
      <c r="AH114" s="190"/>
      <c r="AI114" s="190"/>
      <c r="AJ114" s="190"/>
      <c r="AK114" s="190"/>
      <c r="AL114" s="190"/>
      <c r="AM114" s="190"/>
      <c r="AN114" s="190"/>
      <c r="AO114" s="190"/>
      <c r="AP114" s="190"/>
      <c r="AQ114" s="190"/>
      <c r="AR114" s="190"/>
      <c r="AS114" s="190"/>
      <c r="AT114" s="190"/>
      <c r="AU114" s="190"/>
      <c r="AV114" s="190"/>
      <c r="AW114" s="190"/>
      <c r="AX114" s="190"/>
      <c r="AY114" s="190"/>
      <c r="AZ114" s="190"/>
      <c r="BA114" s="190"/>
      <c r="BB114" s="190"/>
      <c r="BC114" s="190"/>
      <c r="BD114" s="190"/>
      <c r="BE114" s="190"/>
      <c r="BF114" s="190"/>
      <c r="BG114" s="190"/>
      <c r="BH114" s="190"/>
      <c r="BI114" s="190"/>
      <c r="BJ114" s="190"/>
      <c r="BK114" s="190"/>
      <c r="BL114" s="190"/>
      <c r="BM114" s="190"/>
      <c r="BN114" s="190"/>
      <c r="BO114" s="190"/>
      <c r="BP114" s="190"/>
      <c r="BQ114" s="190"/>
      <c r="BR114" s="190"/>
      <c r="BS114" s="190"/>
      <c r="BT114" s="190"/>
      <c r="BU114" s="190"/>
      <c r="BV114" s="190"/>
      <c r="BW114" s="190"/>
      <c r="BX114" s="190"/>
      <c r="BY114" s="190"/>
      <c r="BZ114" s="190"/>
      <c r="CA114" s="190"/>
      <c r="CB114" s="190"/>
      <c r="CC114" s="190"/>
      <c r="CD114" s="190"/>
      <c r="CE114" s="190"/>
      <c r="CF114" s="190"/>
      <c r="CG114" s="190"/>
      <c r="CH114" s="190"/>
      <c r="CI114" s="190"/>
      <c r="CJ114" s="190"/>
      <c r="CK114" s="190"/>
      <c r="CL114" s="190"/>
      <c r="CM114" s="190"/>
      <c r="CN114" s="190"/>
      <c r="CO114" s="190"/>
      <c r="CP114" s="190"/>
      <c r="CQ114" s="190"/>
      <c r="CR114" s="190"/>
      <c r="CS114" s="190"/>
      <c r="CT114" s="190"/>
      <c r="CU114" s="190"/>
      <c r="CV114" s="190"/>
      <c r="CW114" s="190"/>
      <c r="CX114" s="190"/>
      <c r="CY114" s="190"/>
      <c r="CZ114" s="190"/>
      <c r="DA114" s="190"/>
      <c r="DB114" s="190"/>
      <c r="DC114" s="190"/>
      <c r="DD114" s="190"/>
      <c r="DE114" s="190"/>
      <c r="DF114" s="190"/>
      <c r="DG114" s="190"/>
      <c r="DH114" s="190"/>
      <c r="DI114" s="190"/>
      <c r="DJ114" s="190"/>
      <c r="DK114" s="190"/>
      <c r="DL114" s="190"/>
      <c r="DM114" s="190"/>
      <c r="DN114" s="190"/>
      <c r="DO114" s="190"/>
      <c r="DP114" s="190"/>
      <c r="DQ114" s="190"/>
      <c r="DR114" s="190"/>
      <c r="DS114" s="190"/>
      <c r="DT114" s="190"/>
      <c r="DU114" s="190"/>
      <c r="DV114" s="190"/>
      <c r="DW114" s="190"/>
      <c r="DX114" s="190"/>
      <c r="DY114" s="190"/>
      <c r="DZ114" s="190"/>
      <c r="EA114" s="190"/>
      <c r="EB114" s="190"/>
      <c r="EC114" s="190"/>
      <c r="ED114" s="190"/>
      <c r="EE114" s="190"/>
      <c r="EF114" s="190"/>
      <c r="EG114" s="190"/>
      <c r="EH114" s="190"/>
      <c r="EI114" s="190"/>
      <c r="EJ114" s="190"/>
      <c r="EK114" s="190"/>
      <c r="EL114" s="190"/>
      <c r="EM114" s="190"/>
      <c r="EN114" s="190"/>
    </row>
    <row r="115" spans="1:144" s="65" customFormat="1">
      <c r="A115" s="189"/>
      <c r="B115" s="190"/>
      <c r="C115" s="190"/>
      <c r="D115" s="190"/>
      <c r="E115" s="190"/>
      <c r="F115" s="190"/>
      <c r="G115" s="190"/>
      <c r="H115" s="190"/>
      <c r="I115" s="190"/>
      <c r="J115" s="190"/>
      <c r="K115" s="190"/>
      <c r="L115" s="190"/>
      <c r="M115" s="190"/>
      <c r="N115" s="190"/>
      <c r="O115" s="190"/>
      <c r="P115" s="190"/>
      <c r="Q115" s="190"/>
      <c r="R115" s="190"/>
      <c r="S115" s="190"/>
      <c r="T115" s="190"/>
      <c r="U115" s="190"/>
      <c r="V115" s="190"/>
      <c r="W115" s="190"/>
      <c r="X115" s="190"/>
      <c r="Y115" s="190"/>
      <c r="Z115" s="190"/>
      <c r="AA115" s="190"/>
      <c r="AB115" s="190"/>
      <c r="AC115" s="190"/>
      <c r="AD115" s="190"/>
      <c r="AE115" s="190"/>
      <c r="AF115" s="190"/>
      <c r="AG115" s="190"/>
      <c r="AH115" s="190"/>
      <c r="AI115" s="190"/>
      <c r="AJ115" s="190"/>
      <c r="AK115" s="190"/>
      <c r="AL115" s="190"/>
      <c r="AM115" s="190"/>
      <c r="AN115" s="190"/>
      <c r="AO115" s="190"/>
      <c r="AP115" s="190"/>
      <c r="AQ115" s="190"/>
      <c r="AR115" s="190"/>
      <c r="AS115" s="190"/>
      <c r="AT115" s="190"/>
      <c r="AU115" s="190"/>
      <c r="AV115" s="190"/>
      <c r="AW115" s="190"/>
      <c r="AX115" s="190"/>
      <c r="AY115" s="190"/>
      <c r="AZ115" s="190"/>
      <c r="BA115" s="190"/>
      <c r="BB115" s="190"/>
      <c r="BC115" s="190"/>
      <c r="BD115" s="190"/>
      <c r="BE115" s="190"/>
      <c r="BF115" s="190"/>
      <c r="BG115" s="190"/>
      <c r="BH115" s="190"/>
      <c r="BI115" s="190"/>
      <c r="BJ115" s="190"/>
      <c r="BK115" s="190"/>
      <c r="BL115" s="190"/>
      <c r="BM115" s="190"/>
      <c r="BN115" s="190"/>
      <c r="BO115" s="190"/>
      <c r="BP115" s="190"/>
      <c r="BQ115" s="190"/>
      <c r="BR115" s="190"/>
      <c r="BS115" s="190"/>
      <c r="BT115" s="190"/>
      <c r="BU115" s="190"/>
      <c r="BV115" s="190"/>
      <c r="BW115" s="190"/>
      <c r="BX115" s="190"/>
      <c r="BY115" s="190"/>
      <c r="BZ115" s="190"/>
      <c r="CA115" s="190"/>
      <c r="CB115" s="190"/>
      <c r="CC115" s="190"/>
      <c r="CD115" s="190"/>
      <c r="CE115" s="190"/>
      <c r="CF115" s="190"/>
      <c r="CG115" s="190"/>
      <c r="CH115" s="190"/>
      <c r="CI115" s="190"/>
      <c r="CJ115" s="190"/>
      <c r="CK115" s="190"/>
      <c r="CL115" s="190"/>
      <c r="CM115" s="190"/>
      <c r="CN115" s="190"/>
      <c r="CO115" s="190"/>
      <c r="CP115" s="190"/>
      <c r="CQ115" s="190"/>
      <c r="CR115" s="190"/>
      <c r="CS115" s="190"/>
      <c r="CT115" s="190"/>
      <c r="CU115" s="190"/>
      <c r="CV115" s="190"/>
      <c r="CW115" s="190"/>
      <c r="CX115" s="190"/>
      <c r="CY115" s="190"/>
      <c r="CZ115" s="190"/>
      <c r="DA115" s="190"/>
      <c r="DB115" s="190"/>
      <c r="DC115" s="190"/>
      <c r="DD115" s="190"/>
      <c r="DE115" s="190"/>
      <c r="DF115" s="190"/>
      <c r="DG115" s="190"/>
      <c r="DH115" s="190"/>
      <c r="DI115" s="190"/>
      <c r="DJ115" s="190"/>
      <c r="DK115" s="190"/>
      <c r="DL115" s="190"/>
      <c r="DM115" s="190"/>
      <c r="DN115" s="190"/>
      <c r="DO115" s="190"/>
      <c r="DP115" s="190"/>
      <c r="DQ115" s="190"/>
      <c r="DR115" s="190"/>
      <c r="DS115" s="190"/>
      <c r="DT115" s="190"/>
      <c r="DU115" s="190"/>
      <c r="DV115" s="190"/>
      <c r="DW115" s="190"/>
      <c r="DX115" s="190"/>
      <c r="DY115" s="190"/>
      <c r="DZ115" s="190"/>
      <c r="EA115" s="190"/>
      <c r="EB115" s="190"/>
      <c r="EC115" s="190"/>
      <c r="ED115" s="190"/>
      <c r="EE115" s="190"/>
      <c r="EF115" s="190"/>
      <c r="EG115" s="190"/>
      <c r="EH115" s="190"/>
      <c r="EI115" s="190"/>
      <c r="EJ115" s="190"/>
      <c r="EK115" s="190"/>
      <c r="EL115" s="190"/>
      <c r="EM115" s="190"/>
      <c r="EN115" s="190"/>
    </row>
    <row r="116" spans="1:144" s="65" customFormat="1">
      <c r="A116" s="189"/>
      <c r="B116" s="190"/>
      <c r="C116" s="190"/>
      <c r="D116" s="190"/>
      <c r="E116" s="190"/>
      <c r="F116" s="190"/>
      <c r="G116" s="190"/>
      <c r="H116" s="190"/>
      <c r="I116" s="190"/>
      <c r="J116" s="190"/>
      <c r="K116" s="190"/>
      <c r="L116" s="190"/>
      <c r="M116" s="190"/>
      <c r="N116" s="190"/>
      <c r="O116" s="190"/>
      <c r="P116" s="190"/>
      <c r="Q116" s="190"/>
      <c r="R116" s="190"/>
      <c r="S116" s="190"/>
      <c r="T116" s="190"/>
      <c r="U116" s="190"/>
      <c r="V116" s="190"/>
      <c r="W116" s="190"/>
      <c r="X116" s="190"/>
      <c r="Y116" s="190"/>
      <c r="Z116" s="190"/>
      <c r="AA116" s="190"/>
      <c r="AB116" s="190"/>
      <c r="AC116" s="190"/>
      <c r="AD116" s="190"/>
      <c r="AE116" s="190"/>
      <c r="AF116" s="190"/>
      <c r="AG116" s="190"/>
      <c r="AH116" s="190"/>
      <c r="AI116" s="190"/>
      <c r="AJ116" s="190"/>
      <c r="AK116" s="190"/>
      <c r="AL116" s="190"/>
      <c r="AM116" s="190"/>
      <c r="AN116" s="190"/>
      <c r="AO116" s="190"/>
      <c r="AP116" s="190"/>
      <c r="AQ116" s="190"/>
      <c r="AR116" s="190"/>
      <c r="AS116" s="190"/>
      <c r="AT116" s="190"/>
      <c r="AU116" s="190"/>
      <c r="AV116" s="190"/>
      <c r="AW116" s="190"/>
      <c r="AX116" s="190"/>
      <c r="AY116" s="190"/>
      <c r="AZ116" s="190"/>
      <c r="BA116" s="190"/>
      <c r="BB116" s="190"/>
      <c r="BC116" s="190"/>
      <c r="BD116" s="190"/>
      <c r="BE116" s="190"/>
      <c r="BF116" s="190"/>
      <c r="BG116" s="190"/>
      <c r="BH116" s="190"/>
      <c r="BI116" s="190"/>
      <c r="BJ116" s="190"/>
      <c r="BK116" s="190"/>
      <c r="BL116" s="190"/>
      <c r="BM116" s="190"/>
      <c r="BN116" s="190"/>
      <c r="BO116" s="190"/>
      <c r="BP116" s="190"/>
      <c r="BQ116" s="190"/>
      <c r="BR116" s="190"/>
      <c r="BS116" s="190"/>
      <c r="BT116" s="190"/>
      <c r="BU116" s="190"/>
      <c r="BV116" s="190"/>
      <c r="BW116" s="190"/>
      <c r="BX116" s="190"/>
      <c r="BY116" s="190"/>
      <c r="BZ116" s="190"/>
      <c r="CA116" s="190"/>
      <c r="CB116" s="190"/>
      <c r="CC116" s="190"/>
      <c r="CD116" s="190"/>
      <c r="CE116" s="190"/>
      <c r="CF116" s="190"/>
      <c r="CG116" s="190"/>
      <c r="CH116" s="190"/>
      <c r="CI116" s="190"/>
      <c r="CJ116" s="190"/>
      <c r="CK116" s="190"/>
      <c r="CL116" s="190"/>
      <c r="CM116" s="190"/>
      <c r="CN116" s="190"/>
      <c r="CO116" s="190"/>
      <c r="CP116" s="190"/>
      <c r="CQ116" s="190"/>
      <c r="CR116" s="190"/>
      <c r="CS116" s="190"/>
      <c r="CT116" s="190"/>
      <c r="CU116" s="190"/>
      <c r="CV116" s="190"/>
      <c r="CW116" s="190"/>
      <c r="CX116" s="190"/>
      <c r="CY116" s="190"/>
      <c r="CZ116" s="190"/>
      <c r="DA116" s="190"/>
      <c r="DB116" s="190"/>
      <c r="DC116" s="190"/>
      <c r="DD116" s="190"/>
      <c r="DE116" s="190"/>
      <c r="DF116" s="190"/>
      <c r="DG116" s="190"/>
      <c r="DH116" s="190"/>
      <c r="DI116" s="190"/>
      <c r="DJ116" s="190"/>
      <c r="DK116" s="190"/>
      <c r="DL116" s="190"/>
      <c r="DM116" s="190"/>
      <c r="DN116" s="190"/>
      <c r="DO116" s="190"/>
      <c r="DP116" s="190"/>
      <c r="DQ116" s="190"/>
      <c r="DR116" s="190"/>
      <c r="DS116" s="190"/>
      <c r="DT116" s="190"/>
      <c r="DU116" s="190"/>
      <c r="DV116" s="190"/>
      <c r="DW116" s="190"/>
      <c r="DX116" s="190"/>
      <c r="DY116" s="190"/>
      <c r="DZ116" s="190"/>
      <c r="EA116" s="190"/>
      <c r="EB116" s="190"/>
      <c r="EC116" s="190"/>
      <c r="ED116" s="190"/>
      <c r="EE116" s="190"/>
      <c r="EF116" s="190"/>
      <c r="EG116" s="190"/>
      <c r="EH116" s="190"/>
      <c r="EI116" s="190"/>
      <c r="EJ116" s="190"/>
      <c r="EK116" s="190"/>
      <c r="EL116" s="190"/>
      <c r="EM116" s="190"/>
      <c r="EN116" s="190"/>
    </row>
    <row r="117" spans="1:144" s="65" customFormat="1">
      <c r="A117" s="189"/>
      <c r="B117" s="190"/>
      <c r="C117" s="190"/>
      <c r="D117" s="190"/>
      <c r="E117" s="190"/>
      <c r="F117" s="190"/>
      <c r="G117" s="190"/>
      <c r="H117" s="190"/>
      <c r="I117" s="190"/>
      <c r="J117" s="190"/>
      <c r="K117" s="190"/>
      <c r="L117" s="190"/>
      <c r="M117" s="190"/>
      <c r="N117" s="190"/>
      <c r="O117" s="190"/>
      <c r="P117" s="190"/>
      <c r="Q117" s="190"/>
      <c r="R117" s="190"/>
      <c r="S117" s="190"/>
      <c r="T117" s="190"/>
      <c r="U117" s="190"/>
      <c r="V117" s="190"/>
      <c r="W117" s="190"/>
      <c r="X117" s="190"/>
      <c r="Y117" s="190"/>
      <c r="Z117" s="190"/>
      <c r="AA117" s="190"/>
      <c r="AB117" s="190"/>
      <c r="AC117" s="190"/>
      <c r="AD117" s="190"/>
      <c r="AE117" s="190"/>
      <c r="AF117" s="190"/>
      <c r="AG117" s="190"/>
      <c r="AH117" s="190"/>
      <c r="AI117" s="190"/>
      <c r="AJ117" s="190"/>
      <c r="AK117" s="190"/>
      <c r="AL117" s="190"/>
      <c r="AM117" s="190"/>
      <c r="AN117" s="190"/>
      <c r="AO117" s="190"/>
      <c r="AP117" s="190"/>
      <c r="AQ117" s="190"/>
      <c r="AR117" s="190"/>
      <c r="AS117" s="190"/>
      <c r="AT117" s="190"/>
      <c r="AU117" s="190"/>
      <c r="AV117" s="190"/>
      <c r="AW117" s="190"/>
      <c r="AX117" s="190"/>
      <c r="AY117" s="190"/>
      <c r="AZ117" s="190"/>
      <c r="BA117" s="190"/>
      <c r="BB117" s="190"/>
      <c r="BC117" s="190"/>
      <c r="BD117" s="190"/>
      <c r="BE117" s="190"/>
      <c r="BF117" s="190"/>
      <c r="BG117" s="190"/>
      <c r="BH117" s="190"/>
      <c r="BI117" s="190"/>
      <c r="BJ117" s="190"/>
      <c r="BK117" s="190"/>
      <c r="BL117" s="190"/>
      <c r="BM117" s="190"/>
      <c r="BN117" s="190"/>
      <c r="BO117" s="190"/>
      <c r="BP117" s="190"/>
      <c r="BQ117" s="190"/>
      <c r="BR117" s="190"/>
      <c r="BS117" s="190"/>
      <c r="BT117" s="190"/>
      <c r="BU117" s="190"/>
      <c r="BV117" s="190"/>
      <c r="BW117" s="190"/>
      <c r="BX117" s="190"/>
      <c r="BY117" s="190"/>
      <c r="BZ117" s="190"/>
      <c r="CA117" s="190"/>
      <c r="CB117" s="190"/>
      <c r="CC117" s="190"/>
      <c r="CD117" s="190"/>
      <c r="CE117" s="190"/>
      <c r="CF117" s="190"/>
      <c r="CG117" s="190"/>
      <c r="CH117" s="190"/>
      <c r="CI117" s="190"/>
      <c r="CJ117" s="190"/>
      <c r="CK117" s="190"/>
      <c r="CL117" s="190"/>
      <c r="CM117" s="190"/>
      <c r="CN117" s="190"/>
      <c r="CO117" s="190"/>
      <c r="CP117" s="190"/>
      <c r="CQ117" s="190"/>
      <c r="CR117" s="190"/>
      <c r="CS117" s="190"/>
      <c r="CT117" s="190"/>
      <c r="CU117" s="190"/>
      <c r="CV117" s="190"/>
      <c r="CW117" s="190"/>
      <c r="CX117" s="190"/>
      <c r="CY117" s="190"/>
      <c r="CZ117" s="190"/>
      <c r="DA117" s="190"/>
      <c r="DB117" s="190"/>
      <c r="DC117" s="190"/>
      <c r="DD117" s="190"/>
      <c r="DE117" s="190"/>
      <c r="DF117" s="190"/>
      <c r="DG117" s="190"/>
      <c r="DH117" s="190"/>
      <c r="DI117" s="190"/>
      <c r="DJ117" s="190"/>
      <c r="DK117" s="190"/>
      <c r="DL117" s="190"/>
      <c r="DM117" s="190"/>
      <c r="DN117" s="190"/>
      <c r="DO117" s="190"/>
      <c r="DP117" s="190"/>
      <c r="DQ117" s="190"/>
      <c r="DR117" s="190"/>
      <c r="DS117" s="190"/>
      <c r="DT117" s="190"/>
      <c r="DU117" s="190"/>
      <c r="DV117" s="190"/>
      <c r="DW117" s="190"/>
      <c r="DX117" s="190"/>
      <c r="DY117" s="190"/>
      <c r="DZ117" s="190"/>
      <c r="EA117" s="190"/>
      <c r="EB117" s="190"/>
      <c r="EC117" s="190"/>
      <c r="ED117" s="190"/>
      <c r="EE117" s="190"/>
      <c r="EF117" s="190"/>
      <c r="EG117" s="190"/>
      <c r="EH117" s="190"/>
      <c r="EI117" s="190"/>
      <c r="EJ117" s="190"/>
      <c r="EK117" s="190"/>
      <c r="EL117" s="190"/>
      <c r="EM117" s="190"/>
      <c r="EN117" s="190"/>
    </row>
    <row r="118" spans="1:144" s="65" customFormat="1">
      <c r="A118" s="189"/>
      <c r="B118" s="190"/>
      <c r="C118" s="190"/>
      <c r="D118" s="190"/>
      <c r="E118" s="190"/>
      <c r="F118" s="190"/>
      <c r="G118" s="190"/>
      <c r="H118" s="190"/>
      <c r="I118" s="190"/>
      <c r="J118" s="190"/>
      <c r="K118" s="190"/>
      <c r="L118" s="190"/>
      <c r="M118" s="190"/>
      <c r="N118" s="190"/>
      <c r="O118" s="190"/>
      <c r="P118" s="190"/>
      <c r="Q118" s="190"/>
      <c r="R118" s="190"/>
      <c r="S118" s="190"/>
      <c r="T118" s="190"/>
      <c r="U118" s="190"/>
      <c r="V118" s="190"/>
      <c r="W118" s="190"/>
      <c r="X118" s="190"/>
      <c r="Y118" s="190"/>
      <c r="Z118" s="190"/>
      <c r="AA118" s="190"/>
      <c r="AB118" s="190"/>
      <c r="AC118" s="190"/>
      <c r="AD118" s="190"/>
      <c r="AE118" s="190"/>
      <c r="AF118" s="190"/>
      <c r="AG118" s="190"/>
      <c r="AH118" s="190"/>
      <c r="AI118" s="190"/>
      <c r="AJ118" s="190"/>
      <c r="AK118" s="190"/>
      <c r="AL118" s="190"/>
      <c r="AM118" s="190"/>
      <c r="AN118" s="190"/>
      <c r="AO118" s="190"/>
      <c r="AP118" s="190"/>
      <c r="AQ118" s="190"/>
      <c r="AR118" s="190"/>
      <c r="AS118" s="190"/>
      <c r="AT118" s="190"/>
      <c r="AU118" s="190"/>
      <c r="AV118" s="190"/>
      <c r="AW118" s="190"/>
      <c r="AX118" s="190"/>
      <c r="AY118" s="190"/>
      <c r="AZ118" s="190"/>
      <c r="BA118" s="190"/>
      <c r="BB118" s="190"/>
      <c r="BC118" s="190"/>
      <c r="BD118" s="190"/>
      <c r="BE118" s="190"/>
      <c r="BF118" s="190"/>
      <c r="BG118" s="190"/>
      <c r="BH118" s="190"/>
      <c r="BI118" s="190"/>
      <c r="BJ118" s="190"/>
      <c r="BK118" s="190"/>
      <c r="BL118" s="190"/>
      <c r="BM118" s="190"/>
      <c r="BN118" s="190"/>
      <c r="BO118" s="190"/>
      <c r="BP118" s="190"/>
      <c r="BQ118" s="190"/>
      <c r="BR118" s="190"/>
      <c r="BS118" s="190"/>
      <c r="BT118" s="190"/>
      <c r="BU118" s="190"/>
      <c r="BV118" s="190"/>
      <c r="BW118" s="190"/>
      <c r="BX118" s="190"/>
      <c r="BY118" s="190"/>
      <c r="BZ118" s="190"/>
      <c r="CA118" s="190"/>
      <c r="CB118" s="190"/>
      <c r="CC118" s="190"/>
      <c r="CD118" s="190"/>
      <c r="CE118" s="190"/>
      <c r="CF118" s="190"/>
      <c r="CG118" s="190"/>
      <c r="CH118" s="190"/>
      <c r="CI118" s="190"/>
      <c r="CJ118" s="190"/>
      <c r="CK118" s="190"/>
      <c r="CL118" s="190"/>
      <c r="CM118" s="190"/>
      <c r="CN118" s="190"/>
      <c r="CO118" s="190"/>
      <c r="CP118" s="190"/>
      <c r="CQ118" s="190"/>
      <c r="CR118" s="190"/>
      <c r="CS118" s="190"/>
      <c r="CT118" s="190"/>
      <c r="CU118" s="190"/>
      <c r="CV118" s="190"/>
      <c r="CW118" s="190"/>
      <c r="CX118" s="190"/>
      <c r="CY118" s="190"/>
      <c r="CZ118" s="190"/>
      <c r="DA118" s="190"/>
      <c r="DB118" s="190"/>
      <c r="DC118" s="190"/>
      <c r="DD118" s="190"/>
      <c r="DE118" s="190"/>
      <c r="DF118" s="190"/>
      <c r="DG118" s="190"/>
      <c r="DH118" s="190"/>
      <c r="DI118" s="190"/>
      <c r="DJ118" s="190"/>
      <c r="DK118" s="190"/>
      <c r="DL118" s="190"/>
      <c r="DM118" s="190"/>
      <c r="DN118" s="190"/>
      <c r="DO118" s="190"/>
      <c r="DP118" s="190"/>
      <c r="DQ118" s="190"/>
      <c r="DR118" s="190"/>
      <c r="DS118" s="190"/>
      <c r="DT118" s="190"/>
      <c r="DU118" s="190"/>
      <c r="DV118" s="190"/>
      <c r="DW118" s="190"/>
      <c r="DX118" s="190"/>
      <c r="DY118" s="190"/>
      <c r="DZ118" s="190"/>
      <c r="EA118" s="190"/>
      <c r="EB118" s="190"/>
      <c r="EC118" s="190"/>
      <c r="ED118" s="190"/>
      <c r="EE118" s="190"/>
      <c r="EF118" s="190"/>
      <c r="EG118" s="190"/>
      <c r="EH118" s="190"/>
      <c r="EI118" s="190"/>
      <c r="EJ118" s="190"/>
      <c r="EK118" s="190"/>
      <c r="EL118" s="190"/>
      <c r="EM118" s="190"/>
      <c r="EN118" s="190"/>
    </row>
    <row r="119" spans="1:144" s="65" customFormat="1">
      <c r="A119" s="189"/>
      <c r="B119" s="190"/>
      <c r="C119" s="190"/>
      <c r="D119" s="190"/>
      <c r="E119" s="190"/>
      <c r="F119" s="190"/>
      <c r="G119" s="190"/>
      <c r="H119" s="190"/>
      <c r="I119" s="190"/>
      <c r="J119" s="190"/>
      <c r="K119" s="190"/>
      <c r="L119" s="190"/>
      <c r="M119" s="190"/>
      <c r="N119" s="190"/>
      <c r="O119" s="190"/>
      <c r="P119" s="190"/>
      <c r="Q119" s="190"/>
      <c r="R119" s="190"/>
      <c r="S119" s="190"/>
      <c r="T119" s="190"/>
      <c r="U119" s="190"/>
      <c r="V119" s="190"/>
      <c r="W119" s="190"/>
      <c r="X119" s="190"/>
      <c r="Y119" s="190"/>
      <c r="Z119" s="190"/>
      <c r="AA119" s="190"/>
      <c r="AB119" s="190"/>
      <c r="AC119" s="190"/>
      <c r="AD119" s="190"/>
      <c r="AE119" s="190"/>
      <c r="AF119" s="190"/>
      <c r="AG119" s="190"/>
      <c r="AH119" s="190"/>
      <c r="AI119" s="190"/>
      <c r="AJ119" s="190"/>
      <c r="AK119" s="190"/>
      <c r="AL119" s="190"/>
      <c r="AM119" s="190"/>
      <c r="AN119" s="190"/>
      <c r="AO119" s="190"/>
      <c r="AP119" s="190"/>
      <c r="AQ119" s="190"/>
      <c r="AR119" s="190"/>
      <c r="AS119" s="190"/>
      <c r="AT119" s="190"/>
      <c r="AU119" s="190"/>
      <c r="AV119" s="190"/>
      <c r="AW119" s="190"/>
      <c r="AX119" s="190"/>
      <c r="AY119" s="190"/>
      <c r="AZ119" s="190"/>
      <c r="BA119" s="190"/>
      <c r="BB119" s="190"/>
      <c r="BC119" s="190"/>
      <c r="BD119" s="190"/>
      <c r="BE119" s="190"/>
      <c r="BF119" s="190"/>
      <c r="BG119" s="190"/>
      <c r="BH119" s="190"/>
      <c r="BI119" s="190"/>
      <c r="BJ119" s="190"/>
      <c r="BK119" s="190"/>
      <c r="BL119" s="190"/>
      <c r="BM119" s="190"/>
      <c r="BN119" s="190"/>
      <c r="BO119" s="190"/>
      <c r="BP119" s="190"/>
      <c r="BQ119" s="190"/>
      <c r="BR119" s="190"/>
      <c r="BS119" s="190"/>
      <c r="BT119" s="190"/>
      <c r="BU119" s="190"/>
      <c r="BV119" s="190"/>
      <c r="BW119" s="190"/>
      <c r="BX119" s="190"/>
      <c r="BY119" s="190"/>
      <c r="BZ119" s="190"/>
      <c r="CA119" s="190"/>
      <c r="CB119" s="190"/>
      <c r="CC119" s="190"/>
      <c r="CD119" s="190"/>
      <c r="CE119" s="190"/>
      <c r="CF119" s="190"/>
      <c r="CG119" s="190"/>
      <c r="CH119" s="190"/>
      <c r="CI119" s="190"/>
      <c r="CJ119" s="190"/>
      <c r="CK119" s="190"/>
      <c r="CL119" s="190"/>
      <c r="CM119" s="190"/>
      <c r="CN119" s="190"/>
      <c r="CO119" s="190"/>
      <c r="CP119" s="190"/>
      <c r="CQ119" s="190"/>
      <c r="CR119" s="190"/>
      <c r="CS119" s="190"/>
      <c r="CT119" s="190"/>
      <c r="CU119" s="190"/>
      <c r="CV119" s="190"/>
      <c r="CW119" s="190"/>
      <c r="CX119" s="190"/>
      <c r="CY119" s="190"/>
      <c r="CZ119" s="190"/>
      <c r="DA119" s="190"/>
      <c r="DB119" s="190"/>
      <c r="DC119" s="190"/>
      <c r="DD119" s="190"/>
      <c r="DE119" s="190"/>
      <c r="DF119" s="190"/>
      <c r="DG119" s="190"/>
      <c r="DH119" s="190"/>
      <c r="DI119" s="190"/>
      <c r="DJ119" s="190"/>
      <c r="DK119" s="190"/>
      <c r="DL119" s="190"/>
      <c r="DM119" s="190"/>
      <c r="DN119" s="190"/>
      <c r="DO119" s="190"/>
      <c r="DP119" s="190"/>
      <c r="DQ119" s="190"/>
      <c r="DR119" s="190"/>
      <c r="DS119" s="190"/>
      <c r="DT119" s="190"/>
      <c r="DU119" s="190"/>
      <c r="DV119" s="190"/>
      <c r="DW119" s="190"/>
      <c r="DX119" s="190"/>
      <c r="DY119" s="190"/>
      <c r="DZ119" s="190"/>
      <c r="EA119" s="190"/>
      <c r="EB119" s="190"/>
      <c r="EC119" s="190"/>
      <c r="ED119" s="190"/>
      <c r="EE119" s="190"/>
      <c r="EF119" s="190"/>
      <c r="EG119" s="190"/>
      <c r="EH119" s="190"/>
      <c r="EI119" s="190"/>
      <c r="EJ119" s="190"/>
      <c r="EK119" s="190"/>
      <c r="EL119" s="190"/>
      <c r="EM119" s="190"/>
      <c r="EN119" s="190"/>
    </row>
    <row r="120" spans="1:144" s="65" customFormat="1">
      <c r="A120" s="189"/>
      <c r="B120" s="190"/>
      <c r="C120" s="190"/>
      <c r="D120" s="190"/>
      <c r="E120" s="190"/>
      <c r="F120" s="190"/>
      <c r="G120" s="190"/>
      <c r="H120" s="190"/>
      <c r="I120" s="190"/>
      <c r="J120" s="190"/>
      <c r="K120" s="190"/>
      <c r="L120" s="190"/>
      <c r="M120" s="190"/>
      <c r="N120" s="190"/>
      <c r="O120" s="190"/>
      <c r="P120" s="190"/>
      <c r="Q120" s="190"/>
      <c r="R120" s="190"/>
      <c r="S120" s="190"/>
      <c r="T120" s="190"/>
      <c r="U120" s="190"/>
      <c r="V120" s="190"/>
      <c r="W120" s="190"/>
      <c r="X120" s="190"/>
      <c r="Y120" s="190"/>
      <c r="Z120" s="190"/>
      <c r="AA120" s="190"/>
      <c r="AB120" s="190"/>
      <c r="AC120" s="190"/>
      <c r="AD120" s="190"/>
      <c r="AE120" s="190"/>
      <c r="AF120" s="190"/>
      <c r="AG120" s="190"/>
      <c r="AH120" s="190"/>
      <c r="AI120" s="190"/>
      <c r="AJ120" s="190"/>
      <c r="AK120" s="190"/>
      <c r="AL120" s="190"/>
      <c r="AM120" s="190"/>
      <c r="AN120" s="190"/>
      <c r="AO120" s="190"/>
      <c r="AP120" s="190"/>
      <c r="AQ120" s="190"/>
      <c r="AR120" s="190"/>
      <c r="AS120" s="190"/>
      <c r="AT120" s="190"/>
      <c r="AU120" s="190"/>
      <c r="AV120" s="190"/>
      <c r="AW120" s="190"/>
      <c r="AX120" s="190"/>
      <c r="AY120" s="190"/>
      <c r="AZ120" s="190"/>
      <c r="BA120" s="190"/>
      <c r="BB120" s="190"/>
      <c r="BC120" s="190"/>
      <c r="BD120" s="190"/>
      <c r="BE120" s="190"/>
      <c r="BF120" s="190"/>
      <c r="BG120" s="190"/>
      <c r="BH120" s="190"/>
      <c r="BI120" s="190"/>
      <c r="BJ120" s="190"/>
      <c r="BK120" s="190"/>
      <c r="BL120" s="190"/>
      <c r="BM120" s="190"/>
      <c r="BN120" s="190"/>
      <c r="BO120" s="190"/>
      <c r="BP120" s="190"/>
      <c r="BQ120" s="190"/>
      <c r="BR120" s="190"/>
      <c r="BS120" s="190"/>
      <c r="BT120" s="190"/>
      <c r="BU120" s="190"/>
      <c r="BV120" s="190"/>
      <c r="BW120" s="190"/>
      <c r="BX120" s="190"/>
      <c r="BY120" s="190"/>
      <c r="BZ120" s="190"/>
      <c r="CA120" s="190"/>
      <c r="CB120" s="190"/>
      <c r="CC120" s="190"/>
      <c r="CD120" s="190"/>
      <c r="CE120" s="190"/>
      <c r="CF120" s="190"/>
      <c r="CG120" s="190"/>
      <c r="CH120" s="190"/>
      <c r="CI120" s="190"/>
      <c r="CJ120" s="190"/>
      <c r="CK120" s="190"/>
      <c r="CL120" s="190"/>
      <c r="CM120" s="190"/>
      <c r="CN120" s="190"/>
      <c r="CO120" s="190"/>
      <c r="CP120" s="190"/>
      <c r="CQ120" s="190"/>
      <c r="CR120" s="190"/>
      <c r="CS120" s="190"/>
      <c r="CT120" s="190"/>
      <c r="CU120" s="190"/>
      <c r="CV120" s="190"/>
      <c r="CW120" s="190"/>
      <c r="CX120" s="190"/>
      <c r="CY120" s="190"/>
      <c r="CZ120" s="190"/>
      <c r="DA120" s="190"/>
      <c r="DB120" s="190"/>
      <c r="DC120" s="190"/>
      <c r="DD120" s="190"/>
      <c r="DE120" s="190"/>
      <c r="DF120" s="190"/>
      <c r="DG120" s="190"/>
      <c r="DH120" s="190"/>
      <c r="DI120" s="190"/>
      <c r="DJ120" s="190"/>
      <c r="DK120" s="190"/>
      <c r="DL120" s="190"/>
      <c r="DM120" s="190"/>
      <c r="DN120" s="190"/>
      <c r="DO120" s="190"/>
      <c r="DP120" s="190"/>
      <c r="DQ120" s="190"/>
      <c r="DR120" s="190"/>
      <c r="DS120" s="190"/>
      <c r="DT120" s="190"/>
      <c r="DU120" s="190"/>
      <c r="DV120" s="190"/>
      <c r="DW120" s="190"/>
      <c r="DX120" s="190"/>
      <c r="DY120" s="190"/>
      <c r="DZ120" s="190"/>
      <c r="EA120" s="190"/>
      <c r="EB120" s="190"/>
      <c r="EC120" s="190"/>
      <c r="ED120" s="190"/>
      <c r="EE120" s="190"/>
      <c r="EF120" s="190"/>
      <c r="EG120" s="190"/>
      <c r="EH120" s="190"/>
      <c r="EI120" s="190"/>
      <c r="EJ120" s="190"/>
      <c r="EK120" s="190"/>
      <c r="EL120" s="190"/>
      <c r="EM120" s="190"/>
      <c r="EN120" s="190"/>
    </row>
    <row r="121" spans="1:144" s="65" customFormat="1">
      <c r="A121" s="189"/>
      <c r="B121" s="190"/>
      <c r="C121" s="190"/>
      <c r="D121" s="190"/>
      <c r="E121" s="190"/>
      <c r="F121" s="190"/>
      <c r="G121" s="190"/>
      <c r="H121" s="190"/>
      <c r="I121" s="190"/>
      <c r="J121" s="190"/>
      <c r="K121" s="190"/>
      <c r="L121" s="190"/>
      <c r="M121" s="190"/>
      <c r="N121" s="190"/>
      <c r="O121" s="190"/>
      <c r="P121" s="190"/>
      <c r="Q121" s="190"/>
      <c r="R121" s="190"/>
      <c r="S121" s="190"/>
      <c r="T121" s="190"/>
      <c r="U121" s="190"/>
      <c r="V121" s="190"/>
      <c r="W121" s="190"/>
      <c r="X121" s="190"/>
      <c r="Y121" s="190"/>
      <c r="Z121" s="190"/>
      <c r="AA121" s="190"/>
      <c r="AB121" s="190"/>
      <c r="AC121" s="190"/>
      <c r="AD121" s="190"/>
      <c r="AE121" s="190"/>
      <c r="AF121" s="190"/>
      <c r="AG121" s="190"/>
      <c r="AH121" s="190"/>
      <c r="AI121" s="190"/>
      <c r="AJ121" s="190"/>
      <c r="AK121" s="190"/>
      <c r="AL121" s="190"/>
      <c r="AM121" s="190"/>
      <c r="AN121" s="190"/>
      <c r="AO121" s="190"/>
      <c r="AP121" s="190"/>
      <c r="AQ121" s="190"/>
      <c r="AR121" s="190"/>
      <c r="AS121" s="190"/>
      <c r="AT121" s="190"/>
      <c r="AU121" s="190"/>
      <c r="AV121" s="190"/>
      <c r="AW121" s="190"/>
      <c r="AX121" s="190"/>
      <c r="AY121" s="190"/>
      <c r="AZ121" s="190"/>
      <c r="BA121" s="190"/>
      <c r="BB121" s="190"/>
      <c r="BC121" s="190"/>
      <c r="BD121" s="190"/>
      <c r="BE121" s="190"/>
      <c r="BF121" s="190"/>
      <c r="BG121" s="190"/>
      <c r="BH121" s="190"/>
      <c r="BI121" s="190"/>
      <c r="BJ121" s="190"/>
      <c r="BK121" s="190"/>
      <c r="BL121" s="190"/>
      <c r="BM121" s="190"/>
      <c r="BN121" s="190"/>
      <c r="BO121" s="190"/>
      <c r="BP121" s="190"/>
      <c r="BQ121" s="190"/>
      <c r="BR121" s="190"/>
      <c r="BS121" s="190"/>
      <c r="BT121" s="190"/>
      <c r="BU121" s="190"/>
      <c r="BV121" s="190"/>
      <c r="BW121" s="190"/>
      <c r="BX121" s="190"/>
      <c r="BY121" s="190"/>
      <c r="BZ121" s="190"/>
      <c r="CA121" s="190"/>
      <c r="CB121" s="190"/>
      <c r="CC121" s="190"/>
      <c r="CD121" s="190"/>
      <c r="CE121" s="190"/>
      <c r="CF121" s="190"/>
      <c r="CG121" s="190"/>
      <c r="CH121" s="190"/>
      <c r="CI121" s="190"/>
      <c r="CJ121" s="190"/>
      <c r="CK121" s="190"/>
      <c r="CL121" s="190"/>
      <c r="CM121" s="190"/>
      <c r="CN121" s="190"/>
      <c r="CO121" s="190"/>
      <c r="CP121" s="190"/>
      <c r="CQ121" s="190"/>
      <c r="CR121" s="190"/>
      <c r="CS121" s="190"/>
      <c r="CT121" s="190"/>
      <c r="CU121" s="190"/>
      <c r="CV121" s="190"/>
      <c r="CW121" s="190"/>
      <c r="CX121" s="190"/>
      <c r="CY121" s="190"/>
      <c r="CZ121" s="190"/>
      <c r="DA121" s="190"/>
      <c r="DB121" s="190"/>
      <c r="DC121" s="190"/>
      <c r="DD121" s="190"/>
      <c r="DE121" s="190"/>
      <c r="DF121" s="190"/>
      <c r="DG121" s="190"/>
      <c r="DH121" s="190"/>
      <c r="DI121" s="190"/>
      <c r="DJ121" s="190"/>
      <c r="DK121" s="190"/>
      <c r="DL121" s="190"/>
      <c r="DM121" s="190"/>
      <c r="DN121" s="190"/>
      <c r="DO121" s="190"/>
      <c r="DP121" s="190"/>
      <c r="DQ121" s="190"/>
      <c r="DR121" s="190"/>
      <c r="DS121" s="190"/>
      <c r="DT121" s="190"/>
      <c r="DU121" s="190"/>
      <c r="DV121" s="190"/>
      <c r="DW121" s="190"/>
      <c r="DX121" s="190"/>
      <c r="DY121" s="190"/>
      <c r="DZ121" s="190"/>
      <c r="EA121" s="190"/>
      <c r="EB121" s="190"/>
      <c r="EC121" s="190"/>
      <c r="ED121" s="190"/>
      <c r="EE121" s="190"/>
      <c r="EF121" s="190"/>
      <c r="EG121" s="190"/>
      <c r="EH121" s="190"/>
      <c r="EI121" s="190"/>
      <c r="EJ121" s="190"/>
      <c r="EK121" s="190"/>
      <c r="EL121" s="190"/>
      <c r="EM121" s="190"/>
      <c r="EN121" s="190"/>
    </row>
    <row r="122" spans="1:144" s="65" customFormat="1">
      <c r="A122" s="189"/>
      <c r="B122" s="190"/>
      <c r="C122" s="190"/>
      <c r="D122" s="190"/>
      <c r="E122" s="190"/>
      <c r="F122" s="190"/>
      <c r="G122" s="190"/>
      <c r="H122" s="190"/>
      <c r="I122" s="190"/>
      <c r="J122" s="190"/>
      <c r="K122" s="190"/>
      <c r="L122" s="190"/>
      <c r="M122" s="190"/>
      <c r="N122" s="190"/>
      <c r="O122" s="190"/>
      <c r="P122" s="190"/>
      <c r="Q122" s="190"/>
      <c r="R122" s="190"/>
      <c r="S122" s="190"/>
      <c r="T122" s="190"/>
      <c r="U122" s="190"/>
      <c r="V122" s="190"/>
      <c r="W122" s="190"/>
      <c r="X122" s="190"/>
      <c r="Y122" s="190"/>
      <c r="Z122" s="190"/>
      <c r="AA122" s="190"/>
      <c r="AB122" s="190"/>
      <c r="AC122" s="190"/>
      <c r="AD122" s="190"/>
      <c r="AE122" s="190"/>
      <c r="AF122" s="190"/>
      <c r="AG122" s="190"/>
      <c r="AH122" s="190"/>
      <c r="AI122" s="190"/>
      <c r="AJ122" s="190"/>
      <c r="AK122" s="190"/>
      <c r="AL122" s="190"/>
      <c r="AM122" s="190"/>
      <c r="AN122" s="190"/>
      <c r="AO122" s="190"/>
      <c r="AP122" s="190"/>
      <c r="AQ122" s="190"/>
      <c r="AR122" s="190"/>
      <c r="AS122" s="190"/>
      <c r="AT122" s="190"/>
      <c r="AU122" s="190"/>
      <c r="AV122" s="190"/>
      <c r="AW122" s="190"/>
      <c r="AX122" s="190"/>
      <c r="AY122" s="190"/>
      <c r="AZ122" s="190"/>
      <c r="BA122" s="190"/>
      <c r="BB122" s="190"/>
      <c r="BC122" s="190"/>
      <c r="BD122" s="190"/>
      <c r="BE122" s="190"/>
      <c r="BF122" s="190"/>
      <c r="BG122" s="190"/>
      <c r="BH122" s="190"/>
      <c r="BI122" s="190"/>
      <c r="BJ122" s="190"/>
      <c r="BK122" s="190"/>
      <c r="BL122" s="190"/>
      <c r="BM122" s="190"/>
      <c r="BN122" s="190"/>
      <c r="BO122" s="190"/>
      <c r="BP122" s="190"/>
      <c r="BQ122" s="190"/>
      <c r="BR122" s="190"/>
      <c r="BS122" s="190"/>
      <c r="BT122" s="190"/>
      <c r="BU122" s="190"/>
      <c r="BV122" s="190"/>
      <c r="BW122" s="190"/>
      <c r="BX122" s="190"/>
      <c r="BY122" s="190"/>
      <c r="BZ122" s="190"/>
      <c r="CA122" s="190"/>
      <c r="CB122" s="190"/>
      <c r="CC122" s="190"/>
      <c r="CD122" s="190"/>
      <c r="CE122" s="190"/>
      <c r="CF122" s="190"/>
      <c r="CG122" s="190"/>
      <c r="CH122" s="190"/>
      <c r="CI122" s="190"/>
      <c r="CJ122" s="190"/>
      <c r="CK122" s="190"/>
      <c r="CL122" s="190"/>
      <c r="CM122" s="190"/>
      <c r="CN122" s="190"/>
      <c r="CO122" s="190"/>
      <c r="CP122" s="190"/>
      <c r="CQ122" s="190"/>
      <c r="CR122" s="190"/>
      <c r="CS122" s="190"/>
      <c r="CT122" s="190"/>
      <c r="CU122" s="190"/>
      <c r="CV122" s="190"/>
      <c r="CW122" s="190"/>
      <c r="CX122" s="190"/>
      <c r="CY122" s="190"/>
      <c r="CZ122" s="190"/>
      <c r="DA122" s="190"/>
      <c r="DB122" s="190"/>
      <c r="DC122" s="190"/>
      <c r="DD122" s="190"/>
      <c r="DE122" s="190"/>
      <c r="DF122" s="190"/>
      <c r="DG122" s="190"/>
      <c r="DH122" s="190"/>
      <c r="DI122" s="190"/>
      <c r="DJ122" s="190"/>
      <c r="DK122" s="190"/>
      <c r="DL122" s="190"/>
      <c r="DM122" s="190"/>
      <c r="DN122" s="190"/>
      <c r="DO122" s="190"/>
      <c r="DP122" s="190"/>
      <c r="DQ122" s="190"/>
      <c r="DR122" s="190"/>
      <c r="DS122" s="190"/>
      <c r="DT122" s="190"/>
      <c r="DU122" s="190"/>
      <c r="DV122" s="190"/>
      <c r="DW122" s="190"/>
      <c r="DX122" s="190"/>
      <c r="DY122" s="190"/>
      <c r="DZ122" s="190"/>
      <c r="EA122" s="190"/>
      <c r="EB122" s="190"/>
      <c r="EC122" s="190"/>
      <c r="ED122" s="190"/>
      <c r="EE122" s="190"/>
      <c r="EF122" s="190"/>
      <c r="EG122" s="190"/>
      <c r="EH122" s="190"/>
      <c r="EI122" s="190"/>
      <c r="EJ122" s="190"/>
      <c r="EK122" s="190"/>
      <c r="EL122" s="190"/>
      <c r="EM122" s="190"/>
      <c r="EN122" s="190"/>
    </row>
    <row r="123" spans="1:144" s="65" customFormat="1">
      <c r="A123" s="189"/>
      <c r="B123" s="190"/>
      <c r="C123" s="190"/>
      <c r="D123" s="190"/>
      <c r="E123" s="190"/>
      <c r="F123" s="190"/>
      <c r="G123" s="190"/>
      <c r="H123" s="190"/>
      <c r="I123" s="190"/>
      <c r="J123" s="190"/>
      <c r="K123" s="190"/>
      <c r="L123" s="190"/>
      <c r="M123" s="190"/>
      <c r="N123" s="190"/>
      <c r="O123" s="190"/>
      <c r="P123" s="190"/>
      <c r="Q123" s="190"/>
      <c r="R123" s="190"/>
      <c r="S123" s="190"/>
      <c r="T123" s="190"/>
      <c r="U123" s="190"/>
      <c r="V123" s="190"/>
      <c r="W123" s="190"/>
      <c r="X123" s="190"/>
      <c r="Y123" s="190"/>
      <c r="Z123" s="190"/>
      <c r="AA123" s="190"/>
      <c r="AB123" s="190"/>
      <c r="AC123" s="190"/>
      <c r="AD123" s="190"/>
      <c r="AE123" s="190"/>
      <c r="AF123" s="190"/>
      <c r="AG123" s="190"/>
      <c r="AH123" s="190"/>
      <c r="AI123" s="190"/>
      <c r="AJ123" s="190"/>
      <c r="AK123" s="190"/>
      <c r="AL123" s="190"/>
      <c r="AM123" s="190"/>
      <c r="AN123" s="190"/>
      <c r="AO123" s="190"/>
      <c r="AP123" s="190"/>
      <c r="AQ123" s="190"/>
      <c r="AR123" s="190"/>
      <c r="AS123" s="190"/>
      <c r="AT123" s="190"/>
      <c r="AU123" s="190"/>
      <c r="AV123" s="190"/>
      <c r="AW123" s="190"/>
      <c r="AX123" s="190"/>
      <c r="AY123" s="190"/>
      <c r="AZ123" s="190"/>
      <c r="BA123" s="190"/>
      <c r="BB123" s="190"/>
      <c r="BC123" s="190"/>
      <c r="BD123" s="190"/>
      <c r="BE123" s="190"/>
      <c r="BF123" s="190"/>
      <c r="BG123" s="190"/>
      <c r="BH123" s="190"/>
      <c r="BI123" s="190"/>
      <c r="BJ123" s="190"/>
      <c r="BK123" s="190"/>
      <c r="BL123" s="190"/>
      <c r="BM123" s="190"/>
      <c r="BN123" s="190"/>
      <c r="BO123" s="190"/>
      <c r="BP123" s="190"/>
      <c r="BQ123" s="190"/>
      <c r="BR123" s="190"/>
      <c r="BS123" s="190"/>
      <c r="BT123" s="190"/>
      <c r="BU123" s="190"/>
      <c r="BV123" s="190"/>
      <c r="BW123" s="190"/>
      <c r="BX123" s="190"/>
      <c r="BY123" s="190"/>
      <c r="BZ123" s="190"/>
      <c r="CA123" s="190"/>
      <c r="CB123" s="190"/>
      <c r="CC123" s="190"/>
      <c r="CD123" s="190"/>
      <c r="CE123" s="190"/>
      <c r="CF123" s="190"/>
      <c r="CG123" s="190"/>
      <c r="CH123" s="190"/>
      <c r="CI123" s="190"/>
      <c r="CJ123" s="190"/>
      <c r="CK123" s="190"/>
      <c r="CL123" s="190"/>
      <c r="CM123" s="190"/>
      <c r="CN123" s="190"/>
      <c r="CO123" s="190"/>
      <c r="CP123" s="190"/>
      <c r="CQ123" s="190"/>
      <c r="CR123" s="190"/>
      <c r="CS123" s="190"/>
      <c r="CT123" s="190"/>
      <c r="CU123" s="190"/>
      <c r="CV123" s="190"/>
      <c r="CW123" s="190"/>
      <c r="CX123" s="190"/>
      <c r="CY123" s="190"/>
      <c r="CZ123" s="190"/>
      <c r="DA123" s="190"/>
      <c r="DB123" s="190"/>
      <c r="DC123" s="190"/>
      <c r="DD123" s="190"/>
      <c r="DE123" s="190"/>
      <c r="DF123" s="190"/>
      <c r="DG123" s="190"/>
      <c r="DH123" s="190"/>
      <c r="DI123" s="190"/>
      <c r="DJ123" s="190"/>
      <c r="DK123" s="190"/>
      <c r="DL123" s="190"/>
      <c r="DM123" s="190"/>
      <c r="DN123" s="190"/>
      <c r="DO123" s="190"/>
      <c r="DP123" s="190"/>
      <c r="DQ123" s="190"/>
      <c r="DR123" s="190"/>
      <c r="DS123" s="190"/>
      <c r="DT123" s="190"/>
      <c r="DU123" s="190"/>
      <c r="DV123" s="190"/>
      <c r="DW123" s="190"/>
      <c r="DX123" s="190"/>
      <c r="DY123" s="190"/>
      <c r="DZ123" s="190"/>
      <c r="EA123" s="190"/>
      <c r="EB123" s="190"/>
      <c r="EC123" s="190"/>
      <c r="ED123" s="190"/>
      <c r="EE123" s="190"/>
      <c r="EF123" s="190"/>
      <c r="EG123" s="190"/>
      <c r="EH123" s="190"/>
      <c r="EI123" s="190"/>
      <c r="EJ123" s="190"/>
      <c r="EK123" s="190"/>
      <c r="EL123" s="190"/>
      <c r="EM123" s="190"/>
      <c r="EN123" s="190"/>
    </row>
    <row r="124" spans="1:144" s="65" customFormat="1">
      <c r="A124" s="189"/>
      <c r="B124" s="190"/>
      <c r="C124" s="190"/>
      <c r="D124" s="190"/>
      <c r="E124" s="190"/>
      <c r="F124" s="190"/>
      <c r="G124" s="190"/>
      <c r="H124" s="190"/>
      <c r="I124" s="190"/>
      <c r="J124" s="190"/>
      <c r="K124" s="190"/>
      <c r="L124" s="190"/>
      <c r="M124" s="190"/>
      <c r="N124" s="190"/>
      <c r="O124" s="190"/>
      <c r="P124" s="190"/>
      <c r="Q124" s="190"/>
      <c r="R124" s="190"/>
      <c r="S124" s="190"/>
      <c r="T124" s="190"/>
      <c r="U124" s="190"/>
      <c r="V124" s="190"/>
      <c r="W124" s="190"/>
      <c r="X124" s="190"/>
      <c r="Y124" s="190"/>
      <c r="Z124" s="190"/>
      <c r="AA124" s="190"/>
      <c r="AB124" s="190"/>
      <c r="AC124" s="190"/>
      <c r="AD124" s="190"/>
      <c r="AE124" s="190"/>
      <c r="AF124" s="190"/>
      <c r="AG124" s="190"/>
      <c r="AH124" s="190"/>
      <c r="AI124" s="190"/>
      <c r="AJ124" s="190"/>
      <c r="AK124" s="190"/>
      <c r="AL124" s="190"/>
      <c r="AM124" s="190"/>
      <c r="AN124" s="190"/>
      <c r="AO124" s="190"/>
      <c r="AP124" s="190"/>
      <c r="AQ124" s="190"/>
      <c r="AR124" s="190"/>
      <c r="AS124" s="190"/>
      <c r="AT124" s="190"/>
      <c r="AU124" s="190"/>
      <c r="AV124" s="190"/>
      <c r="AW124" s="190"/>
      <c r="AX124" s="190"/>
      <c r="AY124" s="190"/>
      <c r="AZ124" s="190"/>
      <c r="BA124" s="190"/>
      <c r="BB124" s="190"/>
      <c r="BC124" s="190"/>
      <c r="BD124" s="190"/>
      <c r="BE124" s="190"/>
      <c r="BF124" s="190"/>
      <c r="BG124" s="190"/>
      <c r="BH124" s="190"/>
      <c r="BI124" s="190"/>
      <c r="BJ124" s="190"/>
      <c r="BK124" s="190"/>
      <c r="BL124" s="190"/>
      <c r="BM124" s="190"/>
      <c r="BN124" s="190"/>
      <c r="BO124" s="190"/>
      <c r="BP124" s="190"/>
      <c r="BQ124" s="190"/>
      <c r="BR124" s="190"/>
      <c r="BS124" s="190"/>
      <c r="BT124" s="190"/>
      <c r="BU124" s="190"/>
      <c r="BV124" s="190"/>
      <c r="BW124" s="190"/>
      <c r="BX124" s="190"/>
      <c r="BY124" s="190"/>
      <c r="BZ124" s="190"/>
      <c r="CA124" s="190"/>
      <c r="CB124" s="190"/>
      <c r="CC124" s="190"/>
      <c r="CD124" s="190"/>
      <c r="CE124" s="190"/>
      <c r="CF124" s="190"/>
      <c r="CG124" s="190"/>
      <c r="CH124" s="190"/>
      <c r="CI124" s="190"/>
      <c r="CJ124" s="190"/>
      <c r="CK124" s="190"/>
      <c r="CL124" s="190"/>
      <c r="CM124" s="190"/>
      <c r="CN124" s="190"/>
      <c r="CO124" s="190"/>
      <c r="CP124" s="190"/>
      <c r="CQ124" s="190"/>
      <c r="CR124" s="190"/>
      <c r="CS124" s="190"/>
      <c r="CT124" s="190"/>
      <c r="CU124" s="190"/>
      <c r="CV124" s="190"/>
      <c r="CW124" s="190"/>
      <c r="CX124" s="190"/>
      <c r="CY124" s="190"/>
      <c r="CZ124" s="190"/>
      <c r="DA124" s="190"/>
      <c r="DB124" s="190"/>
      <c r="DC124" s="190"/>
      <c r="DD124" s="190"/>
      <c r="DE124" s="190"/>
      <c r="DF124" s="190"/>
      <c r="DG124" s="190"/>
      <c r="DH124" s="190"/>
      <c r="DI124" s="190"/>
      <c r="DJ124" s="190"/>
      <c r="DK124" s="190"/>
      <c r="DL124" s="190"/>
      <c r="DM124" s="190"/>
      <c r="DN124" s="190"/>
      <c r="DO124" s="190"/>
      <c r="DP124" s="190"/>
      <c r="DQ124" s="190"/>
      <c r="DR124" s="190"/>
      <c r="DS124" s="190"/>
      <c r="DT124" s="190"/>
      <c r="DU124" s="190"/>
      <c r="DV124" s="190"/>
      <c r="DW124" s="190"/>
      <c r="DX124" s="190"/>
      <c r="DY124" s="190"/>
      <c r="DZ124" s="190"/>
      <c r="EA124" s="190"/>
      <c r="EB124" s="190"/>
      <c r="EC124" s="190"/>
      <c r="ED124" s="190"/>
      <c r="EE124" s="190"/>
      <c r="EF124" s="190"/>
      <c r="EG124" s="190"/>
      <c r="EH124" s="190"/>
      <c r="EI124" s="190"/>
      <c r="EJ124" s="190"/>
      <c r="EK124" s="190"/>
      <c r="EL124" s="190"/>
      <c r="EM124" s="190"/>
      <c r="EN124" s="190"/>
    </row>
    <row r="125" spans="1:144" s="65" customFormat="1">
      <c r="A125" s="189"/>
      <c r="B125" s="190"/>
      <c r="C125" s="190"/>
      <c r="D125" s="190"/>
      <c r="E125" s="190"/>
      <c r="F125" s="190"/>
      <c r="G125" s="190"/>
      <c r="H125" s="190"/>
      <c r="I125" s="190"/>
      <c r="J125" s="190"/>
      <c r="K125" s="190"/>
      <c r="L125" s="190"/>
      <c r="M125" s="190"/>
      <c r="N125" s="190"/>
      <c r="O125" s="190"/>
      <c r="P125" s="190"/>
      <c r="Q125" s="190"/>
      <c r="R125" s="190"/>
      <c r="S125" s="190"/>
      <c r="T125" s="190"/>
      <c r="U125" s="190"/>
      <c r="V125" s="190"/>
      <c r="W125" s="190"/>
      <c r="X125" s="190"/>
      <c r="Y125" s="190"/>
      <c r="Z125" s="190"/>
      <c r="AA125" s="190"/>
      <c r="AB125" s="190"/>
      <c r="AC125" s="190"/>
      <c r="AD125" s="190"/>
      <c r="AE125" s="190"/>
      <c r="AF125" s="190"/>
      <c r="AG125" s="190"/>
      <c r="AH125" s="190"/>
      <c r="AI125" s="190"/>
      <c r="AJ125" s="190"/>
      <c r="AK125" s="190"/>
      <c r="AL125" s="190"/>
      <c r="AM125" s="190"/>
      <c r="AN125" s="190"/>
      <c r="AO125" s="190"/>
      <c r="AP125" s="190"/>
      <c r="AQ125" s="190"/>
      <c r="AR125" s="190"/>
      <c r="AS125" s="190"/>
      <c r="AT125" s="190"/>
      <c r="AU125" s="190"/>
      <c r="AV125" s="190"/>
      <c r="AW125" s="190"/>
      <c r="AX125" s="190"/>
      <c r="AY125" s="190"/>
      <c r="AZ125" s="190"/>
      <c r="BA125" s="190"/>
      <c r="BB125" s="190"/>
      <c r="BC125" s="190"/>
      <c r="BD125" s="190"/>
      <c r="BE125" s="190"/>
      <c r="BF125" s="190"/>
      <c r="BG125" s="190"/>
      <c r="BH125" s="190"/>
      <c r="BI125" s="190"/>
      <c r="BJ125" s="190"/>
      <c r="BK125" s="190"/>
      <c r="BL125" s="190"/>
      <c r="BM125" s="190"/>
      <c r="BN125" s="190"/>
      <c r="BO125" s="190"/>
      <c r="BP125" s="190"/>
      <c r="BQ125" s="190"/>
      <c r="BR125" s="190"/>
      <c r="BS125" s="190"/>
      <c r="BT125" s="190"/>
      <c r="BU125" s="190"/>
      <c r="BV125" s="190"/>
      <c r="BW125" s="190"/>
      <c r="BX125" s="190"/>
      <c r="BY125" s="190"/>
      <c r="BZ125" s="190"/>
      <c r="CA125" s="190"/>
      <c r="CB125" s="190"/>
      <c r="CC125" s="190"/>
      <c r="CD125" s="190"/>
      <c r="CE125" s="190"/>
      <c r="CF125" s="190"/>
      <c r="CG125" s="190"/>
      <c r="CH125" s="190"/>
      <c r="CI125" s="190"/>
      <c r="CJ125" s="190"/>
      <c r="CK125" s="190"/>
      <c r="CL125" s="190"/>
      <c r="CM125" s="190"/>
      <c r="CN125" s="190"/>
      <c r="CO125" s="190"/>
      <c r="CP125" s="190"/>
      <c r="CQ125" s="190"/>
      <c r="CR125" s="190"/>
      <c r="CS125" s="190"/>
      <c r="CT125" s="190"/>
      <c r="CU125" s="190"/>
      <c r="CV125" s="190"/>
      <c r="CW125" s="190"/>
      <c r="CX125" s="190"/>
      <c r="CY125" s="190"/>
      <c r="CZ125" s="190"/>
      <c r="DA125" s="190"/>
      <c r="DB125" s="190"/>
      <c r="DC125" s="190"/>
      <c r="DD125" s="190"/>
      <c r="DE125" s="190"/>
      <c r="DF125" s="190"/>
      <c r="DG125" s="190"/>
      <c r="DH125" s="190"/>
      <c r="DI125" s="190"/>
      <c r="DJ125" s="190"/>
      <c r="DK125" s="190"/>
      <c r="DL125" s="190"/>
      <c r="DM125" s="190"/>
      <c r="DN125" s="190"/>
      <c r="DO125" s="190"/>
      <c r="DP125" s="190"/>
      <c r="DQ125" s="190"/>
      <c r="DR125" s="190"/>
      <c r="DS125" s="190"/>
      <c r="DT125" s="190"/>
      <c r="DU125" s="190"/>
      <c r="DV125" s="190"/>
      <c r="DW125" s="190"/>
      <c r="DX125" s="190"/>
      <c r="DY125" s="190"/>
      <c r="DZ125" s="190"/>
      <c r="EA125" s="190"/>
      <c r="EB125" s="190"/>
      <c r="EC125" s="190"/>
      <c r="ED125" s="190"/>
      <c r="EE125" s="190"/>
      <c r="EF125" s="190"/>
      <c r="EG125" s="190"/>
      <c r="EH125" s="190"/>
      <c r="EI125" s="190"/>
      <c r="EJ125" s="190"/>
      <c r="EK125" s="190"/>
      <c r="EL125" s="190"/>
      <c r="EM125" s="190"/>
      <c r="EN125" s="190"/>
    </row>
    <row r="126" spans="1:144" s="65" customFormat="1">
      <c r="A126" s="189"/>
      <c r="B126" s="190"/>
      <c r="C126" s="190"/>
      <c r="D126" s="190"/>
      <c r="E126" s="190"/>
      <c r="F126" s="190"/>
      <c r="G126" s="190"/>
      <c r="H126" s="190"/>
      <c r="I126" s="190"/>
      <c r="J126" s="190"/>
      <c r="K126" s="190"/>
      <c r="L126" s="190"/>
      <c r="M126" s="190"/>
      <c r="N126" s="190"/>
      <c r="O126" s="190"/>
      <c r="P126" s="190"/>
      <c r="Q126" s="190"/>
      <c r="R126" s="190"/>
      <c r="S126" s="190"/>
      <c r="T126" s="190"/>
      <c r="U126" s="190"/>
      <c r="V126" s="190"/>
      <c r="W126" s="190"/>
      <c r="X126" s="190"/>
      <c r="Y126" s="190"/>
      <c r="Z126" s="190"/>
      <c r="AA126" s="190"/>
      <c r="AB126" s="190"/>
      <c r="AC126" s="190"/>
      <c r="AD126" s="190"/>
      <c r="AE126" s="190"/>
      <c r="AF126" s="190"/>
      <c r="AG126" s="190"/>
      <c r="AH126" s="190"/>
      <c r="AI126" s="190"/>
      <c r="AJ126" s="190"/>
      <c r="AK126" s="190"/>
      <c r="AL126" s="190"/>
      <c r="AM126" s="190"/>
      <c r="AN126" s="190"/>
      <c r="AO126" s="190"/>
      <c r="AP126" s="190"/>
      <c r="AQ126" s="190"/>
      <c r="AR126" s="190"/>
      <c r="AS126" s="190"/>
      <c r="AT126" s="190"/>
      <c r="AU126" s="190"/>
      <c r="AV126" s="190"/>
      <c r="AW126" s="190"/>
      <c r="AX126" s="190"/>
      <c r="AY126" s="190"/>
      <c r="AZ126" s="190"/>
      <c r="BA126" s="190"/>
      <c r="BB126" s="190"/>
      <c r="BC126" s="190"/>
      <c r="BD126" s="190"/>
      <c r="BE126" s="190"/>
      <c r="BF126" s="190"/>
      <c r="BG126" s="190"/>
      <c r="BH126" s="190"/>
      <c r="BI126" s="190"/>
      <c r="BJ126" s="190"/>
      <c r="BK126" s="190"/>
      <c r="BL126" s="190"/>
      <c r="BM126" s="190"/>
      <c r="BN126" s="190"/>
      <c r="BO126" s="190"/>
      <c r="BP126" s="190"/>
      <c r="BQ126" s="190"/>
      <c r="BR126" s="190"/>
      <c r="BS126" s="190"/>
      <c r="BT126" s="190"/>
      <c r="BU126" s="190"/>
      <c r="BV126" s="190"/>
      <c r="BW126" s="190"/>
      <c r="BX126" s="190"/>
      <c r="BY126" s="190"/>
      <c r="BZ126" s="190"/>
      <c r="CA126" s="190"/>
      <c r="CB126" s="190"/>
      <c r="CC126" s="190"/>
      <c r="CD126" s="190"/>
      <c r="CE126" s="190"/>
      <c r="CF126" s="190"/>
      <c r="CG126" s="190"/>
      <c r="CH126" s="190"/>
      <c r="CI126" s="190"/>
      <c r="CJ126" s="190"/>
      <c r="CK126" s="190"/>
      <c r="CL126" s="190"/>
      <c r="CM126" s="190"/>
      <c r="CN126" s="190"/>
      <c r="CO126" s="190"/>
      <c r="CP126" s="190"/>
      <c r="CQ126" s="190"/>
      <c r="CR126" s="190"/>
      <c r="CS126" s="190"/>
      <c r="CT126" s="190"/>
      <c r="CU126" s="190"/>
      <c r="CV126" s="190"/>
      <c r="CW126" s="190"/>
      <c r="CX126" s="190"/>
      <c r="CY126" s="190"/>
      <c r="CZ126" s="190"/>
      <c r="DA126" s="190"/>
      <c r="DB126" s="190"/>
      <c r="DC126" s="190"/>
      <c r="DD126" s="190"/>
      <c r="DE126" s="190"/>
      <c r="DF126" s="190"/>
      <c r="DG126" s="190"/>
      <c r="DH126" s="190"/>
      <c r="DI126" s="190"/>
      <c r="DJ126" s="190"/>
      <c r="DK126" s="190"/>
      <c r="DL126" s="190"/>
      <c r="DM126" s="190"/>
      <c r="DN126" s="190"/>
      <c r="DO126" s="190"/>
      <c r="DP126" s="190"/>
      <c r="DQ126" s="190"/>
      <c r="DR126" s="190"/>
      <c r="DS126" s="190"/>
      <c r="DT126" s="190"/>
      <c r="DU126" s="190"/>
      <c r="DV126" s="190"/>
      <c r="DW126" s="190"/>
      <c r="DX126" s="190"/>
      <c r="DY126" s="190"/>
      <c r="DZ126" s="190"/>
      <c r="EA126" s="190"/>
      <c r="EB126" s="190"/>
      <c r="EC126" s="190"/>
      <c r="ED126" s="190"/>
      <c r="EE126" s="190"/>
      <c r="EF126" s="190"/>
      <c r="EG126" s="190"/>
      <c r="EH126" s="190"/>
      <c r="EI126" s="190"/>
      <c r="EJ126" s="190"/>
      <c r="EK126" s="190"/>
      <c r="EL126" s="190"/>
      <c r="EM126" s="190"/>
      <c r="EN126" s="190"/>
    </row>
    <row r="127" spans="1:144" s="65" customFormat="1">
      <c r="A127" s="189"/>
      <c r="B127" s="190"/>
      <c r="C127" s="190"/>
      <c r="D127" s="190"/>
      <c r="E127" s="190"/>
      <c r="F127" s="190"/>
      <c r="G127" s="190"/>
      <c r="H127" s="190"/>
      <c r="I127" s="190"/>
      <c r="J127" s="190"/>
      <c r="K127" s="190"/>
      <c r="L127" s="190"/>
      <c r="M127" s="190"/>
      <c r="N127" s="190"/>
      <c r="O127" s="190"/>
      <c r="P127" s="190"/>
      <c r="Q127" s="190"/>
      <c r="R127" s="190"/>
      <c r="S127" s="190"/>
      <c r="T127" s="190"/>
      <c r="U127" s="190"/>
      <c r="V127" s="190"/>
      <c r="W127" s="190"/>
      <c r="X127" s="190"/>
      <c r="Y127" s="190"/>
      <c r="Z127" s="190"/>
      <c r="AA127" s="190"/>
      <c r="AB127" s="190"/>
      <c r="AC127" s="190"/>
      <c r="AD127" s="190"/>
      <c r="AE127" s="190"/>
      <c r="AF127" s="190"/>
      <c r="AG127" s="190"/>
      <c r="AH127" s="190"/>
      <c r="AI127" s="190"/>
      <c r="AJ127" s="190"/>
      <c r="AK127" s="190"/>
      <c r="AL127" s="190"/>
      <c r="AM127" s="190"/>
      <c r="AN127" s="190"/>
      <c r="AO127" s="190"/>
      <c r="AP127" s="190"/>
      <c r="AQ127" s="190"/>
      <c r="AR127" s="190"/>
      <c r="AS127" s="190"/>
      <c r="AT127" s="190"/>
      <c r="AU127" s="190"/>
      <c r="AV127" s="190"/>
      <c r="AW127" s="190"/>
      <c r="AX127" s="190"/>
      <c r="AY127" s="190"/>
      <c r="AZ127" s="190"/>
      <c r="BA127" s="190"/>
      <c r="BB127" s="190"/>
      <c r="BC127" s="190"/>
      <c r="BD127" s="190"/>
      <c r="BE127" s="190"/>
      <c r="BF127" s="190"/>
      <c r="BG127" s="190"/>
      <c r="BH127" s="190"/>
      <c r="BI127" s="190"/>
      <c r="BJ127" s="190"/>
      <c r="BK127" s="190"/>
      <c r="BL127" s="190"/>
      <c r="BM127" s="190"/>
      <c r="BN127" s="190"/>
      <c r="BO127" s="190"/>
      <c r="BP127" s="190"/>
      <c r="BQ127" s="190"/>
      <c r="BR127" s="190"/>
      <c r="BS127" s="190"/>
      <c r="BT127" s="190"/>
      <c r="BU127" s="190"/>
      <c r="BV127" s="190"/>
      <c r="BW127" s="190"/>
      <c r="BX127" s="190"/>
      <c r="BY127" s="190"/>
      <c r="BZ127" s="190"/>
      <c r="CA127" s="190"/>
      <c r="CB127" s="190"/>
      <c r="CC127" s="190"/>
      <c r="CD127" s="190"/>
      <c r="CE127" s="190"/>
      <c r="CF127" s="190"/>
      <c r="CG127" s="190"/>
      <c r="CH127" s="190"/>
      <c r="CI127" s="190"/>
      <c r="CJ127" s="190"/>
      <c r="CK127" s="190"/>
      <c r="CL127" s="190"/>
      <c r="CM127" s="190"/>
      <c r="CN127" s="190"/>
      <c r="CO127" s="190"/>
      <c r="CP127" s="190"/>
      <c r="CQ127" s="190"/>
      <c r="CR127" s="190"/>
      <c r="CS127" s="190"/>
      <c r="CT127" s="190"/>
      <c r="CU127" s="190"/>
      <c r="CV127" s="190"/>
      <c r="CW127" s="190"/>
      <c r="CX127" s="190"/>
      <c r="CY127" s="190"/>
      <c r="CZ127" s="190"/>
      <c r="DA127" s="190"/>
      <c r="DB127" s="190"/>
      <c r="DC127" s="190"/>
      <c r="DD127" s="190"/>
      <c r="DE127" s="190"/>
      <c r="DF127" s="190"/>
      <c r="DG127" s="190"/>
      <c r="DH127" s="190"/>
      <c r="DI127" s="190"/>
      <c r="DJ127" s="190"/>
      <c r="DK127" s="190"/>
      <c r="DL127" s="190"/>
      <c r="DM127" s="190"/>
      <c r="DN127" s="190"/>
      <c r="DO127" s="190"/>
      <c r="DP127" s="190"/>
      <c r="DQ127" s="190"/>
      <c r="DR127" s="190"/>
      <c r="DS127" s="190"/>
      <c r="DT127" s="190"/>
      <c r="DU127" s="190"/>
      <c r="DV127" s="190"/>
      <c r="DW127" s="190"/>
      <c r="DX127" s="190"/>
      <c r="DY127" s="190"/>
      <c r="DZ127" s="190"/>
      <c r="EA127" s="190"/>
      <c r="EB127" s="190"/>
      <c r="EC127" s="190"/>
      <c r="ED127" s="190"/>
      <c r="EE127" s="190"/>
      <c r="EF127" s="190"/>
      <c r="EG127" s="190"/>
      <c r="EH127" s="190"/>
      <c r="EI127" s="190"/>
      <c r="EJ127" s="190"/>
      <c r="EK127" s="190"/>
      <c r="EL127" s="190"/>
      <c r="EM127" s="190"/>
      <c r="EN127" s="190"/>
    </row>
    <row r="128" spans="1:144" s="65" customFormat="1">
      <c r="A128" s="189"/>
      <c r="B128" s="190"/>
      <c r="C128" s="190"/>
      <c r="D128" s="190"/>
      <c r="E128" s="190"/>
      <c r="F128" s="190"/>
      <c r="G128" s="190"/>
      <c r="H128" s="190"/>
      <c r="I128" s="190"/>
      <c r="J128" s="190"/>
      <c r="K128" s="190"/>
      <c r="L128" s="190"/>
      <c r="M128" s="190"/>
      <c r="N128" s="190"/>
      <c r="O128" s="190"/>
      <c r="P128" s="190"/>
      <c r="Q128" s="190"/>
      <c r="R128" s="190"/>
      <c r="S128" s="190"/>
      <c r="T128" s="190"/>
      <c r="U128" s="190"/>
      <c r="V128" s="190"/>
      <c r="W128" s="190"/>
      <c r="X128" s="190"/>
      <c r="Y128" s="190"/>
      <c r="Z128" s="190"/>
      <c r="AA128" s="190"/>
      <c r="AB128" s="190"/>
      <c r="AC128" s="190"/>
      <c r="AD128" s="190"/>
      <c r="AE128" s="190"/>
      <c r="AF128" s="190"/>
      <c r="AG128" s="190"/>
      <c r="AH128" s="190"/>
      <c r="AI128" s="190"/>
      <c r="AJ128" s="190"/>
      <c r="AK128" s="190"/>
      <c r="AL128" s="190"/>
      <c r="AM128" s="190"/>
      <c r="AN128" s="190"/>
      <c r="AO128" s="190"/>
      <c r="AP128" s="190"/>
      <c r="AQ128" s="190"/>
      <c r="AR128" s="190"/>
      <c r="AS128" s="190"/>
      <c r="AT128" s="190"/>
      <c r="AU128" s="190"/>
      <c r="AV128" s="190"/>
      <c r="AW128" s="190"/>
      <c r="AX128" s="190"/>
      <c r="AY128" s="190"/>
      <c r="AZ128" s="190"/>
      <c r="BA128" s="190"/>
      <c r="BB128" s="190"/>
      <c r="BC128" s="190"/>
      <c r="BD128" s="190"/>
      <c r="BE128" s="190"/>
      <c r="BF128" s="190"/>
      <c r="BG128" s="190"/>
      <c r="BH128" s="190"/>
      <c r="BI128" s="190"/>
      <c r="BJ128" s="190"/>
      <c r="BK128" s="190"/>
      <c r="BL128" s="190"/>
      <c r="BM128" s="190"/>
      <c r="BN128" s="190"/>
      <c r="BO128" s="190"/>
      <c r="BP128" s="190"/>
      <c r="BQ128" s="190"/>
      <c r="BR128" s="190"/>
      <c r="BS128" s="190"/>
      <c r="BT128" s="190"/>
      <c r="BU128" s="190"/>
      <c r="BV128" s="190"/>
      <c r="BW128" s="190"/>
      <c r="BX128" s="190"/>
      <c r="BY128" s="190"/>
      <c r="BZ128" s="190"/>
      <c r="CA128" s="190"/>
      <c r="CB128" s="190"/>
      <c r="CC128" s="190"/>
      <c r="CD128" s="190"/>
      <c r="CE128" s="190"/>
      <c r="CF128" s="190"/>
      <c r="CG128" s="190"/>
      <c r="CH128" s="190"/>
      <c r="CI128" s="190"/>
      <c r="CJ128" s="190"/>
      <c r="CK128" s="190"/>
      <c r="CL128" s="190"/>
      <c r="CM128" s="190"/>
      <c r="CN128" s="190"/>
      <c r="CO128" s="190"/>
      <c r="CP128" s="190"/>
      <c r="CQ128" s="190"/>
      <c r="CR128" s="190"/>
      <c r="CS128" s="190"/>
      <c r="CT128" s="190"/>
      <c r="CU128" s="190"/>
      <c r="CV128" s="190"/>
      <c r="CW128" s="190"/>
      <c r="CX128" s="190"/>
      <c r="CY128" s="190"/>
      <c r="CZ128" s="190"/>
      <c r="DA128" s="190"/>
      <c r="DB128" s="190"/>
      <c r="DC128" s="190"/>
      <c r="DD128" s="190"/>
      <c r="DE128" s="190"/>
      <c r="DF128" s="190"/>
      <c r="DG128" s="190"/>
      <c r="DH128" s="190"/>
      <c r="DI128" s="190"/>
      <c r="DJ128" s="190"/>
      <c r="DK128" s="190"/>
      <c r="DL128" s="190"/>
      <c r="DM128" s="190"/>
      <c r="DN128" s="190"/>
      <c r="DO128" s="190"/>
      <c r="DP128" s="190"/>
      <c r="DQ128" s="190"/>
      <c r="DR128" s="190"/>
      <c r="DS128" s="190"/>
      <c r="DT128" s="190"/>
      <c r="DU128" s="190"/>
      <c r="DV128" s="190"/>
      <c r="DW128" s="190"/>
      <c r="DX128" s="190"/>
      <c r="DY128" s="190"/>
      <c r="DZ128" s="190"/>
      <c r="EA128" s="190"/>
      <c r="EB128" s="190"/>
      <c r="EC128" s="190"/>
      <c r="ED128" s="190"/>
      <c r="EE128" s="190"/>
      <c r="EF128" s="190"/>
      <c r="EG128" s="190"/>
      <c r="EH128" s="190"/>
      <c r="EI128" s="190"/>
      <c r="EJ128" s="190"/>
      <c r="EK128" s="190"/>
      <c r="EL128" s="190"/>
      <c r="EM128" s="190"/>
      <c r="EN128" s="190"/>
    </row>
    <row r="129" spans="1:144" s="65" customFormat="1">
      <c r="A129" s="189"/>
      <c r="B129" s="190"/>
      <c r="C129" s="190"/>
      <c r="D129" s="190"/>
      <c r="E129" s="190"/>
      <c r="F129" s="190"/>
      <c r="G129" s="190"/>
      <c r="H129" s="190"/>
      <c r="I129" s="190"/>
      <c r="J129" s="190"/>
      <c r="K129" s="190"/>
      <c r="L129" s="190"/>
      <c r="M129" s="190"/>
      <c r="N129" s="190"/>
      <c r="O129" s="190"/>
      <c r="P129" s="190"/>
      <c r="Q129" s="190"/>
      <c r="R129" s="190"/>
      <c r="S129" s="190"/>
      <c r="T129" s="190"/>
      <c r="U129" s="190"/>
      <c r="V129" s="190"/>
      <c r="W129" s="190"/>
      <c r="X129" s="190"/>
      <c r="Y129" s="190"/>
      <c r="Z129" s="190"/>
      <c r="AA129" s="190"/>
      <c r="AB129" s="190"/>
      <c r="AC129" s="190"/>
      <c r="AD129" s="190"/>
      <c r="AE129" s="190"/>
      <c r="AF129" s="190"/>
      <c r="AG129" s="190"/>
      <c r="AH129" s="190"/>
      <c r="AI129" s="190"/>
      <c r="AJ129" s="190"/>
      <c r="AK129" s="190"/>
      <c r="AL129" s="190"/>
      <c r="AM129" s="190"/>
      <c r="AN129" s="190"/>
      <c r="AO129" s="190"/>
      <c r="AP129" s="190"/>
      <c r="AQ129" s="190"/>
      <c r="AR129" s="190"/>
      <c r="AS129" s="190"/>
      <c r="AT129" s="190"/>
      <c r="AU129" s="190"/>
      <c r="AV129" s="190"/>
      <c r="AW129" s="190"/>
      <c r="AX129" s="190"/>
      <c r="AY129" s="190"/>
      <c r="AZ129" s="190"/>
      <c r="BA129" s="190"/>
      <c r="BB129" s="190"/>
      <c r="BC129" s="190"/>
      <c r="BD129" s="190"/>
      <c r="BE129" s="190"/>
      <c r="BF129" s="190"/>
      <c r="BG129" s="190"/>
      <c r="BH129" s="190"/>
      <c r="BI129" s="190"/>
      <c r="BJ129" s="190"/>
      <c r="BK129" s="190"/>
      <c r="BL129" s="190"/>
      <c r="BM129" s="190"/>
      <c r="BN129" s="190"/>
      <c r="BO129" s="190"/>
      <c r="BP129" s="190"/>
      <c r="BQ129" s="190"/>
      <c r="BR129" s="190"/>
      <c r="BS129" s="190"/>
      <c r="BT129" s="190"/>
      <c r="BU129" s="190"/>
      <c r="BV129" s="190"/>
      <c r="BW129" s="190"/>
      <c r="BX129" s="190"/>
      <c r="BY129" s="190"/>
      <c r="BZ129" s="190"/>
      <c r="CA129" s="190"/>
      <c r="CB129" s="190"/>
      <c r="CC129" s="190"/>
      <c r="CD129" s="190"/>
      <c r="CE129" s="190"/>
      <c r="CF129" s="190"/>
      <c r="CG129" s="190"/>
      <c r="CH129" s="190"/>
      <c r="CI129" s="190"/>
      <c r="CJ129" s="190"/>
      <c r="CK129" s="190"/>
      <c r="CL129" s="190"/>
      <c r="CM129" s="190"/>
      <c r="CN129" s="190"/>
      <c r="CO129" s="190"/>
      <c r="CP129" s="190"/>
      <c r="CQ129" s="190"/>
      <c r="CR129" s="190"/>
      <c r="CS129" s="190"/>
      <c r="CT129" s="190"/>
      <c r="CU129" s="190"/>
      <c r="CV129" s="190"/>
      <c r="CW129" s="190"/>
      <c r="CX129" s="190"/>
      <c r="CY129" s="190"/>
      <c r="CZ129" s="190"/>
      <c r="DA129" s="190"/>
      <c r="DB129" s="190"/>
      <c r="DC129" s="190"/>
      <c r="DD129" s="190"/>
      <c r="DE129" s="190"/>
      <c r="DF129" s="190"/>
      <c r="DG129" s="190"/>
      <c r="DH129" s="190"/>
      <c r="DI129" s="190"/>
      <c r="DJ129" s="190"/>
      <c r="DK129" s="190"/>
      <c r="DL129" s="190"/>
      <c r="DM129" s="190"/>
      <c r="DN129" s="190"/>
      <c r="DO129" s="190"/>
      <c r="DP129" s="190"/>
      <c r="DQ129" s="190"/>
      <c r="DR129" s="190"/>
      <c r="DS129" s="190"/>
      <c r="DT129" s="190"/>
      <c r="DU129" s="190"/>
      <c r="DV129" s="190"/>
      <c r="DW129" s="190"/>
      <c r="DX129" s="190"/>
      <c r="DY129" s="190"/>
      <c r="DZ129" s="190"/>
      <c r="EA129" s="190"/>
      <c r="EB129" s="190"/>
      <c r="EC129" s="190"/>
      <c r="ED129" s="190"/>
      <c r="EE129" s="190"/>
      <c r="EF129" s="190"/>
      <c r="EG129" s="190"/>
      <c r="EH129" s="190"/>
      <c r="EI129" s="190"/>
      <c r="EJ129" s="190"/>
      <c r="EK129" s="190"/>
      <c r="EL129" s="190"/>
      <c r="EM129" s="190"/>
      <c r="EN129" s="190"/>
    </row>
    <row r="130" spans="1:144" s="65" customFormat="1">
      <c r="A130" s="189"/>
      <c r="B130" s="190"/>
      <c r="C130" s="190"/>
      <c r="D130" s="190"/>
      <c r="E130" s="190"/>
      <c r="F130" s="190"/>
      <c r="G130" s="190"/>
      <c r="H130" s="190"/>
      <c r="I130" s="190"/>
      <c r="J130" s="190"/>
      <c r="K130" s="190"/>
      <c r="L130" s="190"/>
      <c r="M130" s="190"/>
      <c r="N130" s="190"/>
      <c r="O130" s="190"/>
      <c r="P130" s="190"/>
      <c r="Q130" s="190"/>
      <c r="R130" s="190"/>
      <c r="S130" s="190"/>
      <c r="T130" s="190"/>
      <c r="U130" s="190"/>
      <c r="V130" s="190"/>
      <c r="W130" s="190"/>
      <c r="X130" s="190"/>
      <c r="Y130" s="190"/>
      <c r="Z130" s="190"/>
      <c r="AA130" s="190"/>
      <c r="AB130" s="190"/>
      <c r="AC130" s="190"/>
      <c r="AD130" s="190"/>
      <c r="AE130" s="190"/>
      <c r="AF130" s="190"/>
      <c r="AG130" s="190"/>
      <c r="AH130" s="190"/>
      <c r="AI130" s="190"/>
      <c r="AJ130" s="190"/>
      <c r="AK130" s="190"/>
      <c r="AL130" s="190"/>
      <c r="AM130" s="190"/>
      <c r="AN130" s="190"/>
      <c r="AO130" s="190"/>
      <c r="AP130" s="190"/>
      <c r="AQ130" s="190"/>
      <c r="AR130" s="190"/>
      <c r="AS130" s="190"/>
      <c r="AT130" s="190"/>
      <c r="AU130" s="190"/>
      <c r="AV130" s="190"/>
      <c r="AW130" s="190"/>
      <c r="AX130" s="190"/>
      <c r="AY130" s="190"/>
      <c r="AZ130" s="190"/>
      <c r="BA130" s="190"/>
      <c r="BB130" s="190"/>
      <c r="BC130" s="190"/>
      <c r="BD130" s="190"/>
      <c r="BE130" s="190"/>
      <c r="BF130" s="190"/>
      <c r="BG130" s="190"/>
      <c r="BH130" s="190"/>
      <c r="BI130" s="190"/>
      <c r="BJ130" s="190"/>
      <c r="BK130" s="190"/>
      <c r="BL130" s="190"/>
      <c r="BM130" s="190"/>
      <c r="BN130" s="190"/>
      <c r="BO130" s="190"/>
      <c r="BP130" s="190"/>
      <c r="BQ130" s="190"/>
      <c r="BR130" s="190"/>
      <c r="BS130" s="190"/>
      <c r="BT130" s="190"/>
      <c r="BU130" s="190"/>
      <c r="BV130" s="190"/>
      <c r="BW130" s="190"/>
      <c r="BX130" s="190"/>
      <c r="BY130" s="190"/>
      <c r="BZ130" s="190"/>
      <c r="CA130" s="190"/>
      <c r="CB130" s="190"/>
      <c r="CC130" s="190"/>
      <c r="CD130" s="190"/>
      <c r="CE130" s="190"/>
      <c r="CF130" s="190"/>
      <c r="CG130" s="190"/>
      <c r="CH130" s="190"/>
      <c r="CI130" s="190"/>
      <c r="CJ130" s="190"/>
      <c r="CK130" s="190"/>
      <c r="CL130" s="190"/>
      <c r="CM130" s="190"/>
      <c r="CN130" s="190"/>
      <c r="CO130" s="190"/>
      <c r="CP130" s="190"/>
      <c r="CQ130" s="190"/>
      <c r="CR130" s="190"/>
      <c r="CS130" s="190"/>
      <c r="CT130" s="190"/>
      <c r="CU130" s="190"/>
      <c r="CV130" s="190"/>
      <c r="CW130" s="190"/>
      <c r="CX130" s="190"/>
      <c r="CY130" s="190"/>
      <c r="CZ130" s="190"/>
      <c r="DA130" s="190"/>
      <c r="DB130" s="190"/>
      <c r="DC130" s="190"/>
      <c r="DD130" s="190"/>
      <c r="DE130" s="190"/>
      <c r="DF130" s="190"/>
      <c r="DG130" s="190"/>
      <c r="DH130" s="190"/>
      <c r="DI130" s="190"/>
      <c r="DJ130" s="190"/>
      <c r="DK130" s="190"/>
      <c r="DL130" s="190"/>
      <c r="DM130" s="190"/>
      <c r="DN130" s="190"/>
      <c r="DO130" s="190"/>
      <c r="DP130" s="190"/>
      <c r="DQ130" s="190"/>
      <c r="DR130" s="190"/>
      <c r="DS130" s="190"/>
      <c r="DT130" s="190"/>
      <c r="DU130" s="190"/>
      <c r="DV130" s="190"/>
      <c r="DW130" s="190"/>
      <c r="DX130" s="190"/>
      <c r="DY130" s="190"/>
      <c r="DZ130" s="190"/>
      <c r="EA130" s="190"/>
      <c r="EB130" s="190"/>
      <c r="EC130" s="190"/>
      <c r="ED130" s="190"/>
      <c r="EE130" s="190"/>
      <c r="EF130" s="190"/>
      <c r="EG130" s="190"/>
      <c r="EH130" s="190"/>
      <c r="EI130" s="190"/>
      <c r="EJ130" s="190"/>
      <c r="EK130" s="190"/>
      <c r="EL130" s="190"/>
      <c r="EM130" s="190"/>
      <c r="EN130" s="190"/>
    </row>
    <row r="131" spans="1:144" s="65" customFormat="1">
      <c r="A131" s="189"/>
      <c r="B131" s="190"/>
      <c r="C131" s="190"/>
      <c r="D131" s="190"/>
      <c r="E131" s="190"/>
      <c r="F131" s="190"/>
      <c r="G131" s="190"/>
      <c r="H131" s="190"/>
      <c r="I131" s="190"/>
      <c r="J131" s="190"/>
      <c r="K131" s="190"/>
      <c r="L131" s="190"/>
      <c r="M131" s="190"/>
      <c r="N131" s="190"/>
      <c r="O131" s="190"/>
      <c r="P131" s="190"/>
      <c r="Q131" s="190"/>
      <c r="R131" s="190"/>
      <c r="S131" s="190"/>
      <c r="T131" s="190"/>
      <c r="U131" s="190"/>
      <c r="V131" s="190"/>
      <c r="W131" s="190"/>
      <c r="X131" s="190"/>
      <c r="Y131" s="190"/>
      <c r="Z131" s="190"/>
      <c r="AA131" s="190"/>
      <c r="AB131" s="190"/>
      <c r="AC131" s="190"/>
      <c r="AD131" s="190"/>
      <c r="AE131" s="190"/>
      <c r="AF131" s="190"/>
      <c r="AG131" s="190"/>
      <c r="AH131" s="190"/>
      <c r="AI131" s="190"/>
      <c r="AJ131" s="190"/>
      <c r="AK131" s="190"/>
      <c r="AL131" s="190"/>
      <c r="AM131" s="190"/>
      <c r="AN131" s="190"/>
      <c r="AO131" s="190"/>
      <c r="AP131" s="190"/>
      <c r="AQ131" s="190"/>
      <c r="AR131" s="190"/>
      <c r="AS131" s="190"/>
      <c r="AT131" s="190"/>
      <c r="AU131" s="190"/>
      <c r="AV131" s="190"/>
      <c r="AW131" s="190"/>
      <c r="AX131" s="190"/>
      <c r="AY131" s="190"/>
      <c r="AZ131" s="190"/>
      <c r="BA131" s="190"/>
      <c r="BB131" s="190"/>
      <c r="BC131" s="190"/>
      <c r="BD131" s="190"/>
      <c r="BE131" s="190"/>
      <c r="BF131" s="190"/>
      <c r="BG131" s="190"/>
      <c r="BH131" s="190"/>
      <c r="BI131" s="190"/>
      <c r="BJ131" s="190"/>
      <c r="BK131" s="190"/>
      <c r="BL131" s="190"/>
      <c r="BM131" s="190"/>
      <c r="BN131" s="190"/>
      <c r="BO131" s="190"/>
      <c r="BP131" s="190"/>
      <c r="BQ131" s="190"/>
      <c r="BR131" s="190"/>
      <c r="BS131" s="190"/>
      <c r="BT131" s="190"/>
      <c r="BU131" s="190"/>
      <c r="BV131" s="190"/>
      <c r="BW131" s="190"/>
      <c r="BX131" s="190"/>
      <c r="BY131" s="190"/>
      <c r="BZ131" s="190"/>
      <c r="CA131" s="190"/>
      <c r="CB131" s="190"/>
      <c r="CC131" s="190"/>
      <c r="CD131" s="190"/>
      <c r="CE131" s="190"/>
      <c r="CF131" s="190"/>
      <c r="CG131" s="190"/>
      <c r="CH131" s="190"/>
      <c r="CI131" s="190"/>
      <c r="CJ131" s="190"/>
      <c r="CK131" s="190"/>
      <c r="CL131" s="190"/>
      <c r="CM131" s="190"/>
      <c r="CN131" s="190"/>
      <c r="CO131" s="190"/>
      <c r="CP131" s="190"/>
      <c r="CQ131" s="190"/>
      <c r="CR131" s="190"/>
      <c r="CS131" s="190"/>
      <c r="CT131" s="190"/>
      <c r="CU131" s="190"/>
      <c r="CV131" s="190"/>
      <c r="CW131" s="190"/>
      <c r="CX131" s="190"/>
      <c r="CY131" s="190"/>
      <c r="CZ131" s="190"/>
      <c r="DA131" s="190"/>
      <c r="DB131" s="190"/>
      <c r="DC131" s="190"/>
      <c r="DD131" s="190"/>
      <c r="DE131" s="190"/>
      <c r="DF131" s="190"/>
      <c r="DG131" s="190"/>
      <c r="DH131" s="190"/>
      <c r="DI131" s="190"/>
      <c r="DJ131" s="190"/>
      <c r="DK131" s="190"/>
      <c r="DL131" s="190"/>
      <c r="DM131" s="190"/>
      <c r="DN131" s="190"/>
      <c r="DO131" s="190"/>
      <c r="DP131" s="190"/>
      <c r="DQ131" s="190"/>
      <c r="DR131" s="190"/>
      <c r="DS131" s="190"/>
      <c r="DT131" s="190"/>
      <c r="DU131" s="190"/>
      <c r="DV131" s="190"/>
      <c r="DW131" s="190"/>
      <c r="DX131" s="190"/>
      <c r="DY131" s="190"/>
      <c r="DZ131" s="190"/>
      <c r="EA131" s="190"/>
      <c r="EB131" s="190"/>
      <c r="EC131" s="190"/>
      <c r="ED131" s="190"/>
      <c r="EE131" s="190"/>
      <c r="EF131" s="190"/>
      <c r="EG131" s="190"/>
      <c r="EH131" s="190"/>
      <c r="EI131" s="190"/>
      <c r="EJ131" s="190"/>
      <c r="EK131" s="190"/>
      <c r="EL131" s="190"/>
      <c r="EM131" s="190"/>
      <c r="EN131" s="190"/>
    </row>
    <row r="132" spans="1:144" s="65" customFormat="1">
      <c r="A132" s="189"/>
      <c r="B132" s="190"/>
      <c r="C132" s="190"/>
      <c r="D132" s="190"/>
      <c r="E132" s="190"/>
      <c r="F132" s="190"/>
      <c r="G132" s="190"/>
      <c r="H132" s="190"/>
      <c r="I132" s="190"/>
      <c r="J132" s="190"/>
      <c r="K132" s="190"/>
      <c r="L132" s="190"/>
      <c r="M132" s="190"/>
      <c r="N132" s="190"/>
      <c r="O132" s="190"/>
      <c r="P132" s="190"/>
      <c r="Q132" s="190"/>
      <c r="R132" s="190"/>
      <c r="S132" s="190"/>
      <c r="T132" s="190"/>
      <c r="U132" s="190"/>
      <c r="V132" s="190"/>
      <c r="W132" s="190"/>
      <c r="X132" s="190"/>
      <c r="Y132" s="190"/>
      <c r="Z132" s="190"/>
      <c r="AA132" s="190"/>
      <c r="AB132" s="190"/>
      <c r="AC132" s="190"/>
      <c r="AD132" s="190"/>
      <c r="AE132" s="190"/>
      <c r="AF132" s="190"/>
      <c r="AG132" s="190"/>
      <c r="AH132" s="190"/>
      <c r="AI132" s="190"/>
      <c r="AJ132" s="190"/>
      <c r="AK132" s="190"/>
      <c r="AL132" s="190"/>
      <c r="AM132" s="190"/>
      <c r="AN132" s="190"/>
      <c r="AO132" s="190"/>
      <c r="AP132" s="190"/>
      <c r="AQ132" s="190"/>
      <c r="AR132" s="190"/>
      <c r="AS132" s="190"/>
      <c r="AT132" s="190"/>
      <c r="AU132" s="190"/>
      <c r="AV132" s="190"/>
      <c r="AW132" s="190"/>
      <c r="AX132" s="190"/>
      <c r="AY132" s="190"/>
      <c r="AZ132" s="190"/>
      <c r="BA132" s="190"/>
      <c r="BB132" s="190"/>
      <c r="BC132" s="190"/>
      <c r="BD132" s="190"/>
      <c r="BE132" s="190"/>
      <c r="BF132" s="190"/>
      <c r="BG132" s="190"/>
      <c r="BH132" s="190"/>
      <c r="BI132" s="190"/>
      <c r="BJ132" s="190"/>
      <c r="BK132" s="190"/>
      <c r="BL132" s="190"/>
      <c r="BM132" s="190"/>
      <c r="BN132" s="190"/>
      <c r="BO132" s="190"/>
      <c r="BP132" s="190"/>
      <c r="BQ132" s="190"/>
      <c r="BR132" s="190"/>
      <c r="BS132" s="190"/>
      <c r="BT132" s="190"/>
      <c r="BU132" s="190"/>
      <c r="BV132" s="190"/>
      <c r="BW132" s="190"/>
      <c r="BX132" s="190"/>
      <c r="BY132" s="190"/>
      <c r="BZ132" s="190"/>
      <c r="CA132" s="190"/>
      <c r="CB132" s="190"/>
      <c r="CC132" s="190"/>
      <c r="CD132" s="190"/>
      <c r="CE132" s="190"/>
      <c r="CF132" s="190"/>
      <c r="CG132" s="190"/>
      <c r="CH132" s="190"/>
      <c r="CI132" s="190"/>
      <c r="CJ132" s="190"/>
      <c r="CK132" s="190"/>
      <c r="CL132" s="190"/>
      <c r="CM132" s="190"/>
      <c r="CN132" s="190"/>
      <c r="CO132" s="190"/>
      <c r="CP132" s="190"/>
      <c r="CQ132" s="190"/>
      <c r="CR132" s="190"/>
      <c r="CS132" s="190"/>
      <c r="CT132" s="190"/>
      <c r="CU132" s="190"/>
      <c r="CV132" s="190"/>
      <c r="CW132" s="190"/>
      <c r="CX132" s="190"/>
      <c r="CY132" s="190"/>
      <c r="CZ132" s="190"/>
      <c r="DA132" s="190"/>
      <c r="DB132" s="190"/>
      <c r="DC132" s="190"/>
      <c r="DD132" s="190"/>
      <c r="DE132" s="190"/>
      <c r="DF132" s="190"/>
      <c r="DG132" s="190"/>
      <c r="DH132" s="190"/>
      <c r="DI132" s="190"/>
      <c r="DJ132" s="190"/>
      <c r="DK132" s="190"/>
      <c r="DL132" s="190"/>
      <c r="DM132" s="190"/>
      <c r="DN132" s="190"/>
      <c r="DO132" s="190"/>
      <c r="DP132" s="190"/>
      <c r="DQ132" s="190"/>
      <c r="DR132" s="190"/>
      <c r="DS132" s="190"/>
      <c r="DT132" s="190"/>
      <c r="DU132" s="190"/>
      <c r="DV132" s="190"/>
      <c r="DW132" s="190"/>
      <c r="DX132" s="190"/>
      <c r="DY132" s="190"/>
      <c r="DZ132" s="190"/>
      <c r="EA132" s="190"/>
      <c r="EB132" s="190"/>
      <c r="EC132" s="190"/>
      <c r="ED132" s="190"/>
      <c r="EE132" s="190"/>
      <c r="EF132" s="190"/>
      <c r="EG132" s="190"/>
      <c r="EH132" s="190"/>
      <c r="EI132" s="190"/>
      <c r="EJ132" s="190"/>
      <c r="EK132" s="190"/>
      <c r="EL132" s="190"/>
      <c r="EM132" s="190"/>
      <c r="EN132" s="190"/>
    </row>
    <row r="133" spans="1:144" s="65" customFormat="1"/>
    <row r="134" spans="1:144" s="65" customFormat="1"/>
    <row r="135" spans="1:144" s="65" customFormat="1"/>
  </sheetData>
  <mergeCells count="4">
    <mergeCell ref="D62:F62"/>
    <mergeCell ref="D69:F69"/>
    <mergeCell ref="D32:E32"/>
    <mergeCell ref="D39:E39"/>
  </mergeCells>
  <printOptions headings="1"/>
  <pageMargins left="0.23" right="0.28000000000000003" top="0.41" bottom="0.63" header="0.32" footer="0.5"/>
  <pageSetup scale="47" orientation="landscape" verticalDpi="300" r:id="rId1"/>
  <headerFooter alignWithMargins="0">
    <oddFooter>&amp;R&amp;F</oddFooter>
  </headerFooter>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AJ165"/>
  <sheetViews>
    <sheetView topLeftCell="A47" zoomScale="75" workbookViewId="0">
      <selection activeCell="D69" sqref="D69"/>
    </sheetView>
  </sheetViews>
  <sheetFormatPr defaultColWidth="11.42578125" defaultRowHeight="12.75"/>
  <cols>
    <col min="1" max="1" width="3.85546875" style="188" customWidth="1"/>
    <col min="2" max="2" width="46.7109375" customWidth="1"/>
    <col min="3" max="3" width="15.7109375" customWidth="1"/>
    <col min="4" max="6" width="11.42578125" customWidth="1"/>
    <col min="7" max="7" width="12.7109375" customWidth="1"/>
    <col min="8" max="8" width="15.140625" customWidth="1"/>
  </cols>
  <sheetData>
    <row r="1" spans="2:35" ht="15.75">
      <c r="B1" s="338" t="str">
        <f>ExecSum!$E$4</f>
        <v>Sweetwater 129.00MW Project</v>
      </c>
      <c r="C1" s="338"/>
      <c r="F1" s="244">
        <v>1</v>
      </c>
      <c r="G1" s="245">
        <v>2</v>
      </c>
      <c r="H1" s="245">
        <v>3</v>
      </c>
      <c r="I1" s="245">
        <v>4</v>
      </c>
      <c r="J1" s="245">
        <v>5</v>
      </c>
      <c r="K1" s="245">
        <v>6</v>
      </c>
      <c r="L1" s="245">
        <v>7</v>
      </c>
      <c r="M1" s="245">
        <v>8</v>
      </c>
      <c r="N1" s="245">
        <v>9</v>
      </c>
      <c r="O1" s="245">
        <v>10</v>
      </c>
      <c r="P1" s="245">
        <v>11</v>
      </c>
      <c r="Q1" s="245">
        <v>12</v>
      </c>
      <c r="R1" s="245">
        <v>13</v>
      </c>
      <c r="S1" s="245">
        <v>14</v>
      </c>
      <c r="T1" s="245">
        <v>15</v>
      </c>
      <c r="U1" s="245">
        <v>16</v>
      </c>
      <c r="V1" s="245">
        <v>17</v>
      </c>
      <c r="W1" s="245">
        <v>18</v>
      </c>
      <c r="X1" s="245">
        <v>19</v>
      </c>
      <c r="Y1" s="245">
        <v>20</v>
      </c>
      <c r="Z1" s="245">
        <v>21</v>
      </c>
      <c r="AA1" s="245">
        <v>22</v>
      </c>
      <c r="AB1" s="245">
        <v>23</v>
      </c>
      <c r="AC1" s="245">
        <v>24</v>
      </c>
      <c r="AD1" s="245">
        <v>25</v>
      </c>
      <c r="AE1" s="245">
        <v>26</v>
      </c>
      <c r="AF1" s="245">
        <v>27</v>
      </c>
      <c r="AG1" s="245">
        <v>28</v>
      </c>
      <c r="AH1" s="245">
        <v>29</v>
      </c>
      <c r="AI1" s="246">
        <v>30</v>
      </c>
    </row>
    <row r="2" spans="2:35" ht="15.75">
      <c r="B2" s="338" t="s">
        <v>504</v>
      </c>
      <c r="C2" s="338"/>
      <c r="F2" s="247">
        <f>Assum!$H$25</f>
        <v>2002</v>
      </c>
      <c r="G2" s="248">
        <f t="shared" ref="G2:AI2" si="0">F2+1</f>
        <v>2003</v>
      </c>
      <c r="H2" s="248">
        <f t="shared" si="0"/>
        <v>2004</v>
      </c>
      <c r="I2" s="248">
        <f t="shared" si="0"/>
        <v>2005</v>
      </c>
      <c r="J2" s="248">
        <f t="shared" si="0"/>
        <v>2006</v>
      </c>
      <c r="K2" s="248">
        <f t="shared" si="0"/>
        <v>2007</v>
      </c>
      <c r="L2" s="248">
        <f t="shared" si="0"/>
        <v>2008</v>
      </c>
      <c r="M2" s="248">
        <f t="shared" si="0"/>
        <v>2009</v>
      </c>
      <c r="N2" s="248">
        <f t="shared" si="0"/>
        <v>2010</v>
      </c>
      <c r="O2" s="248">
        <f t="shared" si="0"/>
        <v>2011</v>
      </c>
      <c r="P2" s="248">
        <f t="shared" si="0"/>
        <v>2012</v>
      </c>
      <c r="Q2" s="248">
        <f t="shared" si="0"/>
        <v>2013</v>
      </c>
      <c r="R2" s="248">
        <f t="shared" si="0"/>
        <v>2014</v>
      </c>
      <c r="S2" s="248">
        <f t="shared" si="0"/>
        <v>2015</v>
      </c>
      <c r="T2" s="248">
        <f t="shared" si="0"/>
        <v>2016</v>
      </c>
      <c r="U2" s="248">
        <f t="shared" si="0"/>
        <v>2017</v>
      </c>
      <c r="V2" s="248">
        <f t="shared" si="0"/>
        <v>2018</v>
      </c>
      <c r="W2" s="248">
        <f t="shared" si="0"/>
        <v>2019</v>
      </c>
      <c r="X2" s="248">
        <f t="shared" si="0"/>
        <v>2020</v>
      </c>
      <c r="Y2" s="248">
        <f t="shared" si="0"/>
        <v>2021</v>
      </c>
      <c r="Z2" s="248">
        <f t="shared" si="0"/>
        <v>2022</v>
      </c>
      <c r="AA2" s="248">
        <f t="shared" si="0"/>
        <v>2023</v>
      </c>
      <c r="AB2" s="248">
        <f t="shared" si="0"/>
        <v>2024</v>
      </c>
      <c r="AC2" s="248">
        <f t="shared" si="0"/>
        <v>2025</v>
      </c>
      <c r="AD2" s="248">
        <f t="shared" si="0"/>
        <v>2026</v>
      </c>
      <c r="AE2" s="248">
        <f t="shared" si="0"/>
        <v>2027</v>
      </c>
      <c r="AF2" s="248">
        <f t="shared" si="0"/>
        <v>2028</v>
      </c>
      <c r="AG2" s="248">
        <f t="shared" si="0"/>
        <v>2029</v>
      </c>
      <c r="AH2" s="248">
        <f t="shared" si="0"/>
        <v>2030</v>
      </c>
      <c r="AI2" s="249">
        <f t="shared" si="0"/>
        <v>2031</v>
      </c>
    </row>
    <row r="3" spans="2:35" ht="15.75">
      <c r="F3" s="338"/>
    </row>
    <row r="4" spans="2:35">
      <c r="F4" s="526" t="s">
        <v>225</v>
      </c>
      <c r="G4" s="400" t="s">
        <v>224</v>
      </c>
      <c r="J4" s="527" t="s">
        <v>222</v>
      </c>
      <c r="K4" t="s">
        <v>223</v>
      </c>
    </row>
    <row r="5" spans="2:35">
      <c r="F5" s="399"/>
      <c r="G5" s="400" t="s">
        <v>57</v>
      </c>
      <c r="J5" s="365"/>
      <c r="K5" s="400" t="s">
        <v>221</v>
      </c>
    </row>
    <row r="8" spans="2:35">
      <c r="B8" s="395" t="s">
        <v>620</v>
      </c>
      <c r="C8" s="395"/>
    </row>
    <row r="9" spans="2:35">
      <c r="B9" s="524" t="s">
        <v>672</v>
      </c>
      <c r="C9" s="524"/>
    </row>
    <row r="10" spans="2:35">
      <c r="B10" s="65" t="s">
        <v>673</v>
      </c>
      <c r="C10" s="65"/>
      <c r="D10" t="s">
        <v>619</v>
      </c>
      <c r="F10" s="398">
        <v>0</v>
      </c>
      <c r="G10" t="s">
        <v>574</v>
      </c>
    </row>
    <row r="11" spans="2:35">
      <c r="B11" s="65" t="s">
        <v>674</v>
      </c>
      <c r="C11" s="65"/>
      <c r="D11" t="s">
        <v>619</v>
      </c>
      <c r="F11" s="398">
        <v>0</v>
      </c>
    </row>
    <row r="12" spans="2:35">
      <c r="B12" s="65" t="s">
        <v>675</v>
      </c>
      <c r="C12" s="65"/>
      <c r="D12" t="s">
        <v>619</v>
      </c>
      <c r="F12" s="398">
        <v>0</v>
      </c>
    </row>
    <row r="13" spans="2:35">
      <c r="B13" s="65"/>
      <c r="C13" s="65"/>
      <c r="D13" s="59"/>
      <c r="E13" s="59"/>
      <c r="F13" s="59"/>
    </row>
    <row r="14" spans="2:35">
      <c r="B14" s="524" t="s">
        <v>676</v>
      </c>
      <c r="C14" s="524"/>
      <c r="D14" s="59"/>
      <c r="E14" s="59"/>
      <c r="F14" s="59"/>
    </row>
    <row r="15" spans="2:35">
      <c r="B15" s="65" t="s">
        <v>677</v>
      </c>
      <c r="C15" s="65"/>
      <c r="D15" t="s">
        <v>619</v>
      </c>
      <c r="F15" s="398">
        <v>0</v>
      </c>
    </row>
    <row r="16" spans="2:35" ht="13.7" customHeight="1">
      <c r="F16" s="59"/>
    </row>
    <row r="17" spans="2:36">
      <c r="B17" t="s">
        <v>56</v>
      </c>
      <c r="F17" s="396">
        <v>0</v>
      </c>
    </row>
    <row r="18" spans="2:36" ht="13.5" thickBot="1">
      <c r="F18" s="59"/>
    </row>
    <row r="19" spans="2:36" ht="13.5" thickBot="1">
      <c r="B19" s="241" t="s">
        <v>618</v>
      </c>
      <c r="C19" s="241"/>
      <c r="D19" s="59"/>
      <c r="E19" s="59"/>
      <c r="F19" s="525">
        <f>SUM(F10:F18)</f>
        <v>0</v>
      </c>
    </row>
    <row r="20" spans="2:36">
      <c r="D20" s="59"/>
      <c r="E20" s="59"/>
      <c r="F20" s="59"/>
    </row>
    <row r="21" spans="2:36">
      <c r="B21" s="524" t="s">
        <v>678</v>
      </c>
      <c r="C21" s="524"/>
      <c r="D21" s="59"/>
      <c r="E21" s="59"/>
      <c r="F21" s="59"/>
    </row>
    <row r="22" spans="2:36">
      <c r="B22" t="s">
        <v>679</v>
      </c>
      <c r="D22" t="s">
        <v>619</v>
      </c>
      <c r="F22" s="396">
        <v>0</v>
      </c>
    </row>
    <row r="27" spans="2:36">
      <c r="B27" s="395" t="s">
        <v>680</v>
      </c>
      <c r="C27" s="395"/>
      <c r="D27" s="59"/>
      <c r="E27" s="59"/>
      <c r="F27" s="401">
        <v>1</v>
      </c>
      <c r="G27" s="402">
        <v>2</v>
      </c>
      <c r="H27" s="403">
        <v>3</v>
      </c>
      <c r="I27" s="402">
        <v>4</v>
      </c>
      <c r="J27" s="403">
        <v>5</v>
      </c>
      <c r="K27" s="402">
        <v>6</v>
      </c>
      <c r="L27" s="403">
        <v>7</v>
      </c>
      <c r="M27" s="402">
        <v>8</v>
      </c>
      <c r="N27" s="403">
        <v>9</v>
      </c>
      <c r="O27" s="402">
        <v>10</v>
      </c>
      <c r="P27" s="403">
        <v>11</v>
      </c>
      <c r="Q27" s="402">
        <v>12</v>
      </c>
      <c r="R27" s="403">
        <v>13</v>
      </c>
      <c r="S27" s="402">
        <v>14</v>
      </c>
      <c r="T27" s="403">
        <v>15</v>
      </c>
      <c r="U27" s="402">
        <v>16</v>
      </c>
      <c r="V27" s="403">
        <v>17</v>
      </c>
      <c r="W27" s="402">
        <v>18</v>
      </c>
      <c r="X27" s="403">
        <v>19</v>
      </c>
      <c r="Y27" s="402">
        <v>20</v>
      </c>
      <c r="Z27" s="403">
        <v>21</v>
      </c>
      <c r="AA27" s="402">
        <v>22</v>
      </c>
      <c r="AB27" s="403">
        <v>23</v>
      </c>
      <c r="AC27" s="402">
        <v>24</v>
      </c>
      <c r="AD27" s="403">
        <v>25</v>
      </c>
      <c r="AE27" s="402">
        <v>26</v>
      </c>
      <c r="AF27" s="403">
        <v>27</v>
      </c>
      <c r="AG27" s="402">
        <v>28</v>
      </c>
      <c r="AH27" s="403">
        <v>29</v>
      </c>
      <c r="AI27" s="402">
        <v>30</v>
      </c>
      <c r="AJ27" s="404">
        <v>31</v>
      </c>
    </row>
    <row r="28" spans="2:36">
      <c r="D28" s="59"/>
      <c r="E28" s="59"/>
      <c r="F28" s="405">
        <f>Assum!H25</f>
        <v>2002</v>
      </c>
      <c r="G28" s="406">
        <f>F28+1</f>
        <v>2003</v>
      </c>
      <c r="H28" s="406">
        <f t="shared" ref="H28:AJ28" si="1">G28+1</f>
        <v>2004</v>
      </c>
      <c r="I28" s="406">
        <f t="shared" si="1"/>
        <v>2005</v>
      </c>
      <c r="J28" s="406">
        <f t="shared" si="1"/>
        <v>2006</v>
      </c>
      <c r="K28" s="406">
        <f t="shared" si="1"/>
        <v>2007</v>
      </c>
      <c r="L28" s="406">
        <f t="shared" si="1"/>
        <v>2008</v>
      </c>
      <c r="M28" s="406">
        <f t="shared" si="1"/>
        <v>2009</v>
      </c>
      <c r="N28" s="406">
        <f t="shared" si="1"/>
        <v>2010</v>
      </c>
      <c r="O28" s="406">
        <f t="shared" si="1"/>
        <v>2011</v>
      </c>
      <c r="P28" s="406">
        <f t="shared" si="1"/>
        <v>2012</v>
      </c>
      <c r="Q28" s="406">
        <f t="shared" si="1"/>
        <v>2013</v>
      </c>
      <c r="R28" s="406">
        <f t="shared" si="1"/>
        <v>2014</v>
      </c>
      <c r="S28" s="406">
        <f t="shared" si="1"/>
        <v>2015</v>
      </c>
      <c r="T28" s="406">
        <f t="shared" si="1"/>
        <v>2016</v>
      </c>
      <c r="U28" s="406">
        <f t="shared" si="1"/>
        <v>2017</v>
      </c>
      <c r="V28" s="406">
        <f t="shared" si="1"/>
        <v>2018</v>
      </c>
      <c r="W28" s="406">
        <f t="shared" si="1"/>
        <v>2019</v>
      </c>
      <c r="X28" s="406">
        <f t="shared" si="1"/>
        <v>2020</v>
      </c>
      <c r="Y28" s="406">
        <f t="shared" si="1"/>
        <v>2021</v>
      </c>
      <c r="Z28" s="406">
        <f t="shared" si="1"/>
        <v>2022</v>
      </c>
      <c r="AA28" s="406">
        <f t="shared" si="1"/>
        <v>2023</v>
      </c>
      <c r="AB28" s="406">
        <f t="shared" si="1"/>
        <v>2024</v>
      </c>
      <c r="AC28" s="406">
        <f t="shared" si="1"/>
        <v>2025</v>
      </c>
      <c r="AD28" s="406">
        <f t="shared" si="1"/>
        <v>2026</v>
      </c>
      <c r="AE28" s="406">
        <f t="shared" si="1"/>
        <v>2027</v>
      </c>
      <c r="AF28" s="406">
        <f t="shared" si="1"/>
        <v>2028</v>
      </c>
      <c r="AG28" s="406">
        <f t="shared" si="1"/>
        <v>2029</v>
      </c>
      <c r="AH28" s="406">
        <f t="shared" si="1"/>
        <v>2030</v>
      </c>
      <c r="AI28" s="406">
        <f t="shared" si="1"/>
        <v>2031</v>
      </c>
      <c r="AJ28" s="407">
        <f t="shared" si="1"/>
        <v>2032</v>
      </c>
    </row>
    <row r="29" spans="2:36">
      <c r="D29" s="59"/>
      <c r="E29" s="59"/>
      <c r="F29" s="59"/>
    </row>
    <row r="30" spans="2:36">
      <c r="F30" s="59"/>
    </row>
    <row r="31" spans="2:36">
      <c r="B31" s="65" t="s">
        <v>556</v>
      </c>
      <c r="C31" s="65"/>
      <c r="D31" s="59" t="s">
        <v>621</v>
      </c>
      <c r="E31" s="59"/>
      <c r="F31" s="633">
        <v>1</v>
      </c>
      <c r="G31" s="633">
        <v>1</v>
      </c>
      <c r="H31" s="633">
        <v>1</v>
      </c>
      <c r="I31" s="633">
        <v>1</v>
      </c>
      <c r="J31" s="633">
        <v>1</v>
      </c>
      <c r="K31" s="633">
        <v>1</v>
      </c>
      <c r="L31" s="633">
        <v>1</v>
      </c>
      <c r="M31" s="633">
        <v>1</v>
      </c>
      <c r="N31" s="633">
        <v>1</v>
      </c>
      <c r="O31" s="633">
        <v>1</v>
      </c>
      <c r="P31" s="633">
        <v>1</v>
      </c>
      <c r="Q31" s="633">
        <v>1</v>
      </c>
      <c r="R31" s="633">
        <v>1</v>
      </c>
      <c r="S31" s="633">
        <v>1</v>
      </c>
      <c r="T31" s="633">
        <v>1</v>
      </c>
      <c r="U31" s="633">
        <v>1</v>
      </c>
      <c r="V31" s="633">
        <v>1</v>
      </c>
      <c r="W31" s="633">
        <v>1</v>
      </c>
      <c r="X31" s="633">
        <v>1</v>
      </c>
      <c r="Y31" s="633">
        <v>1</v>
      </c>
      <c r="Z31" s="633">
        <v>1</v>
      </c>
      <c r="AA31" s="633">
        <v>1</v>
      </c>
      <c r="AB31" s="633">
        <v>1</v>
      </c>
      <c r="AC31" s="633">
        <v>1</v>
      </c>
      <c r="AD31" s="633">
        <v>1</v>
      </c>
      <c r="AE31" s="633">
        <v>1</v>
      </c>
      <c r="AF31" s="633">
        <v>1</v>
      </c>
      <c r="AG31" s="633">
        <v>1</v>
      </c>
      <c r="AH31" s="633">
        <v>1</v>
      </c>
      <c r="AI31" s="633">
        <v>1</v>
      </c>
      <c r="AJ31" s="633">
        <v>1</v>
      </c>
    </row>
    <row r="32" spans="2:36">
      <c r="D32" s="59" t="s">
        <v>671</v>
      </c>
      <c r="E32" s="59"/>
      <c r="F32" s="396"/>
    </row>
    <row r="33" spans="1:36">
      <c r="D33" s="59"/>
      <c r="E33" s="59"/>
      <c r="F33" s="59"/>
    </row>
    <row r="34" spans="1:36">
      <c r="B34" t="s">
        <v>682</v>
      </c>
      <c r="D34" s="59" t="s">
        <v>681</v>
      </c>
      <c r="E34" s="59"/>
      <c r="F34" s="396"/>
      <c r="G34" s="365"/>
      <c r="H34" s="365"/>
      <c r="I34" s="365"/>
      <c r="J34" s="365"/>
      <c r="K34" s="365"/>
      <c r="L34" s="365"/>
      <c r="M34" s="365"/>
      <c r="N34" s="365"/>
      <c r="O34" s="365"/>
      <c r="P34" s="365"/>
      <c r="Q34" s="365"/>
      <c r="R34" s="365"/>
      <c r="S34" s="365"/>
      <c r="T34" s="365"/>
      <c r="U34" s="365"/>
      <c r="V34" s="365"/>
      <c r="W34" s="365"/>
      <c r="X34" s="365"/>
      <c r="Y34" s="365"/>
      <c r="Z34" s="365"/>
      <c r="AA34" s="365"/>
      <c r="AB34" s="365"/>
      <c r="AC34" s="365"/>
      <c r="AD34" s="365"/>
      <c r="AE34" s="365"/>
      <c r="AF34" s="365"/>
      <c r="AG34" s="365"/>
      <c r="AH34" s="365"/>
      <c r="AI34" s="365"/>
      <c r="AJ34" s="365"/>
    </row>
    <row r="35" spans="1:36">
      <c r="D35" s="59"/>
      <c r="E35" s="59"/>
      <c r="F35" s="396"/>
    </row>
    <row r="36" spans="1:36">
      <c r="B36" t="s">
        <v>688</v>
      </c>
      <c r="D36" s="59"/>
      <c r="E36" s="59"/>
      <c r="F36" s="529">
        <v>1</v>
      </c>
      <c r="G36" s="400" t="s">
        <v>691</v>
      </c>
    </row>
    <row r="37" spans="1:36">
      <c r="D37" s="59"/>
      <c r="E37" s="59"/>
      <c r="F37" s="59"/>
    </row>
    <row r="38" spans="1:36">
      <c r="B38" t="s">
        <v>693</v>
      </c>
      <c r="D38" s="59"/>
      <c r="E38" s="59"/>
      <c r="F38" s="396"/>
      <c r="G38" s="365"/>
      <c r="H38" s="365"/>
      <c r="I38" s="365"/>
      <c r="J38" s="365"/>
      <c r="K38" s="365"/>
      <c r="L38" s="365"/>
      <c r="M38" s="365"/>
      <c r="N38" s="365"/>
      <c r="O38" s="365"/>
      <c r="P38" s="365"/>
      <c r="Q38" s="365"/>
      <c r="R38" s="365"/>
      <c r="S38" s="365"/>
      <c r="T38" s="365"/>
      <c r="U38" s="365"/>
      <c r="V38" s="365"/>
      <c r="W38" s="365"/>
      <c r="X38" s="365"/>
      <c r="Y38" s="365"/>
      <c r="Z38" s="365"/>
      <c r="AA38" s="365"/>
      <c r="AB38" s="365"/>
      <c r="AC38" s="365"/>
      <c r="AD38" s="365"/>
      <c r="AE38" s="365"/>
      <c r="AF38" s="365"/>
      <c r="AG38" s="365"/>
      <c r="AH38" s="365"/>
      <c r="AI38" s="365"/>
      <c r="AJ38" s="365"/>
    </row>
    <row r="39" spans="1:36">
      <c r="D39" s="59"/>
      <c r="E39" s="59"/>
      <c r="F39" s="59"/>
    </row>
    <row r="40" spans="1:36">
      <c r="B40" s="105" t="s">
        <v>692</v>
      </c>
      <c r="C40" s="105"/>
      <c r="D40" s="59"/>
      <c r="E40" s="59"/>
      <c r="F40" s="396"/>
      <c r="G40" s="365"/>
      <c r="H40" s="365"/>
      <c r="I40" s="365"/>
      <c r="J40" s="365"/>
      <c r="K40" s="365"/>
      <c r="L40" s="365"/>
      <c r="M40" s="365"/>
      <c r="N40" s="365"/>
      <c r="O40" s="365"/>
      <c r="P40" s="365"/>
      <c r="Q40" s="365"/>
      <c r="R40" s="365"/>
      <c r="S40" s="365"/>
      <c r="T40" s="365"/>
      <c r="U40" s="365"/>
      <c r="V40" s="365"/>
      <c r="W40" s="365"/>
      <c r="X40" s="365"/>
      <c r="Y40" s="365"/>
      <c r="Z40" s="365"/>
      <c r="AA40" s="365"/>
      <c r="AB40" s="365"/>
      <c r="AC40" s="365"/>
      <c r="AD40" s="365"/>
      <c r="AE40" s="365"/>
      <c r="AF40" s="365"/>
      <c r="AG40" s="365"/>
      <c r="AH40" s="365"/>
      <c r="AI40" s="365"/>
      <c r="AJ40" s="365"/>
    </row>
    <row r="41" spans="1:36">
      <c r="B41" s="105" t="s">
        <v>151</v>
      </c>
      <c r="C41" s="105"/>
      <c r="D41" s="59"/>
      <c r="E41" s="59"/>
      <c r="F41" s="396"/>
      <c r="G41" s="365"/>
      <c r="H41" s="365"/>
      <c r="I41" s="365"/>
      <c r="J41" s="365"/>
      <c r="K41" s="365"/>
      <c r="L41" s="365"/>
      <c r="M41" s="365"/>
      <c r="N41" s="365"/>
      <c r="O41" s="365"/>
      <c r="P41" s="365"/>
      <c r="Q41" s="365"/>
      <c r="R41" s="365"/>
      <c r="S41" s="365"/>
      <c r="T41" s="365"/>
      <c r="U41" s="365"/>
      <c r="V41" s="365"/>
      <c r="W41" s="365"/>
      <c r="X41" s="365"/>
      <c r="Y41" s="365"/>
      <c r="Z41" s="365"/>
      <c r="AA41" s="365"/>
      <c r="AB41" s="365"/>
      <c r="AC41" s="365"/>
      <c r="AD41" s="365"/>
      <c r="AE41" s="365"/>
      <c r="AF41" s="365"/>
      <c r="AG41" s="365"/>
      <c r="AH41" s="365"/>
      <c r="AI41" s="365"/>
      <c r="AJ41" s="365"/>
    </row>
    <row r="42" spans="1:36" s="241" customFormat="1">
      <c r="A42" s="188"/>
      <c r="B42" s="241" t="s">
        <v>152</v>
      </c>
      <c r="D42" s="428"/>
      <c r="E42" s="428"/>
      <c r="F42" s="528">
        <f>-SUM(F40:F41)</f>
        <v>0</v>
      </c>
      <c r="G42" s="528">
        <f t="shared" ref="G42:AJ42" si="2">-SUM(G40:G41)</f>
        <v>0</v>
      </c>
      <c r="H42" s="528">
        <f t="shared" si="2"/>
        <v>0</v>
      </c>
      <c r="I42" s="528">
        <f t="shared" si="2"/>
        <v>0</v>
      </c>
      <c r="J42" s="528">
        <f t="shared" si="2"/>
        <v>0</v>
      </c>
      <c r="K42" s="528">
        <f t="shared" si="2"/>
        <v>0</v>
      </c>
      <c r="L42" s="528">
        <f t="shared" si="2"/>
        <v>0</v>
      </c>
      <c r="M42" s="528">
        <f t="shared" si="2"/>
        <v>0</v>
      </c>
      <c r="N42" s="528">
        <f t="shared" si="2"/>
        <v>0</v>
      </c>
      <c r="O42" s="528">
        <f t="shared" si="2"/>
        <v>0</v>
      </c>
      <c r="P42" s="528">
        <f t="shared" si="2"/>
        <v>0</v>
      </c>
      <c r="Q42" s="528">
        <f t="shared" si="2"/>
        <v>0</v>
      </c>
      <c r="R42" s="528">
        <f t="shared" si="2"/>
        <v>0</v>
      </c>
      <c r="S42" s="528">
        <f t="shared" si="2"/>
        <v>0</v>
      </c>
      <c r="T42" s="528">
        <f t="shared" si="2"/>
        <v>0</v>
      </c>
      <c r="U42" s="528">
        <f t="shared" si="2"/>
        <v>0</v>
      </c>
      <c r="V42" s="528">
        <f t="shared" si="2"/>
        <v>0</v>
      </c>
      <c r="W42" s="528">
        <f t="shared" si="2"/>
        <v>0</v>
      </c>
      <c r="X42" s="528">
        <f t="shared" si="2"/>
        <v>0</v>
      </c>
      <c r="Y42" s="528">
        <f t="shared" si="2"/>
        <v>0</v>
      </c>
      <c r="Z42" s="528">
        <f t="shared" si="2"/>
        <v>0</v>
      </c>
      <c r="AA42" s="528">
        <f t="shared" si="2"/>
        <v>0</v>
      </c>
      <c r="AB42" s="528">
        <f t="shared" si="2"/>
        <v>0</v>
      </c>
      <c r="AC42" s="528">
        <f t="shared" si="2"/>
        <v>0</v>
      </c>
      <c r="AD42" s="528">
        <f t="shared" si="2"/>
        <v>0</v>
      </c>
      <c r="AE42" s="528">
        <f t="shared" si="2"/>
        <v>0</v>
      </c>
      <c r="AF42" s="528">
        <f t="shared" si="2"/>
        <v>0</v>
      </c>
      <c r="AG42" s="528">
        <f t="shared" si="2"/>
        <v>0</v>
      </c>
      <c r="AH42" s="528">
        <f t="shared" si="2"/>
        <v>0</v>
      </c>
      <c r="AI42" s="528">
        <f t="shared" si="2"/>
        <v>0</v>
      </c>
      <c r="AJ42" s="528">
        <f t="shared" si="2"/>
        <v>0</v>
      </c>
    </row>
    <row r="43" spans="1:36">
      <c r="D43" s="59"/>
      <c r="E43" s="59"/>
      <c r="F43" s="59"/>
    </row>
    <row r="44" spans="1:36">
      <c r="D44" s="59"/>
      <c r="E44" s="59"/>
      <c r="F44" s="59"/>
    </row>
    <row r="46" spans="1:36">
      <c r="D46" s="59"/>
      <c r="E46" s="59"/>
      <c r="F46" s="59"/>
    </row>
    <row r="47" spans="1:36">
      <c r="D47" s="59"/>
      <c r="E47" s="59"/>
      <c r="F47" s="59"/>
    </row>
    <row r="48" spans="1:36">
      <c r="D48" s="59"/>
      <c r="E48" s="59"/>
      <c r="F48" s="59"/>
    </row>
    <row r="49" spans="2:35">
      <c r="B49" s="395" t="s">
        <v>684</v>
      </c>
      <c r="C49" s="395"/>
      <c r="D49" s="59"/>
      <c r="E49" s="59"/>
      <c r="F49" s="59"/>
    </row>
    <row r="50" spans="2:35">
      <c r="D50" s="59"/>
      <c r="E50" s="59"/>
      <c r="F50" s="59"/>
    </row>
    <row r="51" spans="2:35">
      <c r="B51" t="s">
        <v>685</v>
      </c>
      <c r="D51" s="59"/>
      <c r="E51" s="59"/>
      <c r="F51" s="317"/>
    </row>
    <row r="52" spans="2:35">
      <c r="D52" s="59"/>
      <c r="E52" s="59"/>
      <c r="F52" s="59"/>
    </row>
    <row r="53" spans="2:35">
      <c r="D53" s="59"/>
      <c r="E53" s="59"/>
      <c r="F53" s="59"/>
    </row>
    <row r="54" spans="2:35">
      <c r="D54" s="59"/>
      <c r="E54" s="59"/>
      <c r="F54" s="59"/>
    </row>
    <row r="55" spans="2:35">
      <c r="D55" s="59"/>
      <c r="E55" s="59"/>
      <c r="F55" s="59"/>
    </row>
    <row r="56" spans="2:35">
      <c r="B56" s="395" t="s">
        <v>442</v>
      </c>
      <c r="C56" s="395"/>
      <c r="D56" s="59"/>
      <c r="E56" s="59"/>
      <c r="F56" s="59"/>
    </row>
    <row r="57" spans="2:35">
      <c r="D57" s="59"/>
      <c r="E57" s="1623">
        <v>35430</v>
      </c>
      <c r="F57" s="1623">
        <f t="shared" ref="F57:F62" si="3">$E$61</f>
        <v>35795</v>
      </c>
      <c r="G57" s="1623">
        <f>EWC!E47</f>
        <v>35885</v>
      </c>
      <c r="H57" s="1623">
        <f>EWC!F47</f>
        <v>36250</v>
      </c>
      <c r="I57" s="1623">
        <f>EWC!G47</f>
        <v>36616</v>
      </c>
      <c r="J57" s="1623">
        <f>EWC!H47</f>
        <v>36981</v>
      </c>
      <c r="K57" s="1623">
        <f>EWC!I47</f>
        <v>37346</v>
      </c>
      <c r="L57" s="1623">
        <f>EWC!J47</f>
        <v>37711</v>
      </c>
      <c r="M57" s="1623">
        <f>EWC!K47</f>
        <v>38077</v>
      </c>
      <c r="N57" s="1623">
        <f>EWC!L47</f>
        <v>38442</v>
      </c>
      <c r="O57" s="1623">
        <f>EWC!M47</f>
        <v>38807</v>
      </c>
      <c r="P57" s="1623">
        <f>EWC!N47</f>
        <v>39172</v>
      </c>
      <c r="Q57" s="1623">
        <f>EWC!O47</f>
        <v>39538</v>
      </c>
      <c r="R57" s="1623">
        <f>EWC!P47</f>
        <v>39903</v>
      </c>
      <c r="S57" s="1623">
        <f>EWC!Q47</f>
        <v>40268</v>
      </c>
      <c r="T57" s="1623">
        <f>EWC!R47</f>
        <v>40633</v>
      </c>
      <c r="U57" s="1623">
        <f>EWC!S47</f>
        <v>40999</v>
      </c>
      <c r="V57" s="1623">
        <f>EWC!T47</f>
        <v>41364</v>
      </c>
      <c r="W57" s="1623">
        <f>EWC!U47</f>
        <v>41729</v>
      </c>
      <c r="X57" s="1623">
        <f>EWC!V47</f>
        <v>42094</v>
      </c>
      <c r="Y57" s="1623">
        <f>EWC!W47</f>
        <v>42460</v>
      </c>
      <c r="Z57" s="1623">
        <f>EWC!X47</f>
        <v>42825</v>
      </c>
      <c r="AA57" s="1623">
        <f>EWC!Y47</f>
        <v>43190</v>
      </c>
      <c r="AB57" s="1623">
        <f>EWC!Z47</f>
        <v>43555</v>
      </c>
      <c r="AC57" s="1623">
        <f>EWC!AA47</f>
        <v>43921</v>
      </c>
      <c r="AD57" s="1623">
        <f>EWC!AB47</f>
        <v>44286</v>
      </c>
      <c r="AE57" s="1623">
        <f>EWC!AC47</f>
        <v>44651</v>
      </c>
      <c r="AF57" s="1623">
        <f>EWC!AD47</f>
        <v>45016</v>
      </c>
      <c r="AG57" s="1623">
        <f>EWC!AE47</f>
        <v>45382</v>
      </c>
      <c r="AH57" s="1623">
        <f>EWC!AF47</f>
        <v>45747</v>
      </c>
      <c r="AI57" s="1623">
        <f>EWC!AG47</f>
        <v>46112</v>
      </c>
    </row>
    <row r="58" spans="2:35">
      <c r="D58" s="59"/>
      <c r="E58" s="1623">
        <f>EDATE(E57,3)</f>
        <v>35520</v>
      </c>
      <c r="F58" s="1623">
        <f t="shared" si="3"/>
        <v>35795</v>
      </c>
      <c r="G58" s="1623">
        <f>EWC!E48</f>
        <v>35977</v>
      </c>
      <c r="H58" s="1623">
        <f>EWC!F48</f>
        <v>36341</v>
      </c>
      <c r="I58" s="1623">
        <f>EWC!G48</f>
        <v>36707</v>
      </c>
      <c r="J58" s="1623">
        <f>EWC!H48</f>
        <v>37072</v>
      </c>
      <c r="K58" s="1623">
        <f>EWC!I48</f>
        <v>37437</v>
      </c>
      <c r="L58" s="1623">
        <f>EWC!J48</f>
        <v>37802</v>
      </c>
      <c r="M58" s="1623">
        <f>EWC!K48</f>
        <v>38168</v>
      </c>
      <c r="N58" s="1623">
        <f>EWC!L48</f>
        <v>38533</v>
      </c>
      <c r="O58" s="1623">
        <f>EWC!M48</f>
        <v>38898</v>
      </c>
      <c r="P58" s="1623">
        <f>EWC!N48</f>
        <v>39263</v>
      </c>
      <c r="Q58" s="1623">
        <f>EWC!O48</f>
        <v>39629</v>
      </c>
      <c r="R58" s="1623">
        <f>EWC!P48</f>
        <v>39994</v>
      </c>
      <c r="S58" s="1623">
        <f>EWC!Q48</f>
        <v>40359</v>
      </c>
      <c r="T58" s="1623">
        <f>EWC!R48</f>
        <v>40724</v>
      </c>
      <c r="U58" s="1623">
        <f>EWC!S48</f>
        <v>41090</v>
      </c>
      <c r="V58" s="1623">
        <f>EWC!T48</f>
        <v>41455</v>
      </c>
      <c r="W58" s="1623">
        <f>EWC!U48</f>
        <v>41820</v>
      </c>
      <c r="X58" s="1623">
        <f>EWC!V48</f>
        <v>42185</v>
      </c>
      <c r="Y58" s="1623">
        <f>EWC!W48</f>
        <v>42551</v>
      </c>
      <c r="Z58" s="1623">
        <f>EWC!X48</f>
        <v>42916</v>
      </c>
      <c r="AA58" s="1623">
        <f>EWC!Y48</f>
        <v>43281</v>
      </c>
      <c r="AB58" s="1623">
        <f>EWC!Z48</f>
        <v>43646</v>
      </c>
      <c r="AC58" s="1623">
        <f>EWC!AA48</f>
        <v>44012</v>
      </c>
      <c r="AD58" s="1623">
        <f>EWC!AB48</f>
        <v>44377</v>
      </c>
      <c r="AE58" s="1623">
        <f>EWC!AC48</f>
        <v>44742</v>
      </c>
      <c r="AF58" s="1623">
        <f>EWC!AD48</f>
        <v>45107</v>
      </c>
      <c r="AG58" s="1623">
        <f>EWC!AE48</f>
        <v>45473</v>
      </c>
      <c r="AH58" s="1623">
        <f>EWC!AF48</f>
        <v>45838</v>
      </c>
      <c r="AI58" s="1623">
        <f>EWC!AG48</f>
        <v>46203</v>
      </c>
    </row>
    <row r="59" spans="2:35">
      <c r="D59" s="59"/>
      <c r="E59" s="1623">
        <f>EDATE(E58,3)</f>
        <v>35611</v>
      </c>
      <c r="F59" s="1623">
        <f t="shared" si="3"/>
        <v>35795</v>
      </c>
      <c r="G59" s="1623">
        <f>EWC!E49</f>
        <v>36067</v>
      </c>
      <c r="H59" s="1623">
        <f>EWC!F49</f>
        <v>36433</v>
      </c>
      <c r="I59" s="1623">
        <f>EWC!G49</f>
        <v>36799</v>
      </c>
      <c r="J59" s="1623">
        <f>EWC!H49</f>
        <v>37164</v>
      </c>
      <c r="K59" s="1623">
        <f>EWC!I49</f>
        <v>37529</v>
      </c>
      <c r="L59" s="1623">
        <f>EWC!J49</f>
        <v>37894</v>
      </c>
      <c r="M59" s="1623">
        <f>EWC!K49</f>
        <v>38260</v>
      </c>
      <c r="N59" s="1623">
        <f>EWC!L49</f>
        <v>38625</v>
      </c>
      <c r="O59" s="1623">
        <f>EWC!M49</f>
        <v>38990</v>
      </c>
      <c r="P59" s="1623">
        <f>EWC!N49</f>
        <v>39355</v>
      </c>
      <c r="Q59" s="1623">
        <f>EWC!O49</f>
        <v>39721</v>
      </c>
      <c r="R59" s="1623">
        <f>EWC!P49</f>
        <v>40086</v>
      </c>
      <c r="S59" s="1623">
        <f>EWC!Q49</f>
        <v>40451</v>
      </c>
      <c r="T59" s="1623">
        <f>EWC!R49</f>
        <v>40816</v>
      </c>
      <c r="U59" s="1623">
        <f>EWC!S49</f>
        <v>41182</v>
      </c>
      <c r="V59" s="1623">
        <f>EWC!T49</f>
        <v>41547</v>
      </c>
      <c r="W59" s="1623">
        <f>EWC!U49</f>
        <v>41912</v>
      </c>
      <c r="X59" s="1623">
        <f>EWC!V49</f>
        <v>42277</v>
      </c>
      <c r="Y59" s="1623">
        <f>EWC!W49</f>
        <v>42643</v>
      </c>
      <c r="Z59" s="1623">
        <f>EWC!X49</f>
        <v>43008</v>
      </c>
      <c r="AA59" s="1623">
        <f>EWC!Y49</f>
        <v>43373</v>
      </c>
      <c r="AB59" s="1623">
        <f>EWC!Z49</f>
        <v>43738</v>
      </c>
      <c r="AC59" s="1623">
        <f>EWC!AA49</f>
        <v>44104</v>
      </c>
      <c r="AD59" s="1623">
        <f>EWC!AB49</f>
        <v>44469</v>
      </c>
      <c r="AE59" s="1623">
        <f>EWC!AC49</f>
        <v>44834</v>
      </c>
      <c r="AF59" s="1623">
        <f>EWC!AD49</f>
        <v>45199</v>
      </c>
      <c r="AG59" s="1623">
        <f>EWC!AE49</f>
        <v>45565</v>
      </c>
      <c r="AH59" s="1623">
        <f>EWC!AF49</f>
        <v>45930</v>
      </c>
      <c r="AI59" s="1623">
        <f>EWC!AG49</f>
        <v>46295</v>
      </c>
    </row>
    <row r="60" spans="2:35">
      <c r="D60" s="59"/>
      <c r="E60" s="1623">
        <f>EDATE(E59,3)</f>
        <v>35703</v>
      </c>
      <c r="F60" s="1623">
        <f t="shared" si="3"/>
        <v>35795</v>
      </c>
      <c r="G60" s="1623">
        <f>EWC!E50</f>
        <v>36160</v>
      </c>
      <c r="H60" s="1623">
        <f>EWC!F50</f>
        <v>36525</v>
      </c>
      <c r="I60" s="1623">
        <f>EWC!G50</f>
        <v>36891</v>
      </c>
      <c r="J60" s="1623">
        <f>EWC!H50</f>
        <v>37256</v>
      </c>
      <c r="K60" s="1623">
        <f>EWC!I50</f>
        <v>37621</v>
      </c>
      <c r="L60" s="1623">
        <f>EWC!J50</f>
        <v>37986</v>
      </c>
      <c r="M60" s="1623">
        <f>EWC!K50</f>
        <v>38352</v>
      </c>
      <c r="N60" s="1623">
        <f>EWC!L50</f>
        <v>38717</v>
      </c>
      <c r="O60" s="1623">
        <f>EWC!M50</f>
        <v>39082</v>
      </c>
      <c r="P60" s="1623">
        <f>EWC!N50</f>
        <v>39447</v>
      </c>
      <c r="Q60" s="1623">
        <f>EWC!O50</f>
        <v>39813</v>
      </c>
      <c r="R60" s="1623">
        <f>EWC!P50</f>
        <v>40178</v>
      </c>
      <c r="S60" s="1623">
        <f>EWC!Q50</f>
        <v>40543</v>
      </c>
      <c r="T60" s="1623">
        <f>EWC!R50</f>
        <v>40908</v>
      </c>
      <c r="U60" s="1623">
        <f>EWC!S50</f>
        <v>41274</v>
      </c>
      <c r="V60" s="1623">
        <f>EWC!T50</f>
        <v>41639</v>
      </c>
      <c r="W60" s="1623">
        <f>EWC!U50</f>
        <v>42004</v>
      </c>
      <c r="X60" s="1623">
        <f>EWC!V50</f>
        <v>42369</v>
      </c>
      <c r="Y60" s="1623">
        <f>EWC!W50</f>
        <v>42735</v>
      </c>
      <c r="Z60" s="1623">
        <f>EWC!X50</f>
        <v>43100</v>
      </c>
      <c r="AA60" s="1623">
        <f>EWC!Y50</f>
        <v>43465</v>
      </c>
      <c r="AB60" s="1623">
        <f>EWC!Z50</f>
        <v>43830</v>
      </c>
      <c r="AC60" s="1623">
        <f>EWC!AA50</f>
        <v>44196</v>
      </c>
      <c r="AD60" s="1623">
        <f>EWC!AB50</f>
        <v>44561</v>
      </c>
      <c r="AE60" s="1623">
        <f>EWC!AC50</f>
        <v>44926</v>
      </c>
      <c r="AF60" s="1623">
        <f>EWC!AD50</f>
        <v>45291</v>
      </c>
      <c r="AG60" s="1623">
        <f>EWC!AE50</f>
        <v>45657</v>
      </c>
      <c r="AH60" s="1623">
        <f>EWC!AF50</f>
        <v>46022</v>
      </c>
      <c r="AI60" s="1623">
        <f>EWC!AG50</f>
        <v>46387</v>
      </c>
    </row>
    <row r="61" spans="2:35">
      <c r="D61" s="59"/>
      <c r="E61" s="1623">
        <f>EDATE(E60,3)</f>
        <v>35795</v>
      </c>
      <c r="F61" s="1623">
        <f t="shared" si="3"/>
        <v>35795</v>
      </c>
      <c r="G61" s="1623">
        <f>EWC!E51</f>
        <v>36158</v>
      </c>
      <c r="H61" s="1623">
        <f>EWC!F51</f>
        <v>36523</v>
      </c>
      <c r="I61" s="1623">
        <f>EWC!G51</f>
        <v>36889</v>
      </c>
      <c r="J61" s="1623">
        <f>EWC!H51</f>
        <v>37254</v>
      </c>
      <c r="K61" s="1623">
        <f>EWC!I51</f>
        <v>37619</v>
      </c>
      <c r="L61" s="1623">
        <f>EWC!J51</f>
        <v>37984</v>
      </c>
      <c r="M61" s="1623">
        <f>EWC!K51</f>
        <v>38350</v>
      </c>
      <c r="N61" s="1623">
        <f>EWC!L51</f>
        <v>38715</v>
      </c>
      <c r="O61" s="1623">
        <f>EWC!M51</f>
        <v>39080</v>
      </c>
      <c r="P61" s="1623">
        <f>EWC!N51</f>
        <v>39445</v>
      </c>
      <c r="Q61" s="1623">
        <f>EWC!O51</f>
        <v>39811</v>
      </c>
      <c r="R61" s="1623">
        <f>EWC!P51</f>
        <v>40176</v>
      </c>
      <c r="S61" s="1623">
        <f>EWC!Q51</f>
        <v>40541</v>
      </c>
      <c r="T61" s="1623">
        <f>EWC!R51</f>
        <v>40906</v>
      </c>
      <c r="U61" s="1623">
        <f>EWC!S51</f>
        <v>41272</v>
      </c>
      <c r="V61" s="1623">
        <f>EWC!T51</f>
        <v>41637</v>
      </c>
      <c r="W61" s="1623">
        <f>EWC!U51</f>
        <v>42002</v>
      </c>
      <c r="X61" s="1623">
        <f>EWC!V51</f>
        <v>42367</v>
      </c>
      <c r="Y61" s="1623">
        <f>EWC!W51</f>
        <v>42733</v>
      </c>
      <c r="Z61" s="1623">
        <f>EWC!X51</f>
        <v>43098</v>
      </c>
      <c r="AA61" s="1623">
        <f>EWC!Y51</f>
        <v>43463</v>
      </c>
      <c r="AB61" s="1623">
        <f>EWC!Z51</f>
        <v>43828</v>
      </c>
      <c r="AC61" s="1623">
        <f>EWC!AA51</f>
        <v>44194</v>
      </c>
      <c r="AD61" s="1623">
        <f>EWC!AB51</f>
        <v>44559</v>
      </c>
      <c r="AE61" s="1623">
        <f>EWC!AC51</f>
        <v>44924</v>
      </c>
      <c r="AF61" s="1623">
        <f>EWC!AD51</f>
        <v>45289</v>
      </c>
      <c r="AG61" s="1623">
        <f>EWC!AE51</f>
        <v>45655</v>
      </c>
      <c r="AH61" s="1623">
        <f>EWC!AF51</f>
        <v>46020</v>
      </c>
      <c r="AI61" s="1623">
        <f>EWC!AG51</f>
        <v>46385</v>
      </c>
    </row>
    <row r="62" spans="2:35">
      <c r="D62" s="59"/>
      <c r="E62" s="1623">
        <f>EDATE(E61,3)</f>
        <v>35885</v>
      </c>
      <c r="F62" s="1623">
        <f t="shared" si="3"/>
        <v>35795</v>
      </c>
      <c r="G62" s="1623">
        <f>G61</f>
        <v>36158</v>
      </c>
      <c r="H62" s="1623">
        <f t="shared" ref="H62:AI62" si="4">H61</f>
        <v>36523</v>
      </c>
      <c r="I62" s="1623">
        <f t="shared" si="4"/>
        <v>36889</v>
      </c>
      <c r="J62" s="1623">
        <f t="shared" si="4"/>
        <v>37254</v>
      </c>
      <c r="K62" s="1623">
        <f t="shared" si="4"/>
        <v>37619</v>
      </c>
      <c r="L62" s="1623">
        <f t="shared" si="4"/>
        <v>37984</v>
      </c>
      <c r="M62" s="1623">
        <f t="shared" si="4"/>
        <v>38350</v>
      </c>
      <c r="N62" s="1623">
        <f t="shared" si="4"/>
        <v>38715</v>
      </c>
      <c r="O62" s="1623">
        <f t="shared" si="4"/>
        <v>39080</v>
      </c>
      <c r="P62" s="1623">
        <f t="shared" si="4"/>
        <v>39445</v>
      </c>
      <c r="Q62" s="1623">
        <f t="shared" si="4"/>
        <v>39811</v>
      </c>
      <c r="R62" s="1623">
        <f t="shared" si="4"/>
        <v>40176</v>
      </c>
      <c r="S62" s="1623">
        <f t="shared" si="4"/>
        <v>40541</v>
      </c>
      <c r="T62" s="1623">
        <f t="shared" si="4"/>
        <v>40906</v>
      </c>
      <c r="U62" s="1623">
        <f t="shared" si="4"/>
        <v>41272</v>
      </c>
      <c r="V62" s="1623">
        <f t="shared" si="4"/>
        <v>41637</v>
      </c>
      <c r="W62" s="1623">
        <f t="shared" si="4"/>
        <v>42002</v>
      </c>
      <c r="X62" s="1623">
        <f t="shared" si="4"/>
        <v>42367</v>
      </c>
      <c r="Y62" s="1623">
        <f t="shared" si="4"/>
        <v>42733</v>
      </c>
      <c r="Z62" s="1623">
        <f t="shared" si="4"/>
        <v>43098</v>
      </c>
      <c r="AA62" s="1623">
        <f t="shared" si="4"/>
        <v>43463</v>
      </c>
      <c r="AB62" s="1623">
        <f t="shared" si="4"/>
        <v>43828</v>
      </c>
      <c r="AC62" s="1623">
        <f t="shared" si="4"/>
        <v>44194</v>
      </c>
      <c r="AD62" s="1623">
        <f t="shared" si="4"/>
        <v>44559</v>
      </c>
      <c r="AE62" s="1623">
        <f t="shared" si="4"/>
        <v>44924</v>
      </c>
      <c r="AF62" s="1623">
        <f t="shared" si="4"/>
        <v>45289</v>
      </c>
      <c r="AG62" s="1623">
        <f t="shared" si="4"/>
        <v>45655</v>
      </c>
      <c r="AH62" s="1623">
        <f t="shared" si="4"/>
        <v>46020</v>
      </c>
      <c r="AI62" s="1623">
        <f t="shared" si="4"/>
        <v>46385</v>
      </c>
    </row>
    <row r="63" spans="2:35">
      <c r="D63" s="59"/>
      <c r="E63" s="59"/>
      <c r="F63" s="59"/>
    </row>
    <row r="64" spans="2:35">
      <c r="E64" s="59">
        <f ca="1">-(Assum!$F$79-Internal!$G$84)/4</f>
        <v>-32923.884632013469</v>
      </c>
      <c r="F64" s="59">
        <f>EWCSum!C20</f>
        <v>40271.353865997226</v>
      </c>
      <c r="G64" s="45">
        <f ca="1">EWC!E54</f>
        <v>41.576057730511494</v>
      </c>
      <c r="H64" s="45">
        <f ca="1">EWC!F54</f>
        <v>57.79067966671272</v>
      </c>
      <c r="I64" s="45">
        <f ca="1">EWC!G54</f>
        <v>42.157736601029441</v>
      </c>
      <c r="J64" s="45">
        <f ca="1">EWC!H54</f>
        <v>33.942595560745275</v>
      </c>
      <c r="K64" s="45">
        <f ca="1">EWC!I54</f>
        <v>33.848059080651801</v>
      </c>
      <c r="L64" s="45">
        <f ca="1">EWC!J54</f>
        <v>26.449027102357825</v>
      </c>
      <c r="M64" s="45">
        <f ca="1">EWC!K54</f>
        <v>20.917452205191189</v>
      </c>
      <c r="N64" s="45">
        <f ca="1">EWC!L54</f>
        <v>20.758477610039542</v>
      </c>
      <c r="O64" s="45">
        <f ca="1">EWC!M54</f>
        <v>21.765294125384528</v>
      </c>
      <c r="P64" s="45">
        <f ca="1">EWC!N54</f>
        <v>21.507205563895823</v>
      </c>
      <c r="Q64" s="45">
        <f ca="1">EWC!O54</f>
        <v>-3.329469779945744</v>
      </c>
      <c r="R64" s="45">
        <f ca="1">EWC!P54</f>
        <v>-3.7380398000665815</v>
      </c>
      <c r="S64" s="45">
        <f ca="1">EWC!Q54</f>
        <v>-4.1006539351359992</v>
      </c>
      <c r="T64" s="45">
        <f ca="1">EWC!R54</f>
        <v>-4.2784090299039761</v>
      </c>
      <c r="U64" s="45">
        <f ca="1">EWC!S54</f>
        <v>-4.4608113443303523</v>
      </c>
      <c r="V64" s="45">
        <f ca="1">EWC!T54</f>
        <v>-4.5633049659260427</v>
      </c>
      <c r="W64" s="45">
        <f ca="1">EWC!U54</f>
        <v>-4.8335362566034634</v>
      </c>
      <c r="X64" s="45">
        <f ca="1">EWC!V54</f>
        <v>-5.163306792555983</v>
      </c>
      <c r="Y64" s="45">
        <f ca="1">EWC!W54</f>
        <v>-5.623458466251388</v>
      </c>
      <c r="Z64" s="45">
        <f ca="1">EWC!X54</f>
        <v>-5.5484774544684052</v>
      </c>
      <c r="AA64" s="45">
        <f ca="1">EWC!Y54</f>
        <v>-1.6300995251530906E-2</v>
      </c>
      <c r="AB64" s="45">
        <f ca="1">EWC!Z54</f>
        <v>0</v>
      </c>
      <c r="AC64" s="45">
        <f ca="1">EWC!AA54</f>
        <v>0</v>
      </c>
      <c r="AD64" s="45">
        <f ca="1">EWC!AB54</f>
        <v>0</v>
      </c>
      <c r="AE64" s="45">
        <f ca="1">EWC!AC54</f>
        <v>0</v>
      </c>
      <c r="AF64" s="45">
        <f ca="1">EWC!AD54</f>
        <v>0</v>
      </c>
      <c r="AG64" s="45">
        <f ca="1">EWC!AE54</f>
        <v>0</v>
      </c>
      <c r="AH64" s="45">
        <f ca="1">EWC!AF54</f>
        <v>0</v>
      </c>
      <c r="AI64" s="45">
        <f ca="1">EWC!AG54</f>
        <v>0</v>
      </c>
    </row>
    <row r="65" spans="2:35">
      <c r="E65" s="59">
        <f ca="1">-(Assum!$F$79-Internal!$G$84)/4</f>
        <v>-32923.884632013469</v>
      </c>
      <c r="F65" s="59">
        <f ca="1">Srcs_Uses!E6</f>
        <v>90426.917784397752</v>
      </c>
      <c r="G65" s="45">
        <f ca="1">EWC!E55</f>
        <v>41.576057730511494</v>
      </c>
      <c r="H65" s="45">
        <f ca="1">EWC!F55</f>
        <v>57.79067966671272</v>
      </c>
      <c r="I65" s="45">
        <f ca="1">EWC!G55</f>
        <v>42.157736601029441</v>
      </c>
      <c r="J65" s="45">
        <f ca="1">EWC!H55</f>
        <v>33.942595560745275</v>
      </c>
      <c r="K65" s="45">
        <f ca="1">EWC!I55</f>
        <v>33.848059080651801</v>
      </c>
      <c r="L65" s="45">
        <f ca="1">EWC!J55</f>
        <v>26.449027102357825</v>
      </c>
      <c r="M65" s="45">
        <f ca="1">EWC!K55</f>
        <v>20.917452205191189</v>
      </c>
      <c r="N65" s="45">
        <f ca="1">EWC!L55</f>
        <v>20.758477610039542</v>
      </c>
      <c r="O65" s="45">
        <f ca="1">EWC!M55</f>
        <v>21.765294125384528</v>
      </c>
      <c r="P65" s="45">
        <f ca="1">EWC!N55</f>
        <v>21.507205563895823</v>
      </c>
      <c r="Q65" s="45">
        <f ca="1">EWC!O55</f>
        <v>-3.329469779945744</v>
      </c>
      <c r="R65" s="45">
        <f ca="1">EWC!P55</f>
        <v>-3.7380398000665815</v>
      </c>
      <c r="S65" s="45">
        <f ca="1">EWC!Q55</f>
        <v>-4.1006539351359992</v>
      </c>
      <c r="T65" s="45">
        <f ca="1">EWC!R55</f>
        <v>-4.2784090299039761</v>
      </c>
      <c r="U65" s="45">
        <f ca="1">EWC!S55</f>
        <v>-4.4608113443303523</v>
      </c>
      <c r="V65" s="45">
        <f ca="1">EWC!T55</f>
        <v>-4.5633049659260427</v>
      </c>
      <c r="W65" s="45">
        <f ca="1">EWC!U55</f>
        <v>-4.8335362566034634</v>
      </c>
      <c r="X65" s="45">
        <f ca="1">EWC!V55</f>
        <v>-5.163306792555983</v>
      </c>
      <c r="Y65" s="45">
        <f ca="1">EWC!W55</f>
        <v>-5.623458466251388</v>
      </c>
      <c r="Z65" s="45">
        <f ca="1">EWC!X55</f>
        <v>-5.5484774544684052</v>
      </c>
      <c r="AA65" s="45">
        <f ca="1">EWC!Y55</f>
        <v>-1.6300995251530906E-2</v>
      </c>
      <c r="AB65" s="45">
        <f ca="1">EWC!Z55</f>
        <v>0</v>
      </c>
      <c r="AC65" s="45">
        <f ca="1">EWC!AA55</f>
        <v>0</v>
      </c>
      <c r="AD65" s="45">
        <f ca="1">EWC!AB55</f>
        <v>0</v>
      </c>
      <c r="AE65" s="45">
        <f ca="1">EWC!AC55</f>
        <v>0</v>
      </c>
      <c r="AF65" s="45">
        <f ca="1">EWC!AD55</f>
        <v>0</v>
      </c>
      <c r="AG65" s="45">
        <f ca="1">EWC!AE55</f>
        <v>0</v>
      </c>
      <c r="AH65" s="45">
        <f ca="1">EWC!AF55</f>
        <v>0</v>
      </c>
      <c r="AI65" s="45">
        <f ca="1">EWC!AG55</f>
        <v>0</v>
      </c>
    </row>
    <row r="66" spans="2:35">
      <c r="E66" s="59">
        <f ca="1">-(Assum!$F$79-Internal!$G$84)/4</f>
        <v>-32923.884632013469</v>
      </c>
      <c r="F66" s="59">
        <v>0</v>
      </c>
      <c r="G66" s="45">
        <f ca="1">EWC!E56</f>
        <v>41.576057730511494</v>
      </c>
      <c r="H66" s="45">
        <f ca="1">EWC!F56</f>
        <v>57.79067966671272</v>
      </c>
      <c r="I66" s="45">
        <f ca="1">EWC!G56</f>
        <v>42.157736601029441</v>
      </c>
      <c r="J66" s="45">
        <f ca="1">EWC!H56</f>
        <v>33.942595560745275</v>
      </c>
      <c r="K66" s="45">
        <f ca="1">EWC!I56</f>
        <v>33.848059080651801</v>
      </c>
      <c r="L66" s="45">
        <f ca="1">EWC!J56</f>
        <v>26.449027102357825</v>
      </c>
      <c r="M66" s="45">
        <f ca="1">EWC!K56</f>
        <v>20.917452205191189</v>
      </c>
      <c r="N66" s="45">
        <f ca="1">EWC!L56</f>
        <v>20.758477610039542</v>
      </c>
      <c r="O66" s="45">
        <f ca="1">EWC!M56</f>
        <v>21.765294125384528</v>
      </c>
      <c r="P66" s="45">
        <f ca="1">EWC!N56</f>
        <v>21.507205563895823</v>
      </c>
      <c r="Q66" s="45">
        <f ca="1">EWC!O56</f>
        <v>-3.329469779945744</v>
      </c>
      <c r="R66" s="45">
        <f ca="1">EWC!P56</f>
        <v>-3.7380398000665815</v>
      </c>
      <c r="S66" s="45">
        <f ca="1">EWC!Q56</f>
        <v>-4.1006539351359992</v>
      </c>
      <c r="T66" s="45">
        <f ca="1">EWC!R56</f>
        <v>-4.2784090299039761</v>
      </c>
      <c r="U66" s="45">
        <f ca="1">EWC!S56</f>
        <v>-4.4608113443303523</v>
      </c>
      <c r="V66" s="45">
        <f ca="1">EWC!T56</f>
        <v>-4.5633049659260427</v>
      </c>
      <c r="W66" s="45">
        <f ca="1">EWC!U56</f>
        <v>-4.8335362566034634</v>
      </c>
      <c r="X66" s="45">
        <f ca="1">EWC!V56</f>
        <v>-5.163306792555983</v>
      </c>
      <c r="Y66" s="45">
        <f ca="1">EWC!W56</f>
        <v>-5.623458466251388</v>
      </c>
      <c r="Z66" s="45">
        <f ca="1">EWC!X56</f>
        <v>-5.5484774544684052</v>
      </c>
      <c r="AA66" s="45">
        <f ca="1">EWC!Y56</f>
        <v>-1.6300995251530906E-2</v>
      </c>
      <c r="AB66" s="45">
        <f ca="1">EWC!Z56</f>
        <v>0</v>
      </c>
      <c r="AC66" s="45">
        <f ca="1">EWC!AA56</f>
        <v>0</v>
      </c>
      <c r="AD66" s="45">
        <f ca="1">EWC!AB56</f>
        <v>0</v>
      </c>
      <c r="AE66" s="45">
        <f ca="1">EWC!AC56</f>
        <v>0</v>
      </c>
      <c r="AF66" s="45">
        <f ca="1">EWC!AD56</f>
        <v>0</v>
      </c>
      <c r="AG66" s="45">
        <f ca="1">EWC!AE56</f>
        <v>0</v>
      </c>
      <c r="AH66" s="45">
        <f ca="1">EWC!AF56</f>
        <v>0</v>
      </c>
      <c r="AI66" s="45">
        <f ca="1">EWC!AG56</f>
        <v>0</v>
      </c>
    </row>
    <row r="67" spans="2:35">
      <c r="E67" s="59">
        <f ca="1">-(Assum!$F$79-Internal!$G$84)/4</f>
        <v>-32923.884632013469</v>
      </c>
      <c r="F67" s="59">
        <v>0</v>
      </c>
      <c r="G67" s="45">
        <f ca="1">EWC!E57</f>
        <v>41.576057730511494</v>
      </c>
      <c r="H67" s="45">
        <f ca="1">EWC!F57</f>
        <v>57.79067966671272</v>
      </c>
      <c r="I67" s="45">
        <f ca="1">EWC!G57</f>
        <v>42.157736601029441</v>
      </c>
      <c r="J67" s="45">
        <f ca="1">EWC!H57</f>
        <v>33.942595560745275</v>
      </c>
      <c r="K67" s="45">
        <f ca="1">EWC!I57</f>
        <v>33.848059080651801</v>
      </c>
      <c r="L67" s="45">
        <f ca="1">EWC!J57</f>
        <v>26.449027102357825</v>
      </c>
      <c r="M67" s="45">
        <f ca="1">EWC!K57</f>
        <v>20.917452205191189</v>
      </c>
      <c r="N67" s="45">
        <f ca="1">EWC!L57</f>
        <v>20.758477610039542</v>
      </c>
      <c r="O67" s="45">
        <f ca="1">EWC!M57</f>
        <v>21.765294125384528</v>
      </c>
      <c r="P67" s="45">
        <f ca="1">EWC!N57</f>
        <v>21.507205563895823</v>
      </c>
      <c r="Q67" s="45">
        <f ca="1">EWC!O57</f>
        <v>-3.329469779945744</v>
      </c>
      <c r="R67" s="45">
        <f ca="1">EWC!P57</f>
        <v>-3.7380398000665815</v>
      </c>
      <c r="S67" s="45">
        <f ca="1">EWC!Q57</f>
        <v>-4.1006539351359992</v>
      </c>
      <c r="T67" s="45">
        <f ca="1">EWC!R57</f>
        <v>-4.2784090299039761</v>
      </c>
      <c r="U67" s="45">
        <f ca="1">EWC!S57</f>
        <v>-4.4608113443303523</v>
      </c>
      <c r="V67" s="45">
        <f ca="1">EWC!T57</f>
        <v>-4.5633049659260427</v>
      </c>
      <c r="W67" s="45">
        <f ca="1">EWC!U57</f>
        <v>-4.8335362566034634</v>
      </c>
      <c r="X67" s="45">
        <f ca="1">EWC!V57</f>
        <v>-5.163306792555983</v>
      </c>
      <c r="Y67" s="45">
        <f ca="1">EWC!W57</f>
        <v>-5.623458466251388</v>
      </c>
      <c r="Z67" s="45">
        <f ca="1">EWC!X57</f>
        <v>-5.5484774544684052</v>
      </c>
      <c r="AA67" s="45">
        <f ca="1">EWC!Y57</f>
        <v>-1.6300995251530906E-2</v>
      </c>
      <c r="AB67" s="45">
        <f ca="1">EWC!Z57</f>
        <v>0</v>
      </c>
      <c r="AC67" s="45">
        <f ca="1">EWC!AA57</f>
        <v>0</v>
      </c>
      <c r="AD67" s="45">
        <f ca="1">EWC!AB57</f>
        <v>0</v>
      </c>
      <c r="AE67" s="45">
        <f ca="1">EWC!AC57</f>
        <v>0</v>
      </c>
      <c r="AF67" s="45">
        <f ca="1">EWC!AD57</f>
        <v>0</v>
      </c>
      <c r="AG67" s="45">
        <f ca="1">EWC!AE57</f>
        <v>0</v>
      </c>
      <c r="AH67" s="45">
        <f ca="1">EWC!AF57</f>
        <v>0</v>
      </c>
      <c r="AI67" s="45">
        <f ca="1">EWC!AG57</f>
        <v>0</v>
      </c>
    </row>
    <row r="68" spans="2:35">
      <c r="B68" s="241" t="s">
        <v>873</v>
      </c>
      <c r="C68" s="1625">
        <f ca="1">XIRR(E64:AI68,E57:AI61)</f>
        <v>5.5909723043441779E-3</v>
      </c>
      <c r="D68" s="59"/>
      <c r="E68" s="59">
        <v>0</v>
      </c>
      <c r="F68" s="59">
        <v>0</v>
      </c>
      <c r="G68" s="45">
        <f ca="1">EWC!E58</f>
        <v>19.852107806507153</v>
      </c>
      <c r="H68" s="45">
        <f ca="1">EWC!F58</f>
        <v>14.804926450176845</v>
      </c>
      <c r="I68" s="45">
        <f ca="1">EWC!G58</f>
        <v>14.920973072087177</v>
      </c>
      <c r="J68" s="45">
        <f ca="1">EWC!H58</f>
        <v>14.813737017094782</v>
      </c>
      <c r="K68" s="45">
        <f ca="1">EWC!I58</f>
        <v>14.704180329030397</v>
      </c>
      <c r="L68" s="45">
        <f ca="1">EWC!J58</f>
        <v>15.552441263446903</v>
      </c>
      <c r="M68" s="45">
        <f ca="1">EWC!K58</f>
        <v>14.316968912728516</v>
      </c>
      <c r="N68" s="45">
        <f ca="1">EWC!L58</f>
        <v>14.300057177907275</v>
      </c>
      <c r="O68" s="45">
        <f ca="1">EWC!M58</f>
        <v>14.276939298011376</v>
      </c>
      <c r="P68" s="45">
        <f ca="1">EWC!N58</f>
        <v>14.471040927683948</v>
      </c>
      <c r="Q68" s="45">
        <f ca="1">EWC!O58</f>
        <v>14.701758999941049</v>
      </c>
      <c r="R68" s="45">
        <f ca="1">EWC!P58</f>
        <v>14.962425943695834</v>
      </c>
      <c r="S68" s="45">
        <f ca="1">EWC!Q58</f>
        <v>15.271247714941282</v>
      </c>
      <c r="T68" s="45">
        <f ca="1">EWC!R58</f>
        <v>14.951697626794498</v>
      </c>
      <c r="U68" s="45">
        <f ca="1">EWC!S58</f>
        <v>14.594654492119744</v>
      </c>
      <c r="V68" s="45">
        <f ca="1">EWC!T58</f>
        <v>13.907946428457581</v>
      </c>
      <c r="W68" s="45">
        <f ca="1">EWC!U58</f>
        <v>13.70359605820188</v>
      </c>
      <c r="X68" s="45">
        <f ca="1">EWC!V58</f>
        <v>23.205205604021085</v>
      </c>
      <c r="Y68" s="45">
        <f ca="1">EWC!W58</f>
        <v>58.169380609148455</v>
      </c>
      <c r="Z68" s="45">
        <f ca="1">EWC!X58</f>
        <v>64.405071598288487</v>
      </c>
      <c r="AA68" s="45">
        <f ca="1">EWC!Y58</f>
        <v>0.16844521113537</v>
      </c>
      <c r="AB68" s="45">
        <f ca="1">EWC!Z58</f>
        <v>0</v>
      </c>
      <c r="AC68" s="45">
        <f ca="1">EWC!AA58</f>
        <v>0</v>
      </c>
      <c r="AD68" s="45">
        <f ca="1">EWC!AB58</f>
        <v>0</v>
      </c>
      <c r="AE68" s="45">
        <f ca="1">EWC!AC58</f>
        <v>0</v>
      </c>
      <c r="AF68" s="45">
        <f ca="1">EWC!AD58</f>
        <v>0</v>
      </c>
      <c r="AG68" s="45">
        <f ca="1">EWC!AE58</f>
        <v>0</v>
      </c>
      <c r="AH68" s="45">
        <f ca="1">EWC!AF58</f>
        <v>0</v>
      </c>
      <c r="AI68" s="45">
        <f ca="1">EWC!AG58</f>
        <v>0</v>
      </c>
    </row>
    <row r="69" spans="2:35">
      <c r="B69" s="241" t="s">
        <v>874</v>
      </c>
      <c r="C69" s="1625">
        <f ca="1">XIRR(E64:AI69,E57:AI62)</f>
        <v>0.29320797324180603</v>
      </c>
      <c r="D69" s="1624">
        <v>1.4999999999999999E-2</v>
      </c>
      <c r="E69" s="59">
        <v>0</v>
      </c>
      <c r="F69" s="59">
        <v>0</v>
      </c>
      <c r="G69" s="59">
        <f>$D$69*CashFlow!E7</f>
        <v>7014.9587249999995</v>
      </c>
      <c r="H69" s="59">
        <f>$D$69*CashFlow!F7</f>
        <v>7034.4989999999998</v>
      </c>
      <c r="I69" s="59">
        <f>$D$69*CashFlow!G7</f>
        <v>7034.4989999999998</v>
      </c>
      <c r="J69" s="59">
        <f>$D$69*CashFlow!H7</f>
        <v>7034.4989999999998</v>
      </c>
      <c r="K69" s="59">
        <f>$D$69*CashFlow!I7</f>
        <v>7034.4989999999998</v>
      </c>
      <c r="L69" s="59">
        <f>$D$69*CashFlow!J7</f>
        <v>7034.4989999999998</v>
      </c>
      <c r="M69" s="59">
        <f>$D$69*CashFlow!K7</f>
        <v>7034.4989999999998</v>
      </c>
      <c r="N69" s="59">
        <f>$D$69*CashFlow!L7</f>
        <v>7034.4989999999998</v>
      </c>
      <c r="O69" s="59">
        <f>$D$69*CashFlow!M7</f>
        <v>7034.4989999999998</v>
      </c>
      <c r="P69" s="59">
        <f>$D$69*CashFlow!N7</f>
        <v>7034.4989999999998</v>
      </c>
      <c r="Q69" s="59">
        <f>$D$69*CashFlow!O7</f>
        <v>7034.4989999999998</v>
      </c>
      <c r="R69" s="59">
        <f>$D$69*CashFlow!P7</f>
        <v>7034.4989999999998</v>
      </c>
      <c r="S69" s="59">
        <f>$D$69*CashFlow!Q7</f>
        <v>7034.4989999999998</v>
      </c>
      <c r="T69" s="59">
        <f>$D$69*CashFlow!R7</f>
        <v>7034.4989999999998</v>
      </c>
      <c r="U69" s="59">
        <f>$D$69*CashFlow!S7</f>
        <v>7034.4989999999998</v>
      </c>
      <c r="V69" s="59">
        <f>$D$69*CashFlow!T7</f>
        <v>7034.4989999999998</v>
      </c>
      <c r="W69" s="59">
        <f>$D$69*CashFlow!U7</f>
        <v>7034.4989999999998</v>
      </c>
      <c r="X69" s="59">
        <f>$D$69*CashFlow!V7</f>
        <v>7034.4989999999998</v>
      </c>
      <c r="Y69" s="59">
        <f>$D$69*CashFlow!W7</f>
        <v>7034.4989999999998</v>
      </c>
      <c r="Z69" s="59">
        <f>$D$69*CashFlow!X7</f>
        <v>7034.4989999999998</v>
      </c>
      <c r="AA69" s="59">
        <f>$D$69*CashFlow!Y7</f>
        <v>19.54027499999993</v>
      </c>
      <c r="AB69" s="59">
        <f>$D$69*CashFlow!Z7</f>
        <v>0</v>
      </c>
      <c r="AC69" s="59">
        <f>$D$69*CashFlow!AA7</f>
        <v>0</v>
      </c>
      <c r="AD69" s="59">
        <f>$D$69*CashFlow!AB7</f>
        <v>0</v>
      </c>
      <c r="AE69" s="59">
        <f>$D$69*CashFlow!AC7</f>
        <v>0</v>
      </c>
      <c r="AF69" s="59">
        <f>$D$69*CashFlow!AD7</f>
        <v>0</v>
      </c>
      <c r="AG69" s="59">
        <f>$D$69*CashFlow!AE7</f>
        <v>0</v>
      </c>
      <c r="AH69" s="59">
        <f>$D$69*CashFlow!AF7</f>
        <v>0</v>
      </c>
      <c r="AI69" s="59">
        <f>$D$69*CashFlow!AG7</f>
        <v>0</v>
      </c>
    </row>
    <row r="70" spans="2:35">
      <c r="D70" s="59"/>
      <c r="E70" s="59"/>
      <c r="F70" s="59"/>
    </row>
    <row r="72" spans="2:35">
      <c r="D72" s="59"/>
      <c r="E72" s="59"/>
      <c r="F72" s="59"/>
    </row>
    <row r="73" spans="2:35">
      <c r="B73" t="s">
        <v>875</v>
      </c>
      <c r="C73" s="59">
        <f>XNPV(D73,G73:AI73,G62:AI62)</f>
        <v>30353.813686185837</v>
      </c>
      <c r="D73" s="1202">
        <v>0.15</v>
      </c>
      <c r="E73" s="59"/>
      <c r="F73" s="59"/>
      <c r="G73" s="59">
        <f>G69*0.6</f>
        <v>4208.9752349999999</v>
      </c>
      <c r="H73" s="59">
        <f t="shared" ref="H73:AI73" si="5">H69*0.6</f>
        <v>4220.6993999999995</v>
      </c>
      <c r="I73" s="59">
        <f t="shared" si="5"/>
        <v>4220.6993999999995</v>
      </c>
      <c r="J73" s="59">
        <f t="shared" si="5"/>
        <v>4220.6993999999995</v>
      </c>
      <c r="K73" s="59">
        <f t="shared" si="5"/>
        <v>4220.6993999999995</v>
      </c>
      <c r="L73" s="59">
        <f t="shared" si="5"/>
        <v>4220.6993999999995</v>
      </c>
      <c r="M73" s="59">
        <f t="shared" si="5"/>
        <v>4220.6993999999995</v>
      </c>
      <c r="N73" s="59">
        <f t="shared" si="5"/>
        <v>4220.6993999999995</v>
      </c>
      <c r="O73" s="59">
        <f t="shared" si="5"/>
        <v>4220.6993999999995</v>
      </c>
      <c r="P73" s="59">
        <f t="shared" si="5"/>
        <v>4220.6993999999995</v>
      </c>
      <c r="Q73" s="59">
        <f t="shared" si="5"/>
        <v>4220.6993999999995</v>
      </c>
      <c r="R73" s="59">
        <f t="shared" si="5"/>
        <v>4220.6993999999995</v>
      </c>
      <c r="S73" s="59">
        <f t="shared" si="5"/>
        <v>4220.6993999999995</v>
      </c>
      <c r="T73" s="59">
        <f t="shared" si="5"/>
        <v>4220.6993999999995</v>
      </c>
      <c r="U73" s="59">
        <f t="shared" si="5"/>
        <v>4220.6993999999995</v>
      </c>
      <c r="V73" s="59">
        <f t="shared" si="5"/>
        <v>4220.6993999999995</v>
      </c>
      <c r="W73" s="59">
        <f t="shared" si="5"/>
        <v>4220.6993999999995</v>
      </c>
      <c r="X73" s="59">
        <f t="shared" si="5"/>
        <v>4220.6993999999995</v>
      </c>
      <c r="Y73" s="59">
        <f t="shared" si="5"/>
        <v>4220.6993999999995</v>
      </c>
      <c r="Z73" s="59">
        <f t="shared" si="5"/>
        <v>4220.6993999999995</v>
      </c>
      <c r="AA73" s="59">
        <f t="shared" si="5"/>
        <v>11.724164999999958</v>
      </c>
      <c r="AB73" s="59">
        <f t="shared" si="5"/>
        <v>0</v>
      </c>
      <c r="AC73" s="59">
        <f t="shared" si="5"/>
        <v>0</v>
      </c>
      <c r="AD73" s="59">
        <f t="shared" si="5"/>
        <v>0</v>
      </c>
      <c r="AE73" s="59">
        <f t="shared" si="5"/>
        <v>0</v>
      </c>
      <c r="AF73" s="59">
        <f t="shared" si="5"/>
        <v>0</v>
      </c>
      <c r="AG73" s="59">
        <f t="shared" si="5"/>
        <v>0</v>
      </c>
      <c r="AH73" s="59">
        <f t="shared" si="5"/>
        <v>0</v>
      </c>
      <c r="AI73" s="59">
        <f t="shared" si="5"/>
        <v>0</v>
      </c>
    </row>
    <row r="74" spans="2:35">
      <c r="D74" s="59"/>
      <c r="E74" s="59"/>
      <c r="F74" s="59"/>
    </row>
    <row r="75" spans="2:35">
      <c r="D75" s="59"/>
      <c r="E75" s="59"/>
      <c r="F75" s="59"/>
    </row>
    <row r="76" spans="2:35">
      <c r="D76" s="59"/>
      <c r="E76" s="59"/>
      <c r="F76" s="59"/>
    </row>
    <row r="77" spans="2:35">
      <c r="D77" s="59"/>
      <c r="E77" s="59"/>
      <c r="F77" s="59"/>
    </row>
    <row r="78" spans="2:35">
      <c r="D78" s="59"/>
      <c r="E78" s="59"/>
      <c r="F78" s="59"/>
    </row>
    <row r="79" spans="2:35">
      <c r="D79" s="59"/>
      <c r="E79" s="59"/>
      <c r="F79" s="59"/>
    </row>
    <row r="80" spans="2:35">
      <c r="D80" s="59"/>
      <c r="E80" s="59"/>
      <c r="F80" s="59"/>
    </row>
    <row r="81" spans="4:6">
      <c r="D81" s="59"/>
      <c r="E81" s="59"/>
      <c r="F81" s="59"/>
    </row>
    <row r="82" spans="4:6">
      <c r="D82" s="59"/>
      <c r="E82" s="59"/>
      <c r="F82" s="59"/>
    </row>
    <row r="83" spans="4:6">
      <c r="D83" s="59"/>
      <c r="E83" s="59"/>
      <c r="F83" s="59"/>
    </row>
    <row r="84" spans="4:6">
      <c r="D84" s="59"/>
      <c r="E84" s="59"/>
      <c r="F84" s="59"/>
    </row>
    <row r="85" spans="4:6">
      <c r="D85" s="59"/>
      <c r="E85" s="59"/>
      <c r="F85" s="59"/>
    </row>
    <row r="86" spans="4:6">
      <c r="D86" s="59"/>
      <c r="E86" s="59"/>
      <c r="F86" s="59"/>
    </row>
    <row r="87" spans="4:6">
      <c r="D87" s="59"/>
      <c r="E87" s="59"/>
      <c r="F87" s="59"/>
    </row>
    <row r="88" spans="4:6">
      <c r="D88" s="59"/>
      <c r="E88" s="59"/>
      <c r="F88" s="59"/>
    </row>
    <row r="89" spans="4:6">
      <c r="D89" s="59"/>
      <c r="E89" s="59"/>
      <c r="F89" s="59"/>
    </row>
    <row r="90" spans="4:6">
      <c r="D90" s="59"/>
      <c r="E90" s="59"/>
      <c r="F90" s="59"/>
    </row>
    <row r="91" spans="4:6">
      <c r="D91" s="59"/>
      <c r="E91" s="59"/>
      <c r="F91" s="59"/>
    </row>
    <row r="92" spans="4:6">
      <c r="D92" s="59"/>
      <c r="E92" s="59"/>
      <c r="F92" s="59"/>
    </row>
    <row r="93" spans="4:6">
      <c r="D93" s="59"/>
      <c r="E93" s="59"/>
      <c r="F93" s="59"/>
    </row>
    <row r="94" spans="4:6">
      <c r="D94" s="59"/>
      <c r="E94" s="59"/>
      <c r="F94" s="59"/>
    </row>
    <row r="95" spans="4:6">
      <c r="D95" s="59"/>
      <c r="E95" s="59"/>
      <c r="F95" s="59"/>
    </row>
    <row r="96" spans="4:6">
      <c r="D96" s="59"/>
      <c r="E96" s="59"/>
      <c r="F96" s="59"/>
    </row>
    <row r="97" spans="4:6">
      <c r="D97" s="59"/>
      <c r="E97" s="59"/>
      <c r="F97" s="59"/>
    </row>
    <row r="98" spans="4:6">
      <c r="D98" s="59"/>
      <c r="E98" s="59"/>
      <c r="F98" s="59"/>
    </row>
    <row r="99" spans="4:6">
      <c r="D99" s="59"/>
      <c r="E99" s="59"/>
      <c r="F99" s="59"/>
    </row>
    <row r="100" spans="4:6">
      <c r="D100" s="59"/>
      <c r="E100" s="59"/>
      <c r="F100" s="59"/>
    </row>
    <row r="101" spans="4:6">
      <c r="D101" s="59"/>
      <c r="E101" s="59"/>
      <c r="F101" s="59"/>
    </row>
    <row r="102" spans="4:6">
      <c r="D102" s="59"/>
      <c r="E102" s="59"/>
      <c r="F102" s="59"/>
    </row>
    <row r="103" spans="4:6">
      <c r="D103" s="59"/>
      <c r="E103" s="59"/>
      <c r="F103" s="59"/>
    </row>
    <row r="104" spans="4:6">
      <c r="D104" s="59"/>
      <c r="E104" s="59"/>
      <c r="F104" s="59"/>
    </row>
    <row r="105" spans="4:6">
      <c r="D105" s="59"/>
      <c r="E105" s="59"/>
      <c r="F105" s="59"/>
    </row>
    <row r="106" spans="4:6">
      <c r="D106" s="59"/>
      <c r="E106" s="59"/>
      <c r="F106" s="59"/>
    </row>
    <row r="107" spans="4:6">
      <c r="D107" s="59"/>
      <c r="E107" s="59"/>
      <c r="F107" s="59"/>
    </row>
    <row r="108" spans="4:6">
      <c r="D108" s="59"/>
      <c r="E108" s="59"/>
      <c r="F108" s="59"/>
    </row>
    <row r="109" spans="4:6">
      <c r="D109" s="59"/>
      <c r="E109" s="59"/>
      <c r="F109" s="59"/>
    </row>
    <row r="110" spans="4:6">
      <c r="D110" s="59"/>
      <c r="E110" s="59"/>
      <c r="F110" s="59"/>
    </row>
    <row r="111" spans="4:6">
      <c r="D111" s="59"/>
      <c r="E111" s="59"/>
      <c r="F111" s="59"/>
    </row>
    <row r="112" spans="4:6">
      <c r="D112" s="59"/>
      <c r="E112" s="59"/>
      <c r="F112" s="59"/>
    </row>
    <row r="113" spans="4:6">
      <c r="D113" s="59"/>
      <c r="E113" s="59"/>
      <c r="F113" s="59"/>
    </row>
    <row r="114" spans="4:6">
      <c r="D114" s="59"/>
      <c r="E114" s="59"/>
      <c r="F114" s="59"/>
    </row>
    <row r="115" spans="4:6">
      <c r="D115" s="59"/>
      <c r="E115" s="59"/>
      <c r="F115" s="59"/>
    </row>
    <row r="116" spans="4:6">
      <c r="D116" s="59"/>
      <c r="E116" s="59"/>
      <c r="F116" s="59"/>
    </row>
    <row r="117" spans="4:6">
      <c r="D117" s="59"/>
      <c r="E117" s="59"/>
      <c r="F117" s="59"/>
    </row>
    <row r="118" spans="4:6">
      <c r="D118" s="59"/>
      <c r="E118" s="59"/>
      <c r="F118" s="59"/>
    </row>
    <row r="119" spans="4:6">
      <c r="D119" s="59"/>
      <c r="E119" s="59"/>
      <c r="F119" s="59"/>
    </row>
    <row r="120" spans="4:6">
      <c r="D120" s="59"/>
      <c r="E120" s="59"/>
      <c r="F120" s="59"/>
    </row>
    <row r="121" spans="4:6">
      <c r="D121" s="59"/>
      <c r="E121" s="59"/>
      <c r="F121" s="59"/>
    </row>
    <row r="122" spans="4:6">
      <c r="D122" s="59"/>
      <c r="E122" s="59"/>
      <c r="F122" s="59"/>
    </row>
    <row r="123" spans="4:6">
      <c r="D123" s="59"/>
      <c r="E123" s="59"/>
      <c r="F123" s="59"/>
    </row>
    <row r="124" spans="4:6">
      <c r="D124" s="59"/>
      <c r="E124" s="59"/>
      <c r="F124" s="59"/>
    </row>
    <row r="125" spans="4:6">
      <c r="D125" s="59"/>
      <c r="E125" s="59"/>
      <c r="F125" s="59"/>
    </row>
    <row r="126" spans="4:6">
      <c r="D126" s="59"/>
      <c r="E126" s="59"/>
      <c r="F126" s="59"/>
    </row>
    <row r="127" spans="4:6">
      <c r="D127" s="59"/>
      <c r="E127" s="59"/>
      <c r="F127" s="59"/>
    </row>
    <row r="128" spans="4:6">
      <c r="D128" s="59"/>
      <c r="E128" s="59"/>
      <c r="F128" s="59"/>
    </row>
    <row r="129" spans="4:6">
      <c r="D129" s="59"/>
      <c r="E129" s="59"/>
      <c r="F129" s="59"/>
    </row>
    <row r="130" spans="4:6">
      <c r="D130" s="59"/>
      <c r="E130" s="59"/>
      <c r="F130" s="59"/>
    </row>
    <row r="131" spans="4:6">
      <c r="D131" s="59"/>
      <c r="E131" s="59"/>
    </row>
    <row r="132" spans="4:6">
      <c r="D132" s="59"/>
      <c r="E132" s="59"/>
    </row>
    <row r="133" spans="4:6">
      <c r="D133" s="59"/>
      <c r="E133" s="59"/>
    </row>
    <row r="134" spans="4:6">
      <c r="D134" s="59"/>
      <c r="E134" s="59"/>
    </row>
    <row r="135" spans="4:6">
      <c r="D135" s="59"/>
      <c r="E135" s="59"/>
    </row>
    <row r="136" spans="4:6">
      <c r="D136" s="59"/>
      <c r="E136" s="59"/>
    </row>
    <row r="137" spans="4:6">
      <c r="D137" s="59"/>
      <c r="E137" s="59"/>
    </row>
    <row r="138" spans="4:6">
      <c r="D138" s="59"/>
      <c r="E138" s="59"/>
    </row>
    <row r="139" spans="4:6">
      <c r="D139" s="59"/>
      <c r="E139" s="59"/>
    </row>
    <row r="140" spans="4:6">
      <c r="D140" s="59"/>
      <c r="E140" s="59"/>
    </row>
    <row r="141" spans="4:6">
      <c r="D141" s="59"/>
      <c r="E141" s="59"/>
    </row>
    <row r="142" spans="4:6">
      <c r="D142" s="59"/>
      <c r="E142" s="59"/>
    </row>
    <row r="143" spans="4:6">
      <c r="D143" s="59"/>
      <c r="E143" s="59"/>
    </row>
    <row r="144" spans="4:6">
      <c r="D144" s="59"/>
      <c r="E144" s="59"/>
    </row>
    <row r="145" spans="4:5">
      <c r="D145" s="59"/>
      <c r="E145" s="59"/>
    </row>
    <row r="146" spans="4:5">
      <c r="D146" s="59"/>
      <c r="E146" s="59"/>
    </row>
    <row r="147" spans="4:5">
      <c r="D147" s="59"/>
      <c r="E147" s="59"/>
    </row>
    <row r="148" spans="4:5">
      <c r="D148" s="59"/>
      <c r="E148" s="59"/>
    </row>
    <row r="149" spans="4:5">
      <c r="D149" s="59"/>
      <c r="E149" s="59"/>
    </row>
    <row r="150" spans="4:5">
      <c r="D150" s="59"/>
      <c r="E150" s="59"/>
    </row>
    <row r="151" spans="4:5">
      <c r="D151" s="59"/>
      <c r="E151" s="59"/>
    </row>
    <row r="152" spans="4:5">
      <c r="D152" s="59"/>
      <c r="E152" s="59"/>
    </row>
    <row r="153" spans="4:5">
      <c r="D153" s="59"/>
      <c r="E153" s="59"/>
    </row>
    <row r="154" spans="4:5">
      <c r="D154" s="59"/>
      <c r="E154" s="59"/>
    </row>
    <row r="155" spans="4:5">
      <c r="D155" s="59"/>
      <c r="E155" s="59"/>
    </row>
    <row r="156" spans="4:5">
      <c r="D156" s="59"/>
      <c r="E156" s="59"/>
    </row>
    <row r="157" spans="4:5">
      <c r="D157" s="59"/>
      <c r="E157" s="59"/>
    </row>
    <row r="158" spans="4:5">
      <c r="D158" s="59"/>
      <c r="E158" s="59"/>
    </row>
    <row r="159" spans="4:5">
      <c r="D159" s="59"/>
      <c r="E159" s="59"/>
    </row>
    <row r="160" spans="4:5">
      <c r="D160" s="59"/>
      <c r="E160" s="59"/>
    </row>
    <row r="161" spans="4:5">
      <c r="D161" s="59"/>
      <c r="E161" s="59"/>
    </row>
    <row r="162" spans="4:5">
      <c r="D162" s="59"/>
      <c r="E162" s="59"/>
    </row>
    <row r="163" spans="4:5">
      <c r="D163" s="59"/>
      <c r="E163" s="59"/>
    </row>
    <row r="164" spans="4:5">
      <c r="D164" s="59"/>
      <c r="E164" s="59"/>
    </row>
    <row r="165" spans="4:5">
      <c r="D165" s="59"/>
      <c r="E165" s="59"/>
    </row>
  </sheetData>
  <printOptions headings="1"/>
  <pageMargins left="0.75" right="0.75" top="1" bottom="1" header="0.5" footer="0.5"/>
  <pageSetup scale="27" orientation="landscape" r:id="rId1"/>
  <headerFooter alignWithMargins="0">
    <oddHeader>&amp;A</oddHeader>
    <oddFooter>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pageSetUpPr fitToPage="1"/>
  </sheetPr>
  <dimension ref="A1:EL127"/>
  <sheetViews>
    <sheetView zoomScale="75" zoomScaleNormal="100" zoomScaleSheetLayoutView="100" workbookViewId="0">
      <selection activeCell="C1" sqref="C1"/>
    </sheetView>
  </sheetViews>
  <sheetFormatPr defaultColWidth="8.7109375" defaultRowHeight="12.75"/>
  <cols>
    <col min="1" max="1" width="3.28515625" style="188" customWidth="1"/>
    <col min="2" max="2" width="6.140625" customWidth="1"/>
    <col min="3" max="3" width="43.42578125" customWidth="1"/>
    <col min="4" max="19" width="9.28515625" bestFit="1" customWidth="1"/>
  </cols>
  <sheetData>
    <row r="1" spans="1:142" ht="15.75">
      <c r="C1" s="338" t="str">
        <f>ExecSum!$E$4</f>
        <v>Sweetwater 129.00MW Project</v>
      </c>
      <c r="D1" s="244">
        <v>1</v>
      </c>
      <c r="E1" s="245">
        <v>2</v>
      </c>
      <c r="F1" s="245">
        <v>3</v>
      </c>
      <c r="G1" s="245">
        <v>4</v>
      </c>
      <c r="H1" s="245">
        <v>5</v>
      </c>
      <c r="I1" s="245">
        <v>6</v>
      </c>
      <c r="J1" s="245">
        <v>7</v>
      </c>
      <c r="K1" s="245">
        <v>8</v>
      </c>
      <c r="L1" s="245">
        <v>9</v>
      </c>
      <c r="M1" s="245">
        <v>10</v>
      </c>
      <c r="N1" s="245">
        <v>11</v>
      </c>
      <c r="O1" s="245">
        <v>12</v>
      </c>
      <c r="P1" s="245">
        <v>13</v>
      </c>
      <c r="Q1" s="245">
        <v>14</v>
      </c>
      <c r="R1" s="245">
        <v>15</v>
      </c>
      <c r="S1" s="245">
        <v>16</v>
      </c>
      <c r="T1" s="245">
        <v>17</v>
      </c>
      <c r="U1" s="245">
        <v>18</v>
      </c>
      <c r="V1" s="245">
        <v>19</v>
      </c>
      <c r="W1" s="245">
        <v>20</v>
      </c>
      <c r="X1" s="245">
        <v>21</v>
      </c>
      <c r="Y1" s="245">
        <v>22</v>
      </c>
      <c r="Z1" s="245">
        <v>23</v>
      </c>
      <c r="AA1" s="245">
        <v>24</v>
      </c>
      <c r="AB1" s="245">
        <v>25</v>
      </c>
      <c r="AC1" s="245">
        <v>26</v>
      </c>
      <c r="AD1" s="245">
        <v>27</v>
      </c>
      <c r="AE1" s="245">
        <v>28</v>
      </c>
      <c r="AF1" s="245">
        <v>29</v>
      </c>
      <c r="AG1" s="246">
        <v>30</v>
      </c>
    </row>
    <row r="2" spans="1:142" ht="15.75">
      <c r="C2" s="338" t="s">
        <v>559</v>
      </c>
      <c r="D2" s="247">
        <f>Assum!$H$25</f>
        <v>2002</v>
      </c>
      <c r="E2" s="248">
        <f t="shared" ref="E2:AG2" si="0">D2+1</f>
        <v>2003</v>
      </c>
      <c r="F2" s="248">
        <f t="shared" si="0"/>
        <v>2004</v>
      </c>
      <c r="G2" s="248">
        <f t="shared" si="0"/>
        <v>2005</v>
      </c>
      <c r="H2" s="248">
        <f t="shared" si="0"/>
        <v>2006</v>
      </c>
      <c r="I2" s="248">
        <f t="shared" si="0"/>
        <v>2007</v>
      </c>
      <c r="J2" s="248">
        <f t="shared" si="0"/>
        <v>2008</v>
      </c>
      <c r="K2" s="248">
        <f t="shared" si="0"/>
        <v>2009</v>
      </c>
      <c r="L2" s="248">
        <f t="shared" si="0"/>
        <v>2010</v>
      </c>
      <c r="M2" s="248">
        <f t="shared" si="0"/>
        <v>2011</v>
      </c>
      <c r="N2" s="248">
        <f t="shared" si="0"/>
        <v>2012</v>
      </c>
      <c r="O2" s="248">
        <f t="shared" si="0"/>
        <v>2013</v>
      </c>
      <c r="P2" s="248">
        <f t="shared" si="0"/>
        <v>2014</v>
      </c>
      <c r="Q2" s="248">
        <f t="shared" si="0"/>
        <v>2015</v>
      </c>
      <c r="R2" s="248">
        <f t="shared" si="0"/>
        <v>2016</v>
      </c>
      <c r="S2" s="248">
        <f t="shared" si="0"/>
        <v>2017</v>
      </c>
      <c r="T2" s="248">
        <f t="shared" si="0"/>
        <v>2018</v>
      </c>
      <c r="U2" s="248">
        <f t="shared" si="0"/>
        <v>2019</v>
      </c>
      <c r="V2" s="248">
        <f t="shared" si="0"/>
        <v>2020</v>
      </c>
      <c r="W2" s="248">
        <f t="shared" si="0"/>
        <v>2021</v>
      </c>
      <c r="X2" s="248">
        <f t="shared" si="0"/>
        <v>2022</v>
      </c>
      <c r="Y2" s="248">
        <f t="shared" si="0"/>
        <v>2023</v>
      </c>
      <c r="Z2" s="248">
        <f t="shared" si="0"/>
        <v>2024</v>
      </c>
      <c r="AA2" s="248">
        <f t="shared" si="0"/>
        <v>2025</v>
      </c>
      <c r="AB2" s="248">
        <f t="shared" si="0"/>
        <v>2026</v>
      </c>
      <c r="AC2" s="248">
        <f t="shared" si="0"/>
        <v>2027</v>
      </c>
      <c r="AD2" s="248">
        <f t="shared" si="0"/>
        <v>2028</v>
      </c>
      <c r="AE2" s="248">
        <f t="shared" si="0"/>
        <v>2029</v>
      </c>
      <c r="AF2" s="248">
        <f t="shared" si="0"/>
        <v>2030</v>
      </c>
      <c r="AG2" s="249">
        <f t="shared" si="0"/>
        <v>2031</v>
      </c>
    </row>
    <row r="4" spans="1:142" s="674" customFormat="1">
      <c r="A4" s="673"/>
    </row>
    <row r="5" spans="1:142" s="549" customFormat="1" ht="18">
      <c r="A5" s="616"/>
      <c r="B5" s="546"/>
      <c r="C5" s="654" t="s">
        <v>371</v>
      </c>
      <c r="D5" s="655"/>
      <c r="E5" s="656"/>
      <c r="F5" s="548"/>
      <c r="G5" s="548"/>
      <c r="H5" s="548"/>
      <c r="I5" s="548"/>
      <c r="J5" s="548"/>
      <c r="K5" s="548"/>
      <c r="L5" s="548"/>
      <c r="M5" s="548"/>
      <c r="N5" s="548"/>
      <c r="O5" s="548"/>
      <c r="P5" s="548"/>
      <c r="Q5" s="548"/>
      <c r="R5" s="548"/>
      <c r="S5" s="548"/>
      <c r="T5" s="548"/>
      <c r="U5" s="548"/>
      <c r="V5" s="548"/>
      <c r="W5" s="548"/>
      <c r="X5" s="548"/>
      <c r="Y5" s="548"/>
      <c r="Z5" s="548"/>
      <c r="AA5" s="548"/>
      <c r="AB5" s="548"/>
      <c r="AC5" s="548"/>
      <c r="AD5" s="548"/>
      <c r="AE5" s="548"/>
      <c r="AF5" s="548"/>
      <c r="AG5" s="548"/>
      <c r="AH5" s="548"/>
      <c r="AI5" s="548"/>
      <c r="AJ5" s="548"/>
      <c r="AK5" s="548"/>
      <c r="AL5" s="548"/>
      <c r="AM5" s="548"/>
      <c r="AN5" s="548"/>
      <c r="AO5" s="548"/>
      <c r="AP5" s="548"/>
      <c r="AQ5" s="548"/>
      <c r="AR5" s="548"/>
      <c r="AS5" s="548"/>
      <c r="AT5" s="548"/>
      <c r="AU5" s="548"/>
      <c r="AV5" s="548"/>
      <c r="AW5" s="548"/>
      <c r="AX5" s="548"/>
      <c r="AY5" s="548"/>
      <c r="AZ5" s="548"/>
      <c r="BA5" s="548"/>
      <c r="BB5" s="548"/>
      <c r="BC5" s="548"/>
      <c r="BD5" s="548"/>
      <c r="BE5" s="548"/>
      <c r="BF5" s="548"/>
      <c r="BG5" s="548"/>
      <c r="BH5" s="548"/>
      <c r="BI5" s="548"/>
      <c r="BJ5" s="548"/>
      <c r="BK5" s="548"/>
      <c r="BL5" s="548"/>
      <c r="BM5" s="548"/>
      <c r="BN5" s="548"/>
      <c r="BO5" s="548"/>
      <c r="BP5" s="548"/>
      <c r="BQ5" s="548"/>
      <c r="BR5" s="548"/>
      <c r="BS5" s="548"/>
      <c r="BT5" s="548"/>
      <c r="BU5" s="548"/>
      <c r="BV5" s="548"/>
      <c r="BW5" s="548"/>
      <c r="BX5" s="548"/>
      <c r="BY5" s="548"/>
      <c r="BZ5" s="548"/>
      <c r="CA5" s="548"/>
      <c r="CB5" s="548"/>
      <c r="CC5" s="548"/>
      <c r="CD5" s="548"/>
      <c r="CE5" s="548"/>
      <c r="CF5" s="548"/>
      <c r="CG5" s="548"/>
      <c r="CH5" s="548"/>
      <c r="CI5" s="548"/>
      <c r="CJ5" s="548"/>
      <c r="CK5" s="548"/>
      <c r="CL5" s="548"/>
      <c r="CM5" s="548"/>
      <c r="CN5" s="548"/>
      <c r="CO5" s="548"/>
      <c r="CP5" s="548"/>
      <c r="CQ5" s="548"/>
      <c r="CR5" s="548"/>
      <c r="CS5" s="548"/>
      <c r="CT5" s="548"/>
      <c r="CU5" s="548"/>
      <c r="CV5" s="548"/>
      <c r="CW5" s="548"/>
      <c r="CX5" s="548"/>
      <c r="CY5" s="548"/>
      <c r="CZ5" s="548"/>
      <c r="DA5" s="548"/>
      <c r="DB5" s="548"/>
      <c r="DC5" s="548"/>
      <c r="DD5" s="548"/>
      <c r="DE5" s="548"/>
      <c r="DF5" s="548"/>
      <c r="DG5" s="548"/>
      <c r="DH5" s="548"/>
      <c r="DI5" s="548"/>
      <c r="DJ5" s="548"/>
      <c r="DK5" s="548"/>
      <c r="DL5" s="548"/>
      <c r="DM5" s="548"/>
      <c r="DN5" s="548"/>
      <c r="DO5" s="548"/>
      <c r="DP5" s="548"/>
      <c r="DQ5" s="548"/>
      <c r="DR5" s="548"/>
      <c r="DS5" s="548"/>
      <c r="DT5" s="548"/>
      <c r="DU5" s="548"/>
      <c r="DV5" s="548"/>
      <c r="DW5" s="548"/>
      <c r="DX5" s="548"/>
      <c r="DY5" s="548"/>
      <c r="DZ5" s="548"/>
      <c r="EA5" s="548"/>
      <c r="EB5" s="548"/>
      <c r="EC5" s="548"/>
      <c r="ED5" s="548"/>
      <c r="EE5" s="548"/>
      <c r="EF5" s="548"/>
      <c r="EG5" s="548"/>
      <c r="EH5" s="548"/>
      <c r="EI5" s="548"/>
      <c r="EJ5" s="548"/>
      <c r="EK5" s="548"/>
      <c r="EL5" s="548"/>
    </row>
    <row r="6" spans="1:142" s="549" customFormat="1">
      <c r="A6" s="616"/>
      <c r="B6" s="546"/>
      <c r="C6" s="546"/>
      <c r="D6" s="655"/>
      <c r="E6" s="656"/>
      <c r="F6" s="548"/>
      <c r="G6" s="548"/>
      <c r="H6" s="548"/>
      <c r="I6" s="548"/>
      <c r="J6" s="548"/>
      <c r="K6" s="548"/>
      <c r="L6" s="548"/>
      <c r="M6" s="548"/>
      <c r="N6" s="548"/>
      <c r="O6" s="548"/>
      <c r="P6" s="548"/>
      <c r="Q6" s="548"/>
      <c r="R6" s="548"/>
      <c r="S6" s="548"/>
      <c r="T6" s="548"/>
      <c r="U6" s="548"/>
      <c r="V6" s="548"/>
      <c r="W6" s="548"/>
      <c r="X6" s="548"/>
      <c r="Y6" s="548"/>
      <c r="Z6" s="548"/>
      <c r="AA6" s="548"/>
      <c r="AB6" s="548"/>
      <c r="AC6" s="548"/>
      <c r="AD6" s="548"/>
      <c r="AE6" s="548"/>
      <c r="AF6" s="548"/>
      <c r="AG6" s="548"/>
      <c r="AH6" s="548"/>
      <c r="AI6" s="548"/>
      <c r="AJ6" s="548"/>
      <c r="AK6" s="548"/>
      <c r="AL6" s="548"/>
      <c r="AM6" s="548"/>
      <c r="AN6" s="548"/>
      <c r="AO6" s="548"/>
      <c r="AP6" s="548"/>
      <c r="AQ6" s="548"/>
      <c r="AR6" s="548"/>
      <c r="AS6" s="548"/>
      <c r="AT6" s="548"/>
      <c r="AU6" s="548"/>
      <c r="AV6" s="548"/>
      <c r="AW6" s="548"/>
      <c r="AX6" s="548"/>
      <c r="AY6" s="548"/>
      <c r="AZ6" s="548"/>
      <c r="BA6" s="548"/>
      <c r="BB6" s="548"/>
      <c r="BC6" s="548"/>
      <c r="BD6" s="548"/>
      <c r="BE6" s="548"/>
      <c r="BF6" s="548"/>
      <c r="BG6" s="548"/>
      <c r="BH6" s="548"/>
      <c r="BI6" s="548"/>
      <c r="BJ6" s="548"/>
      <c r="BK6" s="548"/>
      <c r="BL6" s="548"/>
      <c r="BM6" s="548"/>
      <c r="BN6" s="548"/>
      <c r="BO6" s="548"/>
      <c r="BP6" s="548"/>
      <c r="BQ6" s="548"/>
      <c r="BR6" s="548"/>
      <c r="BS6" s="548"/>
      <c r="BT6" s="548"/>
      <c r="BU6" s="548"/>
      <c r="BV6" s="548"/>
      <c r="BW6" s="548"/>
      <c r="BX6" s="548"/>
      <c r="BY6" s="548"/>
      <c r="BZ6" s="548"/>
      <c r="CA6" s="548"/>
      <c r="CB6" s="548"/>
      <c r="CC6" s="548"/>
      <c r="CD6" s="548"/>
      <c r="CE6" s="548"/>
      <c r="CF6" s="548"/>
      <c r="CG6" s="548"/>
      <c r="CH6" s="548"/>
      <c r="CI6" s="548"/>
      <c r="CJ6" s="548"/>
      <c r="CK6" s="548"/>
      <c r="CL6" s="548"/>
      <c r="CM6" s="548"/>
      <c r="CN6" s="548"/>
      <c r="CO6" s="548"/>
      <c r="CP6" s="548"/>
      <c r="CQ6" s="548"/>
      <c r="CR6" s="548"/>
      <c r="CS6" s="548"/>
      <c r="CT6" s="548"/>
      <c r="CU6" s="548"/>
      <c r="CV6" s="548"/>
      <c r="CW6" s="548"/>
      <c r="CX6" s="548"/>
      <c r="CY6" s="548"/>
      <c r="CZ6" s="548"/>
      <c r="DA6" s="548"/>
      <c r="DB6" s="548"/>
      <c r="DC6" s="548"/>
      <c r="DD6" s="548"/>
      <c r="DE6" s="548"/>
      <c r="DF6" s="548"/>
      <c r="DG6" s="548"/>
      <c r="DH6" s="548"/>
      <c r="DI6" s="548"/>
      <c r="DJ6" s="548"/>
      <c r="DK6" s="548"/>
      <c r="DL6" s="548"/>
      <c r="DM6" s="548"/>
      <c r="DN6" s="548"/>
      <c r="DO6" s="548"/>
      <c r="DP6" s="548"/>
      <c r="DQ6" s="548"/>
      <c r="DR6" s="548"/>
      <c r="DS6" s="548"/>
      <c r="DT6" s="548"/>
      <c r="DU6" s="548"/>
      <c r="DV6" s="548"/>
      <c r="DW6" s="548"/>
      <c r="DX6" s="548"/>
      <c r="DY6" s="548"/>
      <c r="DZ6" s="548"/>
      <c r="EA6" s="548"/>
      <c r="EB6" s="548"/>
      <c r="EC6" s="548"/>
      <c r="ED6" s="548"/>
      <c r="EE6" s="548"/>
      <c r="EF6" s="548"/>
      <c r="EG6" s="548"/>
      <c r="EH6" s="548"/>
      <c r="EI6" s="548"/>
      <c r="EJ6" s="548"/>
      <c r="EK6" s="548"/>
      <c r="EL6" s="548"/>
    </row>
    <row r="7" spans="1:142" s="549" customFormat="1">
      <c r="A7" s="616"/>
      <c r="B7" s="546"/>
      <c r="C7" s="546" t="s">
        <v>462</v>
      </c>
      <c r="D7" s="655"/>
      <c r="E7" s="657">
        <v>1</v>
      </c>
      <c r="F7" s="658">
        <v>2</v>
      </c>
      <c r="G7" s="658">
        <v>3</v>
      </c>
      <c r="H7" s="658">
        <v>4</v>
      </c>
      <c r="I7" s="658">
        <v>5</v>
      </c>
      <c r="J7" s="658">
        <v>6</v>
      </c>
      <c r="K7" s="658">
        <v>7</v>
      </c>
      <c r="L7" s="658">
        <v>8</v>
      </c>
      <c r="M7" s="658">
        <v>9</v>
      </c>
      <c r="N7" s="658">
        <v>10</v>
      </c>
      <c r="O7" s="658">
        <v>11</v>
      </c>
      <c r="P7" s="658">
        <v>12</v>
      </c>
      <c r="Q7" s="658">
        <v>13</v>
      </c>
      <c r="R7" s="658">
        <v>14</v>
      </c>
      <c r="S7" s="658">
        <v>15</v>
      </c>
      <c r="T7" s="658">
        <v>16</v>
      </c>
      <c r="U7" s="658" t="s">
        <v>358</v>
      </c>
      <c r="V7" s="548"/>
      <c r="W7" s="548"/>
      <c r="X7" s="548"/>
      <c r="Y7" s="548"/>
      <c r="Z7" s="548"/>
      <c r="AA7" s="548"/>
      <c r="AB7" s="548"/>
      <c r="AC7" s="548"/>
      <c r="AD7" s="548"/>
      <c r="AE7" s="548"/>
      <c r="AF7" s="548"/>
      <c r="AG7" s="548"/>
      <c r="AH7" s="548"/>
      <c r="AI7" s="548"/>
      <c r="AJ7" s="548"/>
      <c r="AK7" s="548"/>
      <c r="AL7" s="548"/>
      <c r="AM7" s="548"/>
      <c r="AN7" s="548"/>
      <c r="AO7" s="548"/>
      <c r="AP7" s="548"/>
      <c r="AQ7" s="548"/>
      <c r="AR7" s="548"/>
      <c r="AS7" s="548"/>
      <c r="AT7" s="548"/>
      <c r="AU7" s="548"/>
      <c r="AV7" s="548"/>
      <c r="AW7" s="548"/>
      <c r="AX7" s="548"/>
      <c r="AY7" s="548"/>
      <c r="AZ7" s="548"/>
      <c r="BA7" s="548"/>
      <c r="BB7" s="548"/>
      <c r="BC7" s="548"/>
      <c r="BD7" s="548"/>
      <c r="BE7" s="548"/>
      <c r="BF7" s="548"/>
      <c r="BG7" s="548"/>
      <c r="BH7" s="548"/>
      <c r="BI7" s="548"/>
      <c r="BJ7" s="548"/>
      <c r="BK7" s="548"/>
      <c r="BL7" s="548"/>
      <c r="BM7" s="548"/>
      <c r="BN7" s="548"/>
      <c r="BO7" s="548"/>
      <c r="BP7" s="548"/>
      <c r="BQ7" s="548"/>
      <c r="BR7" s="548"/>
      <c r="BS7" s="548"/>
      <c r="BT7" s="548"/>
      <c r="BU7" s="548"/>
      <c r="BV7" s="548"/>
      <c r="BW7" s="548"/>
      <c r="BX7" s="548"/>
      <c r="BY7" s="548"/>
      <c r="BZ7" s="548"/>
      <c r="CA7" s="548"/>
      <c r="CB7" s="548"/>
      <c r="CC7" s="548"/>
      <c r="CD7" s="548"/>
      <c r="CE7" s="548"/>
      <c r="CF7" s="548"/>
      <c r="CG7" s="548"/>
      <c r="CH7" s="548"/>
      <c r="CI7" s="548"/>
      <c r="CJ7" s="548"/>
      <c r="CK7" s="548"/>
      <c r="CL7" s="548"/>
      <c r="CM7" s="548"/>
      <c r="CN7" s="548"/>
      <c r="CO7" s="548"/>
      <c r="CP7" s="548"/>
      <c r="CQ7" s="548"/>
      <c r="CR7" s="548"/>
      <c r="CS7" s="548"/>
      <c r="CT7" s="548"/>
      <c r="CU7" s="548"/>
      <c r="CV7" s="548"/>
      <c r="CW7" s="548"/>
      <c r="CX7" s="548"/>
      <c r="CY7" s="548"/>
      <c r="CZ7" s="548"/>
      <c r="DA7" s="548"/>
      <c r="DB7" s="548"/>
      <c r="DC7" s="548"/>
      <c r="DD7" s="548"/>
      <c r="DE7" s="548"/>
      <c r="DF7" s="548"/>
      <c r="DG7" s="548"/>
      <c r="DH7" s="548"/>
      <c r="DI7" s="548"/>
      <c r="DJ7" s="548"/>
      <c r="DK7" s="548"/>
      <c r="DL7" s="548"/>
      <c r="DM7" s="548"/>
      <c r="DN7" s="548"/>
      <c r="DO7" s="548"/>
      <c r="DP7" s="548"/>
      <c r="DQ7" s="548"/>
      <c r="DR7" s="548"/>
      <c r="DS7" s="548"/>
      <c r="DT7" s="548"/>
      <c r="DU7" s="548"/>
      <c r="DV7" s="548"/>
      <c r="DW7" s="548"/>
      <c r="DX7" s="548"/>
      <c r="DY7" s="548"/>
      <c r="DZ7" s="548"/>
      <c r="EA7" s="548"/>
      <c r="EB7" s="548"/>
      <c r="EC7" s="548"/>
      <c r="ED7" s="548"/>
      <c r="EE7" s="548"/>
      <c r="EF7" s="548"/>
      <c r="EG7" s="548"/>
      <c r="EH7" s="548"/>
      <c r="EI7" s="548"/>
      <c r="EJ7" s="548"/>
      <c r="EK7" s="548"/>
      <c r="EL7" s="548"/>
    </row>
    <row r="8" spans="1:142" s="549" customFormat="1">
      <c r="A8" s="616"/>
      <c r="B8" s="546"/>
      <c r="D8" s="655"/>
      <c r="E8" s="659"/>
      <c r="F8" s="660"/>
      <c r="G8" s="660"/>
      <c r="H8" s="660"/>
      <c r="I8" s="660"/>
      <c r="J8" s="660"/>
      <c r="K8" s="660"/>
      <c r="L8" s="660"/>
      <c r="M8" s="660"/>
      <c r="N8" s="660"/>
      <c r="O8" s="660"/>
      <c r="P8" s="660"/>
      <c r="Q8" s="660"/>
      <c r="R8" s="660"/>
      <c r="S8" s="660"/>
      <c r="T8" s="660"/>
      <c r="U8" s="661"/>
      <c r="V8" s="548"/>
      <c r="W8" s="548"/>
      <c r="X8" s="548"/>
      <c r="Y8" s="548"/>
      <c r="Z8" s="548"/>
      <c r="AA8" s="548"/>
      <c r="AB8" s="548"/>
      <c r="AC8" s="548"/>
      <c r="AD8" s="548"/>
      <c r="AE8" s="548"/>
      <c r="AF8" s="548"/>
      <c r="AG8" s="548"/>
      <c r="AH8" s="548"/>
      <c r="AI8" s="548"/>
      <c r="AJ8" s="548"/>
      <c r="AK8" s="548"/>
      <c r="AL8" s="548"/>
      <c r="AM8" s="548"/>
      <c r="AN8" s="548"/>
      <c r="AO8" s="548"/>
      <c r="AP8" s="548"/>
      <c r="AQ8" s="548"/>
      <c r="AR8" s="548"/>
      <c r="AS8" s="548"/>
      <c r="AT8" s="548"/>
      <c r="AU8" s="548"/>
      <c r="AV8" s="548"/>
      <c r="AW8" s="548"/>
      <c r="AX8" s="548"/>
      <c r="AY8" s="548"/>
      <c r="AZ8" s="548"/>
      <c r="BA8" s="548"/>
      <c r="BB8" s="548"/>
      <c r="BC8" s="548"/>
      <c r="BD8" s="548"/>
      <c r="BE8" s="548"/>
      <c r="BF8" s="548"/>
      <c r="BG8" s="548"/>
      <c r="BH8" s="548"/>
      <c r="BI8" s="548"/>
      <c r="BJ8" s="548"/>
      <c r="BK8" s="548"/>
      <c r="BL8" s="548"/>
      <c r="BM8" s="548"/>
      <c r="BN8" s="548"/>
      <c r="BO8" s="548"/>
      <c r="BP8" s="548"/>
      <c r="BQ8" s="548"/>
      <c r="BR8" s="548"/>
      <c r="BS8" s="548"/>
      <c r="BT8" s="548"/>
      <c r="BU8" s="548"/>
      <c r="BV8" s="548"/>
      <c r="BW8" s="548"/>
      <c r="BX8" s="548"/>
      <c r="BY8" s="548"/>
      <c r="BZ8" s="548"/>
      <c r="CA8" s="548"/>
      <c r="CB8" s="548"/>
      <c r="CC8" s="548"/>
      <c r="CD8" s="548"/>
      <c r="CE8" s="548"/>
      <c r="CF8" s="548"/>
      <c r="CG8" s="548"/>
      <c r="CH8" s="548"/>
      <c r="CI8" s="548"/>
      <c r="CJ8" s="548"/>
      <c r="CK8" s="548"/>
      <c r="CL8" s="548"/>
      <c r="CM8" s="548"/>
      <c r="CN8" s="548"/>
      <c r="CO8" s="548"/>
      <c r="CP8" s="548"/>
      <c r="CQ8" s="548"/>
      <c r="CR8" s="548"/>
      <c r="CS8" s="548"/>
      <c r="CT8" s="548"/>
      <c r="CU8" s="548"/>
      <c r="CV8" s="548"/>
      <c r="CW8" s="548"/>
      <c r="CX8" s="548"/>
      <c r="CY8" s="548"/>
      <c r="CZ8" s="548"/>
      <c r="DA8" s="548"/>
      <c r="DB8" s="548"/>
      <c r="DC8" s="548"/>
      <c r="DD8" s="548"/>
      <c r="DE8" s="548"/>
      <c r="DF8" s="548"/>
      <c r="DG8" s="548"/>
      <c r="DH8" s="548"/>
      <c r="DI8" s="548"/>
      <c r="DJ8" s="548"/>
      <c r="DK8" s="548"/>
      <c r="DL8" s="548"/>
      <c r="DM8" s="548"/>
      <c r="DN8" s="548"/>
      <c r="DO8" s="548"/>
      <c r="DP8" s="548"/>
      <c r="DQ8" s="548"/>
      <c r="DR8" s="548"/>
      <c r="DS8" s="548"/>
      <c r="DT8" s="548"/>
      <c r="DU8" s="548"/>
      <c r="DV8" s="548"/>
      <c r="DW8" s="548"/>
      <c r="DX8" s="548"/>
      <c r="DY8" s="548"/>
      <c r="DZ8" s="548"/>
      <c r="EA8" s="548"/>
      <c r="EB8" s="548"/>
      <c r="EC8" s="548"/>
      <c r="ED8" s="548"/>
      <c r="EE8" s="548"/>
      <c r="EF8" s="548"/>
      <c r="EG8" s="548"/>
      <c r="EH8" s="548"/>
      <c r="EI8" s="548"/>
      <c r="EJ8" s="548"/>
      <c r="EK8" s="548"/>
      <c r="EL8" s="548"/>
    </row>
    <row r="9" spans="1:142" s="549" customFormat="1">
      <c r="A9" s="616"/>
      <c r="B9" s="546"/>
      <c r="C9" s="546" t="s">
        <v>464</v>
      </c>
      <c r="D9" s="655"/>
      <c r="E9" s="547"/>
      <c r="F9" s="658"/>
      <c r="G9" s="658">
        <v>10</v>
      </c>
      <c r="H9" s="658">
        <v>10</v>
      </c>
      <c r="I9" s="658">
        <v>10</v>
      </c>
      <c r="J9" s="658">
        <v>10</v>
      </c>
      <c r="K9" s="658">
        <v>0</v>
      </c>
      <c r="L9" s="658">
        <v>0</v>
      </c>
      <c r="M9" s="658"/>
      <c r="N9" s="658"/>
      <c r="O9" s="658"/>
      <c r="P9" s="658"/>
      <c r="Q9" s="658"/>
      <c r="R9" s="658"/>
      <c r="S9" s="658"/>
      <c r="T9" s="658"/>
      <c r="U9" s="658" t="str">
        <f>IF(SUM(E9:T9)&lt;&gt;Assum!$F$30,"ERROR",SUM(E9:T9))</f>
        <v>ERROR</v>
      </c>
      <c r="V9" s="548"/>
      <c r="W9" s="548"/>
      <c r="X9" s="548"/>
      <c r="Y9" s="548"/>
      <c r="Z9" s="548"/>
      <c r="AA9" s="548"/>
      <c r="AB9" s="548"/>
      <c r="AC9" s="548"/>
      <c r="AD9" s="548"/>
      <c r="AE9" s="548"/>
      <c r="AF9" s="548"/>
      <c r="AG9" s="548"/>
      <c r="AH9" s="548"/>
      <c r="AI9" s="548"/>
      <c r="AJ9" s="548"/>
      <c r="AK9" s="548"/>
      <c r="AL9" s="548"/>
      <c r="AM9" s="548"/>
      <c r="AN9" s="548"/>
      <c r="AO9" s="548"/>
      <c r="AP9" s="548"/>
      <c r="AQ9" s="548"/>
      <c r="AR9" s="548"/>
      <c r="AS9" s="548"/>
      <c r="AT9" s="548"/>
      <c r="AU9" s="548"/>
      <c r="AV9" s="548"/>
      <c r="AW9" s="548"/>
      <c r="AX9" s="548"/>
      <c r="AY9" s="548"/>
      <c r="AZ9" s="548"/>
      <c r="BA9" s="548"/>
      <c r="BB9" s="548"/>
      <c r="BC9" s="548"/>
      <c r="BD9" s="548"/>
      <c r="BE9" s="548"/>
      <c r="BF9" s="548"/>
      <c r="BG9" s="548"/>
      <c r="BH9" s="548"/>
      <c r="BI9" s="548"/>
      <c r="BJ9" s="548"/>
      <c r="BK9" s="548"/>
      <c r="BL9" s="548"/>
      <c r="BM9" s="548"/>
      <c r="BN9" s="548"/>
      <c r="BO9" s="548"/>
      <c r="BP9" s="548"/>
      <c r="BQ9" s="548"/>
      <c r="BR9" s="548"/>
      <c r="BS9" s="548"/>
      <c r="BT9" s="548"/>
      <c r="BU9" s="548"/>
      <c r="BV9" s="548"/>
      <c r="BW9" s="548"/>
      <c r="BX9" s="548"/>
      <c r="BY9" s="548"/>
      <c r="BZ9" s="548"/>
      <c r="CA9" s="548"/>
      <c r="CB9" s="548"/>
      <c r="CC9" s="548"/>
      <c r="CD9" s="548"/>
      <c r="CE9" s="548"/>
      <c r="CF9" s="548"/>
      <c r="CG9" s="548"/>
      <c r="CH9" s="548"/>
      <c r="CI9" s="548"/>
      <c r="CJ9" s="548"/>
      <c r="CK9" s="548"/>
      <c r="CL9" s="548"/>
      <c r="CM9" s="548"/>
      <c r="CN9" s="548"/>
      <c r="CO9" s="548"/>
      <c r="CP9" s="548"/>
      <c r="CQ9" s="548"/>
      <c r="CR9" s="548"/>
      <c r="CS9" s="548"/>
      <c r="CT9" s="548"/>
      <c r="CU9" s="548"/>
      <c r="CV9" s="548"/>
      <c r="CW9" s="548"/>
      <c r="CX9" s="548"/>
      <c r="CY9" s="548"/>
      <c r="CZ9" s="548"/>
      <c r="DA9" s="548"/>
      <c r="DB9" s="548"/>
      <c r="DC9" s="548"/>
      <c r="DD9" s="548"/>
      <c r="DE9" s="548"/>
      <c r="DF9" s="548"/>
      <c r="DG9" s="548"/>
      <c r="DH9" s="548"/>
      <c r="DI9" s="548"/>
      <c r="DJ9" s="548"/>
      <c r="DK9" s="548"/>
      <c r="DL9" s="548"/>
      <c r="DM9" s="548"/>
      <c r="DN9" s="548"/>
      <c r="DO9" s="548"/>
      <c r="DP9" s="548"/>
      <c r="DQ9" s="548"/>
      <c r="DR9" s="548"/>
      <c r="DS9" s="548"/>
      <c r="DT9" s="548"/>
      <c r="DU9" s="548"/>
      <c r="DV9" s="548"/>
      <c r="DW9" s="548"/>
      <c r="DX9" s="548"/>
      <c r="DY9" s="548"/>
      <c r="DZ9" s="548"/>
      <c r="EA9" s="548"/>
      <c r="EB9" s="548"/>
      <c r="EC9" s="548"/>
      <c r="ED9" s="548"/>
      <c r="EE9" s="548"/>
      <c r="EF9" s="548"/>
      <c r="EG9" s="548"/>
      <c r="EH9" s="548"/>
      <c r="EI9" s="548"/>
      <c r="EJ9" s="548"/>
      <c r="EK9" s="548"/>
      <c r="EL9" s="548"/>
    </row>
    <row r="10" spans="1:142" s="549" customFormat="1">
      <c r="A10" s="616"/>
      <c r="B10" s="546"/>
      <c r="C10" s="546" t="s">
        <v>465</v>
      </c>
      <c r="D10" s="655"/>
      <c r="E10" s="547"/>
      <c r="F10" s="658"/>
      <c r="G10" s="658"/>
      <c r="H10" s="658">
        <v>10</v>
      </c>
      <c r="I10" s="658">
        <v>10</v>
      </c>
      <c r="J10" s="658">
        <v>10</v>
      </c>
      <c r="K10" s="658">
        <v>10</v>
      </c>
      <c r="L10" s="658">
        <v>0</v>
      </c>
      <c r="M10" s="658">
        <v>0</v>
      </c>
      <c r="N10" s="658">
        <v>0</v>
      </c>
      <c r="O10" s="658">
        <v>0</v>
      </c>
      <c r="P10" s="658"/>
      <c r="Q10" s="658"/>
      <c r="R10" s="658"/>
      <c r="S10" s="658"/>
      <c r="T10" s="658"/>
      <c r="U10" s="658" t="str">
        <f>IF(SUM(E10:T10)&lt;&gt;Assum!$F$30,"ERROR",SUM(E10:T10))</f>
        <v>ERROR</v>
      </c>
      <c r="V10" s="548"/>
      <c r="W10" s="548"/>
      <c r="X10" s="548"/>
      <c r="Y10" s="548"/>
      <c r="Z10" s="548"/>
      <c r="AA10" s="548"/>
      <c r="AB10" s="548"/>
      <c r="AC10" s="548"/>
      <c r="AD10" s="548"/>
      <c r="AE10" s="548"/>
      <c r="AF10" s="548"/>
      <c r="AG10" s="548"/>
      <c r="AH10" s="548"/>
      <c r="AI10" s="548"/>
      <c r="AJ10" s="548"/>
      <c r="AK10" s="548"/>
      <c r="AL10" s="548"/>
      <c r="AM10" s="548"/>
      <c r="AN10" s="548"/>
      <c r="AO10" s="548"/>
      <c r="AP10" s="548"/>
      <c r="AQ10" s="548"/>
      <c r="AR10" s="548"/>
      <c r="AS10" s="548"/>
      <c r="AT10" s="548"/>
      <c r="AU10" s="548"/>
      <c r="AV10" s="548"/>
      <c r="AW10" s="548"/>
      <c r="AX10" s="548"/>
      <c r="AY10" s="548"/>
      <c r="AZ10" s="548"/>
      <c r="BA10" s="548"/>
      <c r="BB10" s="548"/>
      <c r="BC10" s="548"/>
      <c r="BD10" s="548"/>
      <c r="BE10" s="548"/>
      <c r="BF10" s="548"/>
      <c r="BG10" s="548"/>
      <c r="BH10" s="548"/>
      <c r="BI10" s="548"/>
      <c r="BJ10" s="548"/>
      <c r="BK10" s="548"/>
      <c r="BL10" s="548"/>
      <c r="BM10" s="548"/>
      <c r="BN10" s="548"/>
      <c r="BO10" s="548"/>
      <c r="BP10" s="548"/>
      <c r="BQ10" s="548"/>
      <c r="BR10" s="548"/>
      <c r="BS10" s="548"/>
      <c r="BT10" s="548"/>
      <c r="BU10" s="548"/>
      <c r="BV10" s="548"/>
      <c r="BW10" s="548"/>
      <c r="BX10" s="548"/>
      <c r="BY10" s="548"/>
      <c r="BZ10" s="548"/>
      <c r="CA10" s="548"/>
      <c r="CB10" s="548"/>
      <c r="CC10" s="548"/>
      <c r="CD10" s="548"/>
      <c r="CE10" s="548"/>
      <c r="CF10" s="548"/>
      <c r="CG10" s="548"/>
      <c r="CH10" s="548"/>
      <c r="CI10" s="548"/>
      <c r="CJ10" s="548"/>
      <c r="CK10" s="548"/>
      <c r="CL10" s="548"/>
      <c r="CM10" s="548"/>
      <c r="CN10" s="548"/>
      <c r="CO10" s="548"/>
      <c r="CP10" s="548"/>
      <c r="CQ10" s="548"/>
      <c r="CR10" s="548"/>
      <c r="CS10" s="548"/>
      <c r="CT10" s="548"/>
      <c r="CU10" s="548"/>
      <c r="CV10" s="548"/>
      <c r="CW10" s="548"/>
      <c r="CX10" s="548"/>
      <c r="CY10" s="548"/>
      <c r="CZ10" s="548"/>
      <c r="DA10" s="548"/>
      <c r="DB10" s="548"/>
      <c r="DC10" s="548"/>
      <c r="DD10" s="548"/>
      <c r="DE10" s="548"/>
      <c r="DF10" s="548"/>
      <c r="DG10" s="548"/>
      <c r="DH10" s="548"/>
      <c r="DI10" s="548"/>
      <c r="DJ10" s="548"/>
      <c r="DK10" s="548"/>
      <c r="DL10" s="548"/>
      <c r="DM10" s="548"/>
      <c r="DN10" s="548"/>
      <c r="DO10" s="548"/>
      <c r="DP10" s="548"/>
      <c r="DQ10" s="548"/>
      <c r="DR10" s="548"/>
      <c r="DS10" s="548"/>
      <c r="DT10" s="548"/>
      <c r="DU10" s="548"/>
      <c r="DV10" s="548"/>
      <c r="DW10" s="548"/>
      <c r="DX10" s="548"/>
      <c r="DY10" s="548"/>
      <c r="DZ10" s="548"/>
      <c r="EA10" s="548"/>
      <c r="EB10" s="548"/>
      <c r="EC10" s="548"/>
      <c r="ED10" s="548"/>
      <c r="EE10" s="548"/>
      <c r="EF10" s="548"/>
      <c r="EG10" s="548"/>
      <c r="EH10" s="548"/>
      <c r="EI10" s="548"/>
      <c r="EJ10" s="548"/>
      <c r="EK10" s="548"/>
      <c r="EL10" s="548"/>
    </row>
    <row r="11" spans="1:142" s="549" customFormat="1">
      <c r="A11" s="616"/>
      <c r="B11" s="546"/>
      <c r="C11" s="546" t="s">
        <v>696</v>
      </c>
      <c r="D11" s="655"/>
      <c r="E11" s="657">
        <f>Internal!G17</f>
        <v>1500</v>
      </c>
      <c r="F11" s="662">
        <f t="shared" ref="F11:T11" si="1">E11</f>
        <v>1500</v>
      </c>
      <c r="G11" s="662">
        <f t="shared" si="1"/>
        <v>1500</v>
      </c>
      <c r="H11" s="662">
        <f t="shared" si="1"/>
        <v>1500</v>
      </c>
      <c r="I11" s="662">
        <f t="shared" si="1"/>
        <v>1500</v>
      </c>
      <c r="J11" s="662">
        <f t="shared" si="1"/>
        <v>1500</v>
      </c>
      <c r="K11" s="662">
        <f t="shared" si="1"/>
        <v>1500</v>
      </c>
      <c r="L11" s="662">
        <f t="shared" si="1"/>
        <v>1500</v>
      </c>
      <c r="M11" s="662">
        <f t="shared" si="1"/>
        <v>1500</v>
      </c>
      <c r="N11" s="662">
        <f t="shared" si="1"/>
        <v>1500</v>
      </c>
      <c r="O11" s="662">
        <f t="shared" si="1"/>
        <v>1500</v>
      </c>
      <c r="P11" s="662">
        <f t="shared" si="1"/>
        <v>1500</v>
      </c>
      <c r="Q11" s="662">
        <f t="shared" si="1"/>
        <v>1500</v>
      </c>
      <c r="R11" s="662">
        <f t="shared" si="1"/>
        <v>1500</v>
      </c>
      <c r="S11" s="662">
        <f t="shared" si="1"/>
        <v>1500</v>
      </c>
      <c r="T11" s="662">
        <f t="shared" si="1"/>
        <v>1500</v>
      </c>
      <c r="U11" s="662"/>
      <c r="V11" s="548"/>
      <c r="W11" s="548"/>
      <c r="X11" s="548"/>
      <c r="Y11" s="548"/>
      <c r="Z11" s="548"/>
      <c r="AA11" s="548"/>
      <c r="AB11" s="548"/>
      <c r="AC11" s="548"/>
      <c r="AD11" s="548"/>
      <c r="AE11" s="548"/>
      <c r="AF11" s="548"/>
      <c r="AG11" s="548"/>
      <c r="AH11" s="548"/>
      <c r="AI11" s="548"/>
      <c r="AJ11" s="548"/>
      <c r="AK11" s="548"/>
      <c r="AL11" s="548"/>
      <c r="AM11" s="548"/>
      <c r="AN11" s="548"/>
      <c r="AO11" s="548"/>
      <c r="AP11" s="548"/>
      <c r="AQ11" s="548"/>
      <c r="AR11" s="548"/>
      <c r="AS11" s="548"/>
      <c r="AT11" s="548"/>
      <c r="AU11" s="548"/>
      <c r="AV11" s="548"/>
      <c r="AW11" s="548"/>
      <c r="AX11" s="548"/>
      <c r="AY11" s="548"/>
      <c r="AZ11" s="548"/>
      <c r="BA11" s="548"/>
      <c r="BB11" s="548"/>
      <c r="BC11" s="548"/>
      <c r="BD11" s="548"/>
      <c r="BE11" s="548"/>
      <c r="BF11" s="548"/>
      <c r="BG11" s="548"/>
      <c r="BH11" s="548"/>
      <c r="BI11" s="548"/>
      <c r="BJ11" s="548"/>
      <c r="BK11" s="548"/>
      <c r="BL11" s="548"/>
      <c r="BM11" s="548"/>
      <c r="BN11" s="548"/>
      <c r="BO11" s="548"/>
      <c r="BP11" s="548"/>
      <c r="BQ11" s="548"/>
      <c r="BR11" s="548"/>
      <c r="BS11" s="548"/>
      <c r="BT11" s="548"/>
      <c r="BU11" s="548"/>
      <c r="BV11" s="548"/>
      <c r="BW11" s="548"/>
      <c r="BX11" s="548"/>
      <c r="BY11" s="548"/>
      <c r="BZ11" s="548"/>
      <c r="CA11" s="548"/>
      <c r="CB11" s="548"/>
      <c r="CC11" s="548"/>
      <c r="CD11" s="548"/>
      <c r="CE11" s="548"/>
      <c r="CF11" s="548"/>
      <c r="CG11" s="548"/>
      <c r="CH11" s="548"/>
      <c r="CI11" s="548"/>
      <c r="CJ11" s="548"/>
      <c r="CK11" s="548"/>
      <c r="CL11" s="548"/>
      <c r="CM11" s="548"/>
      <c r="CN11" s="548"/>
      <c r="CO11" s="548"/>
      <c r="CP11" s="548"/>
      <c r="CQ11" s="548"/>
      <c r="CR11" s="548"/>
      <c r="CS11" s="548"/>
      <c r="CT11" s="548"/>
      <c r="CU11" s="548"/>
      <c r="CV11" s="548"/>
      <c r="CW11" s="548"/>
      <c r="CX11" s="548"/>
      <c r="CY11" s="548"/>
      <c r="CZ11" s="548"/>
      <c r="DA11" s="548"/>
      <c r="DB11" s="548"/>
      <c r="DC11" s="548"/>
      <c r="DD11" s="548"/>
      <c r="DE11" s="548"/>
      <c r="DF11" s="548"/>
      <c r="DG11" s="548"/>
      <c r="DH11" s="548"/>
      <c r="DI11" s="548"/>
      <c r="DJ11" s="548"/>
      <c r="DK11" s="548"/>
      <c r="DL11" s="548"/>
      <c r="DM11" s="548"/>
      <c r="DN11" s="548"/>
      <c r="DO11" s="548"/>
      <c r="DP11" s="548"/>
      <c r="DQ11" s="548"/>
      <c r="DR11" s="548"/>
      <c r="DS11" s="548"/>
      <c r="DT11" s="548"/>
      <c r="DU11" s="548"/>
      <c r="DV11" s="548"/>
      <c r="DW11" s="548"/>
      <c r="DX11" s="548"/>
      <c r="DY11" s="548"/>
      <c r="DZ11" s="548"/>
      <c r="EA11" s="548"/>
      <c r="EB11" s="548"/>
      <c r="EC11" s="548"/>
      <c r="ED11" s="548"/>
      <c r="EE11" s="548"/>
      <c r="EF11" s="548"/>
      <c r="EG11" s="548"/>
      <c r="EH11" s="548"/>
      <c r="EI11" s="548"/>
      <c r="EJ11" s="548"/>
      <c r="EK11" s="548"/>
      <c r="EL11" s="548"/>
    </row>
    <row r="12" spans="1:142" s="549" customFormat="1">
      <c r="A12" s="616"/>
      <c r="B12" s="546"/>
      <c r="C12" s="546" t="s">
        <v>628</v>
      </c>
      <c r="D12" s="655"/>
      <c r="E12" s="547">
        <f>IF(E7&lt;=Assum!$P$54,1/Assum!$P$54,0)</f>
        <v>7.1428571428571425E-2</v>
      </c>
      <c r="F12" s="547">
        <f>IF(F7&lt;=Assum!$P$54,1/Assum!$P$54,0)</f>
        <v>7.1428571428571425E-2</v>
      </c>
      <c r="G12" s="547">
        <f>IF(G7&lt;=Assum!$P$54,1/Assum!$P$54,0)</f>
        <v>7.1428571428571425E-2</v>
      </c>
      <c r="H12" s="547">
        <f>IF(H7&lt;=Assum!$P$54,1/Assum!$P$54,0)</f>
        <v>7.1428571428571425E-2</v>
      </c>
      <c r="I12" s="547">
        <f>IF(I7&lt;=Assum!$P$54,1/Assum!$P$54,0)</f>
        <v>7.1428571428571425E-2</v>
      </c>
      <c r="J12" s="547">
        <f>IF(J7&lt;=Assum!$P$54,1/Assum!$P$54,0)</f>
        <v>7.1428571428571425E-2</v>
      </c>
      <c r="K12" s="547">
        <f>IF(K7&lt;=Assum!$P$54,1/Assum!$P$54,0)</f>
        <v>7.1428571428571425E-2</v>
      </c>
      <c r="L12" s="547">
        <f>IF(L7&lt;=Assum!$P$54,1/Assum!$P$54,0)</f>
        <v>7.1428571428571425E-2</v>
      </c>
      <c r="M12" s="547">
        <f>IF(M7&lt;=Assum!$P$54,1/Assum!$P$54,0)</f>
        <v>7.1428571428571425E-2</v>
      </c>
      <c r="N12" s="547">
        <f>IF(N7&lt;=Assum!$P$54,1/Assum!$P$54,0)</f>
        <v>7.1428571428571425E-2</v>
      </c>
      <c r="O12" s="547">
        <f>IF(O7&lt;=Assum!$P$54,1/Assum!$P$54,0)</f>
        <v>7.1428571428571425E-2</v>
      </c>
      <c r="P12" s="547">
        <f>IF(P7&lt;=Assum!$P$54,1/Assum!$P$54,0)</f>
        <v>7.1428571428571425E-2</v>
      </c>
      <c r="Q12" s="547">
        <f>IF(Q7&lt;=Assum!$P$54,1/Assum!$P$54,0)</f>
        <v>7.1428571428571425E-2</v>
      </c>
      <c r="R12" s="547">
        <f>IF(R7&lt;=Assum!$P$54,1/Assum!$P$54,0)</f>
        <v>7.1428571428571425E-2</v>
      </c>
      <c r="S12" s="547">
        <f>IF(S7&lt;=Assum!$P$54,1/Assum!$P$54,0)</f>
        <v>0</v>
      </c>
      <c r="T12" s="547">
        <f>IF(T7&lt;=Assum!$P$54,1/Assum!$P$54,0)</f>
        <v>0</v>
      </c>
      <c r="U12" s="547"/>
      <c r="V12" s="548"/>
      <c r="W12" s="548"/>
      <c r="X12" s="548"/>
      <c r="Y12" s="548"/>
      <c r="Z12" s="548"/>
      <c r="AA12" s="548"/>
      <c r="AB12" s="548"/>
      <c r="AC12" s="548"/>
      <c r="AD12" s="548"/>
      <c r="AE12" s="548"/>
      <c r="AF12" s="548"/>
      <c r="AG12" s="548"/>
      <c r="AH12" s="548"/>
      <c r="AI12" s="548"/>
      <c r="AJ12" s="548"/>
      <c r="AK12" s="548"/>
      <c r="AL12" s="548"/>
      <c r="AM12" s="548"/>
      <c r="AN12" s="548"/>
      <c r="AO12" s="548"/>
      <c r="AP12" s="548"/>
      <c r="AQ12" s="548"/>
      <c r="AR12" s="548"/>
      <c r="AS12" s="548"/>
      <c r="AT12" s="548"/>
      <c r="AU12" s="548"/>
      <c r="AV12" s="548"/>
      <c r="AW12" s="548"/>
      <c r="AX12" s="548"/>
      <c r="AY12" s="548"/>
      <c r="AZ12" s="548"/>
      <c r="BA12" s="548"/>
      <c r="BB12" s="548"/>
      <c r="BC12" s="548"/>
      <c r="BD12" s="548"/>
      <c r="BE12" s="548"/>
      <c r="BF12" s="548"/>
      <c r="BG12" s="548"/>
      <c r="BH12" s="548"/>
      <c r="BI12" s="548"/>
      <c r="BJ12" s="548"/>
      <c r="BK12" s="548"/>
      <c r="BL12" s="548"/>
      <c r="BM12" s="548"/>
      <c r="BN12" s="548"/>
      <c r="BO12" s="548"/>
      <c r="BP12" s="548"/>
      <c r="BQ12" s="548"/>
      <c r="BR12" s="548"/>
      <c r="BS12" s="548"/>
      <c r="BT12" s="548"/>
      <c r="BU12" s="548"/>
      <c r="BV12" s="548"/>
      <c r="BW12" s="548"/>
      <c r="BX12" s="548"/>
      <c r="BY12" s="548"/>
      <c r="BZ12" s="548"/>
      <c r="CA12" s="548"/>
      <c r="CB12" s="548"/>
      <c r="CC12" s="548"/>
      <c r="CD12" s="548"/>
      <c r="CE12" s="548"/>
      <c r="CF12" s="548"/>
      <c r="CG12" s="548"/>
      <c r="CH12" s="548"/>
      <c r="CI12" s="548"/>
      <c r="CJ12" s="548"/>
      <c r="CK12" s="548"/>
      <c r="CL12" s="548"/>
      <c r="CM12" s="548"/>
      <c r="CN12" s="548"/>
      <c r="CO12" s="548"/>
      <c r="CP12" s="548"/>
      <c r="CQ12" s="548"/>
      <c r="CR12" s="548"/>
      <c r="CS12" s="548"/>
      <c r="CT12" s="548"/>
      <c r="CU12" s="548"/>
      <c r="CV12" s="548"/>
      <c r="CW12" s="548"/>
      <c r="CX12" s="548"/>
      <c r="CY12" s="548"/>
      <c r="CZ12" s="548"/>
      <c r="DA12" s="548"/>
      <c r="DB12" s="548"/>
      <c r="DC12" s="548"/>
      <c r="DD12" s="548"/>
      <c r="DE12" s="548"/>
      <c r="DF12" s="548"/>
      <c r="DG12" s="548"/>
      <c r="DH12" s="548"/>
      <c r="DI12" s="548"/>
      <c r="DJ12" s="548"/>
      <c r="DK12" s="548"/>
      <c r="DL12" s="548"/>
      <c r="DM12" s="548"/>
      <c r="DN12" s="548"/>
      <c r="DO12" s="548"/>
      <c r="DP12" s="548"/>
      <c r="DQ12" s="548"/>
      <c r="DR12" s="548"/>
      <c r="DS12" s="548"/>
      <c r="DT12" s="548"/>
      <c r="DU12" s="548"/>
      <c r="DV12" s="548"/>
      <c r="DW12" s="548"/>
      <c r="DX12" s="548"/>
      <c r="DY12" s="548"/>
      <c r="DZ12" s="548"/>
      <c r="EA12" s="548"/>
      <c r="EB12" s="548"/>
      <c r="EC12" s="548"/>
      <c r="ED12" s="548"/>
      <c r="EE12" s="548"/>
      <c r="EF12" s="548"/>
      <c r="EG12" s="548"/>
      <c r="EH12" s="548"/>
      <c r="EI12" s="548"/>
      <c r="EJ12" s="548"/>
      <c r="EK12" s="548"/>
      <c r="EL12" s="548"/>
    </row>
    <row r="13" spans="1:142" s="549" customFormat="1">
      <c r="A13" s="616"/>
      <c r="B13" s="546"/>
      <c r="C13" s="546"/>
      <c r="D13" s="655"/>
      <c r="E13" s="656"/>
      <c r="F13" s="663"/>
      <c r="G13" s="663"/>
      <c r="H13" s="663"/>
      <c r="I13" s="663"/>
      <c r="J13" s="663"/>
      <c r="K13" s="663"/>
      <c r="L13" s="663"/>
      <c r="M13" s="663"/>
      <c r="N13" s="663"/>
      <c r="O13" s="663"/>
      <c r="P13" s="663"/>
      <c r="Q13" s="663"/>
      <c r="R13" s="663"/>
      <c r="S13" s="663"/>
      <c r="T13" s="663"/>
      <c r="U13" s="663"/>
      <c r="V13" s="548"/>
      <c r="W13" s="548"/>
      <c r="X13" s="548"/>
      <c r="Y13" s="548"/>
      <c r="Z13" s="548"/>
      <c r="AA13" s="548"/>
      <c r="AB13" s="548"/>
      <c r="AC13" s="548"/>
      <c r="AD13" s="548"/>
      <c r="AE13" s="548"/>
      <c r="AF13" s="548"/>
      <c r="AG13" s="548"/>
      <c r="AH13" s="548"/>
      <c r="AI13" s="548"/>
      <c r="AJ13" s="548"/>
      <c r="AK13" s="548"/>
      <c r="AL13" s="548"/>
      <c r="AM13" s="548"/>
      <c r="AN13" s="548"/>
      <c r="AO13" s="548"/>
      <c r="AP13" s="548"/>
      <c r="AQ13" s="548"/>
      <c r="AR13" s="548"/>
      <c r="AS13" s="548"/>
      <c r="AT13" s="548"/>
      <c r="AU13" s="548"/>
      <c r="AV13" s="548"/>
      <c r="AW13" s="548"/>
      <c r="AX13" s="548"/>
      <c r="AY13" s="548"/>
      <c r="AZ13" s="548"/>
      <c r="BA13" s="548"/>
      <c r="BB13" s="548"/>
      <c r="BC13" s="548"/>
      <c r="BD13" s="548"/>
      <c r="BE13" s="548"/>
      <c r="BF13" s="548"/>
      <c r="BG13" s="548"/>
      <c r="BH13" s="548"/>
      <c r="BI13" s="548"/>
      <c r="BJ13" s="548"/>
      <c r="BK13" s="548"/>
      <c r="BL13" s="548"/>
      <c r="BM13" s="548"/>
      <c r="BN13" s="548"/>
      <c r="BO13" s="548"/>
      <c r="BP13" s="548"/>
      <c r="BQ13" s="548"/>
      <c r="BR13" s="548"/>
      <c r="BS13" s="548"/>
      <c r="BT13" s="548"/>
      <c r="BU13" s="548"/>
      <c r="BV13" s="548"/>
      <c r="BW13" s="548"/>
      <c r="BX13" s="548"/>
      <c r="BY13" s="548"/>
      <c r="BZ13" s="548"/>
      <c r="CA13" s="548"/>
      <c r="CB13" s="548"/>
      <c r="CC13" s="548"/>
      <c r="CD13" s="548"/>
      <c r="CE13" s="548"/>
      <c r="CF13" s="548"/>
      <c r="CG13" s="548"/>
      <c r="CH13" s="548"/>
      <c r="CI13" s="548"/>
      <c r="CJ13" s="548"/>
      <c r="CK13" s="548"/>
      <c r="CL13" s="548"/>
      <c r="CM13" s="548"/>
      <c r="CN13" s="548"/>
      <c r="CO13" s="548"/>
      <c r="CP13" s="548"/>
      <c r="CQ13" s="548"/>
      <c r="CR13" s="548"/>
      <c r="CS13" s="548"/>
      <c r="CT13" s="548"/>
      <c r="CU13" s="548"/>
      <c r="CV13" s="548"/>
      <c r="CW13" s="548"/>
      <c r="CX13" s="548"/>
      <c r="CY13" s="548"/>
      <c r="CZ13" s="548"/>
      <c r="DA13" s="548"/>
      <c r="DB13" s="548"/>
      <c r="DC13" s="548"/>
      <c r="DD13" s="548"/>
      <c r="DE13" s="548"/>
      <c r="DF13" s="548"/>
      <c r="DG13" s="548"/>
      <c r="DH13" s="548"/>
      <c r="DI13" s="548"/>
      <c r="DJ13" s="548"/>
      <c r="DK13" s="548"/>
      <c r="DL13" s="548"/>
      <c r="DM13" s="548"/>
      <c r="DN13" s="548"/>
      <c r="DO13" s="548"/>
      <c r="DP13" s="548"/>
      <c r="DQ13" s="548"/>
      <c r="DR13" s="548"/>
      <c r="DS13" s="548"/>
      <c r="DT13" s="548"/>
      <c r="DU13" s="548"/>
      <c r="DV13" s="548"/>
      <c r="DW13" s="548"/>
      <c r="DX13" s="548"/>
      <c r="DY13" s="548"/>
      <c r="DZ13" s="548"/>
      <c r="EA13" s="548"/>
      <c r="EB13" s="548"/>
      <c r="EC13" s="548"/>
      <c r="ED13" s="548"/>
      <c r="EE13" s="548"/>
      <c r="EF13" s="548"/>
      <c r="EG13" s="548"/>
      <c r="EH13" s="548"/>
      <c r="EI13" s="548"/>
      <c r="EJ13" s="548"/>
      <c r="EK13" s="548"/>
      <c r="EL13" s="548"/>
    </row>
    <row r="14" spans="1:142" s="549" customFormat="1" ht="15">
      <c r="A14" s="616"/>
      <c r="B14" s="546"/>
      <c r="C14" s="664" t="s">
        <v>463</v>
      </c>
      <c r="D14" s="655"/>
      <c r="E14" s="656"/>
      <c r="F14" s="548"/>
      <c r="G14" s="548"/>
      <c r="H14" s="548"/>
      <c r="I14" s="548"/>
      <c r="J14" s="548"/>
      <c r="K14" s="548"/>
      <c r="L14" s="548"/>
      <c r="M14" s="548"/>
      <c r="N14" s="548"/>
      <c r="O14" s="548"/>
      <c r="P14" s="548"/>
      <c r="Q14" s="548"/>
      <c r="R14" s="548"/>
      <c r="S14" s="548"/>
      <c r="T14" s="548"/>
      <c r="U14" s="548"/>
      <c r="V14" s="548"/>
      <c r="W14" s="548"/>
      <c r="X14" s="548"/>
      <c r="Y14" s="548"/>
      <c r="Z14" s="548"/>
      <c r="AA14" s="548"/>
      <c r="AB14" s="548"/>
      <c r="AC14" s="548"/>
      <c r="AD14" s="548"/>
      <c r="AE14" s="548"/>
      <c r="AF14" s="548"/>
      <c r="AG14" s="548"/>
      <c r="AH14" s="548"/>
      <c r="AI14" s="548"/>
      <c r="AJ14" s="548"/>
      <c r="AK14" s="548"/>
      <c r="AL14" s="548"/>
      <c r="AM14" s="548"/>
      <c r="AN14" s="548"/>
      <c r="AO14" s="548"/>
      <c r="AP14" s="548"/>
      <c r="AQ14" s="548"/>
      <c r="AR14" s="548"/>
      <c r="AS14" s="548"/>
      <c r="AT14" s="548"/>
      <c r="AU14" s="548"/>
      <c r="AV14" s="548"/>
      <c r="AW14" s="548"/>
      <c r="AX14" s="548"/>
      <c r="AY14" s="548"/>
      <c r="AZ14" s="548"/>
      <c r="BA14" s="548"/>
      <c r="BB14" s="548"/>
      <c r="BC14" s="548"/>
      <c r="BD14" s="548"/>
      <c r="BE14" s="548"/>
      <c r="BF14" s="548"/>
      <c r="BG14" s="548"/>
      <c r="BH14" s="548"/>
      <c r="BI14" s="548"/>
      <c r="BJ14" s="548"/>
      <c r="BK14" s="548"/>
      <c r="BL14" s="548"/>
      <c r="BM14" s="548"/>
      <c r="BN14" s="548"/>
      <c r="BO14" s="548"/>
      <c r="BP14" s="548"/>
      <c r="BQ14" s="548"/>
      <c r="BR14" s="548"/>
      <c r="BS14" s="548"/>
      <c r="BT14" s="548"/>
      <c r="BU14" s="548"/>
      <c r="BV14" s="548"/>
      <c r="BW14" s="548"/>
      <c r="BX14" s="548"/>
      <c r="BY14" s="548"/>
      <c r="BZ14" s="548"/>
      <c r="CA14" s="548"/>
      <c r="CB14" s="548"/>
      <c r="CC14" s="548"/>
      <c r="CD14" s="548"/>
      <c r="CE14" s="548"/>
      <c r="CF14" s="548"/>
      <c r="CG14" s="548"/>
      <c r="CH14" s="548"/>
      <c r="CI14" s="548"/>
      <c r="CJ14" s="548"/>
      <c r="CK14" s="548"/>
      <c r="CL14" s="548"/>
      <c r="CM14" s="548"/>
      <c r="CN14" s="548"/>
      <c r="CO14" s="548"/>
      <c r="CP14" s="548"/>
      <c r="CQ14" s="548"/>
      <c r="CR14" s="548"/>
      <c r="CS14" s="548"/>
      <c r="CT14" s="548"/>
      <c r="CU14" s="548"/>
      <c r="CV14" s="548"/>
      <c r="CW14" s="548"/>
      <c r="CX14" s="548"/>
      <c r="CY14" s="548"/>
      <c r="CZ14" s="548"/>
      <c r="DA14" s="548"/>
      <c r="DB14" s="548"/>
      <c r="DC14" s="548"/>
      <c r="DD14" s="548"/>
      <c r="DE14" s="548"/>
      <c r="DF14" s="548"/>
      <c r="DG14" s="548"/>
      <c r="DH14" s="548"/>
      <c r="DI14" s="548"/>
      <c r="DJ14" s="548"/>
      <c r="DK14" s="548"/>
      <c r="DL14" s="548"/>
      <c r="DM14" s="548"/>
      <c r="DN14" s="548"/>
      <c r="DO14" s="548"/>
      <c r="DP14" s="548"/>
      <c r="DQ14" s="548"/>
      <c r="DR14" s="548"/>
      <c r="DS14" s="548"/>
      <c r="DT14" s="548"/>
      <c r="DU14" s="548"/>
      <c r="DV14" s="548"/>
      <c r="DW14" s="548"/>
      <c r="DX14" s="548"/>
      <c r="DY14" s="548"/>
      <c r="DZ14" s="548"/>
      <c r="EA14" s="548"/>
      <c r="EB14" s="548"/>
      <c r="EC14" s="548"/>
      <c r="ED14" s="548"/>
      <c r="EE14" s="548"/>
      <c r="EF14" s="548"/>
      <c r="EG14" s="548"/>
      <c r="EH14" s="548"/>
      <c r="EI14" s="548"/>
      <c r="EJ14" s="548"/>
      <c r="EK14" s="548"/>
      <c r="EL14" s="548"/>
    </row>
    <row r="15" spans="1:142" s="549" customFormat="1">
      <c r="A15" s="616"/>
      <c r="B15" s="546"/>
      <c r="C15" s="665" t="str">
        <f>+Internal!B93</f>
        <v>TURBINE PRICE</v>
      </c>
      <c r="D15" s="666"/>
      <c r="E15" s="547">
        <v>0</v>
      </c>
      <c r="F15" s="547">
        <v>0.05</v>
      </c>
      <c r="G15" s="547">
        <v>0.1</v>
      </c>
      <c r="H15" s="547">
        <v>0.1</v>
      </c>
      <c r="I15" s="547">
        <v>0.2</v>
      </c>
      <c r="J15" s="547">
        <v>0.2</v>
      </c>
      <c r="K15" s="547">
        <v>0.2</v>
      </c>
      <c r="L15" s="547">
        <v>0.15</v>
      </c>
      <c r="M15" s="547">
        <v>0</v>
      </c>
      <c r="N15" s="547">
        <v>0</v>
      </c>
      <c r="O15" s="547">
        <v>0</v>
      </c>
      <c r="P15" s="547">
        <v>0</v>
      </c>
      <c r="Q15" s="547">
        <v>0</v>
      </c>
      <c r="R15" s="547">
        <v>0</v>
      </c>
      <c r="S15" s="547">
        <v>0</v>
      </c>
      <c r="T15" s="547">
        <v>0</v>
      </c>
      <c r="U15" s="547">
        <f t="shared" ref="U15:U34" si="2">SUM(E15:T15)</f>
        <v>1</v>
      </c>
      <c r="V15" s="548"/>
      <c r="W15" s="548"/>
      <c r="X15" s="548"/>
      <c r="Y15" s="548"/>
      <c r="Z15" s="548"/>
      <c r="AA15" s="548"/>
      <c r="AB15" s="548"/>
      <c r="AC15" s="548"/>
      <c r="AD15" s="548"/>
      <c r="AE15" s="548"/>
      <c r="AF15" s="548"/>
      <c r="AG15" s="548"/>
      <c r="AH15" s="548"/>
      <c r="AI15" s="548"/>
      <c r="AJ15" s="548"/>
      <c r="AK15" s="548"/>
      <c r="AL15" s="548"/>
      <c r="AM15" s="548"/>
      <c r="AN15" s="548"/>
      <c r="AO15" s="548"/>
      <c r="AP15" s="548"/>
      <c r="AQ15" s="548"/>
      <c r="AR15" s="548"/>
      <c r="AS15" s="548"/>
      <c r="AT15" s="548"/>
      <c r="AU15" s="548"/>
      <c r="AV15" s="548"/>
      <c r="AW15" s="548"/>
      <c r="AX15" s="548"/>
      <c r="AY15" s="548"/>
      <c r="AZ15" s="548"/>
      <c r="BA15" s="548"/>
      <c r="BB15" s="548"/>
      <c r="BC15" s="548"/>
      <c r="BD15" s="548"/>
      <c r="BE15" s="548"/>
      <c r="BF15" s="548"/>
      <c r="BG15" s="548"/>
      <c r="BH15" s="548"/>
      <c r="BI15" s="548"/>
      <c r="BJ15" s="548"/>
      <c r="BK15" s="548"/>
      <c r="BL15" s="548"/>
      <c r="BM15" s="548"/>
      <c r="BN15" s="548"/>
      <c r="BO15" s="548"/>
      <c r="BP15" s="548"/>
      <c r="BQ15" s="548"/>
      <c r="BR15" s="548"/>
      <c r="BS15" s="548"/>
      <c r="BT15" s="548"/>
      <c r="BU15" s="548"/>
      <c r="BV15" s="548"/>
      <c r="BW15" s="548"/>
      <c r="BX15" s="548"/>
      <c r="BY15" s="548"/>
      <c r="BZ15" s="548"/>
      <c r="CA15" s="548"/>
      <c r="CB15" s="548"/>
      <c r="CC15" s="548"/>
      <c r="CD15" s="548"/>
      <c r="CE15" s="548"/>
      <c r="CF15" s="548"/>
      <c r="CG15" s="548"/>
      <c r="CH15" s="548"/>
      <c r="CI15" s="548"/>
      <c r="CJ15" s="548"/>
      <c r="CK15" s="548"/>
      <c r="CL15" s="548"/>
      <c r="CM15" s="548"/>
      <c r="CN15" s="548"/>
      <c r="CO15" s="548"/>
      <c r="CP15" s="548"/>
      <c r="CQ15" s="548"/>
      <c r="CR15" s="548"/>
      <c r="CS15" s="548"/>
      <c r="CT15" s="548"/>
      <c r="CU15" s="548"/>
      <c r="CV15" s="548"/>
      <c r="CW15" s="548"/>
      <c r="CX15" s="548"/>
      <c r="CY15" s="548"/>
      <c r="CZ15" s="548"/>
      <c r="DA15" s="548"/>
      <c r="DB15" s="548"/>
      <c r="DC15" s="548"/>
      <c r="DD15" s="548"/>
      <c r="DE15" s="548"/>
      <c r="DF15" s="548"/>
      <c r="DG15" s="548"/>
      <c r="DH15" s="548"/>
      <c r="DI15" s="548"/>
      <c r="DJ15" s="548"/>
      <c r="DK15" s="548"/>
      <c r="DL15" s="548"/>
      <c r="DM15" s="548"/>
      <c r="DN15" s="548"/>
      <c r="DO15" s="548"/>
      <c r="DP15" s="548"/>
      <c r="DQ15" s="548"/>
      <c r="DR15" s="548"/>
      <c r="DS15" s="548"/>
      <c r="DT15" s="548"/>
      <c r="DU15" s="548"/>
      <c r="DV15" s="548"/>
      <c r="DW15" s="548"/>
      <c r="DX15" s="548"/>
      <c r="DY15" s="548"/>
      <c r="DZ15" s="548"/>
      <c r="EA15" s="548"/>
      <c r="EB15" s="548"/>
      <c r="EC15" s="548"/>
      <c r="ED15" s="548"/>
      <c r="EE15" s="548"/>
      <c r="EF15" s="548"/>
      <c r="EG15" s="548"/>
      <c r="EH15" s="548"/>
      <c r="EI15" s="548"/>
      <c r="EJ15" s="548"/>
      <c r="EK15" s="548"/>
      <c r="EL15" s="548"/>
    </row>
    <row r="16" spans="1:142" s="549" customFormat="1">
      <c r="A16" s="616"/>
      <c r="B16" s="546"/>
      <c r="C16" s="665" t="str">
        <f>+Internal!B94</f>
        <v>SCADA SYSTEM</v>
      </c>
      <c r="D16" s="666"/>
      <c r="E16" s="547"/>
      <c r="F16" s="547"/>
      <c r="G16" s="547">
        <v>0.2</v>
      </c>
      <c r="H16" s="547">
        <v>0.2</v>
      </c>
      <c r="I16" s="547">
        <v>0.2</v>
      </c>
      <c r="J16" s="547">
        <v>0.3</v>
      </c>
      <c r="K16" s="547">
        <v>0.1</v>
      </c>
      <c r="L16" s="547"/>
      <c r="M16" s="547"/>
      <c r="N16" s="547"/>
      <c r="O16" s="547"/>
      <c r="P16" s="547"/>
      <c r="Q16" s="547"/>
      <c r="R16" s="547"/>
      <c r="S16" s="547"/>
      <c r="T16" s="547"/>
      <c r="U16" s="547">
        <f t="shared" si="2"/>
        <v>1.0000000000000002</v>
      </c>
      <c r="V16" s="548"/>
      <c r="W16" s="548"/>
      <c r="X16" s="548"/>
      <c r="Y16" s="548"/>
      <c r="Z16" s="548"/>
      <c r="AA16" s="548"/>
      <c r="AB16" s="548"/>
      <c r="AC16" s="548"/>
      <c r="AD16" s="548"/>
      <c r="AE16" s="548"/>
      <c r="AF16" s="548"/>
      <c r="AG16" s="548"/>
      <c r="AH16" s="548"/>
      <c r="AI16" s="548"/>
      <c r="AJ16" s="548"/>
      <c r="AK16" s="548"/>
      <c r="AL16" s="548"/>
      <c r="AM16" s="548"/>
      <c r="AN16" s="548"/>
      <c r="AO16" s="548"/>
      <c r="AP16" s="548"/>
      <c r="AQ16" s="548"/>
      <c r="AR16" s="548"/>
      <c r="AS16" s="548"/>
      <c r="AT16" s="548"/>
      <c r="AU16" s="548"/>
      <c r="AV16" s="548"/>
      <c r="AW16" s="548"/>
      <c r="AX16" s="548"/>
      <c r="AY16" s="548"/>
      <c r="AZ16" s="548"/>
      <c r="BA16" s="548"/>
      <c r="BB16" s="548"/>
      <c r="BC16" s="548"/>
      <c r="BD16" s="548"/>
      <c r="BE16" s="548"/>
      <c r="BF16" s="548"/>
      <c r="BG16" s="548"/>
      <c r="BH16" s="548"/>
      <c r="BI16" s="548"/>
      <c r="BJ16" s="548"/>
      <c r="BK16" s="548"/>
      <c r="BL16" s="548"/>
      <c r="BM16" s="548"/>
      <c r="BN16" s="548"/>
      <c r="BO16" s="548"/>
      <c r="BP16" s="548"/>
      <c r="BQ16" s="548"/>
      <c r="BR16" s="548"/>
      <c r="BS16" s="548"/>
      <c r="BT16" s="548"/>
      <c r="BU16" s="548"/>
      <c r="BV16" s="548"/>
      <c r="BW16" s="548"/>
      <c r="BX16" s="548"/>
      <c r="BY16" s="548"/>
      <c r="BZ16" s="548"/>
      <c r="CA16" s="548"/>
      <c r="CB16" s="548"/>
      <c r="CC16" s="548"/>
      <c r="CD16" s="548"/>
      <c r="CE16" s="548"/>
      <c r="CF16" s="548"/>
      <c r="CG16" s="548"/>
      <c r="CH16" s="548"/>
      <c r="CI16" s="548"/>
      <c r="CJ16" s="548"/>
      <c r="CK16" s="548"/>
      <c r="CL16" s="548"/>
      <c r="CM16" s="548"/>
      <c r="CN16" s="548"/>
      <c r="CO16" s="548"/>
      <c r="CP16" s="548"/>
      <c r="CQ16" s="548"/>
      <c r="CR16" s="548"/>
      <c r="CS16" s="548"/>
      <c r="CT16" s="548"/>
      <c r="CU16" s="548"/>
      <c r="CV16" s="548"/>
      <c r="CW16" s="548"/>
      <c r="CX16" s="548"/>
      <c r="CY16" s="548"/>
      <c r="CZ16" s="548"/>
      <c r="DA16" s="548"/>
      <c r="DB16" s="548"/>
      <c r="DC16" s="548"/>
      <c r="DD16" s="548"/>
      <c r="DE16" s="548"/>
      <c r="DF16" s="548"/>
      <c r="DG16" s="548"/>
      <c r="DH16" s="548"/>
      <c r="DI16" s="548"/>
      <c r="DJ16" s="548"/>
      <c r="DK16" s="548"/>
      <c r="DL16" s="548"/>
      <c r="DM16" s="548"/>
      <c r="DN16" s="548"/>
      <c r="DO16" s="548"/>
      <c r="DP16" s="548"/>
      <c r="DQ16" s="548"/>
      <c r="DR16" s="548"/>
      <c r="DS16" s="548"/>
      <c r="DT16" s="548"/>
      <c r="DU16" s="548"/>
      <c r="DV16" s="548"/>
      <c r="DW16" s="548"/>
      <c r="DX16" s="548"/>
      <c r="DY16" s="548"/>
      <c r="DZ16" s="548"/>
      <c r="EA16" s="548"/>
      <c r="EB16" s="548"/>
      <c r="EC16" s="548"/>
      <c r="ED16" s="548"/>
      <c r="EE16" s="548"/>
      <c r="EF16" s="548"/>
      <c r="EG16" s="548"/>
      <c r="EH16" s="548"/>
      <c r="EI16" s="548"/>
      <c r="EJ16" s="548"/>
      <c r="EK16" s="548"/>
      <c r="EL16" s="548"/>
    </row>
    <row r="17" spans="1:142" s="549" customFormat="1">
      <c r="A17" s="616"/>
      <c r="B17" s="546"/>
      <c r="C17" s="665" t="str">
        <f>+Internal!B95</f>
        <v>SHIPPING - WTG &amp; BLADES</v>
      </c>
      <c r="D17" s="666"/>
      <c r="E17" s="547">
        <v>0.2</v>
      </c>
      <c r="F17" s="547">
        <v>0.2</v>
      </c>
      <c r="G17" s="547">
        <v>0.2</v>
      </c>
      <c r="H17" s="547">
        <v>0.2</v>
      </c>
      <c r="I17" s="547">
        <v>0.2</v>
      </c>
      <c r="J17" s="547"/>
      <c r="K17" s="547"/>
      <c r="L17" s="547"/>
      <c r="M17" s="547"/>
      <c r="N17" s="547"/>
      <c r="O17" s="547"/>
      <c r="P17" s="547"/>
      <c r="Q17" s="547"/>
      <c r="R17" s="547"/>
      <c r="S17" s="547"/>
      <c r="T17" s="547"/>
      <c r="U17" s="547">
        <f t="shared" si="2"/>
        <v>1</v>
      </c>
      <c r="V17" s="548"/>
      <c r="W17" s="548"/>
      <c r="X17" s="548"/>
      <c r="Y17" s="548"/>
      <c r="Z17" s="548"/>
      <c r="AA17" s="548"/>
      <c r="AB17" s="548"/>
      <c r="AC17" s="548"/>
      <c r="AD17" s="548"/>
      <c r="AE17" s="548"/>
      <c r="AF17" s="548"/>
      <c r="AG17" s="548"/>
      <c r="AH17" s="548"/>
      <c r="AI17" s="548"/>
      <c r="AJ17" s="548"/>
      <c r="AK17" s="548"/>
      <c r="AL17" s="548"/>
      <c r="AM17" s="548"/>
      <c r="AN17" s="548"/>
      <c r="AO17" s="548"/>
      <c r="AP17" s="548"/>
      <c r="AQ17" s="548"/>
      <c r="AR17" s="548"/>
      <c r="AS17" s="548"/>
      <c r="AT17" s="548"/>
      <c r="AU17" s="548"/>
      <c r="AV17" s="548"/>
      <c r="AW17" s="548"/>
      <c r="AX17" s="548"/>
      <c r="AY17" s="548"/>
      <c r="AZ17" s="548"/>
      <c r="BA17" s="548"/>
      <c r="BB17" s="548"/>
      <c r="BC17" s="548"/>
      <c r="BD17" s="548"/>
      <c r="BE17" s="548"/>
      <c r="BF17" s="548"/>
      <c r="BG17" s="548"/>
      <c r="BH17" s="548"/>
      <c r="BI17" s="548"/>
      <c r="BJ17" s="548"/>
      <c r="BK17" s="548"/>
      <c r="BL17" s="548"/>
      <c r="BM17" s="548"/>
      <c r="BN17" s="548"/>
      <c r="BO17" s="548"/>
      <c r="BP17" s="548"/>
      <c r="BQ17" s="548"/>
      <c r="BR17" s="548"/>
      <c r="BS17" s="548"/>
      <c r="BT17" s="548"/>
      <c r="BU17" s="548"/>
      <c r="BV17" s="548"/>
      <c r="BW17" s="548"/>
      <c r="BX17" s="548"/>
      <c r="BY17" s="548"/>
      <c r="BZ17" s="548"/>
      <c r="CA17" s="548"/>
      <c r="CB17" s="548"/>
      <c r="CC17" s="548"/>
      <c r="CD17" s="548"/>
      <c r="CE17" s="548"/>
      <c r="CF17" s="548"/>
      <c r="CG17" s="548"/>
      <c r="CH17" s="548"/>
      <c r="CI17" s="548"/>
      <c r="CJ17" s="548"/>
      <c r="CK17" s="548"/>
      <c r="CL17" s="548"/>
      <c r="CM17" s="548"/>
      <c r="CN17" s="548"/>
      <c r="CO17" s="548"/>
      <c r="CP17" s="548"/>
      <c r="CQ17" s="548"/>
      <c r="CR17" s="548"/>
      <c r="CS17" s="548"/>
      <c r="CT17" s="548"/>
      <c r="CU17" s="548"/>
      <c r="CV17" s="548"/>
      <c r="CW17" s="548"/>
      <c r="CX17" s="548"/>
      <c r="CY17" s="548"/>
      <c r="CZ17" s="548"/>
      <c r="DA17" s="548"/>
      <c r="DB17" s="548"/>
      <c r="DC17" s="548"/>
      <c r="DD17" s="548"/>
      <c r="DE17" s="548"/>
      <c r="DF17" s="548"/>
      <c r="DG17" s="548"/>
      <c r="DH17" s="548"/>
      <c r="DI17" s="548"/>
      <c r="DJ17" s="548"/>
      <c r="DK17" s="548"/>
      <c r="DL17" s="548"/>
      <c r="DM17" s="548"/>
      <c r="DN17" s="548"/>
      <c r="DO17" s="548"/>
      <c r="DP17" s="548"/>
      <c r="DQ17" s="548"/>
      <c r="DR17" s="548"/>
      <c r="DS17" s="548"/>
      <c r="DT17" s="548"/>
      <c r="DU17" s="548"/>
      <c r="DV17" s="548"/>
      <c r="DW17" s="548"/>
      <c r="DX17" s="548"/>
      <c r="DY17" s="548"/>
      <c r="DZ17" s="548"/>
      <c r="EA17" s="548"/>
      <c r="EB17" s="548"/>
      <c r="EC17" s="548"/>
      <c r="ED17" s="548"/>
      <c r="EE17" s="548"/>
      <c r="EF17" s="548"/>
      <c r="EG17" s="548"/>
      <c r="EH17" s="548"/>
      <c r="EI17" s="548"/>
      <c r="EJ17" s="548"/>
      <c r="EK17" s="548"/>
      <c r="EL17" s="548"/>
    </row>
    <row r="18" spans="1:142" s="549" customFormat="1">
      <c r="A18" s="616"/>
      <c r="B18" s="546"/>
      <c r="C18" s="665" t="str">
        <f>+Internal!B96</f>
        <v>TOWER</v>
      </c>
      <c r="D18" s="666"/>
      <c r="E18" s="547"/>
      <c r="F18" s="547"/>
      <c r="G18" s="547">
        <v>0.2</v>
      </c>
      <c r="H18" s="547">
        <v>0.2</v>
      </c>
      <c r="I18" s="547">
        <v>0.4</v>
      </c>
      <c r="J18" s="547">
        <v>0.2</v>
      </c>
      <c r="K18" s="547"/>
      <c r="L18" s="547"/>
      <c r="M18" s="547"/>
      <c r="N18" s="547"/>
      <c r="O18" s="547"/>
      <c r="P18" s="547"/>
      <c r="Q18" s="547"/>
      <c r="R18" s="547"/>
      <c r="S18" s="547"/>
      <c r="T18" s="547"/>
      <c r="U18" s="547">
        <f t="shared" si="2"/>
        <v>1</v>
      </c>
      <c r="V18" s="548"/>
      <c r="W18" s="548"/>
      <c r="X18" s="548"/>
      <c r="Y18" s="548"/>
      <c r="Z18" s="548"/>
      <c r="AA18" s="548"/>
      <c r="AB18" s="548"/>
      <c r="AC18" s="548"/>
      <c r="AD18" s="548"/>
      <c r="AE18" s="548"/>
      <c r="AF18" s="548"/>
      <c r="AG18" s="548"/>
      <c r="AH18" s="548"/>
      <c r="AI18" s="548"/>
      <c r="AJ18" s="548"/>
      <c r="AK18" s="548"/>
      <c r="AL18" s="548"/>
      <c r="AM18" s="548"/>
      <c r="AN18" s="548"/>
      <c r="AO18" s="548"/>
      <c r="AP18" s="548"/>
      <c r="AQ18" s="548"/>
      <c r="AR18" s="548"/>
      <c r="AS18" s="548"/>
      <c r="AT18" s="548"/>
      <c r="AU18" s="548"/>
      <c r="AV18" s="548"/>
      <c r="AW18" s="548"/>
      <c r="AX18" s="548"/>
      <c r="AY18" s="548"/>
      <c r="AZ18" s="548"/>
      <c r="BA18" s="548"/>
      <c r="BB18" s="548"/>
      <c r="BC18" s="548"/>
      <c r="BD18" s="548"/>
      <c r="BE18" s="548"/>
      <c r="BF18" s="548"/>
      <c r="BG18" s="548"/>
      <c r="BH18" s="548"/>
      <c r="BI18" s="548"/>
      <c r="BJ18" s="548"/>
      <c r="BK18" s="548"/>
      <c r="BL18" s="548"/>
      <c r="BM18" s="548"/>
      <c r="BN18" s="548"/>
      <c r="BO18" s="548"/>
      <c r="BP18" s="548"/>
      <c r="BQ18" s="548"/>
      <c r="BR18" s="548"/>
      <c r="BS18" s="548"/>
      <c r="BT18" s="548"/>
      <c r="BU18" s="548"/>
      <c r="BV18" s="548"/>
      <c r="BW18" s="548"/>
      <c r="BX18" s="548"/>
      <c r="BY18" s="548"/>
      <c r="BZ18" s="548"/>
      <c r="CA18" s="548"/>
      <c r="CB18" s="548"/>
      <c r="CC18" s="548"/>
      <c r="CD18" s="548"/>
      <c r="CE18" s="548"/>
      <c r="CF18" s="548"/>
      <c r="CG18" s="548"/>
      <c r="CH18" s="548"/>
      <c r="CI18" s="548"/>
      <c r="CJ18" s="548"/>
      <c r="CK18" s="548"/>
      <c r="CL18" s="548"/>
      <c r="CM18" s="548"/>
      <c r="CN18" s="548"/>
      <c r="CO18" s="548"/>
      <c r="CP18" s="548"/>
      <c r="CQ18" s="548"/>
      <c r="CR18" s="548"/>
      <c r="CS18" s="548"/>
      <c r="CT18" s="548"/>
      <c r="CU18" s="548"/>
      <c r="CV18" s="548"/>
      <c r="CW18" s="548"/>
      <c r="CX18" s="548"/>
      <c r="CY18" s="548"/>
      <c r="CZ18" s="548"/>
      <c r="DA18" s="548"/>
      <c r="DB18" s="548"/>
      <c r="DC18" s="548"/>
      <c r="DD18" s="548"/>
      <c r="DE18" s="548"/>
      <c r="DF18" s="548"/>
      <c r="DG18" s="548"/>
      <c r="DH18" s="548"/>
      <c r="DI18" s="548"/>
      <c r="DJ18" s="548"/>
      <c r="DK18" s="548"/>
      <c r="DL18" s="548"/>
      <c r="DM18" s="548"/>
      <c r="DN18" s="548"/>
      <c r="DO18" s="548"/>
      <c r="DP18" s="548"/>
      <c r="DQ18" s="548"/>
      <c r="DR18" s="548"/>
      <c r="DS18" s="548"/>
      <c r="DT18" s="548"/>
      <c r="DU18" s="548"/>
      <c r="DV18" s="548"/>
      <c r="DW18" s="548"/>
      <c r="DX18" s="548"/>
      <c r="DY18" s="548"/>
      <c r="DZ18" s="548"/>
      <c r="EA18" s="548"/>
      <c r="EB18" s="548"/>
      <c r="EC18" s="548"/>
      <c r="ED18" s="548"/>
      <c r="EE18" s="548"/>
      <c r="EF18" s="548"/>
      <c r="EG18" s="548"/>
      <c r="EH18" s="548"/>
      <c r="EI18" s="548"/>
      <c r="EJ18" s="548"/>
      <c r="EK18" s="548"/>
      <c r="EL18" s="548"/>
    </row>
    <row r="19" spans="1:142" s="549" customFormat="1">
      <c r="A19" s="616"/>
      <c r="B19" s="546"/>
      <c r="C19" s="665" t="str">
        <f>+Internal!B97</f>
        <v>TOWER FREIGHT</v>
      </c>
      <c r="D19" s="666"/>
      <c r="E19" s="547">
        <v>0</v>
      </c>
      <c r="F19" s="547">
        <v>0.4</v>
      </c>
      <c r="G19" s="547">
        <v>0.4</v>
      </c>
      <c r="H19" s="547">
        <v>0.2</v>
      </c>
      <c r="I19" s="547">
        <v>0</v>
      </c>
      <c r="J19" s="547">
        <v>0</v>
      </c>
      <c r="K19" s="547"/>
      <c r="L19" s="547"/>
      <c r="M19" s="547"/>
      <c r="N19" s="547"/>
      <c r="O19" s="547"/>
      <c r="P19" s="547"/>
      <c r="Q19" s="547"/>
      <c r="R19" s="547"/>
      <c r="S19" s="547"/>
      <c r="T19" s="547"/>
      <c r="U19" s="547">
        <f t="shared" si="2"/>
        <v>1</v>
      </c>
      <c r="V19" s="548"/>
      <c r="W19" s="548"/>
      <c r="X19" s="548"/>
      <c r="Y19" s="548"/>
      <c r="Z19" s="548"/>
      <c r="AA19" s="548"/>
      <c r="AB19" s="548"/>
      <c r="AC19" s="548"/>
      <c r="AD19" s="548"/>
      <c r="AE19" s="548"/>
      <c r="AF19" s="548"/>
      <c r="AG19" s="548"/>
      <c r="AH19" s="548"/>
      <c r="AI19" s="548"/>
      <c r="AJ19" s="548"/>
      <c r="AK19" s="548"/>
      <c r="AL19" s="548"/>
      <c r="AM19" s="548"/>
      <c r="AN19" s="548"/>
      <c r="AO19" s="548"/>
      <c r="AP19" s="548"/>
      <c r="AQ19" s="548"/>
      <c r="AR19" s="548"/>
      <c r="AS19" s="548"/>
      <c r="AT19" s="548"/>
      <c r="AU19" s="548"/>
      <c r="AV19" s="548"/>
      <c r="AW19" s="548"/>
      <c r="AX19" s="548"/>
      <c r="AY19" s="548"/>
      <c r="AZ19" s="548"/>
      <c r="BA19" s="548"/>
      <c r="BB19" s="548"/>
      <c r="BC19" s="548"/>
      <c r="BD19" s="548"/>
      <c r="BE19" s="548"/>
      <c r="BF19" s="548"/>
      <c r="BG19" s="548"/>
      <c r="BH19" s="548"/>
      <c r="BI19" s="548"/>
      <c r="BJ19" s="548"/>
      <c r="BK19" s="548"/>
      <c r="BL19" s="548"/>
      <c r="BM19" s="548"/>
      <c r="BN19" s="548"/>
      <c r="BO19" s="548"/>
      <c r="BP19" s="548"/>
      <c r="BQ19" s="548"/>
      <c r="BR19" s="548"/>
      <c r="BS19" s="548"/>
      <c r="BT19" s="548"/>
      <c r="BU19" s="548"/>
      <c r="BV19" s="548"/>
      <c r="BW19" s="548"/>
      <c r="BX19" s="548"/>
      <c r="BY19" s="548"/>
      <c r="BZ19" s="548"/>
      <c r="CA19" s="548"/>
      <c r="CB19" s="548"/>
      <c r="CC19" s="548"/>
      <c r="CD19" s="548"/>
      <c r="CE19" s="548"/>
      <c r="CF19" s="548"/>
      <c r="CG19" s="548"/>
      <c r="CH19" s="548"/>
      <c r="CI19" s="548"/>
      <c r="CJ19" s="548"/>
      <c r="CK19" s="548"/>
      <c r="CL19" s="548"/>
      <c r="CM19" s="548"/>
      <c r="CN19" s="548"/>
      <c r="CO19" s="548"/>
      <c r="CP19" s="548"/>
      <c r="CQ19" s="548"/>
      <c r="CR19" s="548"/>
      <c r="CS19" s="548"/>
      <c r="CT19" s="548"/>
      <c r="CU19" s="548"/>
      <c r="CV19" s="548"/>
      <c r="CW19" s="548"/>
      <c r="CX19" s="548"/>
      <c r="CY19" s="548"/>
      <c r="CZ19" s="548"/>
      <c r="DA19" s="548"/>
      <c r="DB19" s="548"/>
      <c r="DC19" s="548"/>
      <c r="DD19" s="548"/>
      <c r="DE19" s="548"/>
      <c r="DF19" s="548"/>
      <c r="DG19" s="548"/>
      <c r="DH19" s="548"/>
      <c r="DI19" s="548"/>
      <c r="DJ19" s="548"/>
      <c r="DK19" s="548"/>
      <c r="DL19" s="548"/>
      <c r="DM19" s="548"/>
      <c r="DN19" s="548"/>
      <c r="DO19" s="548"/>
      <c r="DP19" s="548"/>
      <c r="DQ19" s="548"/>
      <c r="DR19" s="548"/>
      <c r="DS19" s="548"/>
      <c r="DT19" s="548"/>
      <c r="DU19" s="548"/>
      <c r="DV19" s="548"/>
      <c r="DW19" s="548"/>
      <c r="DX19" s="548"/>
      <c r="DY19" s="548"/>
      <c r="DZ19" s="548"/>
      <c r="EA19" s="548"/>
      <c r="EB19" s="548"/>
      <c r="EC19" s="548"/>
      <c r="ED19" s="548"/>
      <c r="EE19" s="548"/>
      <c r="EF19" s="548"/>
      <c r="EG19" s="548"/>
      <c r="EH19" s="548"/>
      <c r="EI19" s="548"/>
      <c r="EJ19" s="548"/>
      <c r="EK19" s="548"/>
      <c r="EL19" s="548"/>
    </row>
    <row r="20" spans="1:142" s="549" customFormat="1">
      <c r="A20" s="616"/>
      <c r="B20" s="546"/>
      <c r="C20" s="665" t="str">
        <f>+Internal!B98</f>
        <v>SERVICES</v>
      </c>
      <c r="D20" s="666"/>
      <c r="E20" s="547">
        <v>0</v>
      </c>
      <c r="F20" s="547">
        <v>0</v>
      </c>
      <c r="G20" s="547">
        <v>0</v>
      </c>
      <c r="H20" s="547">
        <v>0</v>
      </c>
      <c r="I20" s="547">
        <v>0</v>
      </c>
      <c r="J20" s="547">
        <v>0</v>
      </c>
      <c r="K20" s="547">
        <v>0.5</v>
      </c>
      <c r="L20" s="547">
        <v>0.5</v>
      </c>
      <c r="M20" s="547"/>
      <c r="N20" s="547"/>
      <c r="O20" s="547"/>
      <c r="P20" s="547"/>
      <c r="Q20" s="547"/>
      <c r="R20" s="547"/>
      <c r="S20" s="547"/>
      <c r="T20" s="547"/>
      <c r="U20" s="547">
        <f t="shared" si="2"/>
        <v>1</v>
      </c>
      <c r="V20" s="548"/>
      <c r="W20" s="548"/>
      <c r="X20" s="548"/>
      <c r="Y20" s="548"/>
      <c r="Z20" s="548"/>
      <c r="AA20" s="548"/>
      <c r="AB20" s="548"/>
      <c r="AC20" s="548"/>
      <c r="AD20" s="548"/>
      <c r="AE20" s="548"/>
      <c r="AF20" s="548"/>
      <c r="AG20" s="548"/>
      <c r="AH20" s="548"/>
      <c r="AI20" s="548"/>
      <c r="AJ20" s="548"/>
      <c r="AK20" s="548"/>
      <c r="AL20" s="548"/>
      <c r="AM20" s="548"/>
      <c r="AN20" s="548"/>
      <c r="AO20" s="548"/>
      <c r="AP20" s="548"/>
      <c r="AQ20" s="548"/>
      <c r="AR20" s="548"/>
      <c r="AS20" s="548"/>
      <c r="AT20" s="548"/>
      <c r="AU20" s="548"/>
      <c r="AV20" s="548"/>
      <c r="AW20" s="548"/>
      <c r="AX20" s="548"/>
      <c r="AY20" s="548"/>
      <c r="AZ20" s="548"/>
      <c r="BA20" s="548"/>
      <c r="BB20" s="548"/>
      <c r="BC20" s="548"/>
      <c r="BD20" s="548"/>
      <c r="BE20" s="548"/>
      <c r="BF20" s="548"/>
      <c r="BG20" s="548"/>
      <c r="BH20" s="548"/>
      <c r="BI20" s="548"/>
      <c r="BJ20" s="548"/>
      <c r="BK20" s="548"/>
      <c r="BL20" s="548"/>
      <c r="BM20" s="548"/>
      <c r="BN20" s="548"/>
      <c r="BO20" s="548"/>
      <c r="BP20" s="548"/>
      <c r="BQ20" s="548"/>
      <c r="BR20" s="548"/>
      <c r="BS20" s="548"/>
      <c r="BT20" s="548"/>
      <c r="BU20" s="548"/>
      <c r="BV20" s="548"/>
      <c r="BW20" s="548"/>
      <c r="BX20" s="548"/>
      <c r="BY20" s="548"/>
      <c r="BZ20" s="548"/>
      <c r="CA20" s="548"/>
      <c r="CB20" s="548"/>
      <c r="CC20" s="548"/>
      <c r="CD20" s="548"/>
      <c r="CE20" s="548"/>
      <c r="CF20" s="548"/>
      <c r="CG20" s="548"/>
      <c r="CH20" s="548"/>
      <c r="CI20" s="548"/>
      <c r="CJ20" s="548"/>
      <c r="CK20" s="548"/>
      <c r="CL20" s="548"/>
      <c r="CM20" s="548"/>
      <c r="CN20" s="548"/>
      <c r="CO20" s="548"/>
      <c r="CP20" s="548"/>
      <c r="CQ20" s="548"/>
      <c r="CR20" s="548"/>
      <c r="CS20" s="548"/>
      <c r="CT20" s="548"/>
      <c r="CU20" s="548"/>
      <c r="CV20" s="548"/>
      <c r="CW20" s="548"/>
      <c r="CX20" s="548"/>
      <c r="CY20" s="548"/>
      <c r="CZ20" s="548"/>
      <c r="DA20" s="548"/>
      <c r="DB20" s="548"/>
      <c r="DC20" s="548"/>
      <c r="DD20" s="548"/>
      <c r="DE20" s="548"/>
      <c r="DF20" s="548"/>
      <c r="DG20" s="548"/>
      <c r="DH20" s="548"/>
      <c r="DI20" s="548"/>
      <c r="DJ20" s="548"/>
      <c r="DK20" s="548"/>
      <c r="DL20" s="548"/>
      <c r="DM20" s="548"/>
      <c r="DN20" s="548"/>
      <c r="DO20" s="548"/>
      <c r="DP20" s="548"/>
      <c r="DQ20" s="548"/>
      <c r="DR20" s="548"/>
      <c r="DS20" s="548"/>
      <c r="DT20" s="548"/>
      <c r="DU20" s="548"/>
      <c r="DV20" s="548"/>
      <c r="DW20" s="548"/>
      <c r="DX20" s="548"/>
      <c r="DY20" s="548"/>
      <c r="DZ20" s="548"/>
      <c r="EA20" s="548"/>
      <c r="EB20" s="548"/>
      <c r="EC20" s="548"/>
      <c r="ED20" s="548"/>
      <c r="EE20" s="548"/>
      <c r="EF20" s="548"/>
      <c r="EG20" s="548"/>
      <c r="EH20" s="548"/>
      <c r="EI20" s="548"/>
      <c r="EJ20" s="548"/>
      <c r="EK20" s="548"/>
      <c r="EL20" s="548"/>
    </row>
    <row r="21" spans="1:142" s="549" customFormat="1">
      <c r="A21" s="616"/>
      <c r="B21" s="546"/>
      <c r="C21" s="665" t="e">
        <f>+Srcs_Uses!#REF!</f>
        <v>#REF!</v>
      </c>
      <c r="D21" s="666"/>
      <c r="E21" s="547">
        <v>0</v>
      </c>
      <c r="F21" s="547">
        <v>0.4</v>
      </c>
      <c r="G21" s="547">
        <v>0.4</v>
      </c>
      <c r="H21" s="547">
        <v>0.2</v>
      </c>
      <c r="I21" s="547">
        <v>0</v>
      </c>
      <c r="J21" s="547">
        <v>0</v>
      </c>
      <c r="K21" s="547"/>
      <c r="L21" s="547"/>
      <c r="M21" s="547"/>
      <c r="N21" s="547"/>
      <c r="O21" s="547"/>
      <c r="P21" s="547"/>
      <c r="Q21" s="547"/>
      <c r="R21" s="547"/>
      <c r="S21" s="547"/>
      <c r="T21" s="547"/>
      <c r="U21" s="547">
        <f t="shared" si="2"/>
        <v>1</v>
      </c>
      <c r="V21" s="548"/>
      <c r="W21" s="548"/>
      <c r="X21" s="548"/>
      <c r="Y21" s="548"/>
      <c r="Z21" s="548"/>
      <c r="AA21" s="548"/>
      <c r="AB21" s="548"/>
      <c r="AC21" s="548"/>
      <c r="AD21" s="548"/>
      <c r="AE21" s="548"/>
      <c r="AF21" s="548"/>
      <c r="AG21" s="548"/>
      <c r="AH21" s="548"/>
      <c r="AI21" s="548"/>
      <c r="AJ21" s="548"/>
      <c r="AK21" s="548"/>
      <c r="AL21" s="548"/>
      <c r="AM21" s="548"/>
      <c r="AN21" s="548"/>
      <c r="AO21" s="548"/>
      <c r="AP21" s="548"/>
      <c r="AQ21" s="548"/>
      <c r="AR21" s="548"/>
      <c r="AS21" s="548"/>
      <c r="AT21" s="548"/>
      <c r="AU21" s="548"/>
      <c r="AV21" s="548"/>
      <c r="AW21" s="548"/>
      <c r="AX21" s="548"/>
      <c r="AY21" s="548"/>
      <c r="AZ21" s="548"/>
      <c r="BA21" s="548"/>
      <c r="BB21" s="548"/>
      <c r="BC21" s="548"/>
      <c r="BD21" s="548"/>
      <c r="BE21" s="548"/>
      <c r="BF21" s="548"/>
      <c r="BG21" s="548"/>
      <c r="BH21" s="548"/>
      <c r="BI21" s="548"/>
      <c r="BJ21" s="548"/>
      <c r="BK21" s="548"/>
      <c r="BL21" s="548"/>
      <c r="BM21" s="548"/>
      <c r="BN21" s="548"/>
      <c r="BO21" s="548"/>
      <c r="BP21" s="548"/>
      <c r="BQ21" s="548"/>
      <c r="BR21" s="548"/>
      <c r="BS21" s="548"/>
      <c r="BT21" s="548"/>
      <c r="BU21" s="548"/>
      <c r="BV21" s="548"/>
      <c r="BW21" s="548"/>
      <c r="BX21" s="548"/>
      <c r="BY21" s="548"/>
      <c r="BZ21" s="548"/>
      <c r="CA21" s="548"/>
      <c r="CB21" s="548"/>
      <c r="CC21" s="548"/>
      <c r="CD21" s="548"/>
      <c r="CE21" s="548"/>
      <c r="CF21" s="548"/>
      <c r="CG21" s="548"/>
      <c r="CH21" s="548"/>
      <c r="CI21" s="548"/>
      <c r="CJ21" s="548"/>
      <c r="CK21" s="548"/>
      <c r="CL21" s="548"/>
      <c r="CM21" s="548"/>
      <c r="CN21" s="548"/>
      <c r="CO21" s="548"/>
      <c r="CP21" s="548"/>
      <c r="CQ21" s="548"/>
      <c r="CR21" s="548"/>
      <c r="CS21" s="548"/>
      <c r="CT21" s="548"/>
      <c r="CU21" s="548"/>
      <c r="CV21" s="548"/>
      <c r="CW21" s="548"/>
      <c r="CX21" s="548"/>
      <c r="CY21" s="548"/>
      <c r="CZ21" s="548"/>
      <c r="DA21" s="548"/>
      <c r="DB21" s="548"/>
      <c r="DC21" s="548"/>
      <c r="DD21" s="548"/>
      <c r="DE21" s="548"/>
      <c r="DF21" s="548"/>
      <c r="DG21" s="548"/>
      <c r="DH21" s="548"/>
      <c r="DI21" s="548"/>
      <c r="DJ21" s="548"/>
      <c r="DK21" s="548"/>
      <c r="DL21" s="548"/>
      <c r="DM21" s="548"/>
      <c r="DN21" s="548"/>
      <c r="DO21" s="548"/>
      <c r="DP21" s="548"/>
      <c r="DQ21" s="548"/>
      <c r="DR21" s="548"/>
      <c r="DS21" s="548"/>
      <c r="DT21" s="548"/>
      <c r="DU21" s="548"/>
      <c r="DV21" s="548"/>
      <c r="DW21" s="548"/>
      <c r="DX21" s="548"/>
      <c r="DY21" s="548"/>
      <c r="DZ21" s="548"/>
      <c r="EA21" s="548"/>
      <c r="EB21" s="548"/>
      <c r="EC21" s="548"/>
      <c r="ED21" s="548"/>
      <c r="EE21" s="548"/>
      <c r="EF21" s="548"/>
      <c r="EG21" s="548"/>
      <c r="EH21" s="548"/>
      <c r="EI21" s="548"/>
      <c r="EJ21" s="548"/>
      <c r="EK21" s="548"/>
      <c r="EL21" s="548"/>
    </row>
    <row r="22" spans="1:142" s="549" customFormat="1">
      <c r="A22" s="616"/>
      <c r="B22" s="546"/>
      <c r="C22" s="665" t="str">
        <f>+Internal!B100</f>
        <v>MANUFACTURING COSTS</v>
      </c>
      <c r="D22" s="666"/>
      <c r="E22" s="547">
        <v>0.25</v>
      </c>
      <c r="F22" s="547">
        <v>0.25</v>
      </c>
      <c r="G22" s="547">
        <v>0.25</v>
      </c>
      <c r="H22" s="547">
        <v>0.25</v>
      </c>
      <c r="I22" s="547">
        <v>0</v>
      </c>
      <c r="J22" s="547">
        <v>0</v>
      </c>
      <c r="K22" s="547">
        <v>0</v>
      </c>
      <c r="L22" s="547"/>
      <c r="M22" s="547"/>
      <c r="N22" s="547"/>
      <c r="O22" s="547"/>
      <c r="P22" s="547"/>
      <c r="Q22" s="547"/>
      <c r="R22" s="547"/>
      <c r="S22" s="547"/>
      <c r="T22" s="547"/>
      <c r="U22" s="547">
        <f t="shared" si="2"/>
        <v>1</v>
      </c>
      <c r="V22" s="548"/>
      <c r="W22" s="548"/>
      <c r="X22" s="548"/>
      <c r="Y22" s="548"/>
      <c r="Z22" s="548"/>
      <c r="AA22" s="548"/>
      <c r="AB22" s="548"/>
      <c r="AC22" s="548"/>
      <c r="AD22" s="548"/>
      <c r="AE22" s="548"/>
      <c r="AF22" s="548"/>
      <c r="AG22" s="548"/>
      <c r="AH22" s="548"/>
      <c r="AI22" s="548"/>
      <c r="AJ22" s="548"/>
      <c r="AK22" s="548"/>
      <c r="AL22" s="548"/>
      <c r="AM22" s="548"/>
      <c r="AN22" s="548"/>
      <c r="AO22" s="548"/>
      <c r="AP22" s="548"/>
      <c r="AQ22" s="548"/>
      <c r="AR22" s="548"/>
      <c r="AS22" s="548"/>
      <c r="AT22" s="548"/>
      <c r="AU22" s="548"/>
      <c r="AV22" s="548"/>
      <c r="AW22" s="548"/>
      <c r="AX22" s="548"/>
      <c r="AY22" s="548"/>
      <c r="AZ22" s="548"/>
      <c r="BA22" s="548"/>
      <c r="BB22" s="548"/>
      <c r="BC22" s="548"/>
      <c r="BD22" s="548"/>
      <c r="BE22" s="548"/>
      <c r="BF22" s="548"/>
      <c r="BG22" s="548"/>
      <c r="BH22" s="548"/>
      <c r="BI22" s="548"/>
      <c r="BJ22" s="548"/>
      <c r="BK22" s="548"/>
      <c r="BL22" s="548"/>
      <c r="BM22" s="548"/>
      <c r="BN22" s="548"/>
      <c r="BO22" s="548"/>
      <c r="BP22" s="548"/>
      <c r="BQ22" s="548"/>
      <c r="BR22" s="548"/>
      <c r="BS22" s="548"/>
      <c r="BT22" s="548"/>
      <c r="BU22" s="548"/>
      <c r="BV22" s="548"/>
      <c r="BW22" s="548"/>
      <c r="BX22" s="548"/>
      <c r="BY22" s="548"/>
      <c r="BZ22" s="548"/>
      <c r="CA22" s="548"/>
      <c r="CB22" s="548"/>
      <c r="CC22" s="548"/>
      <c r="CD22" s="548"/>
      <c r="CE22" s="548"/>
      <c r="CF22" s="548"/>
      <c r="CG22" s="548"/>
      <c r="CH22" s="548"/>
      <c r="CI22" s="548"/>
      <c r="CJ22" s="548"/>
      <c r="CK22" s="548"/>
      <c r="CL22" s="548"/>
      <c r="CM22" s="548"/>
      <c r="CN22" s="548"/>
      <c r="CO22" s="548"/>
      <c r="CP22" s="548"/>
      <c r="CQ22" s="548"/>
      <c r="CR22" s="548"/>
      <c r="CS22" s="548"/>
      <c r="CT22" s="548"/>
      <c r="CU22" s="548"/>
      <c r="CV22" s="548"/>
      <c r="CW22" s="548"/>
      <c r="CX22" s="548"/>
      <c r="CY22" s="548"/>
      <c r="CZ22" s="548"/>
      <c r="DA22" s="548"/>
      <c r="DB22" s="548"/>
      <c r="DC22" s="548"/>
      <c r="DD22" s="548"/>
      <c r="DE22" s="548"/>
      <c r="DF22" s="548"/>
      <c r="DG22" s="548"/>
      <c r="DH22" s="548"/>
      <c r="DI22" s="548"/>
      <c r="DJ22" s="548"/>
      <c r="DK22" s="548"/>
      <c r="DL22" s="548"/>
      <c r="DM22" s="548"/>
      <c r="DN22" s="548"/>
      <c r="DO22" s="548"/>
      <c r="DP22" s="548"/>
      <c r="DQ22" s="548"/>
      <c r="DR22" s="548"/>
      <c r="DS22" s="548"/>
      <c r="DT22" s="548"/>
      <c r="DU22" s="548"/>
      <c r="DV22" s="548"/>
      <c r="DW22" s="548"/>
      <c r="DX22" s="548"/>
      <c r="DY22" s="548"/>
      <c r="DZ22" s="548"/>
      <c r="EA22" s="548"/>
      <c r="EB22" s="548"/>
      <c r="EC22" s="548"/>
      <c r="ED22" s="548"/>
      <c r="EE22" s="548"/>
      <c r="EF22" s="548"/>
      <c r="EG22" s="548"/>
      <c r="EH22" s="548"/>
      <c r="EI22" s="548"/>
      <c r="EJ22" s="548"/>
      <c r="EK22" s="548"/>
      <c r="EL22" s="548"/>
    </row>
    <row r="23" spans="1:142" s="549" customFormat="1">
      <c r="A23" s="616"/>
      <c r="B23" s="546"/>
      <c r="C23" s="665" t="str">
        <f>+Internal!B101</f>
        <v>CIVIL COSTS</v>
      </c>
      <c r="D23" s="666"/>
      <c r="E23" s="547">
        <v>0.33</v>
      </c>
      <c r="F23" s="547">
        <v>0.33</v>
      </c>
      <c r="G23" s="547">
        <v>0.34</v>
      </c>
      <c r="H23" s="547">
        <v>0</v>
      </c>
      <c r="I23" s="547">
        <v>0</v>
      </c>
      <c r="J23" s="547"/>
      <c r="K23" s="547"/>
      <c r="L23" s="547"/>
      <c r="M23" s="547"/>
      <c r="N23" s="547"/>
      <c r="O23" s="547"/>
      <c r="P23" s="547"/>
      <c r="Q23" s="547"/>
      <c r="R23" s="547"/>
      <c r="S23" s="547"/>
      <c r="T23" s="547"/>
      <c r="U23" s="547">
        <f t="shared" si="2"/>
        <v>1</v>
      </c>
      <c r="V23" s="548"/>
      <c r="W23" s="548"/>
      <c r="X23" s="548"/>
      <c r="Y23" s="548"/>
      <c r="Z23" s="548"/>
      <c r="AA23" s="548"/>
      <c r="AB23" s="548"/>
      <c r="AC23" s="548"/>
      <c r="AD23" s="548"/>
      <c r="AE23" s="548"/>
      <c r="AF23" s="548"/>
      <c r="AG23" s="548"/>
      <c r="AH23" s="548"/>
      <c r="AI23" s="548"/>
      <c r="AJ23" s="548"/>
      <c r="AK23" s="548"/>
      <c r="AL23" s="548"/>
      <c r="AM23" s="548"/>
      <c r="AN23" s="548"/>
      <c r="AO23" s="548"/>
      <c r="AP23" s="548"/>
      <c r="AQ23" s="548"/>
      <c r="AR23" s="548"/>
      <c r="AS23" s="548"/>
      <c r="AT23" s="548"/>
      <c r="AU23" s="548"/>
      <c r="AV23" s="548"/>
      <c r="AW23" s="548"/>
      <c r="AX23" s="548"/>
      <c r="AY23" s="548"/>
      <c r="AZ23" s="548"/>
      <c r="BA23" s="548"/>
      <c r="BB23" s="548"/>
      <c r="BC23" s="548"/>
      <c r="BD23" s="548"/>
      <c r="BE23" s="548"/>
      <c r="BF23" s="548"/>
      <c r="BG23" s="548"/>
      <c r="BH23" s="548"/>
      <c r="BI23" s="548"/>
      <c r="BJ23" s="548"/>
      <c r="BK23" s="548"/>
      <c r="BL23" s="548"/>
      <c r="BM23" s="548"/>
      <c r="BN23" s="548"/>
      <c r="BO23" s="548"/>
      <c r="BP23" s="548"/>
      <c r="BQ23" s="548"/>
      <c r="BR23" s="548"/>
      <c r="BS23" s="548"/>
      <c r="BT23" s="548"/>
      <c r="BU23" s="548"/>
      <c r="BV23" s="548"/>
      <c r="BW23" s="548"/>
      <c r="BX23" s="548"/>
      <c r="BY23" s="548"/>
      <c r="BZ23" s="548"/>
      <c r="CA23" s="548"/>
      <c r="CB23" s="548"/>
      <c r="CC23" s="548"/>
      <c r="CD23" s="548"/>
      <c r="CE23" s="548"/>
      <c r="CF23" s="548"/>
      <c r="CG23" s="548"/>
      <c r="CH23" s="548"/>
      <c r="CI23" s="548"/>
      <c r="CJ23" s="548"/>
      <c r="CK23" s="548"/>
      <c r="CL23" s="548"/>
      <c r="CM23" s="548"/>
      <c r="CN23" s="548"/>
      <c r="CO23" s="548"/>
      <c r="CP23" s="548"/>
      <c r="CQ23" s="548"/>
      <c r="CR23" s="548"/>
      <c r="CS23" s="548"/>
      <c r="CT23" s="548"/>
      <c r="CU23" s="548"/>
      <c r="CV23" s="548"/>
      <c r="CW23" s="548"/>
      <c r="CX23" s="548"/>
      <c r="CY23" s="548"/>
      <c r="CZ23" s="548"/>
      <c r="DA23" s="548"/>
      <c r="DB23" s="548"/>
      <c r="DC23" s="548"/>
      <c r="DD23" s="548"/>
      <c r="DE23" s="548"/>
      <c r="DF23" s="548"/>
      <c r="DG23" s="548"/>
      <c r="DH23" s="548"/>
      <c r="DI23" s="548"/>
      <c r="DJ23" s="548"/>
      <c r="DK23" s="548"/>
      <c r="DL23" s="548"/>
      <c r="DM23" s="548"/>
      <c r="DN23" s="548"/>
      <c r="DO23" s="548"/>
      <c r="DP23" s="548"/>
      <c r="DQ23" s="548"/>
      <c r="DR23" s="548"/>
      <c r="DS23" s="548"/>
      <c r="DT23" s="548"/>
      <c r="DU23" s="548"/>
      <c r="DV23" s="548"/>
      <c r="DW23" s="548"/>
      <c r="DX23" s="548"/>
      <c r="DY23" s="548"/>
      <c r="DZ23" s="548"/>
      <c r="EA23" s="548"/>
      <c r="EB23" s="548"/>
      <c r="EC23" s="548"/>
      <c r="ED23" s="548"/>
      <c r="EE23" s="548"/>
      <c r="EF23" s="548"/>
      <c r="EG23" s="548"/>
      <c r="EH23" s="548"/>
      <c r="EI23" s="548"/>
      <c r="EJ23" s="548"/>
      <c r="EK23" s="548"/>
      <c r="EL23" s="548"/>
    </row>
    <row r="24" spans="1:142" s="549" customFormat="1">
      <c r="A24" s="616"/>
      <c r="B24" s="546"/>
      <c r="C24" s="665" t="str">
        <f>+Internal!B102</f>
        <v>MECHANICAL/ERECTION</v>
      </c>
      <c r="D24" s="666"/>
      <c r="E24" s="547">
        <v>0</v>
      </c>
      <c r="F24" s="547">
        <v>0</v>
      </c>
      <c r="G24" s="547">
        <v>0</v>
      </c>
      <c r="H24" s="547">
        <v>0.25</v>
      </c>
      <c r="I24" s="547">
        <v>0.25</v>
      </c>
      <c r="J24" s="547">
        <v>0.25</v>
      </c>
      <c r="K24" s="547">
        <v>0.25</v>
      </c>
      <c r="L24" s="547"/>
      <c r="M24" s="547"/>
      <c r="N24" s="547"/>
      <c r="O24" s="547"/>
      <c r="P24" s="547"/>
      <c r="Q24" s="547"/>
      <c r="R24" s="547"/>
      <c r="S24" s="547"/>
      <c r="T24" s="547"/>
      <c r="U24" s="547">
        <f t="shared" si="2"/>
        <v>1</v>
      </c>
      <c r="V24" s="548"/>
      <c r="W24" s="548"/>
      <c r="X24" s="548"/>
      <c r="Y24" s="548"/>
      <c r="Z24" s="548"/>
      <c r="AA24" s="548"/>
      <c r="AB24" s="548"/>
      <c r="AC24" s="548"/>
      <c r="AD24" s="548"/>
      <c r="AE24" s="548"/>
      <c r="AF24" s="548"/>
      <c r="AG24" s="548"/>
      <c r="AH24" s="548"/>
      <c r="AI24" s="548"/>
      <c r="AJ24" s="548"/>
      <c r="AK24" s="548"/>
      <c r="AL24" s="548"/>
      <c r="AM24" s="548"/>
      <c r="AN24" s="548"/>
      <c r="AO24" s="548"/>
      <c r="AP24" s="548"/>
      <c r="AQ24" s="548"/>
      <c r="AR24" s="548"/>
      <c r="AS24" s="548"/>
      <c r="AT24" s="548"/>
      <c r="AU24" s="548"/>
      <c r="AV24" s="548"/>
      <c r="AW24" s="548"/>
      <c r="AX24" s="548"/>
      <c r="AY24" s="548"/>
      <c r="AZ24" s="548"/>
      <c r="BA24" s="548"/>
      <c r="BB24" s="548"/>
      <c r="BC24" s="548"/>
      <c r="BD24" s="548"/>
      <c r="BE24" s="548"/>
      <c r="BF24" s="548"/>
      <c r="BG24" s="548"/>
      <c r="BH24" s="548"/>
      <c r="BI24" s="548"/>
      <c r="BJ24" s="548"/>
      <c r="BK24" s="548"/>
      <c r="BL24" s="548"/>
      <c r="BM24" s="548"/>
      <c r="BN24" s="548"/>
      <c r="BO24" s="548"/>
      <c r="BP24" s="548"/>
      <c r="BQ24" s="548"/>
      <c r="BR24" s="548"/>
      <c r="BS24" s="548"/>
      <c r="BT24" s="548"/>
      <c r="BU24" s="548"/>
      <c r="BV24" s="548"/>
      <c r="BW24" s="548"/>
      <c r="BX24" s="548"/>
      <c r="BY24" s="548"/>
      <c r="BZ24" s="548"/>
      <c r="CA24" s="548"/>
      <c r="CB24" s="548"/>
      <c r="CC24" s="548"/>
      <c r="CD24" s="548"/>
      <c r="CE24" s="548"/>
      <c r="CF24" s="548"/>
      <c r="CG24" s="548"/>
      <c r="CH24" s="548"/>
      <c r="CI24" s="548"/>
      <c r="CJ24" s="548"/>
      <c r="CK24" s="548"/>
      <c r="CL24" s="548"/>
      <c r="CM24" s="548"/>
      <c r="CN24" s="548"/>
      <c r="CO24" s="548"/>
      <c r="CP24" s="548"/>
      <c r="CQ24" s="548"/>
      <c r="CR24" s="548"/>
      <c r="CS24" s="548"/>
      <c r="CT24" s="548"/>
      <c r="CU24" s="548"/>
      <c r="CV24" s="548"/>
      <c r="CW24" s="548"/>
      <c r="CX24" s="548"/>
      <c r="CY24" s="548"/>
      <c r="CZ24" s="548"/>
      <c r="DA24" s="548"/>
      <c r="DB24" s="548"/>
      <c r="DC24" s="548"/>
      <c r="DD24" s="548"/>
      <c r="DE24" s="548"/>
      <c r="DF24" s="548"/>
      <c r="DG24" s="548"/>
      <c r="DH24" s="548"/>
      <c r="DI24" s="548"/>
      <c r="DJ24" s="548"/>
      <c r="DK24" s="548"/>
      <c r="DL24" s="548"/>
      <c r="DM24" s="548"/>
      <c r="DN24" s="548"/>
      <c r="DO24" s="548"/>
      <c r="DP24" s="548"/>
      <c r="DQ24" s="548"/>
      <c r="DR24" s="548"/>
      <c r="DS24" s="548"/>
      <c r="DT24" s="548"/>
      <c r="DU24" s="548"/>
      <c r="DV24" s="548"/>
      <c r="DW24" s="548"/>
      <c r="DX24" s="548"/>
      <c r="DY24" s="548"/>
      <c r="DZ24" s="548"/>
      <c r="EA24" s="548"/>
      <c r="EB24" s="548"/>
      <c r="EC24" s="548"/>
      <c r="ED24" s="548"/>
      <c r="EE24" s="548"/>
      <c r="EF24" s="548"/>
      <c r="EG24" s="548"/>
      <c r="EH24" s="548"/>
      <c r="EI24" s="548"/>
      <c r="EJ24" s="548"/>
      <c r="EK24" s="548"/>
      <c r="EL24" s="548"/>
    </row>
    <row r="25" spans="1:142" s="549" customFormat="1">
      <c r="A25" s="616"/>
      <c r="B25" s="546"/>
      <c r="C25" s="665" t="str">
        <f>+Internal!B103</f>
        <v>ELECTRICAL DISTRIBUTION</v>
      </c>
      <c r="D25" s="666"/>
      <c r="E25" s="547">
        <v>0</v>
      </c>
      <c r="F25" s="547">
        <v>0</v>
      </c>
      <c r="G25" s="547"/>
      <c r="H25" s="547"/>
      <c r="I25" s="547">
        <v>0</v>
      </c>
      <c r="J25" s="547">
        <v>0.33</v>
      </c>
      <c r="K25" s="547">
        <v>0.33</v>
      </c>
      <c r="L25" s="547">
        <v>0.34</v>
      </c>
      <c r="M25" s="547"/>
      <c r="N25" s="547"/>
      <c r="O25" s="547"/>
      <c r="P25" s="547"/>
      <c r="Q25" s="547"/>
      <c r="R25" s="547"/>
      <c r="S25" s="547"/>
      <c r="T25" s="547"/>
      <c r="U25" s="547">
        <f t="shared" si="2"/>
        <v>1</v>
      </c>
      <c r="V25" s="548"/>
      <c r="W25" s="548"/>
      <c r="X25" s="548"/>
      <c r="Y25" s="548"/>
      <c r="Z25" s="548"/>
      <c r="AA25" s="548"/>
      <c r="AB25" s="548"/>
      <c r="AC25" s="548"/>
      <c r="AD25" s="548"/>
      <c r="AE25" s="548"/>
      <c r="AF25" s="548"/>
      <c r="AG25" s="548"/>
      <c r="AH25" s="548"/>
      <c r="AI25" s="548"/>
      <c r="AJ25" s="548"/>
      <c r="AK25" s="548"/>
      <c r="AL25" s="548"/>
      <c r="AM25" s="548"/>
      <c r="AN25" s="548"/>
      <c r="AO25" s="548"/>
      <c r="AP25" s="548"/>
      <c r="AQ25" s="548"/>
      <c r="AR25" s="548"/>
      <c r="AS25" s="548"/>
      <c r="AT25" s="548"/>
      <c r="AU25" s="548"/>
      <c r="AV25" s="548"/>
      <c r="AW25" s="548"/>
      <c r="AX25" s="548"/>
      <c r="AY25" s="548"/>
      <c r="AZ25" s="548"/>
      <c r="BA25" s="548"/>
      <c r="BB25" s="548"/>
      <c r="BC25" s="548"/>
      <c r="BD25" s="548"/>
      <c r="BE25" s="548"/>
      <c r="BF25" s="548"/>
      <c r="BG25" s="548"/>
      <c r="BH25" s="548"/>
      <c r="BI25" s="548"/>
      <c r="BJ25" s="548"/>
      <c r="BK25" s="548"/>
      <c r="BL25" s="548"/>
      <c r="BM25" s="548"/>
      <c r="BN25" s="548"/>
      <c r="BO25" s="548"/>
      <c r="BP25" s="548"/>
      <c r="BQ25" s="548"/>
      <c r="BR25" s="548"/>
      <c r="BS25" s="548"/>
      <c r="BT25" s="548"/>
      <c r="BU25" s="548"/>
      <c r="BV25" s="548"/>
      <c r="BW25" s="548"/>
      <c r="BX25" s="548"/>
      <c r="BY25" s="548"/>
      <c r="BZ25" s="548"/>
      <c r="CA25" s="548"/>
      <c r="CB25" s="548"/>
      <c r="CC25" s="548"/>
      <c r="CD25" s="548"/>
      <c r="CE25" s="548"/>
      <c r="CF25" s="548"/>
      <c r="CG25" s="548"/>
      <c r="CH25" s="548"/>
      <c r="CI25" s="548"/>
      <c r="CJ25" s="548"/>
      <c r="CK25" s="548"/>
      <c r="CL25" s="548"/>
      <c r="CM25" s="548"/>
      <c r="CN25" s="548"/>
      <c r="CO25" s="548"/>
      <c r="CP25" s="548"/>
      <c r="CQ25" s="548"/>
      <c r="CR25" s="548"/>
      <c r="CS25" s="548"/>
      <c r="CT25" s="548"/>
      <c r="CU25" s="548"/>
      <c r="CV25" s="548"/>
      <c r="CW25" s="548"/>
      <c r="CX25" s="548"/>
      <c r="CY25" s="548"/>
      <c r="CZ25" s="548"/>
      <c r="DA25" s="548"/>
      <c r="DB25" s="548"/>
      <c r="DC25" s="548"/>
      <c r="DD25" s="548"/>
      <c r="DE25" s="548"/>
      <c r="DF25" s="548"/>
      <c r="DG25" s="548"/>
      <c r="DH25" s="548"/>
      <c r="DI25" s="548"/>
      <c r="DJ25" s="548"/>
      <c r="DK25" s="548"/>
      <c r="DL25" s="548"/>
      <c r="DM25" s="548"/>
      <c r="DN25" s="548"/>
      <c r="DO25" s="548"/>
      <c r="DP25" s="548"/>
      <c r="DQ25" s="548"/>
      <c r="DR25" s="548"/>
      <c r="DS25" s="548"/>
      <c r="DT25" s="548"/>
      <c r="DU25" s="548"/>
      <c r="DV25" s="548"/>
      <c r="DW25" s="548"/>
      <c r="DX25" s="548"/>
      <c r="DY25" s="548"/>
      <c r="DZ25" s="548"/>
      <c r="EA25" s="548"/>
      <c r="EB25" s="548"/>
      <c r="EC25" s="548"/>
      <c r="ED25" s="548"/>
      <c r="EE25" s="548"/>
      <c r="EF25" s="548"/>
      <c r="EG25" s="548"/>
      <c r="EH25" s="548"/>
      <c r="EI25" s="548"/>
      <c r="EJ25" s="548"/>
      <c r="EK25" s="548"/>
      <c r="EL25" s="548"/>
    </row>
    <row r="26" spans="1:142" s="549" customFormat="1">
      <c r="A26" s="616"/>
      <c r="B26" s="546"/>
      <c r="C26" s="665" t="str">
        <f>+Internal!B104</f>
        <v>ENGINEERING</v>
      </c>
      <c r="D26" s="667"/>
      <c r="E26" s="668">
        <v>0</v>
      </c>
      <c r="F26" s="547">
        <v>0</v>
      </c>
      <c r="G26" s="547">
        <v>0</v>
      </c>
      <c r="H26" s="547">
        <v>0.25</v>
      </c>
      <c r="I26" s="547">
        <v>0.25</v>
      </c>
      <c r="J26" s="547">
        <v>0.25</v>
      </c>
      <c r="K26" s="547">
        <v>0.25</v>
      </c>
      <c r="L26" s="547">
        <v>0</v>
      </c>
      <c r="M26" s="547">
        <v>0</v>
      </c>
      <c r="N26" s="547">
        <v>0</v>
      </c>
      <c r="O26" s="547">
        <v>0</v>
      </c>
      <c r="P26" s="547">
        <v>0</v>
      </c>
      <c r="Q26" s="547">
        <v>0</v>
      </c>
      <c r="R26" s="547">
        <v>0</v>
      </c>
      <c r="S26" s="547">
        <v>0</v>
      </c>
      <c r="T26" s="547"/>
      <c r="U26" s="547">
        <f t="shared" si="2"/>
        <v>1</v>
      </c>
      <c r="V26" s="548"/>
      <c r="W26" s="548"/>
      <c r="X26" s="548"/>
      <c r="Y26" s="548"/>
      <c r="Z26" s="548"/>
      <c r="AA26" s="548"/>
      <c r="AB26" s="548"/>
      <c r="AC26" s="548"/>
      <c r="AD26" s="548"/>
      <c r="AE26" s="548"/>
      <c r="AF26" s="548"/>
      <c r="AG26" s="548"/>
      <c r="AH26" s="548"/>
      <c r="AI26" s="548"/>
      <c r="AJ26" s="548"/>
      <c r="AK26" s="548"/>
      <c r="AL26" s="548"/>
      <c r="AM26" s="548"/>
      <c r="AN26" s="548"/>
      <c r="AO26" s="548"/>
      <c r="AP26" s="548"/>
      <c r="AQ26" s="548"/>
      <c r="AR26" s="548"/>
      <c r="AS26" s="548"/>
      <c r="AT26" s="548"/>
      <c r="AU26" s="548"/>
      <c r="AV26" s="548"/>
      <c r="AW26" s="548"/>
      <c r="AX26" s="548"/>
      <c r="AY26" s="548"/>
      <c r="AZ26" s="548"/>
      <c r="BA26" s="548"/>
      <c r="BB26" s="548"/>
      <c r="BC26" s="548"/>
      <c r="BD26" s="548"/>
      <c r="BE26" s="548"/>
      <c r="BF26" s="548"/>
      <c r="BG26" s="548"/>
      <c r="BH26" s="548"/>
      <c r="BI26" s="548"/>
      <c r="BJ26" s="548"/>
      <c r="BK26" s="548"/>
      <c r="BL26" s="548"/>
      <c r="BM26" s="548"/>
      <c r="BN26" s="548"/>
      <c r="BO26" s="548"/>
      <c r="BP26" s="548"/>
      <c r="BQ26" s="548"/>
      <c r="BR26" s="548"/>
      <c r="BS26" s="548"/>
      <c r="BT26" s="548"/>
      <c r="BU26" s="548"/>
      <c r="BV26" s="548"/>
      <c r="BW26" s="548"/>
      <c r="BX26" s="548"/>
      <c r="BY26" s="548"/>
      <c r="BZ26" s="548"/>
      <c r="CA26" s="548"/>
      <c r="CB26" s="548"/>
      <c r="CC26" s="548"/>
      <c r="CD26" s="548"/>
      <c r="CE26" s="548"/>
      <c r="CF26" s="548"/>
      <c r="CG26" s="548"/>
      <c r="CH26" s="548"/>
      <c r="CI26" s="548"/>
      <c r="CJ26" s="548"/>
      <c r="CK26" s="548"/>
      <c r="CL26" s="548"/>
      <c r="CM26" s="548"/>
      <c r="CN26" s="548"/>
      <c r="CO26" s="548"/>
      <c r="CP26" s="548"/>
      <c r="CQ26" s="548"/>
      <c r="CR26" s="548"/>
      <c r="CS26" s="548"/>
      <c r="CT26" s="548"/>
      <c r="CU26" s="548"/>
      <c r="CV26" s="548"/>
      <c r="CW26" s="548"/>
      <c r="CX26" s="548"/>
      <c r="CY26" s="548"/>
      <c r="CZ26" s="548"/>
      <c r="DA26" s="548"/>
      <c r="DB26" s="548"/>
      <c r="DC26" s="548"/>
      <c r="DD26" s="548"/>
      <c r="DE26" s="548"/>
      <c r="DF26" s="548"/>
      <c r="DG26" s="548"/>
      <c r="DH26" s="548"/>
      <c r="DI26" s="548"/>
      <c r="DJ26" s="548"/>
      <c r="DK26" s="548"/>
      <c r="DL26" s="548"/>
      <c r="DM26" s="548"/>
      <c r="DN26" s="548"/>
      <c r="DO26" s="548"/>
      <c r="DP26" s="548"/>
      <c r="DQ26" s="548"/>
      <c r="DR26" s="548"/>
      <c r="DS26" s="548"/>
      <c r="DT26" s="548"/>
      <c r="DU26" s="548"/>
      <c r="DV26" s="548"/>
      <c r="DW26" s="548"/>
      <c r="DX26" s="548"/>
      <c r="DY26" s="548"/>
      <c r="DZ26" s="548"/>
      <c r="EA26" s="548"/>
      <c r="EB26" s="548"/>
      <c r="EC26" s="548"/>
      <c r="ED26" s="548"/>
      <c r="EE26" s="548"/>
      <c r="EF26" s="548"/>
      <c r="EG26" s="548"/>
      <c r="EH26" s="548"/>
      <c r="EI26" s="548"/>
      <c r="EJ26" s="548"/>
      <c r="EK26" s="548"/>
      <c r="EL26" s="548"/>
    </row>
    <row r="27" spans="1:142" s="549" customFormat="1">
      <c r="A27" s="616"/>
      <c r="B27" s="546"/>
      <c r="C27" s="665" t="str">
        <f>+Internal!B105</f>
        <v>O&amp;M BLDG</v>
      </c>
      <c r="D27" s="667"/>
      <c r="E27" s="668">
        <v>0</v>
      </c>
      <c r="F27" s="547">
        <v>0</v>
      </c>
      <c r="G27" s="547">
        <v>0</v>
      </c>
      <c r="H27" s="547">
        <v>0.25</v>
      </c>
      <c r="I27" s="547">
        <v>0.25</v>
      </c>
      <c r="J27" s="547">
        <v>0.25</v>
      </c>
      <c r="K27" s="547">
        <v>0.25</v>
      </c>
      <c r="L27" s="547">
        <v>0</v>
      </c>
      <c r="M27" s="547">
        <v>0</v>
      </c>
      <c r="N27" s="547">
        <v>0</v>
      </c>
      <c r="O27" s="547">
        <v>0</v>
      </c>
      <c r="P27" s="547">
        <v>0</v>
      </c>
      <c r="Q27" s="547">
        <v>0</v>
      </c>
      <c r="R27" s="547">
        <v>0</v>
      </c>
      <c r="S27" s="547">
        <v>0</v>
      </c>
      <c r="T27" s="547"/>
      <c r="U27" s="547">
        <f t="shared" si="2"/>
        <v>1</v>
      </c>
      <c r="V27" s="548"/>
      <c r="W27" s="548"/>
      <c r="X27" s="548"/>
      <c r="Y27" s="548"/>
      <c r="Z27" s="548"/>
      <c r="AA27" s="548"/>
      <c r="AB27" s="548"/>
      <c r="AC27" s="548"/>
      <c r="AD27" s="548"/>
      <c r="AE27" s="548"/>
      <c r="AF27" s="548"/>
      <c r="AG27" s="548"/>
      <c r="AH27" s="548"/>
      <c r="AI27" s="548"/>
      <c r="AJ27" s="548"/>
      <c r="AK27" s="548"/>
      <c r="AL27" s="548"/>
      <c r="AM27" s="548"/>
      <c r="AN27" s="548"/>
      <c r="AO27" s="548"/>
      <c r="AP27" s="548"/>
      <c r="AQ27" s="548"/>
      <c r="AR27" s="548"/>
      <c r="AS27" s="548"/>
      <c r="AT27" s="548"/>
      <c r="AU27" s="548"/>
      <c r="AV27" s="548"/>
      <c r="AW27" s="548"/>
      <c r="AX27" s="548"/>
      <c r="AY27" s="548"/>
      <c r="AZ27" s="548"/>
      <c r="BA27" s="548"/>
      <c r="BB27" s="548"/>
      <c r="BC27" s="548"/>
      <c r="BD27" s="548"/>
      <c r="BE27" s="548"/>
      <c r="BF27" s="548"/>
      <c r="BG27" s="548"/>
      <c r="BH27" s="548"/>
      <c r="BI27" s="548"/>
      <c r="BJ27" s="548"/>
      <c r="BK27" s="548"/>
      <c r="BL27" s="548"/>
      <c r="BM27" s="548"/>
      <c r="BN27" s="548"/>
      <c r="BO27" s="548"/>
      <c r="BP27" s="548"/>
      <c r="BQ27" s="548"/>
      <c r="BR27" s="548"/>
      <c r="BS27" s="548"/>
      <c r="BT27" s="548"/>
      <c r="BU27" s="548"/>
      <c r="BV27" s="548"/>
      <c r="BW27" s="548"/>
      <c r="BX27" s="548"/>
      <c r="BY27" s="548"/>
      <c r="BZ27" s="548"/>
      <c r="CA27" s="548"/>
      <c r="CB27" s="548"/>
      <c r="CC27" s="548"/>
      <c r="CD27" s="548"/>
      <c r="CE27" s="548"/>
      <c r="CF27" s="548"/>
      <c r="CG27" s="548"/>
      <c r="CH27" s="548"/>
      <c r="CI27" s="548"/>
      <c r="CJ27" s="548"/>
      <c r="CK27" s="548"/>
      <c r="CL27" s="548"/>
      <c r="CM27" s="548"/>
      <c r="CN27" s="548"/>
      <c r="CO27" s="548"/>
      <c r="CP27" s="548"/>
      <c r="CQ27" s="548"/>
      <c r="CR27" s="548"/>
      <c r="CS27" s="548"/>
      <c r="CT27" s="548"/>
      <c r="CU27" s="548"/>
      <c r="CV27" s="548"/>
      <c r="CW27" s="548"/>
      <c r="CX27" s="548"/>
      <c r="CY27" s="548"/>
      <c r="CZ27" s="548"/>
      <c r="DA27" s="548"/>
      <c r="DB27" s="548"/>
      <c r="DC27" s="548"/>
      <c r="DD27" s="548"/>
      <c r="DE27" s="548"/>
      <c r="DF27" s="548"/>
      <c r="DG27" s="548"/>
      <c r="DH27" s="548"/>
      <c r="DI27" s="548"/>
      <c r="DJ27" s="548"/>
      <c r="DK27" s="548"/>
      <c r="DL27" s="548"/>
      <c r="DM27" s="548"/>
      <c r="DN27" s="548"/>
      <c r="DO27" s="548"/>
      <c r="DP27" s="548"/>
      <c r="DQ27" s="548"/>
      <c r="DR27" s="548"/>
      <c r="DS27" s="548"/>
      <c r="DT27" s="548"/>
      <c r="DU27" s="548"/>
      <c r="DV27" s="548"/>
      <c r="DW27" s="548"/>
      <c r="DX27" s="548"/>
      <c r="DY27" s="548"/>
      <c r="DZ27" s="548"/>
      <c r="EA27" s="548"/>
      <c r="EB27" s="548"/>
      <c r="EC27" s="548"/>
      <c r="ED27" s="548"/>
      <c r="EE27" s="548"/>
      <c r="EF27" s="548"/>
      <c r="EG27" s="548"/>
      <c r="EH27" s="548"/>
      <c r="EI27" s="548"/>
      <c r="EJ27" s="548"/>
      <c r="EK27" s="548"/>
      <c r="EL27" s="548"/>
    </row>
    <row r="28" spans="1:142" s="549" customFormat="1">
      <c r="A28" s="616"/>
      <c r="B28" s="546"/>
      <c r="C28" s="665" t="str">
        <f>+Internal!B106</f>
        <v>FACILITY STARTUP</v>
      </c>
      <c r="D28" s="667"/>
      <c r="E28" s="668">
        <v>0</v>
      </c>
      <c r="F28" s="547">
        <v>0</v>
      </c>
      <c r="G28" s="547">
        <v>0</v>
      </c>
      <c r="H28" s="547">
        <v>0</v>
      </c>
      <c r="I28" s="547">
        <v>0</v>
      </c>
      <c r="J28" s="547">
        <v>0.2</v>
      </c>
      <c r="K28" s="547">
        <v>0.8</v>
      </c>
      <c r="L28" s="547">
        <v>0</v>
      </c>
      <c r="M28" s="547">
        <v>0</v>
      </c>
      <c r="N28" s="547">
        <v>0</v>
      </c>
      <c r="O28" s="547">
        <v>0</v>
      </c>
      <c r="P28" s="547">
        <v>0</v>
      </c>
      <c r="Q28" s="547">
        <v>0</v>
      </c>
      <c r="R28" s="547">
        <v>0</v>
      </c>
      <c r="S28" s="547">
        <v>0</v>
      </c>
      <c r="T28" s="547"/>
      <c r="U28" s="547">
        <f t="shared" si="2"/>
        <v>1</v>
      </c>
      <c r="V28" s="548"/>
      <c r="W28" s="548"/>
      <c r="X28" s="548"/>
      <c r="Y28" s="548"/>
      <c r="Z28" s="548"/>
      <c r="AA28" s="548"/>
      <c r="AB28" s="548"/>
      <c r="AC28" s="548"/>
      <c r="AD28" s="548"/>
      <c r="AE28" s="548"/>
      <c r="AF28" s="548"/>
      <c r="AG28" s="548"/>
      <c r="AH28" s="548"/>
      <c r="AI28" s="548"/>
      <c r="AJ28" s="548"/>
      <c r="AK28" s="548"/>
      <c r="AL28" s="548"/>
      <c r="AM28" s="548"/>
      <c r="AN28" s="548"/>
      <c r="AO28" s="548"/>
      <c r="AP28" s="548"/>
      <c r="AQ28" s="548"/>
      <c r="AR28" s="548"/>
      <c r="AS28" s="548"/>
      <c r="AT28" s="548"/>
      <c r="AU28" s="548"/>
      <c r="AV28" s="548"/>
      <c r="AW28" s="548"/>
      <c r="AX28" s="548"/>
      <c r="AY28" s="548"/>
      <c r="AZ28" s="548"/>
      <c r="BA28" s="548"/>
      <c r="BB28" s="548"/>
      <c r="BC28" s="548"/>
      <c r="BD28" s="548"/>
      <c r="BE28" s="548"/>
      <c r="BF28" s="548"/>
      <c r="BG28" s="548"/>
      <c r="BH28" s="548"/>
      <c r="BI28" s="548"/>
      <c r="BJ28" s="548"/>
      <c r="BK28" s="548"/>
      <c r="BL28" s="548"/>
      <c r="BM28" s="548"/>
      <c r="BN28" s="548"/>
      <c r="BO28" s="548"/>
      <c r="BP28" s="548"/>
      <c r="BQ28" s="548"/>
      <c r="BR28" s="548"/>
      <c r="BS28" s="548"/>
      <c r="BT28" s="548"/>
      <c r="BU28" s="548"/>
      <c r="BV28" s="548"/>
      <c r="BW28" s="548"/>
      <c r="BX28" s="548"/>
      <c r="BY28" s="548"/>
      <c r="BZ28" s="548"/>
      <c r="CA28" s="548"/>
      <c r="CB28" s="548"/>
      <c r="CC28" s="548"/>
      <c r="CD28" s="548"/>
      <c r="CE28" s="548"/>
      <c r="CF28" s="548"/>
      <c r="CG28" s="548"/>
      <c r="CH28" s="548"/>
      <c r="CI28" s="548"/>
      <c r="CJ28" s="548"/>
      <c r="CK28" s="548"/>
      <c r="CL28" s="548"/>
      <c r="CM28" s="548"/>
      <c r="CN28" s="548"/>
      <c r="CO28" s="548"/>
      <c r="CP28" s="548"/>
      <c r="CQ28" s="548"/>
      <c r="CR28" s="548"/>
      <c r="CS28" s="548"/>
      <c r="CT28" s="548"/>
      <c r="CU28" s="548"/>
      <c r="CV28" s="548"/>
      <c r="CW28" s="548"/>
      <c r="CX28" s="548"/>
      <c r="CY28" s="548"/>
      <c r="CZ28" s="548"/>
      <c r="DA28" s="548"/>
      <c r="DB28" s="548"/>
      <c r="DC28" s="548"/>
      <c r="DD28" s="548"/>
      <c r="DE28" s="548"/>
      <c r="DF28" s="548"/>
      <c r="DG28" s="548"/>
      <c r="DH28" s="548"/>
      <c r="DI28" s="548"/>
      <c r="DJ28" s="548"/>
      <c r="DK28" s="548"/>
      <c r="DL28" s="548"/>
      <c r="DM28" s="548"/>
      <c r="DN28" s="548"/>
      <c r="DO28" s="548"/>
      <c r="DP28" s="548"/>
      <c r="DQ28" s="548"/>
      <c r="DR28" s="548"/>
      <c r="DS28" s="548"/>
      <c r="DT28" s="548"/>
      <c r="DU28" s="548"/>
      <c r="DV28" s="548"/>
      <c r="DW28" s="548"/>
      <c r="DX28" s="548"/>
      <c r="DY28" s="548"/>
      <c r="DZ28" s="548"/>
      <c r="EA28" s="548"/>
      <c r="EB28" s="548"/>
      <c r="EC28" s="548"/>
      <c r="ED28" s="548"/>
      <c r="EE28" s="548"/>
      <c r="EF28" s="548"/>
      <c r="EG28" s="548"/>
      <c r="EH28" s="548"/>
      <c r="EI28" s="548"/>
      <c r="EJ28" s="548"/>
      <c r="EK28" s="548"/>
      <c r="EL28" s="548"/>
    </row>
    <row r="29" spans="1:142" s="549" customFormat="1">
      <c r="A29" s="616"/>
      <c r="B29" s="546"/>
      <c r="C29" s="665" t="e">
        <f>+Srcs_Uses!#REF!</f>
        <v>#REF!</v>
      </c>
      <c r="D29" s="667"/>
      <c r="E29" s="668">
        <f t="shared" ref="E29:T29" si="3">+E19</f>
        <v>0</v>
      </c>
      <c r="F29" s="668">
        <f t="shared" si="3"/>
        <v>0.4</v>
      </c>
      <c r="G29" s="668">
        <f t="shared" si="3"/>
        <v>0.4</v>
      </c>
      <c r="H29" s="668">
        <f t="shared" si="3"/>
        <v>0.2</v>
      </c>
      <c r="I29" s="668">
        <f t="shared" si="3"/>
        <v>0</v>
      </c>
      <c r="J29" s="668">
        <f t="shared" si="3"/>
        <v>0</v>
      </c>
      <c r="K29" s="668">
        <f t="shared" si="3"/>
        <v>0</v>
      </c>
      <c r="L29" s="668">
        <f t="shared" si="3"/>
        <v>0</v>
      </c>
      <c r="M29" s="668">
        <f t="shared" si="3"/>
        <v>0</v>
      </c>
      <c r="N29" s="668">
        <f t="shared" si="3"/>
        <v>0</v>
      </c>
      <c r="O29" s="668">
        <f t="shared" si="3"/>
        <v>0</v>
      </c>
      <c r="P29" s="668">
        <f t="shared" si="3"/>
        <v>0</v>
      </c>
      <c r="Q29" s="668">
        <f t="shared" si="3"/>
        <v>0</v>
      </c>
      <c r="R29" s="668">
        <f t="shared" si="3"/>
        <v>0</v>
      </c>
      <c r="S29" s="668">
        <f t="shared" si="3"/>
        <v>0</v>
      </c>
      <c r="T29" s="668">
        <f t="shared" si="3"/>
        <v>0</v>
      </c>
      <c r="U29" s="547">
        <f t="shared" si="2"/>
        <v>1</v>
      </c>
      <c r="V29" s="548"/>
      <c r="W29" s="548"/>
      <c r="X29" s="548"/>
      <c r="Y29" s="548"/>
      <c r="Z29" s="548"/>
      <c r="AA29" s="548"/>
      <c r="AB29" s="548"/>
      <c r="AC29" s="548"/>
      <c r="AD29" s="548"/>
      <c r="AE29" s="548"/>
      <c r="AF29" s="548"/>
      <c r="AG29" s="548"/>
      <c r="AH29" s="548"/>
      <c r="AI29" s="548"/>
      <c r="AJ29" s="548"/>
      <c r="AK29" s="548"/>
      <c r="AL29" s="548"/>
      <c r="AM29" s="548"/>
      <c r="AN29" s="548"/>
      <c r="AO29" s="548"/>
      <c r="AP29" s="548"/>
      <c r="AQ29" s="548"/>
      <c r="AR29" s="548"/>
      <c r="AS29" s="548"/>
      <c r="AT29" s="548"/>
      <c r="AU29" s="548"/>
      <c r="AV29" s="548"/>
      <c r="AW29" s="548"/>
      <c r="AX29" s="548"/>
      <c r="AY29" s="548"/>
      <c r="AZ29" s="548"/>
      <c r="BA29" s="548"/>
      <c r="BB29" s="548"/>
      <c r="BC29" s="548"/>
      <c r="BD29" s="548"/>
      <c r="BE29" s="548"/>
      <c r="BF29" s="548"/>
      <c r="BG29" s="548"/>
      <c r="BH29" s="548"/>
      <c r="BI29" s="548"/>
      <c r="BJ29" s="548"/>
      <c r="BK29" s="548"/>
      <c r="BL29" s="548"/>
      <c r="BM29" s="548"/>
      <c r="BN29" s="548"/>
      <c r="BO29" s="548"/>
      <c r="BP29" s="548"/>
      <c r="BQ29" s="548"/>
      <c r="BR29" s="548"/>
      <c r="BS29" s="548"/>
      <c r="BT29" s="548"/>
      <c r="BU29" s="548"/>
      <c r="BV29" s="548"/>
      <c r="BW29" s="548"/>
      <c r="BX29" s="548"/>
      <c r="BY29" s="548"/>
      <c r="BZ29" s="548"/>
      <c r="CA29" s="548"/>
      <c r="CB29" s="548"/>
      <c r="CC29" s="548"/>
      <c r="CD29" s="548"/>
      <c r="CE29" s="548"/>
      <c r="CF29" s="548"/>
      <c r="CG29" s="548"/>
      <c r="CH29" s="548"/>
      <c r="CI29" s="548"/>
      <c r="CJ29" s="548"/>
      <c r="CK29" s="548"/>
      <c r="CL29" s="548"/>
      <c r="CM29" s="548"/>
      <c r="CN29" s="548"/>
      <c r="CO29" s="548"/>
      <c r="CP29" s="548"/>
      <c r="CQ29" s="548"/>
      <c r="CR29" s="548"/>
      <c r="CS29" s="548"/>
      <c r="CT29" s="548"/>
      <c r="CU29" s="548"/>
      <c r="CV29" s="548"/>
      <c r="CW29" s="548"/>
      <c r="CX29" s="548"/>
      <c r="CY29" s="548"/>
      <c r="CZ29" s="548"/>
      <c r="DA29" s="548"/>
      <c r="DB29" s="548"/>
      <c r="DC29" s="548"/>
      <c r="DD29" s="548"/>
      <c r="DE29" s="548"/>
      <c r="DF29" s="548"/>
      <c r="DG29" s="548"/>
      <c r="DH29" s="548"/>
      <c r="DI29" s="548"/>
      <c r="DJ29" s="548"/>
      <c r="DK29" s="548"/>
      <c r="DL29" s="548"/>
      <c r="DM29" s="548"/>
      <c r="DN29" s="548"/>
      <c r="DO29" s="548"/>
      <c r="DP29" s="548"/>
      <c r="DQ29" s="548"/>
      <c r="DR29" s="548"/>
      <c r="DS29" s="548"/>
      <c r="DT29" s="548"/>
      <c r="DU29" s="548"/>
      <c r="DV29" s="548"/>
      <c r="DW29" s="548"/>
      <c r="DX29" s="548"/>
      <c r="DY29" s="548"/>
      <c r="DZ29" s="548"/>
      <c r="EA29" s="548"/>
      <c r="EB29" s="548"/>
      <c r="EC29" s="548"/>
      <c r="ED29" s="548"/>
      <c r="EE29" s="548"/>
      <c r="EF29" s="548"/>
      <c r="EG29" s="548"/>
      <c r="EH29" s="548"/>
      <c r="EI29" s="548"/>
      <c r="EJ29" s="548"/>
      <c r="EK29" s="548"/>
      <c r="EL29" s="548"/>
    </row>
    <row r="30" spans="1:142" s="549" customFormat="1">
      <c r="A30" s="616"/>
      <c r="B30" s="546"/>
      <c r="C30" s="665" t="str">
        <f>+Internal!B107</f>
        <v>INTERCONNECTION COSTS</v>
      </c>
      <c r="D30" s="667"/>
      <c r="E30" s="668">
        <f t="shared" ref="E30:T30" si="4">+E25</f>
        <v>0</v>
      </c>
      <c r="F30" s="668">
        <f t="shared" si="4"/>
        <v>0</v>
      </c>
      <c r="G30" s="668">
        <f t="shared" si="4"/>
        <v>0</v>
      </c>
      <c r="H30" s="668">
        <f t="shared" si="4"/>
        <v>0</v>
      </c>
      <c r="I30" s="668">
        <f t="shared" si="4"/>
        <v>0</v>
      </c>
      <c r="J30" s="668">
        <f t="shared" si="4"/>
        <v>0.33</v>
      </c>
      <c r="K30" s="668">
        <f t="shared" si="4"/>
        <v>0.33</v>
      </c>
      <c r="L30" s="668">
        <f t="shared" si="4"/>
        <v>0.34</v>
      </c>
      <c r="M30" s="668">
        <f t="shared" si="4"/>
        <v>0</v>
      </c>
      <c r="N30" s="668">
        <f t="shared" si="4"/>
        <v>0</v>
      </c>
      <c r="O30" s="668">
        <f t="shared" si="4"/>
        <v>0</v>
      </c>
      <c r="P30" s="668">
        <f t="shared" si="4"/>
        <v>0</v>
      </c>
      <c r="Q30" s="668">
        <f t="shared" si="4"/>
        <v>0</v>
      </c>
      <c r="R30" s="668">
        <f t="shared" si="4"/>
        <v>0</v>
      </c>
      <c r="S30" s="668">
        <f t="shared" si="4"/>
        <v>0</v>
      </c>
      <c r="T30" s="668">
        <f t="shared" si="4"/>
        <v>0</v>
      </c>
      <c r="U30" s="547">
        <f t="shared" si="2"/>
        <v>1</v>
      </c>
      <c r="V30" s="548"/>
      <c r="W30" s="548"/>
      <c r="X30" s="548"/>
      <c r="Y30" s="548"/>
      <c r="Z30" s="548"/>
      <c r="AA30" s="548"/>
      <c r="AB30" s="548"/>
      <c r="AC30" s="548"/>
      <c r="AD30" s="548"/>
      <c r="AE30" s="548"/>
      <c r="AF30" s="548"/>
      <c r="AG30" s="548"/>
      <c r="AH30" s="548"/>
      <c r="AI30" s="548"/>
      <c r="AJ30" s="548"/>
      <c r="AK30" s="548"/>
      <c r="AL30" s="548"/>
      <c r="AM30" s="548"/>
      <c r="AN30" s="548"/>
      <c r="AO30" s="548"/>
      <c r="AP30" s="548"/>
      <c r="AQ30" s="548"/>
      <c r="AR30" s="548"/>
      <c r="AS30" s="548"/>
      <c r="AT30" s="548"/>
      <c r="AU30" s="548"/>
      <c r="AV30" s="548"/>
      <c r="AW30" s="548"/>
      <c r="AX30" s="548"/>
      <c r="AY30" s="548"/>
      <c r="AZ30" s="548"/>
      <c r="BA30" s="548"/>
      <c r="BB30" s="548"/>
      <c r="BC30" s="548"/>
      <c r="BD30" s="548"/>
      <c r="BE30" s="548"/>
      <c r="BF30" s="548"/>
      <c r="BG30" s="548"/>
      <c r="BH30" s="548"/>
      <c r="BI30" s="548"/>
      <c r="BJ30" s="548"/>
      <c r="BK30" s="548"/>
      <c r="BL30" s="548"/>
      <c r="BM30" s="548"/>
      <c r="BN30" s="548"/>
      <c r="BO30" s="548"/>
      <c r="BP30" s="548"/>
      <c r="BQ30" s="548"/>
      <c r="BR30" s="548"/>
      <c r="BS30" s="548"/>
      <c r="BT30" s="548"/>
      <c r="BU30" s="548"/>
      <c r="BV30" s="548"/>
      <c r="BW30" s="548"/>
      <c r="BX30" s="548"/>
      <c r="BY30" s="548"/>
      <c r="BZ30" s="548"/>
      <c r="CA30" s="548"/>
      <c r="CB30" s="548"/>
      <c r="CC30" s="548"/>
      <c r="CD30" s="548"/>
      <c r="CE30" s="548"/>
      <c r="CF30" s="548"/>
      <c r="CG30" s="548"/>
      <c r="CH30" s="548"/>
      <c r="CI30" s="548"/>
      <c r="CJ30" s="548"/>
      <c r="CK30" s="548"/>
      <c r="CL30" s="548"/>
      <c r="CM30" s="548"/>
      <c r="CN30" s="548"/>
      <c r="CO30" s="548"/>
      <c r="CP30" s="548"/>
      <c r="CQ30" s="548"/>
      <c r="CR30" s="548"/>
      <c r="CS30" s="548"/>
      <c r="CT30" s="548"/>
      <c r="CU30" s="548"/>
      <c r="CV30" s="548"/>
      <c r="CW30" s="548"/>
      <c r="CX30" s="548"/>
      <c r="CY30" s="548"/>
      <c r="CZ30" s="548"/>
      <c r="DA30" s="548"/>
      <c r="DB30" s="548"/>
      <c r="DC30" s="548"/>
      <c r="DD30" s="548"/>
      <c r="DE30" s="548"/>
      <c r="DF30" s="548"/>
      <c r="DG30" s="548"/>
      <c r="DH30" s="548"/>
      <c r="DI30" s="548"/>
      <c r="DJ30" s="548"/>
      <c r="DK30" s="548"/>
      <c r="DL30" s="548"/>
      <c r="DM30" s="548"/>
      <c r="DN30" s="548"/>
      <c r="DO30" s="548"/>
      <c r="DP30" s="548"/>
      <c r="DQ30" s="548"/>
      <c r="DR30" s="548"/>
      <c r="DS30" s="548"/>
      <c r="DT30" s="548"/>
      <c r="DU30" s="548"/>
      <c r="DV30" s="548"/>
      <c r="DW30" s="548"/>
      <c r="DX30" s="548"/>
      <c r="DY30" s="548"/>
      <c r="DZ30" s="548"/>
      <c r="EA30" s="548"/>
      <c r="EB30" s="548"/>
      <c r="EC30" s="548"/>
      <c r="ED30" s="548"/>
      <c r="EE30" s="548"/>
      <c r="EF30" s="548"/>
      <c r="EG30" s="548"/>
      <c r="EH30" s="548"/>
      <c r="EI30" s="548"/>
      <c r="EJ30" s="548"/>
      <c r="EK30" s="548"/>
      <c r="EL30" s="548"/>
    </row>
    <row r="31" spans="1:142" s="549" customFormat="1">
      <c r="A31" s="616"/>
      <c r="B31" s="546"/>
      <c r="C31" s="665" t="str">
        <f>+Internal!B108</f>
        <v>OTHER CONSTRUCTION COSTS</v>
      </c>
      <c r="D31" s="667"/>
      <c r="E31" s="668">
        <f t="shared" ref="E31:T31" si="5">+E24</f>
        <v>0</v>
      </c>
      <c r="F31" s="668">
        <f t="shared" si="5"/>
        <v>0</v>
      </c>
      <c r="G31" s="668">
        <f t="shared" si="5"/>
        <v>0</v>
      </c>
      <c r="H31" s="668">
        <f t="shared" si="5"/>
        <v>0.25</v>
      </c>
      <c r="I31" s="668">
        <f t="shared" si="5"/>
        <v>0.25</v>
      </c>
      <c r="J31" s="668">
        <f t="shared" si="5"/>
        <v>0.25</v>
      </c>
      <c r="K31" s="668">
        <f t="shared" si="5"/>
        <v>0.25</v>
      </c>
      <c r="L31" s="668">
        <f t="shared" si="5"/>
        <v>0</v>
      </c>
      <c r="M31" s="668">
        <f t="shared" si="5"/>
        <v>0</v>
      </c>
      <c r="N31" s="668">
        <f t="shared" si="5"/>
        <v>0</v>
      </c>
      <c r="O31" s="668">
        <f t="shared" si="5"/>
        <v>0</v>
      </c>
      <c r="P31" s="668">
        <f t="shared" si="5"/>
        <v>0</v>
      </c>
      <c r="Q31" s="668">
        <f t="shared" si="5"/>
        <v>0</v>
      </c>
      <c r="R31" s="668">
        <f t="shared" si="5"/>
        <v>0</v>
      </c>
      <c r="S31" s="668">
        <f t="shared" si="5"/>
        <v>0</v>
      </c>
      <c r="T31" s="668">
        <f t="shared" si="5"/>
        <v>0</v>
      </c>
      <c r="U31" s="547">
        <f t="shared" si="2"/>
        <v>1</v>
      </c>
      <c r="V31" s="548"/>
      <c r="W31" s="548"/>
      <c r="X31" s="548"/>
      <c r="Y31" s="548"/>
      <c r="Z31" s="548"/>
      <c r="AA31" s="548"/>
      <c r="AB31" s="548"/>
      <c r="AC31" s="548"/>
      <c r="AD31" s="548"/>
      <c r="AE31" s="548"/>
      <c r="AF31" s="548"/>
      <c r="AG31" s="548"/>
      <c r="AH31" s="548"/>
      <c r="AI31" s="548"/>
      <c r="AJ31" s="548"/>
      <c r="AK31" s="548"/>
      <c r="AL31" s="548"/>
      <c r="AM31" s="548"/>
      <c r="AN31" s="548"/>
      <c r="AO31" s="548"/>
      <c r="AP31" s="548"/>
      <c r="AQ31" s="548"/>
      <c r="AR31" s="548"/>
      <c r="AS31" s="548"/>
      <c r="AT31" s="548"/>
      <c r="AU31" s="548"/>
      <c r="AV31" s="548"/>
      <c r="AW31" s="548"/>
      <c r="AX31" s="548"/>
      <c r="AY31" s="548"/>
      <c r="AZ31" s="548"/>
      <c r="BA31" s="548"/>
      <c r="BB31" s="548"/>
      <c r="BC31" s="548"/>
      <c r="BD31" s="548"/>
      <c r="BE31" s="548"/>
      <c r="BF31" s="548"/>
      <c r="BG31" s="548"/>
      <c r="BH31" s="548"/>
      <c r="BI31" s="548"/>
      <c r="BJ31" s="548"/>
      <c r="BK31" s="548"/>
      <c r="BL31" s="548"/>
      <c r="BM31" s="548"/>
      <c r="BN31" s="548"/>
      <c r="BO31" s="548"/>
      <c r="BP31" s="548"/>
      <c r="BQ31" s="548"/>
      <c r="BR31" s="548"/>
      <c r="BS31" s="548"/>
      <c r="BT31" s="548"/>
      <c r="BU31" s="548"/>
      <c r="BV31" s="548"/>
      <c r="BW31" s="548"/>
      <c r="BX31" s="548"/>
      <c r="BY31" s="548"/>
      <c r="BZ31" s="548"/>
      <c r="CA31" s="548"/>
      <c r="CB31" s="548"/>
      <c r="CC31" s="548"/>
      <c r="CD31" s="548"/>
      <c r="CE31" s="548"/>
      <c r="CF31" s="548"/>
      <c r="CG31" s="548"/>
      <c r="CH31" s="548"/>
      <c r="CI31" s="548"/>
      <c r="CJ31" s="548"/>
      <c r="CK31" s="548"/>
      <c r="CL31" s="548"/>
      <c r="CM31" s="548"/>
      <c r="CN31" s="548"/>
      <c r="CO31" s="548"/>
      <c r="CP31" s="548"/>
      <c r="CQ31" s="548"/>
      <c r="CR31" s="548"/>
      <c r="CS31" s="548"/>
      <c r="CT31" s="548"/>
      <c r="CU31" s="548"/>
      <c r="CV31" s="548"/>
      <c r="CW31" s="548"/>
      <c r="CX31" s="548"/>
      <c r="CY31" s="548"/>
      <c r="CZ31" s="548"/>
      <c r="DA31" s="548"/>
      <c r="DB31" s="548"/>
      <c r="DC31" s="548"/>
      <c r="DD31" s="548"/>
      <c r="DE31" s="548"/>
      <c r="DF31" s="548"/>
      <c r="DG31" s="548"/>
      <c r="DH31" s="548"/>
      <c r="DI31" s="548"/>
      <c r="DJ31" s="548"/>
      <c r="DK31" s="548"/>
      <c r="DL31" s="548"/>
      <c r="DM31" s="548"/>
      <c r="DN31" s="548"/>
      <c r="DO31" s="548"/>
      <c r="DP31" s="548"/>
      <c r="DQ31" s="548"/>
      <c r="DR31" s="548"/>
      <c r="DS31" s="548"/>
      <c r="DT31" s="548"/>
      <c r="DU31" s="548"/>
      <c r="DV31" s="548"/>
      <c r="DW31" s="548"/>
      <c r="DX31" s="548"/>
      <c r="DY31" s="548"/>
      <c r="DZ31" s="548"/>
      <c r="EA31" s="548"/>
      <c r="EB31" s="548"/>
      <c r="EC31" s="548"/>
      <c r="ED31" s="548"/>
      <c r="EE31" s="548"/>
      <c r="EF31" s="548"/>
      <c r="EG31" s="548"/>
      <c r="EH31" s="548"/>
      <c r="EI31" s="548"/>
      <c r="EJ31" s="548"/>
      <c r="EK31" s="548"/>
      <c r="EL31" s="548"/>
    </row>
    <row r="32" spans="1:142" s="549" customFormat="1">
      <c r="A32" s="616"/>
      <c r="B32" s="546"/>
      <c r="C32" s="665" t="str">
        <f>+Srcs_Uses!B18</f>
        <v>CONSTRUCTION INTEREST</v>
      </c>
      <c r="D32" s="667"/>
      <c r="E32" s="668">
        <f>+E30</f>
        <v>0</v>
      </c>
      <c r="F32" s="668">
        <f>+F30</f>
        <v>0</v>
      </c>
      <c r="G32" s="668">
        <f>+G30</f>
        <v>0</v>
      </c>
      <c r="H32" s="668">
        <f>+H30</f>
        <v>0</v>
      </c>
      <c r="I32" s="668">
        <v>0</v>
      </c>
      <c r="J32" s="668">
        <f t="shared" ref="J32:T32" si="6">+J30</f>
        <v>0.33</v>
      </c>
      <c r="K32" s="668">
        <f t="shared" si="6"/>
        <v>0.33</v>
      </c>
      <c r="L32" s="668">
        <f t="shared" si="6"/>
        <v>0.34</v>
      </c>
      <c r="M32" s="668">
        <f t="shared" si="6"/>
        <v>0</v>
      </c>
      <c r="N32" s="668">
        <f t="shared" si="6"/>
        <v>0</v>
      </c>
      <c r="O32" s="668">
        <f t="shared" si="6"/>
        <v>0</v>
      </c>
      <c r="P32" s="668">
        <f t="shared" si="6"/>
        <v>0</v>
      </c>
      <c r="Q32" s="668">
        <f t="shared" si="6"/>
        <v>0</v>
      </c>
      <c r="R32" s="668">
        <f t="shared" si="6"/>
        <v>0</v>
      </c>
      <c r="S32" s="668">
        <f t="shared" si="6"/>
        <v>0</v>
      </c>
      <c r="T32" s="668">
        <f t="shared" si="6"/>
        <v>0</v>
      </c>
      <c r="U32" s="547">
        <f t="shared" si="2"/>
        <v>1</v>
      </c>
      <c r="V32" s="548"/>
      <c r="W32" s="548"/>
      <c r="X32" s="548"/>
      <c r="Y32" s="548"/>
      <c r="Z32" s="548"/>
      <c r="AA32" s="548"/>
      <c r="AB32" s="548"/>
      <c r="AC32" s="548"/>
      <c r="AD32" s="548"/>
      <c r="AE32" s="548"/>
      <c r="AF32" s="548"/>
      <c r="AG32" s="548"/>
      <c r="AH32" s="548"/>
      <c r="AI32" s="548"/>
      <c r="AJ32" s="548"/>
      <c r="AK32" s="548"/>
      <c r="AL32" s="548"/>
      <c r="AM32" s="548"/>
      <c r="AN32" s="548"/>
      <c r="AO32" s="548"/>
      <c r="AP32" s="548"/>
      <c r="AQ32" s="548"/>
      <c r="AR32" s="548"/>
      <c r="AS32" s="548"/>
      <c r="AT32" s="548"/>
      <c r="AU32" s="548"/>
      <c r="AV32" s="548"/>
      <c r="AW32" s="548"/>
      <c r="AX32" s="548"/>
      <c r="AY32" s="548"/>
      <c r="AZ32" s="548"/>
      <c r="BA32" s="548"/>
      <c r="BB32" s="548"/>
      <c r="BC32" s="548"/>
      <c r="BD32" s="548"/>
      <c r="BE32" s="548"/>
      <c r="BF32" s="548"/>
      <c r="BG32" s="548"/>
      <c r="BH32" s="548"/>
      <c r="BI32" s="548"/>
      <c r="BJ32" s="548"/>
      <c r="BK32" s="548"/>
      <c r="BL32" s="548"/>
      <c r="BM32" s="548"/>
      <c r="BN32" s="548"/>
      <c r="BO32" s="548"/>
      <c r="BP32" s="548"/>
      <c r="BQ32" s="548"/>
      <c r="BR32" s="548"/>
      <c r="BS32" s="548"/>
      <c r="BT32" s="548"/>
      <c r="BU32" s="548"/>
      <c r="BV32" s="548"/>
      <c r="BW32" s="548"/>
      <c r="BX32" s="548"/>
      <c r="BY32" s="548"/>
      <c r="BZ32" s="548"/>
      <c r="CA32" s="548"/>
      <c r="CB32" s="548"/>
      <c r="CC32" s="548"/>
      <c r="CD32" s="548"/>
      <c r="CE32" s="548"/>
      <c r="CF32" s="548"/>
      <c r="CG32" s="548"/>
      <c r="CH32" s="548"/>
      <c r="CI32" s="548"/>
      <c r="CJ32" s="548"/>
      <c r="CK32" s="548"/>
      <c r="CL32" s="548"/>
      <c r="CM32" s="548"/>
      <c r="CN32" s="548"/>
      <c r="CO32" s="548"/>
      <c r="CP32" s="548"/>
      <c r="CQ32" s="548"/>
      <c r="CR32" s="548"/>
      <c r="CS32" s="548"/>
      <c r="CT32" s="548"/>
      <c r="CU32" s="548"/>
      <c r="CV32" s="548"/>
      <c r="CW32" s="548"/>
      <c r="CX32" s="548"/>
      <c r="CY32" s="548"/>
      <c r="CZ32" s="548"/>
      <c r="DA32" s="548"/>
      <c r="DB32" s="548"/>
      <c r="DC32" s="548"/>
      <c r="DD32" s="548"/>
      <c r="DE32" s="548"/>
      <c r="DF32" s="548"/>
      <c r="DG32" s="548"/>
      <c r="DH32" s="548"/>
      <c r="DI32" s="548"/>
      <c r="DJ32" s="548"/>
      <c r="DK32" s="548"/>
      <c r="DL32" s="548"/>
      <c r="DM32" s="548"/>
      <c r="DN32" s="548"/>
      <c r="DO32" s="548"/>
      <c r="DP32" s="548"/>
      <c r="DQ32" s="548"/>
      <c r="DR32" s="548"/>
      <c r="DS32" s="548"/>
      <c r="DT32" s="548"/>
      <c r="DU32" s="548"/>
      <c r="DV32" s="548"/>
      <c r="DW32" s="548"/>
      <c r="DX32" s="548"/>
      <c r="DY32" s="548"/>
      <c r="DZ32" s="548"/>
      <c r="EA32" s="548"/>
      <c r="EB32" s="548"/>
      <c r="EC32" s="548"/>
      <c r="ED32" s="548"/>
      <c r="EE32" s="548"/>
      <c r="EF32" s="548"/>
      <c r="EG32" s="548"/>
      <c r="EH32" s="548"/>
      <c r="EI32" s="548"/>
      <c r="EJ32" s="548"/>
      <c r="EK32" s="548"/>
      <c r="EL32" s="548"/>
    </row>
    <row r="33" spans="1:142" s="549" customFormat="1">
      <c r="A33" s="616"/>
      <c r="B33" s="546"/>
      <c r="C33" s="665" t="str">
        <f>+Internal!B113</f>
        <v>EWC DEVELOPER FEE</v>
      </c>
      <c r="D33" s="667"/>
      <c r="E33" s="668">
        <v>0</v>
      </c>
      <c r="F33" s="547"/>
      <c r="G33" s="547"/>
      <c r="H33" s="547"/>
      <c r="I33" s="547"/>
      <c r="J33" s="547"/>
      <c r="K33" s="547">
        <v>0</v>
      </c>
      <c r="L33" s="547">
        <v>1</v>
      </c>
      <c r="M33" s="547"/>
      <c r="N33" s="547"/>
      <c r="O33" s="547"/>
      <c r="P33" s="547"/>
      <c r="Q33" s="547"/>
      <c r="R33" s="547"/>
      <c r="S33" s="547"/>
      <c r="T33" s="547"/>
      <c r="U33" s="547">
        <f t="shared" si="2"/>
        <v>1</v>
      </c>
      <c r="V33" s="548"/>
      <c r="W33" s="548"/>
      <c r="X33" s="548"/>
      <c r="Y33" s="548"/>
      <c r="Z33" s="548"/>
      <c r="AA33" s="548"/>
      <c r="AB33" s="548"/>
      <c r="AC33" s="548"/>
      <c r="AD33" s="548"/>
      <c r="AE33" s="548"/>
      <c r="AF33" s="548"/>
      <c r="AG33" s="548"/>
      <c r="AH33" s="548"/>
      <c r="AI33" s="548"/>
      <c r="AJ33" s="548"/>
      <c r="AK33" s="548"/>
      <c r="AL33" s="548"/>
      <c r="AM33" s="548"/>
      <c r="AN33" s="548"/>
      <c r="AO33" s="548"/>
      <c r="AP33" s="548"/>
      <c r="AQ33" s="548"/>
      <c r="AR33" s="548"/>
      <c r="AS33" s="548"/>
      <c r="AT33" s="548"/>
      <c r="AU33" s="548"/>
      <c r="AV33" s="548"/>
      <c r="AW33" s="548"/>
      <c r="AX33" s="548"/>
      <c r="AY33" s="548"/>
      <c r="AZ33" s="548"/>
      <c r="BA33" s="548"/>
      <c r="BB33" s="548"/>
      <c r="BC33" s="548"/>
      <c r="BD33" s="548"/>
      <c r="BE33" s="548"/>
      <c r="BF33" s="548"/>
      <c r="BG33" s="548"/>
      <c r="BH33" s="548"/>
      <c r="BI33" s="548"/>
      <c r="BJ33" s="548"/>
      <c r="BK33" s="548"/>
      <c r="BL33" s="548"/>
      <c r="BM33" s="548"/>
      <c r="BN33" s="548"/>
      <c r="BO33" s="548"/>
      <c r="BP33" s="548"/>
      <c r="BQ33" s="548"/>
      <c r="BR33" s="548"/>
      <c r="BS33" s="548"/>
      <c r="BT33" s="548"/>
      <c r="BU33" s="548"/>
      <c r="BV33" s="548"/>
      <c r="BW33" s="548"/>
      <c r="BX33" s="548"/>
      <c r="BY33" s="548"/>
      <c r="BZ33" s="548"/>
      <c r="CA33" s="548"/>
      <c r="CB33" s="548"/>
      <c r="CC33" s="548"/>
      <c r="CD33" s="548"/>
      <c r="CE33" s="548"/>
      <c r="CF33" s="548"/>
      <c r="CG33" s="548"/>
      <c r="CH33" s="548"/>
      <c r="CI33" s="548"/>
      <c r="CJ33" s="548"/>
      <c r="CK33" s="548"/>
      <c r="CL33" s="548"/>
      <c r="CM33" s="548"/>
      <c r="CN33" s="548"/>
      <c r="CO33" s="548"/>
      <c r="CP33" s="548"/>
      <c r="CQ33" s="548"/>
      <c r="CR33" s="548"/>
      <c r="CS33" s="548"/>
      <c r="CT33" s="548"/>
      <c r="CU33" s="548"/>
      <c r="CV33" s="548"/>
      <c r="CW33" s="548"/>
      <c r="CX33" s="548"/>
      <c r="CY33" s="548"/>
      <c r="CZ33" s="548"/>
      <c r="DA33" s="548"/>
      <c r="DB33" s="548"/>
      <c r="DC33" s="548"/>
      <c r="DD33" s="548"/>
      <c r="DE33" s="548"/>
      <c r="DF33" s="548"/>
      <c r="DG33" s="548"/>
      <c r="DH33" s="548"/>
      <c r="DI33" s="548"/>
      <c r="DJ33" s="548"/>
      <c r="DK33" s="548"/>
      <c r="DL33" s="548"/>
      <c r="DM33" s="548"/>
      <c r="DN33" s="548"/>
      <c r="DO33" s="548"/>
      <c r="DP33" s="548"/>
      <c r="DQ33" s="548"/>
      <c r="DR33" s="548"/>
      <c r="DS33" s="548"/>
      <c r="DT33" s="548"/>
      <c r="DU33" s="548"/>
      <c r="DV33" s="548"/>
      <c r="DW33" s="548"/>
      <c r="DX33" s="548"/>
      <c r="DY33" s="548"/>
      <c r="DZ33" s="548"/>
      <c r="EA33" s="548"/>
      <c r="EB33" s="548"/>
      <c r="EC33" s="548"/>
      <c r="ED33" s="548"/>
      <c r="EE33" s="548"/>
      <c r="EF33" s="548"/>
      <c r="EG33" s="548"/>
      <c r="EH33" s="548"/>
      <c r="EI33" s="548"/>
      <c r="EJ33" s="548"/>
      <c r="EK33" s="548"/>
      <c r="EL33" s="548"/>
    </row>
    <row r="34" spans="1:142" s="549" customFormat="1">
      <c r="A34" s="616"/>
      <c r="B34" s="546"/>
      <c r="C34" s="665" t="str">
        <f>+Internal!B112</f>
        <v>EPC WRAP FEE</v>
      </c>
      <c r="D34" s="667"/>
      <c r="E34" s="668">
        <v>0</v>
      </c>
      <c r="F34" s="547"/>
      <c r="G34" s="547"/>
      <c r="H34" s="547"/>
      <c r="I34" s="547"/>
      <c r="J34" s="547"/>
      <c r="K34" s="547"/>
      <c r="L34" s="547">
        <v>1</v>
      </c>
      <c r="M34" s="547"/>
      <c r="N34" s="547"/>
      <c r="O34" s="547"/>
      <c r="P34" s="547"/>
      <c r="Q34" s="547"/>
      <c r="R34" s="547"/>
      <c r="S34" s="547"/>
      <c r="T34" s="547"/>
      <c r="U34" s="547">
        <f t="shared" si="2"/>
        <v>1</v>
      </c>
      <c r="V34" s="548"/>
      <c r="W34" s="548"/>
      <c r="X34" s="548"/>
      <c r="Y34" s="548"/>
      <c r="Z34" s="548"/>
      <c r="AA34" s="548"/>
      <c r="AB34" s="548"/>
      <c r="AC34" s="548"/>
      <c r="AD34" s="548"/>
      <c r="AE34" s="548"/>
      <c r="AF34" s="548"/>
      <c r="AG34" s="548"/>
      <c r="AH34" s="548"/>
      <c r="AI34" s="548"/>
      <c r="AJ34" s="548"/>
      <c r="AK34" s="548"/>
      <c r="AL34" s="548"/>
      <c r="AM34" s="548"/>
      <c r="AN34" s="548"/>
      <c r="AO34" s="548"/>
      <c r="AP34" s="548"/>
      <c r="AQ34" s="548"/>
      <c r="AR34" s="548"/>
      <c r="AS34" s="548"/>
      <c r="AT34" s="548"/>
      <c r="AU34" s="548"/>
      <c r="AV34" s="548"/>
      <c r="AW34" s="548"/>
      <c r="AX34" s="548"/>
      <c r="AY34" s="548"/>
      <c r="AZ34" s="548"/>
      <c r="BA34" s="548"/>
      <c r="BB34" s="548"/>
      <c r="BC34" s="548"/>
      <c r="BD34" s="548"/>
      <c r="BE34" s="548"/>
      <c r="BF34" s="548"/>
      <c r="BG34" s="548"/>
      <c r="BH34" s="548"/>
      <c r="BI34" s="548"/>
      <c r="BJ34" s="548"/>
      <c r="BK34" s="548"/>
      <c r="BL34" s="548"/>
      <c r="BM34" s="548"/>
      <c r="BN34" s="548"/>
      <c r="BO34" s="548"/>
      <c r="BP34" s="548"/>
      <c r="BQ34" s="548"/>
      <c r="BR34" s="548"/>
      <c r="BS34" s="548"/>
      <c r="BT34" s="548"/>
      <c r="BU34" s="548"/>
      <c r="BV34" s="548"/>
      <c r="BW34" s="548"/>
      <c r="BX34" s="548"/>
      <c r="BY34" s="548"/>
      <c r="BZ34" s="548"/>
      <c r="CA34" s="548"/>
      <c r="CB34" s="548"/>
      <c r="CC34" s="548"/>
      <c r="CD34" s="548"/>
      <c r="CE34" s="548"/>
      <c r="CF34" s="548"/>
      <c r="CG34" s="548"/>
      <c r="CH34" s="548"/>
      <c r="CI34" s="548"/>
      <c r="CJ34" s="548"/>
      <c r="CK34" s="548"/>
      <c r="CL34" s="548"/>
      <c r="CM34" s="548"/>
      <c r="CN34" s="548"/>
      <c r="CO34" s="548"/>
      <c r="CP34" s="548"/>
      <c r="CQ34" s="548"/>
      <c r="CR34" s="548"/>
      <c r="CS34" s="548"/>
      <c r="CT34" s="548"/>
      <c r="CU34" s="548"/>
      <c r="CV34" s="548"/>
      <c r="CW34" s="548"/>
      <c r="CX34" s="548"/>
      <c r="CY34" s="548"/>
      <c r="CZ34" s="548"/>
      <c r="DA34" s="548"/>
      <c r="DB34" s="548"/>
      <c r="DC34" s="548"/>
      <c r="DD34" s="548"/>
      <c r="DE34" s="548"/>
      <c r="DF34" s="548"/>
      <c r="DG34" s="548"/>
      <c r="DH34" s="548"/>
      <c r="DI34" s="548"/>
      <c r="DJ34" s="548"/>
      <c r="DK34" s="548"/>
      <c r="DL34" s="548"/>
      <c r="DM34" s="548"/>
      <c r="DN34" s="548"/>
      <c r="DO34" s="548"/>
      <c r="DP34" s="548"/>
      <c r="DQ34" s="548"/>
      <c r="DR34" s="548"/>
      <c r="DS34" s="548"/>
      <c r="DT34" s="548"/>
      <c r="DU34" s="548"/>
      <c r="DV34" s="548"/>
      <c r="DW34" s="548"/>
      <c r="DX34" s="548"/>
      <c r="DY34" s="548"/>
      <c r="DZ34" s="548"/>
      <c r="EA34" s="548"/>
      <c r="EB34" s="548"/>
      <c r="EC34" s="548"/>
      <c r="ED34" s="548"/>
      <c r="EE34" s="548"/>
      <c r="EF34" s="548"/>
      <c r="EG34" s="548"/>
      <c r="EH34" s="548"/>
      <c r="EI34" s="548"/>
      <c r="EJ34" s="548"/>
      <c r="EK34" s="548"/>
      <c r="EL34" s="548"/>
    </row>
    <row r="35" spans="1:142" s="549" customFormat="1">
      <c r="A35" s="616"/>
      <c r="B35" s="546"/>
      <c r="C35" s="665" t="str">
        <f>+Srcs_Uses!B16</f>
        <v>PREDEVELOPMENT EXPENSES TOTAL</v>
      </c>
      <c r="D35" s="667"/>
      <c r="E35" s="668">
        <v>1</v>
      </c>
      <c r="F35" s="547">
        <v>0</v>
      </c>
      <c r="G35" s="547">
        <v>0</v>
      </c>
      <c r="H35" s="547">
        <v>0</v>
      </c>
      <c r="I35" s="547"/>
      <c r="J35" s="547"/>
      <c r="K35" s="547">
        <v>0</v>
      </c>
      <c r="L35" s="547"/>
      <c r="M35" s="547"/>
      <c r="N35" s="547"/>
      <c r="O35" s="547"/>
      <c r="P35" s="547"/>
      <c r="Q35" s="547"/>
      <c r="R35" s="547"/>
      <c r="S35" s="547"/>
      <c r="T35" s="547"/>
      <c r="U35" s="547">
        <f t="shared" ref="U35:U47" si="7">SUM(E35:T35)</f>
        <v>1</v>
      </c>
      <c r="V35" s="548"/>
      <c r="W35" s="548"/>
      <c r="X35" s="548"/>
      <c r="Y35" s="548"/>
      <c r="Z35" s="548"/>
      <c r="AA35" s="548"/>
      <c r="AB35" s="548"/>
      <c r="AC35" s="548"/>
      <c r="AD35" s="548"/>
      <c r="AE35" s="548"/>
      <c r="AF35" s="548"/>
      <c r="AG35" s="548"/>
      <c r="AH35" s="548"/>
      <c r="AI35" s="548"/>
      <c r="AJ35" s="548"/>
      <c r="AK35" s="548"/>
      <c r="AL35" s="548"/>
      <c r="AM35" s="548"/>
      <c r="AN35" s="548"/>
      <c r="AO35" s="548"/>
      <c r="AP35" s="548"/>
      <c r="AQ35" s="548"/>
      <c r="AR35" s="548"/>
      <c r="AS35" s="548"/>
      <c r="AT35" s="548"/>
      <c r="AU35" s="548"/>
      <c r="AV35" s="548"/>
      <c r="AW35" s="548"/>
      <c r="AX35" s="548"/>
      <c r="AY35" s="548"/>
      <c r="AZ35" s="548"/>
      <c r="BA35" s="548"/>
      <c r="BB35" s="548"/>
      <c r="BC35" s="548"/>
      <c r="BD35" s="548"/>
      <c r="BE35" s="548"/>
      <c r="BF35" s="548"/>
      <c r="BG35" s="548"/>
      <c r="BH35" s="548"/>
      <c r="BI35" s="548"/>
      <c r="BJ35" s="548"/>
      <c r="BK35" s="548"/>
      <c r="BL35" s="548"/>
      <c r="BM35" s="548"/>
      <c r="BN35" s="548"/>
      <c r="BO35" s="548"/>
      <c r="BP35" s="548"/>
      <c r="BQ35" s="548"/>
      <c r="BR35" s="548"/>
      <c r="BS35" s="548"/>
      <c r="BT35" s="548"/>
      <c r="BU35" s="548"/>
      <c r="BV35" s="548"/>
      <c r="BW35" s="548"/>
      <c r="BX35" s="548"/>
      <c r="BY35" s="548"/>
      <c r="BZ35" s="548"/>
      <c r="CA35" s="548"/>
      <c r="CB35" s="548"/>
      <c r="CC35" s="548"/>
      <c r="CD35" s="548"/>
      <c r="CE35" s="548"/>
      <c r="CF35" s="548"/>
      <c r="CG35" s="548"/>
      <c r="CH35" s="548"/>
      <c r="CI35" s="548"/>
      <c r="CJ35" s="548"/>
      <c r="CK35" s="548"/>
      <c r="CL35" s="548"/>
      <c r="CM35" s="548"/>
      <c r="CN35" s="548"/>
      <c r="CO35" s="548"/>
      <c r="CP35" s="548"/>
      <c r="CQ35" s="548"/>
      <c r="CR35" s="548"/>
      <c r="CS35" s="548"/>
      <c r="CT35" s="548"/>
      <c r="CU35" s="548"/>
      <c r="CV35" s="548"/>
      <c r="CW35" s="548"/>
      <c r="CX35" s="548"/>
      <c r="CY35" s="548"/>
      <c r="CZ35" s="548"/>
      <c r="DA35" s="548"/>
      <c r="DB35" s="548"/>
      <c r="DC35" s="548"/>
      <c r="DD35" s="548"/>
      <c r="DE35" s="548"/>
      <c r="DF35" s="548"/>
      <c r="DG35" s="548"/>
      <c r="DH35" s="548"/>
      <c r="DI35" s="548"/>
      <c r="DJ35" s="548"/>
      <c r="DK35" s="548"/>
      <c r="DL35" s="548"/>
      <c r="DM35" s="548"/>
      <c r="DN35" s="548"/>
      <c r="DO35" s="548"/>
      <c r="DP35" s="548"/>
      <c r="DQ35" s="548"/>
      <c r="DR35" s="548"/>
      <c r="DS35" s="548"/>
      <c r="DT35" s="548"/>
      <c r="DU35" s="548"/>
      <c r="DV35" s="548"/>
      <c r="DW35" s="548"/>
      <c r="DX35" s="548"/>
      <c r="DY35" s="548"/>
      <c r="DZ35" s="548"/>
      <c r="EA35" s="548"/>
      <c r="EB35" s="548"/>
      <c r="EC35" s="548"/>
      <c r="ED35" s="548"/>
      <c r="EE35" s="548"/>
      <c r="EF35" s="548"/>
      <c r="EG35" s="548"/>
      <c r="EH35" s="548"/>
      <c r="EI35" s="548"/>
      <c r="EJ35" s="548"/>
      <c r="EK35" s="548"/>
      <c r="EL35" s="548"/>
    </row>
    <row r="36" spans="1:142" s="549" customFormat="1">
      <c r="A36" s="616"/>
      <c r="B36" s="546"/>
      <c r="C36" s="665" t="str">
        <f>+Srcs_Uses!B20</f>
        <v>LEGAL CLOSING</v>
      </c>
      <c r="D36" s="667"/>
      <c r="E36" s="668">
        <v>0</v>
      </c>
      <c r="F36" s="547">
        <v>0</v>
      </c>
      <c r="G36" s="547">
        <v>0</v>
      </c>
      <c r="H36" s="547">
        <v>0</v>
      </c>
      <c r="I36" s="547">
        <v>0</v>
      </c>
      <c r="J36" s="547">
        <v>0</v>
      </c>
      <c r="K36" s="547">
        <v>1</v>
      </c>
      <c r="L36" s="547"/>
      <c r="M36" s="547"/>
      <c r="N36" s="547"/>
      <c r="O36" s="547"/>
      <c r="P36" s="547"/>
      <c r="Q36" s="547"/>
      <c r="R36" s="547"/>
      <c r="S36" s="547"/>
      <c r="T36" s="547">
        <v>0</v>
      </c>
      <c r="U36" s="547">
        <f t="shared" si="7"/>
        <v>1</v>
      </c>
      <c r="V36" s="548"/>
      <c r="W36" s="548"/>
      <c r="X36" s="548"/>
      <c r="Y36" s="548"/>
      <c r="Z36" s="548"/>
      <c r="AA36" s="548"/>
      <c r="AB36" s="548"/>
      <c r="AC36" s="548"/>
      <c r="AD36" s="548"/>
      <c r="AE36" s="548"/>
      <c r="AF36" s="548"/>
      <c r="AG36" s="548"/>
      <c r="AH36" s="548"/>
      <c r="AI36" s="548"/>
      <c r="AJ36" s="548"/>
      <c r="AK36" s="548"/>
      <c r="AL36" s="548"/>
      <c r="AM36" s="548"/>
      <c r="AN36" s="548"/>
      <c r="AO36" s="548"/>
      <c r="AP36" s="548"/>
      <c r="AQ36" s="548"/>
      <c r="AR36" s="548"/>
      <c r="AS36" s="548"/>
      <c r="AT36" s="548"/>
      <c r="AU36" s="548"/>
      <c r="AV36" s="548"/>
      <c r="AW36" s="548"/>
      <c r="AX36" s="548"/>
      <c r="AY36" s="548"/>
      <c r="AZ36" s="548"/>
      <c r="BA36" s="548"/>
      <c r="BB36" s="548"/>
      <c r="BC36" s="548"/>
      <c r="BD36" s="548"/>
      <c r="BE36" s="548"/>
      <c r="BF36" s="548"/>
      <c r="BG36" s="548"/>
      <c r="BH36" s="548"/>
      <c r="BI36" s="548"/>
      <c r="BJ36" s="548"/>
      <c r="BK36" s="548"/>
      <c r="BL36" s="548"/>
      <c r="BM36" s="548"/>
      <c r="BN36" s="548"/>
      <c r="BO36" s="548"/>
      <c r="BP36" s="548"/>
      <c r="BQ36" s="548"/>
      <c r="BR36" s="548"/>
      <c r="BS36" s="548"/>
      <c r="BT36" s="548"/>
      <c r="BU36" s="548"/>
      <c r="BV36" s="548"/>
      <c r="BW36" s="548"/>
      <c r="BX36" s="548"/>
      <c r="BY36" s="548"/>
      <c r="BZ36" s="548"/>
      <c r="CA36" s="548"/>
      <c r="CB36" s="548"/>
      <c r="CC36" s="548"/>
      <c r="CD36" s="548"/>
      <c r="CE36" s="548"/>
      <c r="CF36" s="548"/>
      <c r="CG36" s="548"/>
      <c r="CH36" s="548"/>
      <c r="CI36" s="548"/>
      <c r="CJ36" s="548"/>
      <c r="CK36" s="548"/>
      <c r="CL36" s="548"/>
      <c r="CM36" s="548"/>
      <c r="CN36" s="548"/>
      <c r="CO36" s="548"/>
      <c r="CP36" s="548"/>
      <c r="CQ36" s="548"/>
      <c r="CR36" s="548"/>
      <c r="CS36" s="548"/>
      <c r="CT36" s="548"/>
      <c r="CU36" s="548"/>
      <c r="CV36" s="548"/>
      <c r="CW36" s="548"/>
      <c r="CX36" s="548"/>
      <c r="CY36" s="548"/>
      <c r="CZ36" s="548"/>
      <c r="DA36" s="548"/>
      <c r="DB36" s="548"/>
      <c r="DC36" s="548"/>
      <c r="DD36" s="548"/>
      <c r="DE36" s="548"/>
      <c r="DF36" s="548"/>
      <c r="DG36" s="548"/>
      <c r="DH36" s="548"/>
      <c r="DI36" s="548"/>
      <c r="DJ36" s="548"/>
      <c r="DK36" s="548"/>
      <c r="DL36" s="548"/>
      <c r="DM36" s="548"/>
      <c r="DN36" s="548"/>
      <c r="DO36" s="548"/>
      <c r="DP36" s="548"/>
      <c r="DQ36" s="548"/>
      <c r="DR36" s="548"/>
      <c r="DS36" s="548"/>
      <c r="DT36" s="548"/>
      <c r="DU36" s="548"/>
      <c r="DV36" s="548"/>
      <c r="DW36" s="548"/>
      <c r="DX36" s="548"/>
      <c r="DY36" s="548"/>
      <c r="DZ36" s="548"/>
      <c r="EA36" s="548"/>
      <c r="EB36" s="548"/>
      <c r="EC36" s="548"/>
      <c r="ED36" s="548"/>
      <c r="EE36" s="548"/>
      <c r="EF36" s="548"/>
      <c r="EG36" s="548"/>
      <c r="EH36" s="548"/>
      <c r="EI36" s="548"/>
      <c r="EJ36" s="548"/>
      <c r="EK36" s="548"/>
      <c r="EL36" s="548"/>
    </row>
    <row r="37" spans="1:142" s="549" customFormat="1">
      <c r="A37" s="616"/>
      <c r="B37" s="546"/>
      <c r="C37" s="665" t="str">
        <f>+Srcs_Uses!B21</f>
        <v>BANKING DUE DILIGENCE EXPENSES</v>
      </c>
      <c r="D37" s="667"/>
      <c r="E37" s="668">
        <v>1</v>
      </c>
      <c r="F37" s="547"/>
      <c r="G37" s="547"/>
      <c r="H37" s="547"/>
      <c r="I37" s="547"/>
      <c r="J37" s="547"/>
      <c r="K37" s="547">
        <v>0</v>
      </c>
      <c r="L37" s="547"/>
      <c r="M37" s="547"/>
      <c r="N37" s="547"/>
      <c r="O37" s="547"/>
      <c r="P37" s="547"/>
      <c r="Q37" s="547"/>
      <c r="R37" s="547"/>
      <c r="S37" s="547"/>
      <c r="T37" s="547"/>
      <c r="U37" s="547">
        <f t="shared" si="7"/>
        <v>1</v>
      </c>
      <c r="V37" s="548"/>
      <c r="W37" s="548"/>
      <c r="X37" s="548"/>
      <c r="Y37" s="548"/>
      <c r="Z37" s="548"/>
      <c r="AA37" s="548"/>
      <c r="AB37" s="548"/>
      <c r="AC37" s="548"/>
      <c r="AD37" s="548"/>
      <c r="AE37" s="548"/>
      <c r="AF37" s="548"/>
      <c r="AG37" s="548"/>
      <c r="AH37" s="548"/>
      <c r="AI37" s="548"/>
      <c r="AJ37" s="548"/>
      <c r="AK37" s="548"/>
      <c r="AL37" s="548"/>
      <c r="AM37" s="548"/>
      <c r="AN37" s="548"/>
      <c r="AO37" s="548"/>
      <c r="AP37" s="548"/>
      <c r="AQ37" s="548"/>
      <c r="AR37" s="548"/>
      <c r="AS37" s="548"/>
      <c r="AT37" s="548"/>
      <c r="AU37" s="548"/>
      <c r="AV37" s="548"/>
      <c r="AW37" s="548"/>
      <c r="AX37" s="548"/>
      <c r="AY37" s="548"/>
      <c r="AZ37" s="548"/>
      <c r="BA37" s="548"/>
      <c r="BB37" s="548"/>
      <c r="BC37" s="548"/>
      <c r="BD37" s="548"/>
      <c r="BE37" s="548"/>
      <c r="BF37" s="548"/>
      <c r="BG37" s="548"/>
      <c r="BH37" s="548"/>
      <c r="BI37" s="548"/>
      <c r="BJ37" s="548"/>
      <c r="BK37" s="548"/>
      <c r="BL37" s="548"/>
      <c r="BM37" s="548"/>
      <c r="BN37" s="548"/>
      <c r="BO37" s="548"/>
      <c r="BP37" s="548"/>
      <c r="BQ37" s="548"/>
      <c r="BR37" s="548"/>
      <c r="BS37" s="548"/>
      <c r="BT37" s="548"/>
      <c r="BU37" s="548"/>
      <c r="BV37" s="548"/>
      <c r="BW37" s="548"/>
      <c r="BX37" s="548"/>
      <c r="BY37" s="548"/>
      <c r="BZ37" s="548"/>
      <c r="CA37" s="548"/>
      <c r="CB37" s="548"/>
      <c r="CC37" s="548"/>
      <c r="CD37" s="548"/>
      <c r="CE37" s="548"/>
      <c r="CF37" s="548"/>
      <c r="CG37" s="548"/>
      <c r="CH37" s="548"/>
      <c r="CI37" s="548"/>
      <c r="CJ37" s="548"/>
      <c r="CK37" s="548"/>
      <c r="CL37" s="548"/>
      <c r="CM37" s="548"/>
      <c r="CN37" s="548"/>
      <c r="CO37" s="548"/>
      <c r="CP37" s="548"/>
      <c r="CQ37" s="548"/>
      <c r="CR37" s="548"/>
      <c r="CS37" s="548"/>
      <c r="CT37" s="548"/>
      <c r="CU37" s="548"/>
      <c r="CV37" s="548"/>
      <c r="CW37" s="548"/>
      <c r="CX37" s="548"/>
      <c r="CY37" s="548"/>
      <c r="CZ37" s="548"/>
      <c r="DA37" s="548"/>
      <c r="DB37" s="548"/>
      <c r="DC37" s="548"/>
      <c r="DD37" s="548"/>
      <c r="DE37" s="548"/>
      <c r="DF37" s="548"/>
      <c r="DG37" s="548"/>
      <c r="DH37" s="548"/>
      <c r="DI37" s="548"/>
      <c r="DJ37" s="548"/>
      <c r="DK37" s="548"/>
      <c r="DL37" s="548"/>
      <c r="DM37" s="548"/>
      <c r="DN37" s="548"/>
      <c r="DO37" s="548"/>
      <c r="DP37" s="548"/>
      <c r="DQ37" s="548"/>
      <c r="DR37" s="548"/>
      <c r="DS37" s="548"/>
      <c r="DT37" s="548"/>
      <c r="DU37" s="548"/>
      <c r="DV37" s="548"/>
      <c r="DW37" s="548"/>
      <c r="DX37" s="548"/>
      <c r="DY37" s="548"/>
      <c r="DZ37" s="548"/>
      <c r="EA37" s="548"/>
      <c r="EB37" s="548"/>
      <c r="EC37" s="548"/>
      <c r="ED37" s="548"/>
      <c r="EE37" s="548"/>
      <c r="EF37" s="548"/>
      <c r="EG37" s="548"/>
      <c r="EH37" s="548"/>
      <c r="EI37" s="548"/>
      <c r="EJ37" s="548"/>
      <c r="EK37" s="548"/>
      <c r="EL37" s="548"/>
    </row>
    <row r="38" spans="1:142" s="549" customFormat="1">
      <c r="A38" s="616"/>
      <c r="B38" s="546"/>
      <c r="C38" s="665" t="str">
        <f>+Srcs_Uses!B22</f>
        <v>INDEPENDENT ENGINEER</v>
      </c>
      <c r="D38" s="667"/>
      <c r="E38" s="668">
        <v>0.1</v>
      </c>
      <c r="F38" s="547">
        <v>0.1</v>
      </c>
      <c r="G38" s="547">
        <v>0.1</v>
      </c>
      <c r="H38" s="547">
        <v>0.1</v>
      </c>
      <c r="I38" s="547">
        <v>0.1</v>
      </c>
      <c r="J38" s="547">
        <v>0.1</v>
      </c>
      <c r="K38" s="547">
        <v>0.1</v>
      </c>
      <c r="L38" s="547">
        <v>0.1</v>
      </c>
      <c r="M38" s="547">
        <v>0.1</v>
      </c>
      <c r="N38" s="547">
        <v>0.1</v>
      </c>
      <c r="O38" s="547"/>
      <c r="P38" s="547"/>
      <c r="Q38" s="547"/>
      <c r="R38" s="547"/>
      <c r="S38" s="547"/>
      <c r="T38" s="547"/>
      <c r="U38" s="547">
        <f t="shared" si="7"/>
        <v>0.99999999999999989</v>
      </c>
      <c r="V38" s="548"/>
      <c r="W38" s="548"/>
      <c r="X38" s="548"/>
      <c r="Y38" s="548"/>
      <c r="Z38" s="548"/>
      <c r="AA38" s="548"/>
      <c r="AB38" s="548"/>
      <c r="AC38" s="548"/>
      <c r="AD38" s="548"/>
      <c r="AE38" s="548"/>
      <c r="AF38" s="548"/>
      <c r="AG38" s="548"/>
      <c r="AH38" s="548"/>
      <c r="AI38" s="548"/>
      <c r="AJ38" s="548"/>
      <c r="AK38" s="548"/>
      <c r="AL38" s="548"/>
      <c r="AM38" s="548"/>
      <c r="AN38" s="548"/>
      <c r="AO38" s="548"/>
      <c r="AP38" s="548"/>
      <c r="AQ38" s="548"/>
      <c r="AR38" s="548"/>
      <c r="AS38" s="548"/>
      <c r="AT38" s="548"/>
      <c r="AU38" s="548"/>
      <c r="AV38" s="548"/>
      <c r="AW38" s="548"/>
      <c r="AX38" s="548"/>
      <c r="AY38" s="548"/>
      <c r="AZ38" s="548"/>
      <c r="BA38" s="548"/>
      <c r="BB38" s="548"/>
      <c r="BC38" s="548"/>
      <c r="BD38" s="548"/>
      <c r="BE38" s="548"/>
      <c r="BF38" s="548"/>
      <c r="BG38" s="548"/>
      <c r="BH38" s="548"/>
      <c r="BI38" s="548"/>
      <c r="BJ38" s="548"/>
      <c r="BK38" s="548"/>
      <c r="BL38" s="548"/>
      <c r="BM38" s="548"/>
      <c r="BN38" s="548"/>
      <c r="BO38" s="548"/>
      <c r="BP38" s="548"/>
      <c r="BQ38" s="548"/>
      <c r="BR38" s="548"/>
      <c r="BS38" s="548"/>
      <c r="BT38" s="548"/>
      <c r="BU38" s="548"/>
      <c r="BV38" s="548"/>
      <c r="BW38" s="548"/>
      <c r="BX38" s="548"/>
      <c r="BY38" s="548"/>
      <c r="BZ38" s="548"/>
      <c r="CA38" s="548"/>
      <c r="CB38" s="548"/>
      <c r="CC38" s="548"/>
      <c r="CD38" s="548"/>
      <c r="CE38" s="548"/>
      <c r="CF38" s="548"/>
      <c r="CG38" s="548"/>
      <c r="CH38" s="548"/>
      <c r="CI38" s="548"/>
      <c r="CJ38" s="548"/>
      <c r="CK38" s="548"/>
      <c r="CL38" s="548"/>
      <c r="CM38" s="548"/>
      <c r="CN38" s="548"/>
      <c r="CO38" s="548"/>
      <c r="CP38" s="548"/>
      <c r="CQ38" s="548"/>
      <c r="CR38" s="548"/>
      <c r="CS38" s="548"/>
      <c r="CT38" s="548"/>
      <c r="CU38" s="548"/>
      <c r="CV38" s="548"/>
      <c r="CW38" s="548"/>
      <c r="CX38" s="548"/>
      <c r="CY38" s="548"/>
      <c r="CZ38" s="548"/>
      <c r="DA38" s="548"/>
      <c r="DB38" s="548"/>
      <c r="DC38" s="548"/>
      <c r="DD38" s="548"/>
      <c r="DE38" s="548"/>
      <c r="DF38" s="548"/>
      <c r="DG38" s="548"/>
      <c r="DH38" s="548"/>
      <c r="DI38" s="548"/>
      <c r="DJ38" s="548"/>
      <c r="DK38" s="548"/>
      <c r="DL38" s="548"/>
      <c r="DM38" s="548"/>
      <c r="DN38" s="548"/>
      <c r="DO38" s="548"/>
      <c r="DP38" s="548"/>
      <c r="DQ38" s="548"/>
      <c r="DR38" s="548"/>
      <c r="DS38" s="548"/>
      <c r="DT38" s="548"/>
      <c r="DU38" s="548"/>
      <c r="DV38" s="548"/>
      <c r="DW38" s="548"/>
      <c r="DX38" s="548"/>
      <c r="DY38" s="548"/>
      <c r="DZ38" s="548"/>
      <c r="EA38" s="548"/>
      <c r="EB38" s="548"/>
      <c r="EC38" s="548"/>
      <c r="ED38" s="548"/>
      <c r="EE38" s="548"/>
      <c r="EF38" s="548"/>
      <c r="EG38" s="548"/>
      <c r="EH38" s="548"/>
      <c r="EI38" s="548"/>
      <c r="EJ38" s="548"/>
      <c r="EK38" s="548"/>
      <c r="EL38" s="548"/>
    </row>
    <row r="39" spans="1:142" s="549" customFormat="1">
      <c r="A39" s="616"/>
      <c r="B39" s="546"/>
      <c r="C39" s="665" t="str">
        <f>+Srcs_Uses!B23</f>
        <v>INSURANCE CONSULTANT FEES</v>
      </c>
      <c r="D39" s="667"/>
      <c r="E39" s="668">
        <v>0.1</v>
      </c>
      <c r="F39" s="547">
        <v>0.1</v>
      </c>
      <c r="G39" s="547">
        <v>0.1</v>
      </c>
      <c r="H39" s="547">
        <v>0.1</v>
      </c>
      <c r="I39" s="547">
        <v>0.1</v>
      </c>
      <c r="J39" s="547">
        <v>0.1</v>
      </c>
      <c r="K39" s="547">
        <v>0.1</v>
      </c>
      <c r="L39" s="547">
        <v>0.1</v>
      </c>
      <c r="M39" s="547">
        <v>0.1</v>
      </c>
      <c r="N39" s="547">
        <v>0.1</v>
      </c>
      <c r="O39" s="547"/>
      <c r="P39" s="547"/>
      <c r="Q39" s="547"/>
      <c r="R39" s="547"/>
      <c r="S39" s="547"/>
      <c r="T39" s="547"/>
      <c r="U39" s="547">
        <f t="shared" si="7"/>
        <v>0.99999999999999989</v>
      </c>
      <c r="V39" s="548"/>
      <c r="W39" s="548"/>
      <c r="X39" s="548"/>
      <c r="Y39" s="548"/>
      <c r="Z39" s="548"/>
      <c r="AA39" s="548"/>
      <c r="AB39" s="548"/>
      <c r="AC39" s="548"/>
      <c r="AD39" s="548"/>
      <c r="AE39" s="548"/>
      <c r="AF39" s="548"/>
      <c r="AG39" s="548"/>
      <c r="AH39" s="548"/>
      <c r="AI39" s="548"/>
      <c r="AJ39" s="548"/>
      <c r="AK39" s="548"/>
      <c r="AL39" s="548"/>
      <c r="AM39" s="548"/>
      <c r="AN39" s="548"/>
      <c r="AO39" s="548"/>
      <c r="AP39" s="548"/>
      <c r="AQ39" s="548"/>
      <c r="AR39" s="548"/>
      <c r="AS39" s="548"/>
      <c r="AT39" s="548"/>
      <c r="AU39" s="548"/>
      <c r="AV39" s="548"/>
      <c r="AW39" s="548"/>
      <c r="AX39" s="548"/>
      <c r="AY39" s="548"/>
      <c r="AZ39" s="548"/>
      <c r="BA39" s="548"/>
      <c r="BB39" s="548"/>
      <c r="BC39" s="548"/>
      <c r="BD39" s="548"/>
      <c r="BE39" s="548"/>
      <c r="BF39" s="548"/>
      <c r="BG39" s="548"/>
      <c r="BH39" s="548"/>
      <c r="BI39" s="548"/>
      <c r="BJ39" s="548"/>
      <c r="BK39" s="548"/>
      <c r="BL39" s="548"/>
      <c r="BM39" s="548"/>
      <c r="BN39" s="548"/>
      <c r="BO39" s="548"/>
      <c r="BP39" s="548"/>
      <c r="BQ39" s="548"/>
      <c r="BR39" s="548"/>
      <c r="BS39" s="548"/>
      <c r="BT39" s="548"/>
      <c r="BU39" s="548"/>
      <c r="BV39" s="548"/>
      <c r="BW39" s="548"/>
      <c r="BX39" s="548"/>
      <c r="BY39" s="548"/>
      <c r="BZ39" s="548"/>
      <c r="CA39" s="548"/>
      <c r="CB39" s="548"/>
      <c r="CC39" s="548"/>
      <c r="CD39" s="548"/>
      <c r="CE39" s="548"/>
      <c r="CF39" s="548"/>
      <c r="CG39" s="548"/>
      <c r="CH39" s="548"/>
      <c r="CI39" s="548"/>
      <c r="CJ39" s="548"/>
      <c r="CK39" s="548"/>
      <c r="CL39" s="548"/>
      <c r="CM39" s="548"/>
      <c r="CN39" s="548"/>
      <c r="CO39" s="548"/>
      <c r="CP39" s="548"/>
      <c r="CQ39" s="548"/>
      <c r="CR39" s="548"/>
      <c r="CS39" s="548"/>
      <c r="CT39" s="548"/>
      <c r="CU39" s="548"/>
      <c r="CV39" s="548"/>
      <c r="CW39" s="548"/>
      <c r="CX39" s="548"/>
      <c r="CY39" s="548"/>
      <c r="CZ39" s="548"/>
      <c r="DA39" s="548"/>
      <c r="DB39" s="548"/>
      <c r="DC39" s="548"/>
      <c r="DD39" s="548"/>
      <c r="DE39" s="548"/>
      <c r="DF39" s="548"/>
      <c r="DG39" s="548"/>
      <c r="DH39" s="548"/>
      <c r="DI39" s="548"/>
      <c r="DJ39" s="548"/>
      <c r="DK39" s="548"/>
      <c r="DL39" s="548"/>
      <c r="DM39" s="548"/>
      <c r="DN39" s="548"/>
      <c r="DO39" s="548"/>
      <c r="DP39" s="548"/>
      <c r="DQ39" s="548"/>
      <c r="DR39" s="548"/>
      <c r="DS39" s="548"/>
      <c r="DT39" s="548"/>
      <c r="DU39" s="548"/>
      <c r="DV39" s="548"/>
      <c r="DW39" s="548"/>
      <c r="DX39" s="548"/>
      <c r="DY39" s="548"/>
      <c r="DZ39" s="548"/>
      <c r="EA39" s="548"/>
      <c r="EB39" s="548"/>
      <c r="EC39" s="548"/>
      <c r="ED39" s="548"/>
      <c r="EE39" s="548"/>
      <c r="EF39" s="548"/>
      <c r="EG39" s="548"/>
      <c r="EH39" s="548"/>
      <c r="EI39" s="548"/>
      <c r="EJ39" s="548"/>
      <c r="EK39" s="548"/>
      <c r="EL39" s="548"/>
    </row>
    <row r="40" spans="1:142" s="549" customFormat="1">
      <c r="A40" s="616"/>
      <c r="B40" s="546"/>
      <c r="C40" s="665" t="str">
        <f>+Srcs_Uses!B24</f>
        <v xml:space="preserve">INITIAL WORKING CAPITAL </v>
      </c>
      <c r="D40" s="667"/>
      <c r="E40" s="668">
        <v>1</v>
      </c>
      <c r="F40" s="547"/>
      <c r="G40" s="547"/>
      <c r="H40" s="547"/>
      <c r="I40" s="547"/>
      <c r="J40" s="547"/>
      <c r="K40" s="547"/>
      <c r="L40" s="547"/>
      <c r="M40" s="547"/>
      <c r="N40" s="547"/>
      <c r="O40" s="547"/>
      <c r="P40" s="547"/>
      <c r="Q40" s="547"/>
      <c r="R40" s="547"/>
      <c r="S40" s="547"/>
      <c r="T40" s="547"/>
      <c r="U40" s="547">
        <f t="shared" si="7"/>
        <v>1</v>
      </c>
      <c r="V40" s="548"/>
      <c r="W40" s="548"/>
      <c r="X40" s="548"/>
      <c r="Y40" s="548"/>
      <c r="Z40" s="548"/>
      <c r="AA40" s="548"/>
      <c r="AB40" s="548"/>
      <c r="AC40" s="548"/>
      <c r="AD40" s="548"/>
      <c r="AE40" s="548"/>
      <c r="AF40" s="548"/>
      <c r="AG40" s="548"/>
      <c r="AH40" s="548"/>
      <c r="AI40" s="548"/>
      <c r="AJ40" s="548"/>
      <c r="AK40" s="548"/>
      <c r="AL40" s="548"/>
      <c r="AM40" s="548"/>
      <c r="AN40" s="548"/>
      <c r="AO40" s="548"/>
      <c r="AP40" s="548"/>
      <c r="AQ40" s="548"/>
      <c r="AR40" s="548"/>
      <c r="AS40" s="548"/>
      <c r="AT40" s="548"/>
      <c r="AU40" s="548"/>
      <c r="AV40" s="548"/>
      <c r="AW40" s="548"/>
      <c r="AX40" s="548"/>
      <c r="AY40" s="548"/>
      <c r="AZ40" s="548"/>
      <c r="BA40" s="548"/>
      <c r="BB40" s="548"/>
      <c r="BC40" s="548"/>
      <c r="BD40" s="548"/>
      <c r="BE40" s="548"/>
      <c r="BF40" s="548"/>
      <c r="BG40" s="548"/>
      <c r="BH40" s="548"/>
      <c r="BI40" s="548"/>
      <c r="BJ40" s="548"/>
      <c r="BK40" s="548"/>
      <c r="BL40" s="548"/>
      <c r="BM40" s="548"/>
      <c r="BN40" s="548"/>
      <c r="BO40" s="548"/>
      <c r="BP40" s="548"/>
      <c r="BQ40" s="548"/>
      <c r="BR40" s="548"/>
      <c r="BS40" s="548"/>
      <c r="BT40" s="548"/>
      <c r="BU40" s="548"/>
      <c r="BV40" s="548"/>
      <c r="BW40" s="548"/>
      <c r="BX40" s="548"/>
      <c r="BY40" s="548"/>
      <c r="BZ40" s="548"/>
      <c r="CA40" s="548"/>
      <c r="CB40" s="548"/>
      <c r="CC40" s="548"/>
      <c r="CD40" s="548"/>
      <c r="CE40" s="548"/>
      <c r="CF40" s="548"/>
      <c r="CG40" s="548"/>
      <c r="CH40" s="548"/>
      <c r="CI40" s="548"/>
      <c r="CJ40" s="548"/>
      <c r="CK40" s="548"/>
      <c r="CL40" s="548"/>
      <c r="CM40" s="548"/>
      <c r="CN40" s="548"/>
      <c r="CO40" s="548"/>
      <c r="CP40" s="548"/>
      <c r="CQ40" s="548"/>
      <c r="CR40" s="548"/>
      <c r="CS40" s="548"/>
      <c r="CT40" s="548"/>
      <c r="CU40" s="548"/>
      <c r="CV40" s="548"/>
      <c r="CW40" s="548"/>
      <c r="CX40" s="548"/>
      <c r="CY40" s="548"/>
      <c r="CZ40" s="548"/>
      <c r="DA40" s="548"/>
      <c r="DB40" s="548"/>
      <c r="DC40" s="548"/>
      <c r="DD40" s="548"/>
      <c r="DE40" s="548"/>
      <c r="DF40" s="548"/>
      <c r="DG40" s="548"/>
      <c r="DH40" s="548"/>
      <c r="DI40" s="548"/>
      <c r="DJ40" s="548"/>
      <c r="DK40" s="548"/>
      <c r="DL40" s="548"/>
      <c r="DM40" s="548"/>
      <c r="DN40" s="548"/>
      <c r="DO40" s="548"/>
      <c r="DP40" s="548"/>
      <c r="DQ40" s="548"/>
      <c r="DR40" s="548"/>
      <c r="DS40" s="548"/>
      <c r="DT40" s="548"/>
      <c r="DU40" s="548"/>
      <c r="DV40" s="548"/>
      <c r="DW40" s="548"/>
      <c r="DX40" s="548"/>
      <c r="DY40" s="548"/>
      <c r="DZ40" s="548"/>
      <c r="EA40" s="548"/>
      <c r="EB40" s="548"/>
      <c r="EC40" s="548"/>
      <c r="ED40" s="548"/>
      <c r="EE40" s="548"/>
      <c r="EF40" s="548"/>
      <c r="EG40" s="548"/>
      <c r="EH40" s="548"/>
      <c r="EI40" s="548"/>
      <c r="EJ40" s="548"/>
      <c r="EK40" s="548"/>
      <c r="EL40" s="548"/>
    </row>
    <row r="41" spans="1:142" s="549" customFormat="1">
      <c r="A41" s="616"/>
      <c r="B41" s="546"/>
      <c r="C41" s="665" t="str">
        <f>+Srcs_Uses!B25</f>
        <v>LAND USE PAYMENT</v>
      </c>
      <c r="D41" s="667"/>
      <c r="E41" s="668">
        <v>1</v>
      </c>
      <c r="F41" s="547"/>
      <c r="G41" s="547"/>
      <c r="H41" s="547"/>
      <c r="I41" s="547"/>
      <c r="J41" s="547"/>
      <c r="K41" s="547"/>
      <c r="L41" s="547"/>
      <c r="M41" s="547"/>
      <c r="N41" s="547"/>
      <c r="O41" s="547"/>
      <c r="P41" s="547"/>
      <c r="Q41" s="547"/>
      <c r="R41" s="547"/>
      <c r="S41" s="547"/>
      <c r="T41" s="547"/>
      <c r="U41" s="547">
        <f t="shared" si="7"/>
        <v>1</v>
      </c>
      <c r="V41" s="548"/>
      <c r="W41" s="548"/>
      <c r="X41" s="548"/>
      <c r="Y41" s="548"/>
      <c r="Z41" s="548"/>
      <c r="AA41" s="548"/>
      <c r="AB41" s="548"/>
      <c r="AC41" s="548"/>
      <c r="AD41" s="548"/>
      <c r="AE41" s="548"/>
      <c r="AF41" s="548"/>
      <c r="AG41" s="548"/>
      <c r="AH41" s="548"/>
      <c r="AI41" s="548"/>
      <c r="AJ41" s="548"/>
      <c r="AK41" s="548"/>
      <c r="AL41" s="548"/>
      <c r="AM41" s="548"/>
      <c r="AN41" s="548"/>
      <c r="AO41" s="548"/>
      <c r="AP41" s="548"/>
      <c r="AQ41" s="548"/>
      <c r="AR41" s="548"/>
      <c r="AS41" s="548"/>
      <c r="AT41" s="548"/>
      <c r="AU41" s="548"/>
      <c r="AV41" s="548"/>
      <c r="AW41" s="548"/>
      <c r="AX41" s="548"/>
      <c r="AY41" s="548"/>
      <c r="AZ41" s="548"/>
      <c r="BA41" s="548"/>
      <c r="BB41" s="548"/>
      <c r="BC41" s="548"/>
      <c r="BD41" s="548"/>
      <c r="BE41" s="548"/>
      <c r="BF41" s="548"/>
      <c r="BG41" s="548"/>
      <c r="BH41" s="548"/>
      <c r="BI41" s="548"/>
      <c r="BJ41" s="548"/>
      <c r="BK41" s="548"/>
      <c r="BL41" s="548"/>
      <c r="BM41" s="548"/>
      <c r="BN41" s="548"/>
      <c r="BO41" s="548"/>
      <c r="BP41" s="548"/>
      <c r="BQ41" s="548"/>
      <c r="BR41" s="548"/>
      <c r="BS41" s="548"/>
      <c r="BT41" s="548"/>
      <c r="BU41" s="548"/>
      <c r="BV41" s="548"/>
      <c r="BW41" s="548"/>
      <c r="BX41" s="548"/>
      <c r="BY41" s="548"/>
      <c r="BZ41" s="548"/>
      <c r="CA41" s="548"/>
      <c r="CB41" s="548"/>
      <c r="CC41" s="548"/>
      <c r="CD41" s="548"/>
      <c r="CE41" s="548"/>
      <c r="CF41" s="548"/>
      <c r="CG41" s="548"/>
      <c r="CH41" s="548"/>
      <c r="CI41" s="548"/>
      <c r="CJ41" s="548"/>
      <c r="CK41" s="548"/>
      <c r="CL41" s="548"/>
      <c r="CM41" s="548"/>
      <c r="CN41" s="548"/>
      <c r="CO41" s="548"/>
      <c r="CP41" s="548"/>
      <c r="CQ41" s="548"/>
      <c r="CR41" s="548"/>
      <c r="CS41" s="548"/>
      <c r="CT41" s="548"/>
      <c r="CU41" s="548"/>
      <c r="CV41" s="548"/>
      <c r="CW41" s="548"/>
      <c r="CX41" s="548"/>
      <c r="CY41" s="548"/>
      <c r="CZ41" s="548"/>
      <c r="DA41" s="548"/>
      <c r="DB41" s="548"/>
      <c r="DC41" s="548"/>
      <c r="DD41" s="548"/>
      <c r="DE41" s="548"/>
      <c r="DF41" s="548"/>
      <c r="DG41" s="548"/>
      <c r="DH41" s="548"/>
      <c r="DI41" s="548"/>
      <c r="DJ41" s="548"/>
      <c r="DK41" s="548"/>
      <c r="DL41" s="548"/>
      <c r="DM41" s="548"/>
      <c r="DN41" s="548"/>
      <c r="DO41" s="548"/>
      <c r="DP41" s="548"/>
      <c r="DQ41" s="548"/>
      <c r="DR41" s="548"/>
      <c r="DS41" s="548"/>
      <c r="DT41" s="548"/>
      <c r="DU41" s="548"/>
      <c r="DV41" s="548"/>
      <c r="DW41" s="548"/>
      <c r="DX41" s="548"/>
      <c r="DY41" s="548"/>
      <c r="DZ41" s="548"/>
      <c r="EA41" s="548"/>
      <c r="EB41" s="548"/>
      <c r="EC41" s="548"/>
      <c r="ED41" s="548"/>
      <c r="EE41" s="548"/>
      <c r="EF41" s="548"/>
      <c r="EG41" s="548"/>
      <c r="EH41" s="548"/>
      <c r="EI41" s="548"/>
      <c r="EJ41" s="548"/>
      <c r="EK41" s="548"/>
      <c r="EL41" s="548"/>
    </row>
    <row r="42" spans="1:142" s="549" customFormat="1">
      <c r="A42" s="616"/>
      <c r="B42" s="546"/>
      <c r="C42" s="665" t="str">
        <f>+Srcs_Uses!B26</f>
        <v>EQUITY CLOSING EXPENSES</v>
      </c>
      <c r="D42" s="667"/>
      <c r="E42" s="668">
        <v>0</v>
      </c>
      <c r="F42" s="547"/>
      <c r="G42" s="547"/>
      <c r="H42" s="547"/>
      <c r="I42" s="547"/>
      <c r="J42" s="547">
        <v>0.5</v>
      </c>
      <c r="K42" s="547"/>
      <c r="L42" s="547"/>
      <c r="M42" s="547"/>
      <c r="N42" s="547">
        <v>0.5</v>
      </c>
      <c r="O42" s="547"/>
      <c r="P42" s="547"/>
      <c r="Q42" s="547"/>
      <c r="R42" s="547"/>
      <c r="S42" s="547"/>
      <c r="T42" s="547"/>
      <c r="U42" s="547">
        <f t="shared" si="7"/>
        <v>1</v>
      </c>
      <c r="V42" s="548"/>
      <c r="W42" s="548"/>
      <c r="X42" s="548"/>
      <c r="Y42" s="548"/>
      <c r="Z42" s="548"/>
      <c r="AA42" s="548"/>
      <c r="AB42" s="548"/>
      <c r="AC42" s="548"/>
      <c r="AD42" s="548"/>
      <c r="AE42" s="548"/>
      <c r="AF42" s="548"/>
      <c r="AG42" s="548"/>
      <c r="AH42" s="548"/>
      <c r="AI42" s="548"/>
      <c r="AJ42" s="548"/>
      <c r="AK42" s="548"/>
      <c r="AL42" s="548"/>
      <c r="AM42" s="548"/>
      <c r="AN42" s="548"/>
      <c r="AO42" s="548"/>
      <c r="AP42" s="548"/>
      <c r="AQ42" s="548"/>
      <c r="AR42" s="548"/>
      <c r="AS42" s="548"/>
      <c r="AT42" s="548"/>
      <c r="AU42" s="548"/>
      <c r="AV42" s="548"/>
      <c r="AW42" s="548"/>
      <c r="AX42" s="548"/>
      <c r="AY42" s="548"/>
      <c r="AZ42" s="548"/>
      <c r="BA42" s="548"/>
      <c r="BB42" s="548"/>
      <c r="BC42" s="548"/>
      <c r="BD42" s="548"/>
      <c r="BE42" s="548"/>
      <c r="BF42" s="548"/>
      <c r="BG42" s="548"/>
      <c r="BH42" s="548"/>
      <c r="BI42" s="548"/>
      <c r="BJ42" s="548"/>
      <c r="BK42" s="548"/>
      <c r="BL42" s="548"/>
      <c r="BM42" s="548"/>
      <c r="BN42" s="548"/>
      <c r="BO42" s="548"/>
      <c r="BP42" s="548"/>
      <c r="BQ42" s="548"/>
      <c r="BR42" s="548"/>
      <c r="BS42" s="548"/>
      <c r="BT42" s="548"/>
      <c r="BU42" s="548"/>
      <c r="BV42" s="548"/>
      <c r="BW42" s="548"/>
      <c r="BX42" s="548"/>
      <c r="BY42" s="548"/>
      <c r="BZ42" s="548"/>
      <c r="CA42" s="548"/>
      <c r="CB42" s="548"/>
      <c r="CC42" s="548"/>
      <c r="CD42" s="548"/>
      <c r="CE42" s="548"/>
      <c r="CF42" s="548"/>
      <c r="CG42" s="548"/>
      <c r="CH42" s="548"/>
      <c r="CI42" s="548"/>
      <c r="CJ42" s="548"/>
      <c r="CK42" s="548"/>
      <c r="CL42" s="548"/>
      <c r="CM42" s="548"/>
      <c r="CN42" s="548"/>
      <c r="CO42" s="548"/>
      <c r="CP42" s="548"/>
      <c r="CQ42" s="548"/>
      <c r="CR42" s="548"/>
      <c r="CS42" s="548"/>
      <c r="CT42" s="548"/>
      <c r="CU42" s="548"/>
      <c r="CV42" s="548"/>
      <c r="CW42" s="548"/>
      <c r="CX42" s="548"/>
      <c r="CY42" s="548"/>
      <c r="CZ42" s="548"/>
      <c r="DA42" s="548"/>
      <c r="DB42" s="548"/>
      <c r="DC42" s="548"/>
      <c r="DD42" s="548"/>
      <c r="DE42" s="548"/>
      <c r="DF42" s="548"/>
      <c r="DG42" s="548"/>
      <c r="DH42" s="548"/>
      <c r="DI42" s="548"/>
      <c r="DJ42" s="548"/>
      <c r="DK42" s="548"/>
      <c r="DL42" s="548"/>
      <c r="DM42" s="548"/>
      <c r="DN42" s="548"/>
      <c r="DO42" s="548"/>
      <c r="DP42" s="548"/>
      <c r="DQ42" s="548"/>
      <c r="DR42" s="548"/>
      <c r="DS42" s="548"/>
      <c r="DT42" s="548"/>
      <c r="DU42" s="548"/>
      <c r="DV42" s="548"/>
      <c r="DW42" s="548"/>
      <c r="DX42" s="548"/>
      <c r="DY42" s="548"/>
      <c r="DZ42" s="548"/>
      <c r="EA42" s="548"/>
      <c r="EB42" s="548"/>
      <c r="EC42" s="548"/>
      <c r="ED42" s="548"/>
      <c r="EE42" s="548"/>
      <c r="EF42" s="548"/>
      <c r="EG42" s="548"/>
      <c r="EH42" s="548"/>
      <c r="EI42" s="548"/>
      <c r="EJ42" s="548"/>
      <c r="EK42" s="548"/>
      <c r="EL42" s="548"/>
    </row>
    <row r="43" spans="1:142" s="549" customFormat="1">
      <c r="A43" s="616"/>
      <c r="B43" s="546"/>
      <c r="C43" s="665" t="str">
        <f>+Srcs_Uses!B27</f>
        <v>UTILITY INTERCONNECT COSTS</v>
      </c>
      <c r="D43" s="658"/>
      <c r="E43" s="668"/>
      <c r="F43" s="547"/>
      <c r="G43" s="547"/>
      <c r="H43" s="547"/>
      <c r="I43" s="547"/>
      <c r="J43" s="547">
        <v>0.5</v>
      </c>
      <c r="K43" s="547">
        <v>0.5</v>
      </c>
      <c r="L43" s="547"/>
      <c r="M43" s="547"/>
      <c r="N43" s="547"/>
      <c r="O43" s="547"/>
      <c r="P43" s="547"/>
      <c r="Q43" s="547"/>
      <c r="R43" s="547"/>
      <c r="S43" s="547"/>
      <c r="T43" s="547"/>
      <c r="U43" s="547">
        <f t="shared" si="7"/>
        <v>1</v>
      </c>
      <c r="V43" s="548"/>
      <c r="W43" s="548"/>
      <c r="X43" s="548"/>
      <c r="Y43" s="548"/>
      <c r="Z43" s="548"/>
      <c r="AA43" s="548"/>
      <c r="AB43" s="548"/>
      <c r="AC43" s="548"/>
      <c r="AD43" s="548"/>
      <c r="AE43" s="548"/>
      <c r="AF43" s="548"/>
      <c r="AG43" s="548"/>
      <c r="AH43" s="548"/>
      <c r="AI43" s="548"/>
      <c r="AJ43" s="548"/>
      <c r="AK43" s="548"/>
      <c r="AL43" s="548"/>
      <c r="AM43" s="548"/>
      <c r="AN43" s="548"/>
      <c r="AO43" s="548"/>
      <c r="AP43" s="548"/>
      <c r="AQ43" s="548"/>
      <c r="AR43" s="548"/>
      <c r="AS43" s="548"/>
      <c r="AT43" s="548"/>
      <c r="AU43" s="548"/>
      <c r="AV43" s="548"/>
      <c r="AW43" s="548"/>
      <c r="AX43" s="548"/>
      <c r="AY43" s="548"/>
      <c r="AZ43" s="548"/>
      <c r="BA43" s="548"/>
      <c r="BB43" s="548"/>
      <c r="BC43" s="548"/>
      <c r="BD43" s="548"/>
      <c r="BE43" s="548"/>
      <c r="BF43" s="548"/>
      <c r="BG43" s="548"/>
      <c r="BH43" s="548"/>
      <c r="BI43" s="548"/>
      <c r="BJ43" s="548"/>
      <c r="BK43" s="548"/>
      <c r="BL43" s="548"/>
      <c r="BM43" s="548"/>
      <c r="BN43" s="548"/>
      <c r="BO43" s="548"/>
      <c r="BP43" s="548"/>
      <c r="BQ43" s="548"/>
      <c r="BR43" s="548"/>
      <c r="BS43" s="548"/>
      <c r="BT43" s="548"/>
      <c r="BU43" s="548"/>
      <c r="BV43" s="548"/>
      <c r="BW43" s="548"/>
      <c r="BX43" s="548"/>
      <c r="BY43" s="548"/>
      <c r="BZ43" s="548"/>
      <c r="CA43" s="548"/>
      <c r="CB43" s="548"/>
      <c r="CC43" s="548"/>
      <c r="CD43" s="548"/>
      <c r="CE43" s="548"/>
      <c r="CF43" s="548"/>
      <c r="CG43" s="548"/>
      <c r="CH43" s="548"/>
      <c r="CI43" s="548"/>
      <c r="CJ43" s="548"/>
      <c r="CK43" s="548"/>
      <c r="CL43" s="548"/>
      <c r="CM43" s="548"/>
      <c r="CN43" s="548"/>
      <c r="CO43" s="548"/>
      <c r="CP43" s="548"/>
      <c r="CQ43" s="548"/>
      <c r="CR43" s="548"/>
      <c r="CS43" s="548"/>
      <c r="CT43" s="548"/>
      <c r="CU43" s="548"/>
      <c r="CV43" s="548"/>
      <c r="CW43" s="548"/>
      <c r="CX43" s="548"/>
      <c r="CY43" s="548"/>
      <c r="CZ43" s="548"/>
      <c r="DA43" s="548"/>
      <c r="DB43" s="548"/>
      <c r="DC43" s="548"/>
      <c r="DD43" s="548"/>
      <c r="DE43" s="548"/>
      <c r="DF43" s="548"/>
      <c r="DG43" s="548"/>
      <c r="DH43" s="548"/>
      <c r="DI43" s="548"/>
      <c r="DJ43" s="548"/>
      <c r="DK43" s="548"/>
      <c r="DL43" s="548"/>
      <c r="DM43" s="548"/>
      <c r="DN43" s="548"/>
      <c r="DO43" s="548"/>
      <c r="DP43" s="548"/>
      <c r="DQ43" s="548"/>
      <c r="DR43" s="548"/>
      <c r="DS43" s="548"/>
      <c r="DT43" s="548"/>
      <c r="DU43" s="548"/>
      <c r="DV43" s="548"/>
      <c r="DW43" s="548"/>
      <c r="DX43" s="548"/>
      <c r="DY43" s="548"/>
      <c r="DZ43" s="548"/>
      <c r="EA43" s="548"/>
      <c r="EB43" s="548"/>
      <c r="EC43" s="548"/>
      <c r="ED43" s="548"/>
      <c r="EE43" s="548"/>
      <c r="EF43" s="548"/>
      <c r="EG43" s="548"/>
      <c r="EH43" s="548"/>
      <c r="EI43" s="548"/>
      <c r="EJ43" s="548"/>
      <c r="EK43" s="548"/>
      <c r="EL43" s="548"/>
    </row>
    <row r="44" spans="1:142" s="549" customFormat="1">
      <c r="A44" s="616"/>
      <c r="B44" s="546"/>
      <c r="C44" s="665" t="str">
        <f>+Srcs_Uses!B28</f>
        <v>CLOSING CONTINGENCY</v>
      </c>
      <c r="D44" s="669"/>
      <c r="E44" s="551"/>
      <c r="F44" s="669"/>
      <c r="G44" s="669"/>
      <c r="H44" s="669">
        <v>0.25</v>
      </c>
      <c r="I44" s="669">
        <v>0.25</v>
      </c>
      <c r="J44" s="669">
        <v>0.25</v>
      </c>
      <c r="K44" s="669">
        <v>0.25</v>
      </c>
      <c r="L44" s="669"/>
      <c r="M44" s="669"/>
      <c r="N44" s="669"/>
      <c r="O44" s="669"/>
      <c r="P44" s="669"/>
      <c r="Q44" s="669"/>
      <c r="R44" s="669"/>
      <c r="S44" s="669"/>
      <c r="T44" s="669"/>
      <c r="U44" s="547">
        <f t="shared" si="7"/>
        <v>1</v>
      </c>
      <c r="V44" s="548"/>
      <c r="W44" s="548"/>
      <c r="X44" s="548"/>
      <c r="Y44" s="548"/>
      <c r="Z44" s="548"/>
      <c r="AA44" s="548"/>
      <c r="AB44" s="548"/>
      <c r="AC44" s="548"/>
      <c r="AD44" s="548"/>
      <c r="AE44" s="548"/>
      <c r="AF44" s="548"/>
      <c r="AG44" s="548"/>
      <c r="AH44" s="548"/>
      <c r="AI44" s="548"/>
      <c r="AJ44" s="548"/>
      <c r="AK44" s="548"/>
      <c r="AL44" s="548"/>
      <c r="AM44" s="548"/>
      <c r="AN44" s="548"/>
      <c r="AO44" s="548"/>
      <c r="AP44" s="548"/>
      <c r="AQ44" s="548"/>
      <c r="AR44" s="548"/>
      <c r="AS44" s="548"/>
      <c r="AT44" s="548"/>
      <c r="AU44" s="548"/>
      <c r="AV44" s="548"/>
      <c r="AW44" s="548"/>
      <c r="AX44" s="548"/>
      <c r="AY44" s="548"/>
      <c r="AZ44" s="548"/>
      <c r="BA44" s="548"/>
      <c r="BB44" s="548"/>
      <c r="BC44" s="548"/>
      <c r="BD44" s="548"/>
      <c r="BE44" s="548"/>
      <c r="BF44" s="548"/>
      <c r="BG44" s="548"/>
      <c r="BH44" s="548"/>
      <c r="BI44" s="548"/>
      <c r="BJ44" s="548"/>
      <c r="BK44" s="548"/>
      <c r="BL44" s="548"/>
      <c r="BM44" s="548"/>
      <c r="BN44" s="548"/>
      <c r="BO44" s="548"/>
      <c r="BP44" s="548"/>
      <c r="BQ44" s="548"/>
      <c r="BR44" s="548"/>
      <c r="BS44" s="548"/>
      <c r="BT44" s="548"/>
      <c r="BU44" s="548"/>
      <c r="BV44" s="548"/>
      <c r="BW44" s="548"/>
      <c r="BX44" s="548"/>
      <c r="BY44" s="548"/>
      <c r="BZ44" s="548"/>
      <c r="CA44" s="548"/>
      <c r="CB44" s="548"/>
      <c r="CC44" s="548"/>
      <c r="CD44" s="548"/>
      <c r="CE44" s="548"/>
      <c r="CF44" s="548"/>
      <c r="CG44" s="548"/>
      <c r="CH44" s="548"/>
      <c r="CI44" s="548"/>
      <c r="CJ44" s="548"/>
      <c r="CK44" s="548"/>
      <c r="CL44" s="548"/>
      <c r="CM44" s="548"/>
      <c r="CN44" s="548"/>
      <c r="CO44" s="548"/>
      <c r="CP44" s="548"/>
      <c r="CQ44" s="548"/>
      <c r="CR44" s="548"/>
      <c r="CS44" s="548"/>
      <c r="CT44" s="548"/>
      <c r="CU44" s="548"/>
      <c r="CV44" s="548"/>
      <c r="CW44" s="548"/>
      <c r="CX44" s="548"/>
      <c r="CY44" s="548"/>
      <c r="CZ44" s="548"/>
      <c r="DA44" s="548"/>
      <c r="DB44" s="548"/>
      <c r="DC44" s="548"/>
      <c r="DD44" s="548"/>
      <c r="DE44" s="548"/>
      <c r="DF44" s="548"/>
      <c r="DG44" s="548"/>
      <c r="DH44" s="548"/>
      <c r="DI44" s="548"/>
      <c r="DJ44" s="548"/>
      <c r="DK44" s="548"/>
      <c r="DL44" s="548"/>
      <c r="DM44" s="548"/>
      <c r="DN44" s="548"/>
      <c r="DO44" s="548"/>
      <c r="DP44" s="548"/>
      <c r="DQ44" s="548"/>
      <c r="DR44" s="548"/>
      <c r="DS44" s="548"/>
      <c r="DT44" s="548"/>
      <c r="DU44" s="548"/>
      <c r="DV44" s="548"/>
      <c r="DW44" s="548"/>
      <c r="DX44" s="548"/>
      <c r="DY44" s="548"/>
      <c r="DZ44" s="548"/>
      <c r="EA44" s="548"/>
      <c r="EB44" s="548"/>
      <c r="EC44" s="548"/>
      <c r="ED44" s="548"/>
      <c r="EE44" s="548"/>
      <c r="EF44" s="548"/>
      <c r="EG44" s="548"/>
      <c r="EH44" s="548"/>
      <c r="EI44" s="548"/>
      <c r="EJ44" s="548"/>
      <c r="EK44" s="548"/>
      <c r="EL44" s="548"/>
    </row>
    <row r="45" spans="1:142" s="549" customFormat="1">
      <c r="A45" s="616"/>
      <c r="B45" s="546"/>
      <c r="C45" s="665" t="str">
        <f>+Srcs_Uses!B17</f>
        <v>CONSTRUCTION INSURANCE</v>
      </c>
      <c r="D45" s="669"/>
      <c r="E45" s="551"/>
      <c r="F45" s="669"/>
      <c r="G45" s="669"/>
      <c r="H45" s="669">
        <v>0.5</v>
      </c>
      <c r="I45" s="669"/>
      <c r="J45" s="669"/>
      <c r="K45" s="669">
        <v>0.5</v>
      </c>
      <c r="L45" s="669"/>
      <c r="M45" s="669"/>
      <c r="N45" s="669"/>
      <c r="O45" s="669"/>
      <c r="P45" s="669"/>
      <c r="Q45" s="669"/>
      <c r="R45" s="669"/>
      <c r="S45" s="669"/>
      <c r="T45" s="669"/>
      <c r="U45" s="547">
        <f t="shared" si="7"/>
        <v>1</v>
      </c>
      <c r="V45" s="670"/>
      <c r="W45" s="670"/>
      <c r="X45" s="670"/>
      <c r="Y45" s="670"/>
      <c r="Z45" s="548"/>
      <c r="AA45" s="548"/>
      <c r="AB45" s="548"/>
      <c r="AC45" s="548"/>
      <c r="AD45" s="548"/>
      <c r="AE45" s="548"/>
      <c r="AF45" s="548"/>
      <c r="AG45" s="548"/>
      <c r="AH45" s="548"/>
      <c r="AI45" s="548"/>
      <c r="AJ45" s="548"/>
      <c r="AK45" s="548"/>
      <c r="AL45" s="548"/>
      <c r="AM45" s="548"/>
      <c r="AN45" s="548"/>
      <c r="AO45" s="548"/>
      <c r="AP45" s="548"/>
      <c r="AQ45" s="548"/>
      <c r="AR45" s="548"/>
      <c r="AS45" s="548"/>
      <c r="AT45" s="548"/>
      <c r="AU45" s="548"/>
      <c r="AV45" s="548"/>
      <c r="AW45" s="548"/>
      <c r="AX45" s="548"/>
      <c r="AY45" s="548"/>
      <c r="AZ45" s="548"/>
      <c r="BA45" s="548"/>
      <c r="BB45" s="548"/>
      <c r="BC45" s="548"/>
      <c r="BD45" s="548"/>
      <c r="BE45" s="548"/>
      <c r="BF45" s="548"/>
      <c r="BG45" s="548"/>
      <c r="BH45" s="548"/>
      <c r="BI45" s="548"/>
      <c r="BJ45" s="548"/>
      <c r="BK45" s="548"/>
      <c r="BL45" s="548"/>
      <c r="BM45" s="548"/>
      <c r="BN45" s="548"/>
      <c r="BO45" s="548"/>
      <c r="BP45" s="548"/>
      <c r="BQ45" s="548"/>
      <c r="BR45" s="548"/>
      <c r="BS45" s="548"/>
      <c r="BT45" s="548"/>
      <c r="BU45" s="548"/>
      <c r="BV45" s="548"/>
      <c r="BW45" s="548"/>
      <c r="BX45" s="548"/>
      <c r="BY45" s="548"/>
      <c r="BZ45" s="548"/>
      <c r="CA45" s="548"/>
      <c r="CB45" s="548"/>
      <c r="CC45" s="548"/>
      <c r="CD45" s="548"/>
      <c r="CE45" s="548"/>
      <c r="CF45" s="548"/>
      <c r="CG45" s="548"/>
      <c r="CH45" s="548"/>
      <c r="CI45" s="548"/>
      <c r="CJ45" s="548"/>
      <c r="CK45" s="548"/>
      <c r="CL45" s="548"/>
      <c r="CM45" s="548"/>
      <c r="CN45" s="548"/>
      <c r="CO45" s="548"/>
      <c r="CP45" s="548"/>
      <c r="CQ45" s="548"/>
      <c r="CR45" s="548"/>
      <c r="CS45" s="548"/>
      <c r="CT45" s="548"/>
      <c r="CU45" s="548"/>
      <c r="CV45" s="548"/>
      <c r="CW45" s="548"/>
      <c r="CX45" s="548"/>
      <c r="CY45" s="548"/>
      <c r="CZ45" s="548"/>
      <c r="DA45" s="548"/>
      <c r="DB45" s="548"/>
      <c r="DC45" s="548"/>
      <c r="DD45" s="548"/>
      <c r="DE45" s="548"/>
      <c r="DF45" s="548"/>
      <c r="DG45" s="548"/>
      <c r="DH45" s="548"/>
      <c r="DI45" s="548"/>
      <c r="DJ45" s="548"/>
      <c r="DK45" s="548"/>
      <c r="DL45" s="548"/>
      <c r="DM45" s="548"/>
      <c r="DN45" s="548"/>
      <c r="DO45" s="548"/>
      <c r="DP45" s="548"/>
      <c r="DQ45" s="548"/>
      <c r="DR45" s="548"/>
      <c r="DS45" s="548"/>
      <c r="DT45" s="548"/>
      <c r="DU45" s="548"/>
      <c r="DV45" s="548"/>
      <c r="DW45" s="548"/>
      <c r="DX45" s="548"/>
      <c r="DY45" s="548"/>
      <c r="DZ45" s="548"/>
      <c r="EA45" s="548"/>
      <c r="EB45" s="548"/>
      <c r="EC45" s="548"/>
      <c r="ED45" s="548"/>
      <c r="EE45" s="548"/>
      <c r="EF45" s="548"/>
      <c r="EG45" s="548"/>
      <c r="EH45" s="548"/>
      <c r="EI45" s="548"/>
      <c r="EJ45" s="548"/>
      <c r="EK45" s="548"/>
      <c r="EL45" s="548"/>
    </row>
    <row r="46" spans="1:142" s="549" customFormat="1">
      <c r="A46" s="616"/>
      <c r="B46" s="546"/>
      <c r="C46" s="665" t="str">
        <f>+Srcs_Uses!B19</f>
        <v>EPC WARRANTY FEE</v>
      </c>
      <c r="D46" s="669"/>
      <c r="E46" s="551"/>
      <c r="F46" s="669"/>
      <c r="G46" s="669"/>
      <c r="H46" s="669"/>
      <c r="I46" s="669"/>
      <c r="J46" s="669"/>
      <c r="K46" s="669">
        <v>1</v>
      </c>
      <c r="L46" s="669"/>
      <c r="M46" s="669"/>
      <c r="N46" s="669"/>
      <c r="O46" s="669"/>
      <c r="P46" s="669"/>
      <c r="Q46" s="669"/>
      <c r="R46" s="669"/>
      <c r="S46" s="669"/>
      <c r="T46" s="669"/>
      <c r="U46" s="547">
        <f t="shared" si="7"/>
        <v>1</v>
      </c>
      <c r="V46" s="670"/>
      <c r="W46" s="670"/>
      <c r="X46" s="670"/>
      <c r="Y46" s="670"/>
      <c r="Z46" s="548"/>
      <c r="AA46" s="548"/>
      <c r="AB46" s="548"/>
      <c r="AC46" s="548"/>
      <c r="AD46" s="548"/>
      <c r="AE46" s="548"/>
      <c r="AF46" s="548"/>
      <c r="AG46" s="548"/>
      <c r="AH46" s="548"/>
      <c r="AI46" s="548"/>
      <c r="AJ46" s="548"/>
      <c r="AK46" s="548"/>
      <c r="AL46" s="548"/>
      <c r="AM46" s="548"/>
      <c r="AN46" s="548"/>
      <c r="AO46" s="548"/>
      <c r="AP46" s="548"/>
      <c r="AQ46" s="548"/>
      <c r="AR46" s="548"/>
      <c r="AS46" s="548"/>
      <c r="AT46" s="548"/>
      <c r="AU46" s="548"/>
      <c r="AV46" s="548"/>
      <c r="AW46" s="548"/>
      <c r="AX46" s="548"/>
      <c r="AY46" s="548"/>
      <c r="AZ46" s="548"/>
      <c r="BA46" s="548"/>
      <c r="BB46" s="548"/>
      <c r="BC46" s="548"/>
      <c r="BD46" s="548"/>
      <c r="BE46" s="548"/>
      <c r="BF46" s="548"/>
      <c r="BG46" s="548"/>
      <c r="BH46" s="548"/>
      <c r="BI46" s="548"/>
      <c r="BJ46" s="548"/>
      <c r="BK46" s="548"/>
      <c r="BL46" s="548"/>
      <c r="BM46" s="548"/>
      <c r="BN46" s="548"/>
      <c r="BO46" s="548"/>
      <c r="BP46" s="548"/>
      <c r="BQ46" s="548"/>
      <c r="BR46" s="548"/>
      <c r="BS46" s="548"/>
      <c r="BT46" s="548"/>
      <c r="BU46" s="548"/>
      <c r="BV46" s="548"/>
      <c r="BW46" s="548"/>
      <c r="BX46" s="548"/>
      <c r="BY46" s="548"/>
      <c r="BZ46" s="548"/>
      <c r="CA46" s="548"/>
      <c r="CB46" s="548"/>
      <c r="CC46" s="548"/>
      <c r="CD46" s="548"/>
      <c r="CE46" s="548"/>
      <c r="CF46" s="548"/>
      <c r="CG46" s="548"/>
      <c r="CH46" s="548"/>
      <c r="CI46" s="548"/>
      <c r="CJ46" s="548"/>
      <c r="CK46" s="548"/>
      <c r="CL46" s="548"/>
      <c r="CM46" s="548"/>
      <c r="CN46" s="548"/>
      <c r="CO46" s="548"/>
      <c r="CP46" s="548"/>
      <c r="CQ46" s="548"/>
      <c r="CR46" s="548"/>
      <c r="CS46" s="548"/>
      <c r="CT46" s="548"/>
      <c r="CU46" s="548"/>
      <c r="CV46" s="548"/>
      <c r="CW46" s="548"/>
      <c r="CX46" s="548"/>
      <c r="CY46" s="548"/>
      <c r="CZ46" s="548"/>
      <c r="DA46" s="548"/>
      <c r="DB46" s="548"/>
      <c r="DC46" s="548"/>
      <c r="DD46" s="548"/>
      <c r="DE46" s="548"/>
      <c r="DF46" s="548"/>
      <c r="DG46" s="548"/>
      <c r="DH46" s="548"/>
      <c r="DI46" s="548"/>
      <c r="DJ46" s="548"/>
      <c r="DK46" s="548"/>
      <c r="DL46" s="548"/>
      <c r="DM46" s="548"/>
      <c r="DN46" s="548"/>
      <c r="DO46" s="548"/>
      <c r="DP46" s="548"/>
      <c r="DQ46" s="548"/>
      <c r="DR46" s="548"/>
      <c r="DS46" s="548"/>
      <c r="DT46" s="548"/>
      <c r="DU46" s="548"/>
      <c r="DV46" s="548"/>
      <c r="DW46" s="548"/>
      <c r="DX46" s="548"/>
      <c r="DY46" s="548"/>
      <c r="DZ46" s="548"/>
      <c r="EA46" s="548"/>
      <c r="EB46" s="548"/>
      <c r="EC46" s="548"/>
      <c r="ED46" s="548"/>
      <c r="EE46" s="548"/>
      <c r="EF46" s="548"/>
      <c r="EG46" s="548"/>
      <c r="EH46" s="548"/>
      <c r="EI46" s="548"/>
      <c r="EJ46" s="548"/>
      <c r="EK46" s="548"/>
      <c r="EL46" s="548"/>
    </row>
    <row r="47" spans="1:142" s="549" customFormat="1">
      <c r="A47" s="616"/>
      <c r="B47" s="546"/>
      <c r="C47" s="665" t="e">
        <f>+Srcs_Uses!#REF!</f>
        <v>#REF!</v>
      </c>
      <c r="D47" s="658"/>
      <c r="E47" s="671"/>
      <c r="F47" s="658"/>
      <c r="G47" s="658"/>
      <c r="H47" s="658"/>
      <c r="I47" s="658"/>
      <c r="J47" s="658"/>
      <c r="K47" s="547">
        <v>1</v>
      </c>
      <c r="L47" s="658"/>
      <c r="M47" s="658"/>
      <c r="N47" s="658"/>
      <c r="O47" s="658"/>
      <c r="P47" s="658"/>
      <c r="Q47" s="658"/>
      <c r="R47" s="658"/>
      <c r="S47" s="658"/>
      <c r="T47" s="658"/>
      <c r="U47" s="547">
        <f t="shared" si="7"/>
        <v>1</v>
      </c>
      <c r="V47" s="670"/>
      <c r="W47" s="670"/>
      <c r="X47" s="670"/>
      <c r="Y47" s="670"/>
      <c r="Z47" s="548"/>
      <c r="AA47" s="548"/>
      <c r="AB47" s="548"/>
      <c r="AC47" s="548"/>
      <c r="AD47" s="548"/>
      <c r="AE47" s="548"/>
      <c r="AF47" s="548"/>
      <c r="AG47" s="548"/>
      <c r="AH47" s="548"/>
      <c r="AI47" s="548"/>
      <c r="AJ47" s="548"/>
      <c r="AK47" s="548"/>
      <c r="AL47" s="548"/>
      <c r="AM47" s="548"/>
      <c r="AN47" s="548"/>
      <c r="AO47" s="548"/>
      <c r="AP47" s="548"/>
      <c r="AQ47" s="548"/>
      <c r="AR47" s="548"/>
      <c r="AS47" s="548"/>
      <c r="AT47" s="548"/>
      <c r="AU47" s="548"/>
      <c r="AV47" s="548"/>
      <c r="AW47" s="548"/>
      <c r="AX47" s="548"/>
      <c r="AY47" s="548"/>
      <c r="AZ47" s="548"/>
      <c r="BA47" s="548"/>
      <c r="BB47" s="548"/>
      <c r="BC47" s="548"/>
      <c r="BD47" s="548"/>
      <c r="BE47" s="548"/>
      <c r="BF47" s="548"/>
      <c r="BG47" s="548"/>
      <c r="BH47" s="548"/>
      <c r="BI47" s="548"/>
      <c r="BJ47" s="548"/>
      <c r="BK47" s="548"/>
      <c r="BL47" s="548"/>
      <c r="BM47" s="548"/>
      <c r="BN47" s="548"/>
      <c r="BO47" s="548"/>
      <c r="BP47" s="548"/>
      <c r="BQ47" s="548"/>
      <c r="BR47" s="548"/>
      <c r="BS47" s="548"/>
      <c r="BT47" s="548"/>
      <c r="BU47" s="548"/>
      <c r="BV47" s="548"/>
      <c r="BW47" s="548"/>
      <c r="BX47" s="548"/>
      <c r="BY47" s="548"/>
      <c r="BZ47" s="548"/>
      <c r="CA47" s="548"/>
      <c r="CB47" s="548"/>
      <c r="CC47" s="548"/>
      <c r="CD47" s="548"/>
      <c r="CE47" s="548"/>
      <c r="CF47" s="548"/>
      <c r="CG47" s="548"/>
      <c r="CH47" s="548"/>
      <c r="CI47" s="548"/>
      <c r="CJ47" s="548"/>
      <c r="CK47" s="548"/>
      <c r="CL47" s="548"/>
      <c r="CM47" s="548"/>
      <c r="CN47" s="548"/>
      <c r="CO47" s="548"/>
      <c r="CP47" s="548"/>
      <c r="CQ47" s="548"/>
      <c r="CR47" s="548"/>
      <c r="CS47" s="548"/>
      <c r="CT47" s="548"/>
      <c r="CU47" s="548"/>
      <c r="CV47" s="548"/>
      <c r="CW47" s="548"/>
      <c r="CX47" s="548"/>
      <c r="CY47" s="548"/>
      <c r="CZ47" s="548"/>
      <c r="DA47" s="548"/>
      <c r="DB47" s="548"/>
      <c r="DC47" s="548"/>
      <c r="DD47" s="548"/>
      <c r="DE47" s="548"/>
      <c r="DF47" s="548"/>
      <c r="DG47" s="548"/>
      <c r="DH47" s="548"/>
      <c r="DI47" s="548"/>
      <c r="DJ47" s="548"/>
      <c r="DK47" s="548"/>
      <c r="DL47" s="548"/>
      <c r="DM47" s="548"/>
      <c r="DN47" s="548"/>
      <c r="DO47" s="548"/>
      <c r="DP47" s="548"/>
      <c r="DQ47" s="548"/>
      <c r="DR47" s="548"/>
      <c r="DS47" s="548"/>
      <c r="DT47" s="548"/>
      <c r="DU47" s="548"/>
      <c r="DV47" s="548"/>
      <c r="DW47" s="548"/>
      <c r="DX47" s="548"/>
      <c r="DY47" s="548"/>
      <c r="DZ47" s="548"/>
      <c r="EA47" s="548"/>
      <c r="EB47" s="548"/>
      <c r="EC47" s="548"/>
      <c r="ED47" s="548"/>
      <c r="EE47" s="548"/>
      <c r="EF47" s="548"/>
      <c r="EG47" s="548"/>
      <c r="EH47" s="548"/>
      <c r="EI47" s="548"/>
      <c r="EJ47" s="548"/>
      <c r="EK47" s="548"/>
      <c r="EL47" s="548"/>
    </row>
    <row r="48" spans="1:142" s="549" customFormat="1">
      <c r="A48" s="616"/>
      <c r="B48" s="546"/>
      <c r="C48" s="672"/>
      <c r="D48" s="658"/>
      <c r="E48" s="671"/>
      <c r="F48" s="658"/>
      <c r="G48" s="658"/>
      <c r="H48" s="658"/>
      <c r="I48" s="658"/>
      <c r="J48" s="658"/>
      <c r="K48" s="658"/>
      <c r="L48" s="658"/>
      <c r="M48" s="658"/>
      <c r="N48" s="658"/>
      <c r="O48" s="658"/>
      <c r="P48" s="658"/>
      <c r="Q48" s="658"/>
      <c r="R48" s="658"/>
      <c r="S48" s="658"/>
      <c r="T48" s="658"/>
      <c r="U48" s="658"/>
      <c r="V48" s="548"/>
      <c r="W48" s="548"/>
      <c r="X48" s="548"/>
      <c r="Y48" s="548"/>
      <c r="Z48" s="548"/>
      <c r="AA48" s="548"/>
      <c r="AB48" s="548"/>
      <c r="AC48" s="548"/>
      <c r="AD48" s="548"/>
      <c r="AE48" s="548"/>
      <c r="AF48" s="548"/>
      <c r="AG48" s="548"/>
      <c r="AH48" s="548"/>
      <c r="AI48" s="548"/>
      <c r="AJ48" s="548"/>
      <c r="AK48" s="548"/>
      <c r="AL48" s="548"/>
      <c r="AM48" s="548"/>
      <c r="AN48" s="548"/>
      <c r="AO48" s="548"/>
      <c r="AP48" s="548"/>
      <c r="AQ48" s="548"/>
      <c r="AR48" s="548"/>
      <c r="AS48" s="548"/>
      <c r="AT48" s="548"/>
      <c r="AU48" s="548"/>
      <c r="AV48" s="548"/>
      <c r="AW48" s="548"/>
      <c r="AX48" s="548"/>
      <c r="AY48" s="548"/>
      <c r="AZ48" s="548"/>
      <c r="BA48" s="548"/>
      <c r="BB48" s="548"/>
      <c r="BC48" s="548"/>
      <c r="BD48" s="548"/>
      <c r="BE48" s="548"/>
      <c r="BF48" s="548"/>
      <c r="BG48" s="548"/>
      <c r="BH48" s="548"/>
      <c r="BI48" s="548"/>
      <c r="BJ48" s="548"/>
      <c r="BK48" s="548"/>
      <c r="BL48" s="548"/>
      <c r="BM48" s="548"/>
      <c r="BN48" s="548"/>
      <c r="BO48" s="548"/>
      <c r="BP48" s="548"/>
      <c r="BQ48" s="548"/>
      <c r="BR48" s="548"/>
      <c r="BS48" s="548"/>
      <c r="BT48" s="548"/>
      <c r="BU48" s="548"/>
      <c r="BV48" s="548"/>
      <c r="BW48" s="548"/>
      <c r="BX48" s="548"/>
      <c r="BY48" s="548"/>
      <c r="BZ48" s="548"/>
      <c r="CA48" s="548"/>
      <c r="CB48" s="548"/>
      <c r="CC48" s="548"/>
      <c r="CD48" s="548"/>
      <c r="CE48" s="548"/>
      <c r="CF48" s="548"/>
      <c r="CG48" s="548"/>
      <c r="CH48" s="548"/>
      <c r="CI48" s="548"/>
      <c r="CJ48" s="548"/>
      <c r="CK48" s="548"/>
      <c r="CL48" s="548"/>
      <c r="CM48" s="548"/>
      <c r="CN48" s="548"/>
      <c r="CO48" s="548"/>
      <c r="CP48" s="548"/>
      <c r="CQ48" s="548"/>
      <c r="CR48" s="548"/>
      <c r="CS48" s="548"/>
      <c r="CT48" s="548"/>
      <c r="CU48" s="548"/>
      <c r="CV48" s="548"/>
      <c r="CW48" s="548"/>
      <c r="CX48" s="548"/>
      <c r="CY48" s="548"/>
      <c r="CZ48" s="548"/>
      <c r="DA48" s="548"/>
      <c r="DB48" s="548"/>
      <c r="DC48" s="548"/>
      <c r="DD48" s="548"/>
      <c r="DE48" s="548"/>
      <c r="DF48" s="548"/>
      <c r="DG48" s="548"/>
      <c r="DH48" s="548"/>
      <c r="DI48" s="548"/>
      <c r="DJ48" s="548"/>
      <c r="DK48" s="548"/>
      <c r="DL48" s="548"/>
      <c r="DM48" s="548"/>
      <c r="DN48" s="548"/>
      <c r="DO48" s="548"/>
      <c r="DP48" s="548"/>
      <c r="DQ48" s="548"/>
      <c r="DR48" s="548"/>
      <c r="DS48" s="548"/>
      <c r="DT48" s="548"/>
      <c r="DU48" s="548"/>
      <c r="DV48" s="548"/>
      <c r="DW48" s="548"/>
      <c r="DX48" s="548"/>
      <c r="DY48" s="548"/>
      <c r="DZ48" s="548"/>
      <c r="EA48" s="548"/>
      <c r="EB48" s="548"/>
      <c r="EC48" s="548"/>
      <c r="ED48" s="548"/>
      <c r="EE48" s="548"/>
      <c r="EF48" s="548"/>
      <c r="EG48" s="548"/>
      <c r="EH48" s="548"/>
      <c r="EI48" s="548"/>
      <c r="EJ48" s="548"/>
      <c r="EK48" s="548"/>
      <c r="EL48" s="548"/>
    </row>
    <row r="49" spans="1:142" s="549" customFormat="1">
      <c r="A49" s="616"/>
      <c r="B49" s="546"/>
      <c r="V49" s="548"/>
      <c r="W49" s="548"/>
      <c r="X49" s="548"/>
      <c r="Y49" s="548"/>
      <c r="Z49" s="548"/>
      <c r="AA49" s="548"/>
      <c r="AB49" s="548"/>
      <c r="AC49" s="548"/>
      <c r="AD49" s="548"/>
      <c r="AE49" s="548"/>
      <c r="AF49" s="548"/>
      <c r="AG49" s="548"/>
      <c r="AH49" s="548"/>
      <c r="AI49" s="548"/>
      <c r="AJ49" s="548"/>
      <c r="AK49" s="548"/>
      <c r="AL49" s="548"/>
      <c r="AM49" s="548"/>
      <c r="AN49" s="548"/>
      <c r="AO49" s="548"/>
      <c r="AP49" s="548"/>
      <c r="AQ49" s="548"/>
      <c r="AR49" s="548"/>
      <c r="AS49" s="548"/>
      <c r="AT49" s="548"/>
      <c r="AU49" s="548"/>
      <c r="AV49" s="548"/>
      <c r="AW49" s="548"/>
      <c r="AX49" s="548"/>
      <c r="AY49" s="548"/>
      <c r="AZ49" s="548"/>
      <c r="BA49" s="548"/>
      <c r="BB49" s="548"/>
      <c r="BC49" s="548"/>
      <c r="BD49" s="548"/>
      <c r="BE49" s="548"/>
      <c r="BF49" s="548"/>
      <c r="BG49" s="548"/>
      <c r="BH49" s="548"/>
      <c r="BI49" s="548"/>
      <c r="BJ49" s="548"/>
      <c r="BK49" s="548"/>
      <c r="BL49" s="548"/>
      <c r="BM49" s="548"/>
      <c r="BN49" s="548"/>
      <c r="BO49" s="548"/>
      <c r="BP49" s="548"/>
      <c r="BQ49" s="548"/>
      <c r="BR49" s="548"/>
      <c r="BS49" s="548"/>
      <c r="BT49" s="548"/>
      <c r="BU49" s="548"/>
      <c r="BV49" s="548"/>
      <c r="BW49" s="548"/>
      <c r="BX49" s="548"/>
      <c r="BY49" s="548"/>
      <c r="BZ49" s="548"/>
      <c r="CA49" s="548"/>
      <c r="CB49" s="548"/>
      <c r="CC49" s="548"/>
      <c r="CD49" s="548"/>
      <c r="CE49" s="548"/>
      <c r="CF49" s="548"/>
      <c r="CG49" s="548"/>
      <c r="CH49" s="548"/>
      <c r="CI49" s="548"/>
      <c r="CJ49" s="548"/>
      <c r="CK49" s="548"/>
      <c r="CL49" s="548"/>
      <c r="CM49" s="548"/>
      <c r="CN49" s="548"/>
      <c r="CO49" s="548"/>
      <c r="CP49" s="548"/>
      <c r="CQ49" s="548"/>
      <c r="CR49" s="548"/>
      <c r="CS49" s="548"/>
      <c r="CT49" s="548"/>
      <c r="CU49" s="548"/>
      <c r="CV49" s="548"/>
      <c r="CW49" s="548"/>
      <c r="CX49" s="548"/>
      <c r="CY49" s="548"/>
      <c r="CZ49" s="548"/>
      <c r="DA49" s="548"/>
      <c r="DB49" s="548"/>
      <c r="DC49" s="548"/>
      <c r="DD49" s="548"/>
      <c r="DE49" s="548"/>
      <c r="DF49" s="548"/>
      <c r="DG49" s="548"/>
      <c r="DH49" s="548"/>
      <c r="DI49" s="548"/>
      <c r="DJ49" s="548"/>
      <c r="DK49" s="548"/>
      <c r="DL49" s="548"/>
      <c r="DM49" s="548"/>
      <c r="DN49" s="548"/>
      <c r="DO49" s="548"/>
      <c r="DP49" s="548"/>
      <c r="DQ49" s="548"/>
      <c r="DR49" s="548"/>
      <c r="DS49" s="548"/>
      <c r="DT49" s="548"/>
      <c r="DU49" s="548"/>
      <c r="DV49" s="548"/>
      <c r="DW49" s="548"/>
      <c r="DX49" s="548"/>
      <c r="DY49" s="548"/>
      <c r="DZ49" s="548"/>
      <c r="EA49" s="548"/>
      <c r="EB49" s="548"/>
      <c r="EC49" s="548"/>
      <c r="ED49" s="548"/>
      <c r="EE49" s="548"/>
      <c r="EF49" s="548"/>
      <c r="EG49" s="548"/>
      <c r="EH49" s="548"/>
      <c r="EI49" s="548"/>
      <c r="EJ49" s="548"/>
      <c r="EK49" s="548"/>
      <c r="EL49" s="548"/>
    </row>
    <row r="50" spans="1:142" s="549" customFormat="1">
      <c r="A50" s="616"/>
      <c r="B50" s="546"/>
      <c r="C50" s="546"/>
      <c r="D50" s="548"/>
      <c r="E50" s="544"/>
      <c r="F50" s="548"/>
      <c r="G50" s="548"/>
      <c r="H50" s="548"/>
      <c r="I50" s="548"/>
      <c r="J50" s="548"/>
      <c r="K50" s="548"/>
      <c r="L50" s="548"/>
      <c r="M50" s="548"/>
      <c r="N50" s="548"/>
      <c r="O50" s="548"/>
      <c r="P50" s="548"/>
      <c r="Q50" s="548"/>
      <c r="R50" s="548"/>
      <c r="S50" s="548"/>
      <c r="T50" s="548"/>
      <c r="U50" s="548"/>
      <c r="V50" s="548"/>
      <c r="W50" s="548"/>
      <c r="X50" s="548"/>
      <c r="Y50" s="548"/>
      <c r="Z50" s="548"/>
      <c r="AA50" s="548"/>
      <c r="AB50" s="548"/>
      <c r="AC50" s="548"/>
      <c r="AD50" s="548"/>
      <c r="AE50" s="548"/>
      <c r="AF50" s="548"/>
      <c r="AG50" s="548"/>
      <c r="AH50" s="548"/>
      <c r="AI50" s="548"/>
      <c r="AJ50" s="548"/>
      <c r="AK50" s="548"/>
      <c r="AL50" s="548"/>
      <c r="AM50" s="548"/>
      <c r="AN50" s="548"/>
      <c r="AO50" s="548"/>
      <c r="AP50" s="548"/>
      <c r="AQ50" s="548"/>
      <c r="AR50" s="548"/>
      <c r="AS50" s="548"/>
      <c r="AT50" s="548"/>
      <c r="AU50" s="548"/>
      <c r="AV50" s="548"/>
      <c r="AW50" s="548"/>
      <c r="AX50" s="548"/>
      <c r="AY50" s="548"/>
      <c r="AZ50" s="548"/>
      <c r="BA50" s="548"/>
      <c r="BB50" s="548"/>
      <c r="BC50" s="548"/>
      <c r="BD50" s="548"/>
      <c r="BE50" s="548"/>
      <c r="BF50" s="548"/>
      <c r="BG50" s="548"/>
      <c r="BH50" s="548"/>
      <c r="BI50" s="548"/>
      <c r="BJ50" s="548"/>
      <c r="BK50" s="548"/>
      <c r="BL50" s="548"/>
      <c r="BM50" s="548"/>
      <c r="BN50" s="548"/>
      <c r="BO50" s="548"/>
      <c r="BP50" s="548"/>
      <c r="BQ50" s="548"/>
      <c r="BR50" s="548"/>
      <c r="BS50" s="548"/>
      <c r="BT50" s="548"/>
      <c r="BU50" s="548"/>
      <c r="BV50" s="548"/>
      <c r="BW50" s="548"/>
      <c r="BX50" s="548"/>
      <c r="BY50" s="548"/>
      <c r="BZ50" s="548"/>
      <c r="CA50" s="548"/>
      <c r="CB50" s="548"/>
      <c r="CC50" s="548"/>
      <c r="CD50" s="548"/>
      <c r="CE50" s="548"/>
      <c r="CF50" s="548"/>
      <c r="CG50" s="548"/>
      <c r="CH50" s="548"/>
      <c r="CI50" s="548"/>
      <c r="CJ50" s="548"/>
      <c r="CK50" s="548"/>
      <c r="CL50" s="548"/>
      <c r="CM50" s="548"/>
      <c r="CN50" s="548"/>
      <c r="CO50" s="548"/>
      <c r="CP50" s="548"/>
      <c r="CQ50" s="548"/>
      <c r="CR50" s="548"/>
      <c r="CS50" s="548"/>
      <c r="CT50" s="548"/>
      <c r="CU50" s="548"/>
      <c r="CV50" s="548"/>
      <c r="CW50" s="548"/>
      <c r="CX50" s="548"/>
      <c r="CY50" s="548"/>
      <c r="CZ50" s="548"/>
      <c r="DA50" s="548"/>
      <c r="DB50" s="548"/>
      <c r="DC50" s="548"/>
      <c r="DD50" s="548"/>
      <c r="DE50" s="548"/>
      <c r="DF50" s="548"/>
      <c r="DG50" s="548"/>
      <c r="DH50" s="548"/>
      <c r="DI50" s="548"/>
      <c r="DJ50" s="548"/>
      <c r="DK50" s="548"/>
      <c r="DL50" s="548"/>
      <c r="DM50" s="548"/>
      <c r="DN50" s="548"/>
      <c r="DO50" s="548"/>
      <c r="DP50" s="548"/>
      <c r="DQ50" s="548"/>
      <c r="DR50" s="548"/>
      <c r="DS50" s="548"/>
      <c r="DT50" s="548"/>
      <c r="DU50" s="548"/>
      <c r="DV50" s="548"/>
      <c r="DW50" s="548"/>
      <c r="DX50" s="548"/>
      <c r="DY50" s="548"/>
      <c r="DZ50" s="548"/>
      <c r="EA50" s="548"/>
      <c r="EB50" s="548"/>
      <c r="EC50" s="548"/>
      <c r="ED50" s="548"/>
      <c r="EE50" s="548"/>
      <c r="EF50" s="548"/>
      <c r="EG50" s="548"/>
      <c r="EH50" s="548"/>
      <c r="EI50" s="548"/>
      <c r="EJ50" s="548"/>
      <c r="EK50" s="548"/>
      <c r="EL50" s="548"/>
    </row>
    <row r="51" spans="1:142" s="549" customFormat="1">
      <c r="A51" s="616"/>
      <c r="B51" s="546"/>
      <c r="C51" s="546"/>
      <c r="D51" s="548"/>
      <c r="E51" s="544"/>
      <c r="F51" s="548"/>
      <c r="G51" s="548"/>
      <c r="H51" s="548"/>
      <c r="I51" s="548"/>
      <c r="J51" s="548"/>
      <c r="K51" s="548"/>
      <c r="L51" s="548"/>
      <c r="M51" s="548"/>
      <c r="N51" s="548"/>
      <c r="O51" s="548"/>
      <c r="P51" s="548"/>
      <c r="Q51" s="548"/>
      <c r="R51" s="548"/>
      <c r="S51" s="548"/>
      <c r="T51" s="548"/>
      <c r="U51" s="548"/>
      <c r="V51" s="548"/>
      <c r="W51" s="548"/>
      <c r="X51" s="548"/>
      <c r="Y51" s="548"/>
      <c r="Z51" s="548"/>
      <c r="AA51" s="548"/>
      <c r="AB51" s="548"/>
      <c r="AC51" s="548"/>
      <c r="AD51" s="548"/>
      <c r="AE51" s="548"/>
      <c r="AF51" s="548"/>
      <c r="AG51" s="548"/>
      <c r="AH51" s="548"/>
      <c r="AI51" s="548"/>
      <c r="AJ51" s="548"/>
      <c r="AK51" s="548"/>
      <c r="AL51" s="548"/>
      <c r="AM51" s="548"/>
      <c r="AN51" s="548"/>
      <c r="AO51" s="548"/>
      <c r="AP51" s="548"/>
      <c r="AQ51" s="548"/>
      <c r="AR51" s="548"/>
      <c r="AS51" s="548"/>
      <c r="AT51" s="548"/>
      <c r="AU51" s="548"/>
      <c r="AV51" s="548"/>
      <c r="AW51" s="548"/>
      <c r="AX51" s="548"/>
      <c r="AY51" s="548"/>
      <c r="AZ51" s="548"/>
      <c r="BA51" s="548"/>
      <c r="BB51" s="548"/>
      <c r="BC51" s="548"/>
      <c r="BD51" s="548"/>
      <c r="BE51" s="548"/>
      <c r="BF51" s="548"/>
      <c r="BG51" s="548"/>
      <c r="BH51" s="548"/>
      <c r="BI51" s="548"/>
      <c r="BJ51" s="548"/>
      <c r="BK51" s="548"/>
      <c r="BL51" s="548"/>
      <c r="BM51" s="548"/>
      <c r="BN51" s="548"/>
      <c r="BO51" s="548"/>
      <c r="BP51" s="548"/>
      <c r="BQ51" s="548"/>
      <c r="BR51" s="548"/>
      <c r="BS51" s="548"/>
      <c r="BT51" s="548"/>
      <c r="BU51" s="548"/>
      <c r="BV51" s="548"/>
      <c r="BW51" s="548"/>
      <c r="BX51" s="548"/>
      <c r="BY51" s="548"/>
      <c r="BZ51" s="548"/>
      <c r="CA51" s="548"/>
      <c r="CB51" s="548"/>
      <c r="CC51" s="548"/>
      <c r="CD51" s="548"/>
      <c r="CE51" s="548"/>
      <c r="CF51" s="548"/>
      <c r="CG51" s="548"/>
      <c r="CH51" s="548"/>
      <c r="CI51" s="548"/>
      <c r="CJ51" s="548"/>
      <c r="CK51" s="548"/>
      <c r="CL51" s="548"/>
      <c r="CM51" s="548"/>
      <c r="CN51" s="548"/>
      <c r="CO51" s="548"/>
      <c r="CP51" s="548"/>
      <c r="CQ51" s="548"/>
      <c r="CR51" s="548"/>
      <c r="CS51" s="548"/>
      <c r="CT51" s="548"/>
      <c r="CU51" s="548"/>
      <c r="CV51" s="548"/>
      <c r="CW51" s="548"/>
      <c r="CX51" s="548"/>
      <c r="CY51" s="548"/>
      <c r="CZ51" s="548"/>
      <c r="DA51" s="548"/>
      <c r="DB51" s="548"/>
      <c r="DC51" s="548"/>
      <c r="DD51" s="548"/>
      <c r="DE51" s="548"/>
      <c r="DF51" s="548"/>
      <c r="DG51" s="548"/>
      <c r="DH51" s="548"/>
      <c r="DI51" s="548"/>
      <c r="DJ51" s="548"/>
      <c r="DK51" s="548"/>
      <c r="DL51" s="548"/>
      <c r="DM51" s="548"/>
      <c r="DN51" s="548"/>
      <c r="DO51" s="548"/>
      <c r="DP51" s="548"/>
      <c r="DQ51" s="548"/>
      <c r="DR51" s="548"/>
      <c r="DS51" s="548"/>
      <c r="DT51" s="548"/>
      <c r="DU51" s="548"/>
      <c r="DV51" s="548"/>
      <c r="DW51" s="548"/>
      <c r="DX51" s="548"/>
      <c r="DY51" s="548"/>
      <c r="DZ51" s="548"/>
      <c r="EA51" s="548"/>
      <c r="EB51" s="548"/>
      <c r="EC51" s="548"/>
      <c r="ED51" s="548"/>
      <c r="EE51" s="548"/>
      <c r="EF51" s="548"/>
      <c r="EG51" s="548"/>
      <c r="EH51" s="548"/>
      <c r="EI51" s="548"/>
      <c r="EJ51" s="548"/>
      <c r="EK51" s="548"/>
      <c r="EL51" s="548"/>
    </row>
    <row r="52" spans="1:142" s="549" customFormat="1">
      <c r="A52" s="616"/>
      <c r="B52" s="544"/>
      <c r="C52" s="544"/>
      <c r="D52" s="544"/>
      <c r="E52" s="544"/>
      <c r="F52" s="544"/>
      <c r="G52" s="544"/>
      <c r="H52" s="544"/>
      <c r="I52" s="544"/>
      <c r="J52" s="544"/>
      <c r="K52" s="544"/>
      <c r="L52" s="544"/>
      <c r="M52" s="544"/>
      <c r="N52" s="544"/>
      <c r="O52" s="544"/>
      <c r="P52" s="544"/>
      <c r="Q52" s="544"/>
      <c r="R52" s="544"/>
      <c r="S52" s="544"/>
      <c r="T52" s="544"/>
      <c r="U52" s="544"/>
      <c r="V52" s="544"/>
      <c r="W52" s="544"/>
      <c r="X52" s="544"/>
      <c r="Y52" s="544"/>
      <c r="Z52" s="544"/>
      <c r="AA52" s="548"/>
      <c r="AB52" s="548"/>
      <c r="AC52" s="548"/>
      <c r="AD52" s="548"/>
      <c r="AE52" s="548"/>
      <c r="AF52" s="548"/>
      <c r="AG52" s="548"/>
      <c r="AH52" s="548"/>
      <c r="AI52" s="548"/>
      <c r="AJ52" s="548"/>
      <c r="AK52" s="548"/>
      <c r="AL52" s="548"/>
      <c r="AM52" s="548"/>
      <c r="AN52" s="548"/>
      <c r="AO52" s="548"/>
      <c r="AP52" s="548"/>
      <c r="AQ52" s="548"/>
      <c r="AR52" s="548"/>
      <c r="AS52" s="548"/>
      <c r="AT52" s="548"/>
      <c r="AU52" s="548"/>
      <c r="AV52" s="548"/>
      <c r="AW52" s="548"/>
      <c r="AX52" s="548"/>
      <c r="AY52" s="548"/>
      <c r="AZ52" s="548"/>
      <c r="BA52" s="548"/>
      <c r="BB52" s="548"/>
      <c r="BC52" s="548"/>
      <c r="BD52" s="548"/>
      <c r="BE52" s="548"/>
      <c r="BF52" s="548"/>
      <c r="BG52" s="548"/>
      <c r="BH52" s="548"/>
      <c r="BI52" s="548"/>
      <c r="BJ52" s="548"/>
      <c r="BK52" s="548"/>
      <c r="BL52" s="548"/>
      <c r="BM52" s="548"/>
      <c r="BN52" s="548"/>
      <c r="BO52" s="548"/>
      <c r="BP52" s="548"/>
      <c r="BQ52" s="548"/>
      <c r="BR52" s="548"/>
      <c r="BS52" s="548"/>
      <c r="BT52" s="548"/>
      <c r="BU52" s="548"/>
      <c r="BV52" s="548"/>
      <c r="BW52" s="548"/>
      <c r="BX52" s="548"/>
      <c r="BY52" s="548"/>
      <c r="BZ52" s="548"/>
      <c r="CA52" s="548"/>
      <c r="CB52" s="548"/>
      <c r="CC52" s="548"/>
      <c r="CD52" s="548"/>
      <c r="CE52" s="548"/>
      <c r="CF52" s="548"/>
      <c r="CG52" s="548"/>
      <c r="CH52" s="548"/>
      <c r="CI52" s="548"/>
      <c r="CJ52" s="548"/>
      <c r="CK52" s="548"/>
      <c r="CL52" s="548"/>
      <c r="CM52" s="548"/>
      <c r="CN52" s="548"/>
      <c r="CO52" s="548"/>
      <c r="CP52" s="548"/>
      <c r="CQ52" s="548"/>
      <c r="CR52" s="548"/>
      <c r="CS52" s="548"/>
      <c r="CT52" s="548"/>
      <c r="CU52" s="548"/>
      <c r="CV52" s="548"/>
      <c r="CW52" s="548"/>
      <c r="CX52" s="548"/>
      <c r="CY52" s="548"/>
      <c r="CZ52" s="548"/>
      <c r="DA52" s="548"/>
      <c r="DB52" s="548"/>
      <c r="DC52" s="548"/>
      <c r="DD52" s="548"/>
      <c r="DE52" s="548"/>
      <c r="DF52" s="548"/>
      <c r="DG52" s="548"/>
      <c r="DH52" s="548"/>
      <c r="DI52" s="548"/>
      <c r="DJ52" s="548"/>
      <c r="DK52" s="548"/>
      <c r="DL52" s="548"/>
      <c r="DM52" s="548"/>
      <c r="DN52" s="548"/>
      <c r="DO52" s="548"/>
      <c r="DP52" s="548"/>
      <c r="DQ52" s="548"/>
      <c r="DR52" s="548"/>
      <c r="DS52" s="548"/>
      <c r="DT52" s="548"/>
      <c r="DU52" s="548"/>
      <c r="DV52" s="548"/>
      <c r="DW52" s="548"/>
      <c r="DX52" s="548"/>
      <c r="DY52" s="548"/>
      <c r="DZ52" s="548"/>
      <c r="EA52" s="548"/>
      <c r="EB52" s="548"/>
      <c r="EC52" s="548"/>
      <c r="ED52" s="548"/>
      <c r="EE52" s="548"/>
      <c r="EF52" s="548"/>
      <c r="EG52" s="548"/>
      <c r="EH52" s="548"/>
      <c r="EI52" s="548"/>
      <c r="EJ52" s="548"/>
      <c r="EK52" s="548"/>
      <c r="EL52" s="548"/>
    </row>
    <row r="53" spans="1:142" s="674" customFormat="1">
      <c r="A53" s="673"/>
    </row>
    <row r="57" spans="1:142" ht="18">
      <c r="C57" s="363" t="s">
        <v>559</v>
      </c>
    </row>
    <row r="58" spans="1:142">
      <c r="U58" s="241" t="s">
        <v>562</v>
      </c>
    </row>
    <row r="59" spans="1:142">
      <c r="C59" s="366" t="s">
        <v>560</v>
      </c>
      <c r="D59" s="365">
        <v>1</v>
      </c>
      <c r="E59" s="365">
        <v>2</v>
      </c>
      <c r="F59" s="365">
        <v>3</v>
      </c>
      <c r="G59" s="365">
        <v>4</v>
      </c>
      <c r="H59" s="365">
        <v>5</v>
      </c>
      <c r="I59" s="365">
        <v>6</v>
      </c>
      <c r="J59" s="365">
        <v>7</v>
      </c>
      <c r="K59" s="365">
        <v>8</v>
      </c>
      <c r="L59" s="365">
        <v>9</v>
      </c>
      <c r="M59" s="365">
        <v>10</v>
      </c>
      <c r="N59" s="365">
        <v>11</v>
      </c>
      <c r="O59" s="365">
        <v>12</v>
      </c>
      <c r="P59" s="365">
        <v>13</v>
      </c>
      <c r="Q59" s="365">
        <v>14</v>
      </c>
      <c r="R59" s="365">
        <v>15</v>
      </c>
      <c r="S59" s="365">
        <v>16</v>
      </c>
      <c r="T59" s="365" t="s">
        <v>358</v>
      </c>
    </row>
    <row r="60" spans="1:142">
      <c r="C60" s="364" t="s">
        <v>561</v>
      </c>
      <c r="D60" s="379"/>
      <c r="E60" s="379"/>
      <c r="F60" s="379"/>
      <c r="G60" s="379"/>
      <c r="H60" s="379"/>
      <c r="I60" s="379"/>
      <c r="J60" s="379"/>
      <c r="K60" s="379"/>
      <c r="L60" s="379"/>
      <c r="M60" s="379"/>
      <c r="N60" s="379"/>
      <c r="O60" s="379"/>
      <c r="P60" s="379"/>
      <c r="Q60" s="379"/>
      <c r="R60" s="379"/>
      <c r="S60" s="379"/>
      <c r="T60" s="379"/>
    </row>
    <row r="61" spans="1:142">
      <c r="C61" s="377" t="str">
        <f>+Draw!C15</f>
        <v>TURBINE PRICE</v>
      </c>
      <c r="D61" s="380">
        <f>+Draw!E15*Internal!$F$93</f>
        <v>0</v>
      </c>
      <c r="E61" s="380">
        <f>+Draw!F15*Internal!$F$93</f>
        <v>3319.6000000000004</v>
      </c>
      <c r="F61" s="380">
        <f>+Draw!G15*Internal!$F$93</f>
        <v>6639.2000000000007</v>
      </c>
      <c r="G61" s="380">
        <f>+Draw!H15*Internal!$F$93</f>
        <v>6639.2000000000007</v>
      </c>
      <c r="H61" s="380">
        <f>+Draw!I15*Internal!$F$93</f>
        <v>13278.400000000001</v>
      </c>
      <c r="I61" s="380">
        <f>+Draw!J15*Internal!$F$93</f>
        <v>13278.400000000001</v>
      </c>
      <c r="J61" s="380">
        <f>+Draw!K15*Internal!$F$93</f>
        <v>13278.400000000001</v>
      </c>
      <c r="K61" s="380">
        <f>+Draw!L15*Internal!$F$93</f>
        <v>9958.7999999999993</v>
      </c>
      <c r="L61" s="380">
        <f>+Draw!M15*Internal!$F$93</f>
        <v>0</v>
      </c>
      <c r="M61" s="380">
        <f>+Draw!N15*Internal!$F$93</f>
        <v>0</v>
      </c>
      <c r="N61" s="380">
        <f>+Draw!O15*Internal!$F$93</f>
        <v>0</v>
      </c>
      <c r="O61" s="380">
        <f>+Draw!P15*Internal!$F$93</f>
        <v>0</v>
      </c>
      <c r="P61" s="380">
        <f>+Draw!Q15*Internal!$F$93</f>
        <v>0</v>
      </c>
      <c r="Q61" s="380">
        <f>+Draw!R15*Internal!$F$93</f>
        <v>0</v>
      </c>
      <c r="R61" s="380">
        <f>+Draw!S15*Internal!$F$93</f>
        <v>0</v>
      </c>
      <c r="S61" s="380">
        <f>+Draw!T15*Internal!$F$93</f>
        <v>0</v>
      </c>
      <c r="T61" s="380">
        <f>SUM(D61:S61)</f>
        <v>66392</v>
      </c>
      <c r="V61" s="326">
        <f>+T61-Internal!F93</f>
        <v>0</v>
      </c>
    </row>
    <row r="62" spans="1:142">
      <c r="C62" s="377" t="str">
        <f>+Draw!C16</f>
        <v>SCADA SYSTEM</v>
      </c>
      <c r="D62" s="380">
        <f>+Draw!E16*Internal!$F$94</f>
        <v>0</v>
      </c>
      <c r="E62" s="380">
        <f>+Draw!F16*Internal!$F$94</f>
        <v>0</v>
      </c>
      <c r="F62" s="380">
        <f>+Draw!G16*Internal!$F$94</f>
        <v>0</v>
      </c>
      <c r="G62" s="380">
        <f>+Draw!H16*Internal!$F$94</f>
        <v>0</v>
      </c>
      <c r="H62" s="380">
        <f>+Draw!I16*Internal!$F$94</f>
        <v>0</v>
      </c>
      <c r="I62" s="380">
        <f>+Draw!J16*Internal!$F$94</f>
        <v>0</v>
      </c>
      <c r="J62" s="380">
        <f>+Draw!K16*Internal!$F$94</f>
        <v>0</v>
      </c>
      <c r="K62" s="380">
        <f>+Draw!L16*Internal!$F$94</f>
        <v>0</v>
      </c>
      <c r="L62" s="380">
        <f>+Draw!M16*Internal!$F$94</f>
        <v>0</v>
      </c>
      <c r="M62" s="380">
        <f>+Draw!N16*Internal!$F$94</f>
        <v>0</v>
      </c>
      <c r="N62" s="380">
        <f>+Draw!O16*Internal!$F$94</f>
        <v>0</v>
      </c>
      <c r="O62" s="380">
        <f>+Draw!P16*Internal!$F$94</f>
        <v>0</v>
      </c>
      <c r="P62" s="380">
        <f>+Draw!Q16*Internal!$F$94</f>
        <v>0</v>
      </c>
      <c r="Q62" s="380">
        <f>+Draw!R16*Internal!$F$94</f>
        <v>0</v>
      </c>
      <c r="R62" s="380">
        <f>+Draw!S16*Internal!$F$94</f>
        <v>0</v>
      </c>
      <c r="S62" s="380">
        <f>+Draw!T16*Internal!$F$94</f>
        <v>0</v>
      </c>
      <c r="T62" s="380">
        <f t="shared" ref="T62:T74" si="8">SUM(D62:S62)</f>
        <v>0</v>
      </c>
      <c r="V62" s="326">
        <f>+T62-Internal!F94</f>
        <v>0</v>
      </c>
    </row>
    <row r="63" spans="1:142">
      <c r="C63" s="377" t="str">
        <f>+Draw!C17</f>
        <v>SHIPPING - WTG &amp; BLADES</v>
      </c>
      <c r="D63" s="380">
        <f>+Draw!E17*Internal!$F$95</f>
        <v>392.55559999999997</v>
      </c>
      <c r="E63" s="380">
        <f>+Draw!F17*Internal!$F$95</f>
        <v>392.55559999999997</v>
      </c>
      <c r="F63" s="380">
        <f>+Draw!G17*Internal!$F$95</f>
        <v>392.55559999999997</v>
      </c>
      <c r="G63" s="380">
        <f>+Draw!H17*Internal!$F$95</f>
        <v>392.55559999999997</v>
      </c>
      <c r="H63" s="380">
        <f>+Draw!I17*Internal!$F$95</f>
        <v>392.55559999999997</v>
      </c>
      <c r="I63" s="380">
        <f>+Draw!J17*Internal!$F$95</f>
        <v>0</v>
      </c>
      <c r="J63" s="380">
        <f>+Draw!K17*Internal!$F$95</f>
        <v>0</v>
      </c>
      <c r="K63" s="380">
        <f>+Draw!L17*Internal!$F$95</f>
        <v>0</v>
      </c>
      <c r="L63" s="380">
        <f>+Draw!M17*Internal!$F$95</f>
        <v>0</v>
      </c>
      <c r="M63" s="380">
        <f>+Draw!N17*Internal!$F$95</f>
        <v>0</v>
      </c>
      <c r="N63" s="380">
        <f>+Draw!O17*Internal!$F$95</f>
        <v>0</v>
      </c>
      <c r="O63" s="380">
        <f>+Draw!P17*Internal!$F$95</f>
        <v>0</v>
      </c>
      <c r="P63" s="380">
        <f>+Draw!Q17*Internal!$F$95</f>
        <v>0</v>
      </c>
      <c r="Q63" s="380">
        <f>+Draw!R17*Internal!$F$95</f>
        <v>0</v>
      </c>
      <c r="R63" s="380">
        <f>+Draw!S17*Internal!$F$95</f>
        <v>0</v>
      </c>
      <c r="S63" s="380">
        <f>+Draw!T17*Internal!$F$95</f>
        <v>0</v>
      </c>
      <c r="T63" s="380">
        <f t="shared" si="8"/>
        <v>1962.7779999999998</v>
      </c>
      <c r="V63" s="326">
        <f>+T63-Internal!F95</f>
        <v>0</v>
      </c>
    </row>
    <row r="64" spans="1:142">
      <c r="C64" s="377" t="str">
        <f>+Draw!C18</f>
        <v>TOWER</v>
      </c>
      <c r="D64" s="380">
        <f>+Draw!E18*Internal!$F$96</f>
        <v>0</v>
      </c>
      <c r="E64" s="380">
        <f>+Draw!F18*Internal!$F$96</f>
        <v>0</v>
      </c>
      <c r="F64" s="380">
        <f>+Draw!G18*Internal!$F$96</f>
        <v>2098.4</v>
      </c>
      <c r="G64" s="380">
        <f>+Draw!H18*Internal!$F$96</f>
        <v>2098.4</v>
      </c>
      <c r="H64" s="380">
        <f>+Draw!I18*Internal!$F$96</f>
        <v>4196.8</v>
      </c>
      <c r="I64" s="380">
        <f>+Draw!J18*Internal!$F$96</f>
        <v>2098.4</v>
      </c>
      <c r="J64" s="380">
        <f>+Draw!K18*Internal!$F$96</f>
        <v>0</v>
      </c>
      <c r="K64" s="380">
        <f>+Draw!L18*Internal!$F$96</f>
        <v>0</v>
      </c>
      <c r="L64" s="380">
        <f>+Draw!M18*Internal!$F$96</f>
        <v>0</v>
      </c>
      <c r="M64" s="380">
        <f>+Draw!N18*Internal!$F$96</f>
        <v>0</v>
      </c>
      <c r="N64" s="380">
        <f>+Draw!O18*Internal!$F$96</f>
        <v>0</v>
      </c>
      <c r="O64" s="380">
        <f>+Draw!P18*Internal!$F$96</f>
        <v>0</v>
      </c>
      <c r="P64" s="380">
        <f>+Draw!Q18*Internal!$F$96</f>
        <v>0</v>
      </c>
      <c r="Q64" s="380">
        <f>+Draw!R18*Internal!$F$96</f>
        <v>0</v>
      </c>
      <c r="R64" s="380">
        <f>+Draw!S18*Internal!$F$96</f>
        <v>0</v>
      </c>
      <c r="S64" s="380">
        <f>+Draw!T18*Internal!$F$96</f>
        <v>0</v>
      </c>
      <c r="T64" s="380">
        <f t="shared" si="8"/>
        <v>10492</v>
      </c>
      <c r="V64" s="326">
        <f>+T64-Internal!F96</f>
        <v>0</v>
      </c>
    </row>
    <row r="65" spans="3:22">
      <c r="C65" s="377" t="str">
        <f>+Draw!C19</f>
        <v>TOWER FREIGHT</v>
      </c>
      <c r="D65" s="380">
        <f>+Draw!E19*Internal!$F$97</f>
        <v>0</v>
      </c>
      <c r="E65" s="380">
        <f>+Draw!F19*Internal!$F$97</f>
        <v>258</v>
      </c>
      <c r="F65" s="380">
        <f>+Draw!G19*Internal!$F$97</f>
        <v>258</v>
      </c>
      <c r="G65" s="380">
        <f>+Draw!H19*Internal!$F$97</f>
        <v>129</v>
      </c>
      <c r="H65" s="380">
        <f>+Draw!I19*Internal!$F$97</f>
        <v>0</v>
      </c>
      <c r="I65" s="380">
        <f>+Draw!J19*Internal!$F$97</f>
        <v>0</v>
      </c>
      <c r="J65" s="380">
        <f>+Draw!K19*Internal!$F$97</f>
        <v>0</v>
      </c>
      <c r="K65" s="380">
        <f>+Draw!L19*Internal!$F$97</f>
        <v>0</v>
      </c>
      <c r="L65" s="380">
        <f>+Draw!M19*Internal!$F$97</f>
        <v>0</v>
      </c>
      <c r="M65" s="380">
        <f>+Draw!N19*Internal!$F$97</f>
        <v>0</v>
      </c>
      <c r="N65" s="380">
        <f>+Draw!O19*Internal!$F$97</f>
        <v>0</v>
      </c>
      <c r="O65" s="380">
        <f>+Draw!P19*Internal!$F$97</f>
        <v>0</v>
      </c>
      <c r="P65" s="380">
        <f>+Draw!Q19*Internal!$F$97</f>
        <v>0</v>
      </c>
      <c r="Q65" s="380">
        <f>+Draw!R19*Internal!$F$97</f>
        <v>0</v>
      </c>
      <c r="R65" s="380">
        <f>+Draw!S19*Internal!$F$97</f>
        <v>0</v>
      </c>
      <c r="S65" s="380">
        <f>+Draw!T19*Internal!$F$97</f>
        <v>0</v>
      </c>
      <c r="T65" s="380">
        <f t="shared" si="8"/>
        <v>645</v>
      </c>
      <c r="V65" s="326">
        <f>+T65-Internal!F97</f>
        <v>0</v>
      </c>
    </row>
    <row r="66" spans="3:22">
      <c r="C66" s="377" t="str">
        <f>+Draw!C20</f>
        <v>SERVICES</v>
      </c>
      <c r="D66" s="380">
        <f>+Draw!E20*Internal!$F$98</f>
        <v>0</v>
      </c>
      <c r="E66" s="380">
        <f>+Draw!F20*Internal!$F$98</f>
        <v>0</v>
      </c>
      <c r="F66" s="380">
        <f>+Draw!G20*Internal!$F$98</f>
        <v>0</v>
      </c>
      <c r="G66" s="380">
        <f>+Draw!H20*Internal!$F$98</f>
        <v>0</v>
      </c>
      <c r="H66" s="380">
        <f>+Draw!I20*Internal!$F$98</f>
        <v>0</v>
      </c>
      <c r="I66" s="380">
        <f>+Draw!J20*Internal!$F$98</f>
        <v>0</v>
      </c>
      <c r="J66" s="380">
        <f>+Draw!K20*Internal!$F$98</f>
        <v>879</v>
      </c>
      <c r="K66" s="380">
        <f>+Draw!L20*Internal!$F$98</f>
        <v>879</v>
      </c>
      <c r="L66" s="380">
        <f>+Draw!M20*Internal!$F$98</f>
        <v>0</v>
      </c>
      <c r="M66" s="380">
        <f>+Draw!N20*Internal!$F$98</f>
        <v>0</v>
      </c>
      <c r="N66" s="380">
        <f>+Draw!O20*Internal!$F$98</f>
        <v>0</v>
      </c>
      <c r="O66" s="380">
        <f>+Draw!P20*Internal!$F$98</f>
        <v>0</v>
      </c>
      <c r="P66" s="380">
        <f>+Draw!Q20*Internal!$F$98</f>
        <v>0</v>
      </c>
      <c r="Q66" s="380">
        <f>+Draw!R20*Internal!$F$98</f>
        <v>0</v>
      </c>
      <c r="R66" s="380">
        <f>+Draw!S20*Internal!$F$98</f>
        <v>0</v>
      </c>
      <c r="S66" s="380">
        <f>+Draw!T20*Internal!$F$98</f>
        <v>0</v>
      </c>
      <c r="T66" s="380">
        <f t="shared" si="8"/>
        <v>1758</v>
      </c>
      <c r="V66" s="326">
        <f>+T66-Internal!F98</f>
        <v>0</v>
      </c>
    </row>
    <row r="67" spans="3:22">
      <c r="C67" s="377" t="str">
        <f>+Draw!C22</f>
        <v>MANUFACTURING COSTS</v>
      </c>
      <c r="D67" s="380">
        <f>+Draw!E22*Internal!$F$100</f>
        <v>0</v>
      </c>
      <c r="E67" s="380">
        <f>+Draw!F22*Internal!$F$100</f>
        <v>0</v>
      </c>
      <c r="F67" s="380">
        <f>+Draw!G22*Internal!$F$100</f>
        <v>0</v>
      </c>
      <c r="G67" s="380">
        <f>+Draw!H22*Internal!$F$100</f>
        <v>0</v>
      </c>
      <c r="H67" s="380">
        <f>+Draw!I22*Internal!$F$100</f>
        <v>0</v>
      </c>
      <c r="I67" s="380">
        <f>+Draw!J22*Internal!$F$100</f>
        <v>0</v>
      </c>
      <c r="J67" s="380">
        <f>+Draw!K22*Internal!$F$100</f>
        <v>0</v>
      </c>
      <c r="K67" s="380">
        <f>+Draw!L22*Internal!$F$100</f>
        <v>0</v>
      </c>
      <c r="L67" s="380">
        <f>+Draw!M22*Internal!$F$100</f>
        <v>0</v>
      </c>
      <c r="M67" s="380">
        <f>+Draw!N22*Internal!$F$100</f>
        <v>0</v>
      </c>
      <c r="N67" s="380">
        <f>+Draw!O22*Internal!$F$100</f>
        <v>0</v>
      </c>
      <c r="O67" s="380">
        <f>+Draw!P22*Internal!$F$100</f>
        <v>0</v>
      </c>
      <c r="P67" s="380">
        <f>+Draw!Q22*Internal!$F$100</f>
        <v>0</v>
      </c>
      <c r="Q67" s="380">
        <f>+Draw!R22*Internal!$F$100</f>
        <v>0</v>
      </c>
      <c r="R67" s="380">
        <f>+Draw!S22*Internal!$F$100</f>
        <v>0</v>
      </c>
      <c r="S67" s="380">
        <f>+Draw!T22*Internal!$F$100</f>
        <v>0</v>
      </c>
      <c r="T67" s="380">
        <f t="shared" si="8"/>
        <v>0</v>
      </c>
      <c r="V67" s="326">
        <f>+T67-Internal!F100</f>
        <v>0</v>
      </c>
    </row>
    <row r="68" spans="3:22">
      <c r="C68" s="377" t="str">
        <f>+Draw!C23</f>
        <v>CIVIL COSTS</v>
      </c>
      <c r="D68" s="381">
        <f>+Draw!E23*Internal!$F$101</f>
        <v>2075.7132000000001</v>
      </c>
      <c r="E68" s="381">
        <f>+Draw!F23*Internal!$F$101</f>
        <v>2075.7132000000001</v>
      </c>
      <c r="F68" s="381">
        <f>+Draw!G23*Internal!$F$101</f>
        <v>2138.6136000000001</v>
      </c>
      <c r="G68" s="381">
        <f>+Draw!H23*Internal!$F$101</f>
        <v>0</v>
      </c>
      <c r="H68" s="381">
        <f>+Draw!I23*Internal!$F$101</f>
        <v>0</v>
      </c>
      <c r="I68" s="381">
        <f>+Draw!J23*Internal!$F$101</f>
        <v>0</v>
      </c>
      <c r="J68" s="381">
        <f>+Draw!K23*Internal!$F$101</f>
        <v>0</v>
      </c>
      <c r="K68" s="381">
        <f>+Draw!L23*Internal!$F$101</f>
        <v>0</v>
      </c>
      <c r="L68" s="381">
        <f>+Draw!M23*Internal!$F$101</f>
        <v>0</v>
      </c>
      <c r="M68" s="381">
        <f>+Draw!N23*Internal!$F$101</f>
        <v>0</v>
      </c>
      <c r="N68" s="381">
        <f>+Draw!O23*Internal!$F$101</f>
        <v>0</v>
      </c>
      <c r="O68" s="381">
        <f>+Draw!P23*Internal!$F$101</f>
        <v>0</v>
      </c>
      <c r="P68" s="381">
        <f>+Draw!Q23*Internal!$F$101</f>
        <v>0</v>
      </c>
      <c r="Q68" s="381">
        <f>+Draw!R23*Internal!$F$101</f>
        <v>0</v>
      </c>
      <c r="R68" s="381">
        <f>+Draw!S23*Internal!$F$101</f>
        <v>0</v>
      </c>
      <c r="S68" s="381">
        <f>+Draw!T23*Internal!$F$101</f>
        <v>0</v>
      </c>
      <c r="T68" s="380">
        <f t="shared" si="8"/>
        <v>6290.0400000000009</v>
      </c>
      <c r="V68" s="326">
        <f>+T68-Internal!F101</f>
        <v>0</v>
      </c>
    </row>
    <row r="69" spans="3:22">
      <c r="C69" s="377" t="str">
        <f>+Draw!C24</f>
        <v>MECHANICAL/ERECTION</v>
      </c>
      <c r="D69" s="380">
        <f>+Draw!E24*Internal!$F$102</f>
        <v>0</v>
      </c>
      <c r="E69" s="380">
        <f>+Draw!F24*Internal!$F$102</f>
        <v>0</v>
      </c>
      <c r="F69" s="380">
        <f>+Draw!G24*Internal!$F$102</f>
        <v>0</v>
      </c>
      <c r="G69" s="380">
        <f>+Draw!H24*Internal!$F$102</f>
        <v>1486.682</v>
      </c>
      <c r="H69" s="380">
        <f>+Draw!I24*Internal!$F$102</f>
        <v>1486.682</v>
      </c>
      <c r="I69" s="380">
        <f>+Draw!J24*Internal!$F$102</f>
        <v>1486.682</v>
      </c>
      <c r="J69" s="380">
        <f>+Draw!K24*Internal!$F$102</f>
        <v>1486.682</v>
      </c>
      <c r="K69" s="380">
        <f>+Draw!L24*Internal!$F$102</f>
        <v>0</v>
      </c>
      <c r="L69" s="380">
        <f>+Draw!M24*Internal!$F$102</f>
        <v>0</v>
      </c>
      <c r="M69" s="380">
        <f>+Draw!N24*Internal!$F$102</f>
        <v>0</v>
      </c>
      <c r="N69" s="380">
        <f>+Draw!O24*Internal!$F$102</f>
        <v>0</v>
      </c>
      <c r="O69" s="380">
        <f>+Draw!P24*Internal!$F$102</f>
        <v>0</v>
      </c>
      <c r="P69" s="380">
        <f>+Draw!Q24*Internal!$F$102</f>
        <v>0</v>
      </c>
      <c r="Q69" s="380">
        <f>+Draw!R24*Internal!$F$102</f>
        <v>0</v>
      </c>
      <c r="R69" s="380">
        <f>+Draw!S24*Internal!$F$102</f>
        <v>0</v>
      </c>
      <c r="S69" s="380">
        <f>+Draw!T24*Internal!$F$102</f>
        <v>0</v>
      </c>
      <c r="T69" s="380">
        <f t="shared" si="8"/>
        <v>5946.7280000000001</v>
      </c>
      <c r="V69" s="326">
        <f>+T69-Internal!F102</f>
        <v>0</v>
      </c>
    </row>
    <row r="70" spans="3:22">
      <c r="C70" s="377" t="str">
        <f>+Draw!C25</f>
        <v>ELECTRICAL DISTRIBUTION</v>
      </c>
      <c r="D70" s="380">
        <f>+Draw!E25*Internal!$F$103</f>
        <v>0</v>
      </c>
      <c r="E70" s="380">
        <f>+Draw!F25*Internal!$F$103</f>
        <v>0</v>
      </c>
      <c r="F70" s="380">
        <f>+Draw!G25*Internal!$F$103</f>
        <v>0</v>
      </c>
      <c r="G70" s="380">
        <f>+Draw!H25*Internal!$F$103</f>
        <v>0</v>
      </c>
      <c r="H70" s="380">
        <f>+Draw!I25*Internal!$F$103</f>
        <v>0</v>
      </c>
      <c r="I70" s="380">
        <f>+Draw!J25*Internal!$F$103</f>
        <v>0</v>
      </c>
      <c r="J70" s="380">
        <f>+Draw!K25*Internal!$F$103</f>
        <v>0</v>
      </c>
      <c r="K70" s="380">
        <f>+Draw!L25*Internal!$F$103</f>
        <v>0</v>
      </c>
      <c r="L70" s="380">
        <f>+Draw!M25*Internal!$F$103</f>
        <v>0</v>
      </c>
      <c r="M70" s="380">
        <f>+Draw!N25*Internal!$F$103</f>
        <v>0</v>
      </c>
      <c r="N70" s="380">
        <f>+Draw!O25*Internal!$F$103</f>
        <v>0</v>
      </c>
      <c r="O70" s="380">
        <f>+Draw!P25*Internal!$F$103</f>
        <v>0</v>
      </c>
      <c r="P70" s="380">
        <f>+Draw!Q25*Internal!$F$103</f>
        <v>0</v>
      </c>
      <c r="Q70" s="380">
        <f>+Draw!R25*Internal!$F$103</f>
        <v>0</v>
      </c>
      <c r="R70" s="380">
        <f>+Draw!S25*Internal!$F$103</f>
        <v>0</v>
      </c>
      <c r="S70" s="380">
        <f>+Draw!T25*Internal!$F$103</f>
        <v>0</v>
      </c>
      <c r="T70" s="380">
        <f t="shared" si="8"/>
        <v>0</v>
      </c>
      <c r="V70" s="326">
        <f>+T70-Internal!F103</f>
        <v>0</v>
      </c>
    </row>
    <row r="71" spans="3:22">
      <c r="C71" s="377" t="str">
        <f>+Draw!C26</f>
        <v>ENGINEERING</v>
      </c>
      <c r="D71" s="380">
        <f>+Draw!E26*Internal!$F$104</f>
        <v>0</v>
      </c>
      <c r="E71" s="380">
        <f>+Draw!F26*Internal!$F$104</f>
        <v>0</v>
      </c>
      <c r="F71" s="380">
        <f>+Draw!G26*Internal!$F$104</f>
        <v>0</v>
      </c>
      <c r="G71" s="380">
        <f>+Draw!H26*Internal!$F$104</f>
        <v>428.71</v>
      </c>
      <c r="H71" s="380">
        <f>+Draw!I26*Internal!$F$104</f>
        <v>428.71</v>
      </c>
      <c r="I71" s="380">
        <f>+Draw!J26*Internal!$F$104</f>
        <v>428.71</v>
      </c>
      <c r="J71" s="380">
        <f>+Draw!K26*Internal!$F$104</f>
        <v>428.71</v>
      </c>
      <c r="K71" s="380">
        <f>+Draw!L26*Internal!$F$104</f>
        <v>0</v>
      </c>
      <c r="L71" s="380">
        <f>+Draw!M26*Internal!$F$104</f>
        <v>0</v>
      </c>
      <c r="M71" s="380">
        <f>+Draw!N26*Internal!$F$104</f>
        <v>0</v>
      </c>
      <c r="N71" s="380">
        <f>+Draw!O26*Internal!$F$104</f>
        <v>0</v>
      </c>
      <c r="O71" s="380">
        <f>+Draw!P26*Internal!$F$104</f>
        <v>0</v>
      </c>
      <c r="P71" s="380">
        <f>+Draw!Q26*Internal!$F$104</f>
        <v>0</v>
      </c>
      <c r="Q71" s="380">
        <f>+Draw!R26*Internal!$F$104</f>
        <v>0</v>
      </c>
      <c r="R71" s="380">
        <f>+Draw!S26*Internal!$F$104</f>
        <v>0</v>
      </c>
      <c r="S71" s="380">
        <f>+Draw!T26*Internal!$F$104</f>
        <v>0</v>
      </c>
      <c r="T71" s="380">
        <f t="shared" si="8"/>
        <v>1714.84</v>
      </c>
      <c r="V71" s="326">
        <f>+T71-Internal!F104</f>
        <v>0</v>
      </c>
    </row>
    <row r="72" spans="3:22">
      <c r="C72" s="377" t="str">
        <f>+Draw!C27</f>
        <v>O&amp;M BLDG</v>
      </c>
      <c r="D72" s="380">
        <f>+Draw!E27*Internal!$F$105</f>
        <v>0</v>
      </c>
      <c r="E72" s="380">
        <f>+Draw!F27*Internal!$F$105</f>
        <v>0</v>
      </c>
      <c r="F72" s="380">
        <f>+Draw!G27*Internal!$F$105</f>
        <v>0</v>
      </c>
      <c r="G72" s="380">
        <f>+Draw!H27*Internal!$F$105</f>
        <v>63.64</v>
      </c>
      <c r="H72" s="380">
        <f>+Draw!I27*Internal!$F$105</f>
        <v>63.64</v>
      </c>
      <c r="I72" s="380">
        <f>+Draw!J27*Internal!$F$105</f>
        <v>63.64</v>
      </c>
      <c r="J72" s="380">
        <f>+Draw!K27*Internal!$F$105</f>
        <v>63.64</v>
      </c>
      <c r="K72" s="380">
        <f>+Draw!L27*Internal!$F$105</f>
        <v>0</v>
      </c>
      <c r="L72" s="380">
        <f>+Draw!M27*Internal!$F$105</f>
        <v>0</v>
      </c>
      <c r="M72" s="380">
        <f>+Draw!N27*Internal!$F$105</f>
        <v>0</v>
      </c>
      <c r="N72" s="380">
        <f>+Draw!O27*Internal!$F$105</f>
        <v>0</v>
      </c>
      <c r="O72" s="380">
        <f>+Draw!P27*Internal!$F$105</f>
        <v>0</v>
      </c>
      <c r="P72" s="380">
        <f>+Draw!Q27*Internal!$F$105</f>
        <v>0</v>
      </c>
      <c r="Q72" s="380">
        <f>+Draw!R27*Internal!$F$105</f>
        <v>0</v>
      </c>
      <c r="R72" s="380">
        <f>+Draw!S27*Internal!$F$105</f>
        <v>0</v>
      </c>
      <c r="S72" s="380">
        <f>+Draw!T27*Internal!$F$105</f>
        <v>0</v>
      </c>
      <c r="T72" s="380">
        <f t="shared" si="8"/>
        <v>254.56</v>
      </c>
      <c r="V72" s="326">
        <f>+T72-Internal!F105</f>
        <v>0</v>
      </c>
    </row>
    <row r="73" spans="3:22">
      <c r="C73" s="377" t="str">
        <f>+Draw!C28</f>
        <v>FACILITY STARTUP</v>
      </c>
      <c r="D73" s="380">
        <f>+Draw!E28*Internal!$F$106</f>
        <v>0</v>
      </c>
      <c r="E73" s="380">
        <f>+Draw!F28*Internal!$F$106</f>
        <v>0</v>
      </c>
      <c r="F73" s="380">
        <f>+Draw!G28*Internal!$F$106</f>
        <v>0</v>
      </c>
      <c r="G73" s="380">
        <f>+Draw!H28*Internal!$F$106</f>
        <v>0</v>
      </c>
      <c r="H73" s="380">
        <f>+Draw!I28*Internal!$F$106</f>
        <v>0</v>
      </c>
      <c r="I73" s="380">
        <f>+Draw!J28*Internal!$F$106</f>
        <v>120.5376</v>
      </c>
      <c r="J73" s="380">
        <f>+Draw!K28*Internal!$F$106</f>
        <v>482.15039999999999</v>
      </c>
      <c r="K73" s="380">
        <f>+Draw!L28*Internal!$F$106</f>
        <v>0</v>
      </c>
      <c r="L73" s="380">
        <f>+Draw!M28*Internal!$F$106</f>
        <v>0</v>
      </c>
      <c r="M73" s="380">
        <f>+Draw!N28*Internal!$F$106</f>
        <v>0</v>
      </c>
      <c r="N73" s="380">
        <f>+Draw!O28*Internal!$F$106</f>
        <v>0</v>
      </c>
      <c r="O73" s="380">
        <f>+Draw!P28*Internal!$F$106</f>
        <v>0</v>
      </c>
      <c r="P73" s="380">
        <f>+Draw!Q28*Internal!$F$106</f>
        <v>0</v>
      </c>
      <c r="Q73" s="380">
        <f>+Draw!R28*Internal!$F$106</f>
        <v>0</v>
      </c>
      <c r="R73" s="380">
        <f>+Draw!S28*Internal!$F$106</f>
        <v>0</v>
      </c>
      <c r="S73" s="380">
        <f>+Draw!T28*Internal!$F$106</f>
        <v>0</v>
      </c>
      <c r="T73" s="380">
        <f t="shared" si="8"/>
        <v>602.68799999999999</v>
      </c>
      <c r="V73" s="326">
        <f>+T73-Internal!F106</f>
        <v>0</v>
      </c>
    </row>
    <row r="74" spans="3:22">
      <c r="C74" s="377" t="str">
        <f>+Draw!C30</f>
        <v>INTERCONNECTION COSTS</v>
      </c>
      <c r="D74" s="380">
        <f>+Draw!E30*Internal!$F$107</f>
        <v>0</v>
      </c>
      <c r="E74" s="380">
        <f>+Draw!F30*Internal!$F$107</f>
        <v>0</v>
      </c>
      <c r="F74" s="380">
        <f>+Draw!G30*Internal!$F$107</f>
        <v>0</v>
      </c>
      <c r="G74" s="380">
        <f>+Draw!H30*Internal!$F$107</f>
        <v>0</v>
      </c>
      <c r="H74" s="380">
        <f>+Draw!I30*Internal!$F$107</f>
        <v>0</v>
      </c>
      <c r="I74" s="380">
        <f>+Draw!J30*Internal!$F$107</f>
        <v>4569.5773200000003</v>
      </c>
      <c r="J74" s="380">
        <f>+Draw!K30*Internal!$F$107</f>
        <v>4569.5773200000003</v>
      </c>
      <c r="K74" s="380">
        <f>+Draw!L30*Internal!$F$107</f>
        <v>4708.04936</v>
      </c>
      <c r="L74" s="380">
        <f>+Draw!M30*Internal!$F$107</f>
        <v>0</v>
      </c>
      <c r="M74" s="380">
        <f>+Draw!N30*Internal!$F$107</f>
        <v>0</v>
      </c>
      <c r="N74" s="380">
        <f>+Draw!O30*Internal!$F$107</f>
        <v>0</v>
      </c>
      <c r="O74" s="380">
        <f>+Draw!P30*Internal!$F$107</f>
        <v>0</v>
      </c>
      <c r="P74" s="380">
        <f>+Draw!Q30*Internal!$F$107</f>
        <v>0</v>
      </c>
      <c r="Q74" s="380">
        <f>+Draw!R30*Internal!$F$107</f>
        <v>0</v>
      </c>
      <c r="R74" s="380">
        <f>+Draw!S30*Internal!$F$107</f>
        <v>0</v>
      </c>
      <c r="S74" s="380">
        <f>+Draw!T30*Internal!$F$107</f>
        <v>0</v>
      </c>
      <c r="T74" s="380">
        <f t="shared" si="8"/>
        <v>13847.204000000002</v>
      </c>
      <c r="V74" s="326">
        <f>+T74-Internal!F107</f>
        <v>0</v>
      </c>
    </row>
    <row r="75" spans="3:22">
      <c r="C75" s="377" t="str">
        <f>+Draw!C31</f>
        <v>OTHER CONSTRUCTION COSTS</v>
      </c>
      <c r="D75" s="380">
        <f>+Draw!E31*Internal!$F$108</f>
        <v>0</v>
      </c>
      <c r="E75" s="380">
        <f>+Draw!F31*Internal!$F$108</f>
        <v>0</v>
      </c>
      <c r="F75" s="380">
        <f>+Draw!G31*Internal!$F$108</f>
        <v>0</v>
      </c>
      <c r="G75" s="380">
        <f>+Draw!H31*Internal!$F$108</f>
        <v>891.13200000000006</v>
      </c>
      <c r="H75" s="380">
        <f>+Draw!I31*Internal!$F$108</f>
        <v>891.13200000000006</v>
      </c>
      <c r="I75" s="380">
        <f>+Draw!J31*Internal!$F$108</f>
        <v>891.13200000000006</v>
      </c>
      <c r="J75" s="380">
        <f>+Draw!K31*Internal!$F$108</f>
        <v>891.13200000000006</v>
      </c>
      <c r="K75" s="380">
        <f>+Draw!L31*Internal!$F$108</f>
        <v>0</v>
      </c>
      <c r="L75" s="380">
        <f>+Draw!M31*Internal!$F$108</f>
        <v>0</v>
      </c>
      <c r="M75" s="380">
        <f>+Draw!N31*Internal!$F$108</f>
        <v>0</v>
      </c>
      <c r="N75" s="380">
        <f>+Draw!O31*Internal!$F$108</f>
        <v>0</v>
      </c>
      <c r="O75" s="380">
        <f>+Draw!P31*Internal!$F$108</f>
        <v>0</v>
      </c>
      <c r="P75" s="380">
        <f>+Draw!Q31*Internal!$F$108</f>
        <v>0</v>
      </c>
      <c r="Q75" s="380">
        <f>+Draw!R31*Internal!$F$108</f>
        <v>0</v>
      </c>
      <c r="R75" s="380">
        <f>+Draw!S31*Internal!$F$108</f>
        <v>0</v>
      </c>
      <c r="S75" s="380">
        <f>+Draw!T31*Internal!$F$108</f>
        <v>0</v>
      </c>
      <c r="T75" s="380">
        <f t="shared" ref="T75:T91" si="9">SUM(D75:S75)</f>
        <v>3564.5280000000002</v>
      </c>
      <c r="V75" s="326">
        <f>+T75-Internal!F108</f>
        <v>0</v>
      </c>
    </row>
    <row r="76" spans="3:22">
      <c r="C76" s="377" t="str">
        <f>+Draw!C32</f>
        <v>CONSTRUCTION INTEREST</v>
      </c>
      <c r="D76" s="380">
        <f ca="1">+Draw!E32*Srcs_Uses!$E$18</f>
        <v>0</v>
      </c>
      <c r="E76" s="380">
        <f ca="1">+Draw!F32*Srcs_Uses!$E$18</f>
        <v>0</v>
      </c>
      <c r="F76" s="380">
        <f ca="1">+Draw!G32*Srcs_Uses!$E$18</f>
        <v>0</v>
      </c>
      <c r="G76" s="380">
        <f ca="1">+Draw!H32*Srcs_Uses!$E$18</f>
        <v>0</v>
      </c>
      <c r="H76" s="380">
        <f ca="1">+Draw!I32*Srcs_Uses!$E$18</f>
        <v>0</v>
      </c>
      <c r="I76" s="380">
        <f ca="1">+Draw!J32*Srcs_Uses!$E$18</f>
        <v>2701.3633988959482</v>
      </c>
      <c r="J76" s="380">
        <f ca="1">+Draw!K32*Srcs_Uses!$E$18</f>
        <v>2701.3633988959482</v>
      </c>
      <c r="K76" s="380">
        <f ca="1">+Draw!L32*Srcs_Uses!$E$18</f>
        <v>2783.2228958321894</v>
      </c>
      <c r="L76" s="380">
        <f ca="1">+Draw!M32*Srcs_Uses!$E$18</f>
        <v>0</v>
      </c>
      <c r="M76" s="380">
        <f ca="1">+Draw!N32*Srcs_Uses!$E$18</f>
        <v>0</v>
      </c>
      <c r="N76" s="380">
        <f ca="1">+Draw!O32*Srcs_Uses!$E$18</f>
        <v>0</v>
      </c>
      <c r="O76" s="380">
        <f ca="1">+Draw!P32*Srcs_Uses!$E$18</f>
        <v>0</v>
      </c>
      <c r="P76" s="380">
        <f ca="1">+Draw!Q32*Srcs_Uses!$E$18</f>
        <v>0</v>
      </c>
      <c r="Q76" s="380">
        <f ca="1">+Draw!R32*Srcs_Uses!$E$18</f>
        <v>0</v>
      </c>
      <c r="R76" s="380">
        <f ca="1">+Draw!S32*Srcs_Uses!$E$18</f>
        <v>0</v>
      </c>
      <c r="S76" s="380">
        <f ca="1">+Draw!T32*Srcs_Uses!$E$18</f>
        <v>0</v>
      </c>
      <c r="T76" s="380">
        <f t="shared" ca="1" si="9"/>
        <v>8185.9496936240857</v>
      </c>
      <c r="V76" s="326">
        <f ca="1">+T76-Srcs_Uses!E18</f>
        <v>0</v>
      </c>
    </row>
    <row r="77" spans="3:22">
      <c r="C77" s="377" t="str">
        <f>+Draw!C33</f>
        <v>EWC DEVELOPER FEE</v>
      </c>
      <c r="D77" s="380">
        <f ca="1">+Draw!E33*Internal!$F$113</f>
        <v>0</v>
      </c>
      <c r="E77" s="380">
        <f ca="1">+Draw!F33*Internal!$F$113</f>
        <v>0</v>
      </c>
      <c r="F77" s="380">
        <f ca="1">+Draw!G33*Internal!$F$113</f>
        <v>0</v>
      </c>
      <c r="G77" s="380">
        <f ca="1">+Draw!H33*Internal!$F$113</f>
        <v>0</v>
      </c>
      <c r="H77" s="380">
        <f ca="1">+Draw!I33*Internal!$F$113</f>
        <v>0</v>
      </c>
      <c r="I77" s="380">
        <f ca="1">+Draw!J33*Internal!$F$113</f>
        <v>0</v>
      </c>
      <c r="J77" s="380">
        <f ca="1">+Draw!K33*Internal!$F$113</f>
        <v>0</v>
      </c>
      <c r="K77" s="380">
        <f ca="1">+Draw!L33*Internal!$F$113</f>
        <v>-83.86366697127778</v>
      </c>
      <c r="L77" s="380">
        <f ca="1">+Draw!M33*Internal!$F$113</f>
        <v>0</v>
      </c>
      <c r="M77" s="380">
        <f ca="1">+Draw!N33*Internal!$F$113</f>
        <v>0</v>
      </c>
      <c r="N77" s="380">
        <f ca="1">+Draw!O33*Internal!$F$113</f>
        <v>0</v>
      </c>
      <c r="O77" s="380">
        <f ca="1">+Draw!P33*Internal!$F$113</f>
        <v>0</v>
      </c>
      <c r="P77" s="380">
        <f ca="1">+Draw!Q33*Internal!$F$113</f>
        <v>0</v>
      </c>
      <c r="Q77" s="380">
        <f ca="1">+Draw!R33*Internal!$F$113</f>
        <v>0</v>
      </c>
      <c r="R77" s="380">
        <f ca="1">+Draw!S33*Internal!$F$113</f>
        <v>0</v>
      </c>
      <c r="S77" s="380">
        <f ca="1">+Draw!T33*Internal!$F$113</f>
        <v>0</v>
      </c>
      <c r="T77" s="380">
        <f t="shared" ca="1" si="9"/>
        <v>-83.86366697127778</v>
      </c>
      <c r="V77" s="326">
        <f ca="1">+T77-Internal!F113</f>
        <v>0</v>
      </c>
    </row>
    <row r="78" spans="3:22">
      <c r="C78" s="377" t="str">
        <f>+Draw!C34</f>
        <v>EPC WRAP FEE</v>
      </c>
      <c r="D78" s="380">
        <f>+Draw!E34*Internal!$F$112</f>
        <v>0</v>
      </c>
      <c r="E78" s="380">
        <f>+Draw!F34*Internal!$F$112</f>
        <v>0</v>
      </c>
      <c r="F78" s="380">
        <f>+Draw!G34*Internal!$F$112</f>
        <v>0</v>
      </c>
      <c r="G78" s="380">
        <f>+Draw!H34*Internal!$F$112</f>
        <v>0</v>
      </c>
      <c r="H78" s="380">
        <f>+Draw!I34*Internal!$F$112</f>
        <v>0</v>
      </c>
      <c r="I78" s="380">
        <f>+Draw!J34*Internal!$F$112</f>
        <v>0</v>
      </c>
      <c r="J78" s="380">
        <f>+Draw!K34*Internal!$F$112</f>
        <v>0</v>
      </c>
      <c r="K78" s="380">
        <f>+Draw!L34*Internal!$F$112</f>
        <v>0</v>
      </c>
      <c r="L78" s="380">
        <f>+Draw!M34*Internal!$F$112</f>
        <v>0</v>
      </c>
      <c r="M78" s="380">
        <f>+Draw!N34*Internal!$F$112</f>
        <v>0</v>
      </c>
      <c r="N78" s="380">
        <f>+Draw!O34*Internal!$F$112</f>
        <v>0</v>
      </c>
      <c r="O78" s="380">
        <f>+Draw!P34*Internal!$F$112</f>
        <v>0</v>
      </c>
      <c r="P78" s="380">
        <f>+Draw!Q34*Internal!$F$112</f>
        <v>0</v>
      </c>
      <c r="Q78" s="380">
        <f>+Draw!R34*Internal!$F$112</f>
        <v>0</v>
      </c>
      <c r="R78" s="380">
        <f>+Draw!S34*Internal!$F$112</f>
        <v>0</v>
      </c>
      <c r="S78" s="380">
        <f>+Draw!T34*Internal!$F$112</f>
        <v>0</v>
      </c>
      <c r="T78" s="380">
        <f t="shared" si="9"/>
        <v>0</v>
      </c>
      <c r="V78" s="326">
        <f>+T78-Internal!F112</f>
        <v>0</v>
      </c>
    </row>
    <row r="79" spans="3:22">
      <c r="C79" s="377" t="str">
        <f>+Draw!C35</f>
        <v>PREDEVELOPMENT EXPENSES TOTAL</v>
      </c>
      <c r="D79" s="380">
        <f>+Draw!E35*Srcs_Uses!$E$16</f>
        <v>3069.92</v>
      </c>
      <c r="E79" s="380">
        <f>+Draw!F35*Srcs_Uses!$E$16</f>
        <v>0</v>
      </c>
      <c r="F79" s="380">
        <f>+Draw!G35*Srcs_Uses!$E$16</f>
        <v>0</v>
      </c>
      <c r="G79" s="380">
        <f>+Draw!H35*Srcs_Uses!$E$16</f>
        <v>0</v>
      </c>
      <c r="H79" s="380">
        <f>+Draw!I35*Srcs_Uses!$E$16</f>
        <v>0</v>
      </c>
      <c r="I79" s="380">
        <f>+Draw!J35*Srcs_Uses!$E$16</f>
        <v>0</v>
      </c>
      <c r="J79" s="380">
        <f>+Draw!K35*Srcs_Uses!$E$16</f>
        <v>0</v>
      </c>
      <c r="K79" s="380">
        <f>+Draw!L35*Srcs_Uses!$E$16</f>
        <v>0</v>
      </c>
      <c r="L79" s="380">
        <f>+Draw!M35*Srcs_Uses!$E$16</f>
        <v>0</v>
      </c>
      <c r="M79" s="380">
        <f>+Draw!N35*Srcs_Uses!$E$16</f>
        <v>0</v>
      </c>
      <c r="N79" s="380">
        <f>+Draw!O35*Srcs_Uses!$E$16</f>
        <v>0</v>
      </c>
      <c r="O79" s="380">
        <f>+Draw!P35*Srcs_Uses!$E$16</f>
        <v>0</v>
      </c>
      <c r="P79" s="380">
        <f>+Draw!Q35*Srcs_Uses!$E$16</f>
        <v>0</v>
      </c>
      <c r="Q79" s="380">
        <f>+Draw!R35*Srcs_Uses!$E$16</f>
        <v>0</v>
      </c>
      <c r="R79" s="380">
        <f>+Draw!S35*Srcs_Uses!$E$16</f>
        <v>0</v>
      </c>
      <c r="S79" s="380">
        <f>+Draw!T35*Srcs_Uses!$E$16</f>
        <v>0</v>
      </c>
      <c r="T79" s="380">
        <f t="shared" si="9"/>
        <v>3069.92</v>
      </c>
      <c r="V79" s="326">
        <f>+T79-Srcs_Uses!E16</f>
        <v>0</v>
      </c>
    </row>
    <row r="80" spans="3:22">
      <c r="C80" s="377" t="str">
        <f>+Draw!C36</f>
        <v>LEGAL CLOSING</v>
      </c>
      <c r="D80" s="380">
        <f>+Draw!E36*Srcs_Uses!$E$20</f>
        <v>0</v>
      </c>
      <c r="E80" s="380">
        <f>+Draw!F36*Srcs_Uses!$E$20</f>
        <v>0</v>
      </c>
      <c r="F80" s="380">
        <f>+Draw!G36*Srcs_Uses!$E$20</f>
        <v>0</v>
      </c>
      <c r="G80" s="380">
        <f>+Draw!H36*Srcs_Uses!$E$20</f>
        <v>0</v>
      </c>
      <c r="H80" s="380">
        <f>+Draw!I36*Srcs_Uses!$E$20</f>
        <v>0</v>
      </c>
      <c r="I80" s="380">
        <f>+Draw!J36*Srcs_Uses!$E$20</f>
        <v>0</v>
      </c>
      <c r="J80" s="380">
        <f>+Draw!K36*Srcs_Uses!$E$20</f>
        <v>1000</v>
      </c>
      <c r="K80" s="380">
        <f>+Draw!L36*Srcs_Uses!$E$20</f>
        <v>0</v>
      </c>
      <c r="L80" s="380">
        <f>+Draw!M36*Srcs_Uses!$E$20</f>
        <v>0</v>
      </c>
      <c r="M80" s="380">
        <f>+Draw!N36*Srcs_Uses!$E$20</f>
        <v>0</v>
      </c>
      <c r="N80" s="380">
        <f>+Draw!O36*Srcs_Uses!$E$20</f>
        <v>0</v>
      </c>
      <c r="O80" s="380">
        <f>+Draw!P36*Srcs_Uses!$E$20</f>
        <v>0</v>
      </c>
      <c r="P80" s="380">
        <f>+Draw!Q36*Srcs_Uses!$E$20</f>
        <v>0</v>
      </c>
      <c r="Q80" s="380">
        <f>+Draw!R36*Srcs_Uses!$E$20</f>
        <v>0</v>
      </c>
      <c r="R80" s="380">
        <f>+Draw!S36*Srcs_Uses!$E$20</f>
        <v>0</v>
      </c>
      <c r="S80" s="380">
        <f>+Draw!T36*Srcs_Uses!$E$20</f>
        <v>0</v>
      </c>
      <c r="T80" s="380">
        <f t="shared" si="9"/>
        <v>1000</v>
      </c>
      <c r="V80" s="326">
        <f>+T80-Srcs_Uses!E20</f>
        <v>0</v>
      </c>
    </row>
    <row r="81" spans="3:22">
      <c r="C81" s="377" t="str">
        <f>+Draw!C37</f>
        <v>BANKING DUE DILIGENCE EXPENSES</v>
      </c>
      <c r="D81" s="380">
        <f>+Draw!E37*Srcs_Uses!$E$21</f>
        <v>100</v>
      </c>
      <c r="E81" s="380">
        <f>+Draw!F37*Srcs_Uses!$E$21</f>
        <v>0</v>
      </c>
      <c r="F81" s="380">
        <f>+Draw!G37*Srcs_Uses!$E$21</f>
        <v>0</v>
      </c>
      <c r="G81" s="380">
        <f>+Draw!H37*Srcs_Uses!$E$21</f>
        <v>0</v>
      </c>
      <c r="H81" s="380">
        <f>+Draw!I37*Srcs_Uses!$E$21</f>
        <v>0</v>
      </c>
      <c r="I81" s="380">
        <f>+Draw!J37*Srcs_Uses!$E$21</f>
        <v>0</v>
      </c>
      <c r="J81" s="380">
        <f>+Draw!K37*Srcs_Uses!$E$21</f>
        <v>0</v>
      </c>
      <c r="K81" s="380">
        <f>+Draw!L37*Srcs_Uses!$E$21</f>
        <v>0</v>
      </c>
      <c r="L81" s="380">
        <f>+Draw!M37*Srcs_Uses!$E$21</f>
        <v>0</v>
      </c>
      <c r="M81" s="380">
        <f>+Draw!N37*Srcs_Uses!$E$21</f>
        <v>0</v>
      </c>
      <c r="N81" s="380">
        <f>+Draw!O37*Srcs_Uses!$E$21</f>
        <v>0</v>
      </c>
      <c r="O81" s="380">
        <f>+Draw!P37*Srcs_Uses!$E$21</f>
        <v>0</v>
      </c>
      <c r="P81" s="380">
        <f>+Draw!Q37*Srcs_Uses!$E$21</f>
        <v>0</v>
      </c>
      <c r="Q81" s="380">
        <f>+Draw!R37*Srcs_Uses!$E$21</f>
        <v>0</v>
      </c>
      <c r="R81" s="380">
        <f>+Draw!S37*Srcs_Uses!$E$21</f>
        <v>0</v>
      </c>
      <c r="S81" s="380">
        <f>+Draw!T37*Srcs_Uses!$E$21</f>
        <v>0</v>
      </c>
      <c r="T81" s="380">
        <f t="shared" si="9"/>
        <v>100</v>
      </c>
      <c r="V81" s="326">
        <f>+T81-Srcs_Uses!E21</f>
        <v>0</v>
      </c>
    </row>
    <row r="82" spans="3:22">
      <c r="C82" s="377" t="str">
        <f>+Draw!C38</f>
        <v>INDEPENDENT ENGINEER</v>
      </c>
      <c r="D82" s="380">
        <f>+Draw!E38*Srcs_Uses!$E$22</f>
        <v>4</v>
      </c>
      <c r="E82" s="380">
        <f>+Draw!F38*Srcs_Uses!$E$22</f>
        <v>4</v>
      </c>
      <c r="F82" s="380">
        <f>+Draw!G38*Srcs_Uses!$E$22</f>
        <v>4</v>
      </c>
      <c r="G82" s="380">
        <f>+Draw!H38*Srcs_Uses!$E$22</f>
        <v>4</v>
      </c>
      <c r="H82" s="380">
        <f>+Draw!I38*Srcs_Uses!$E$22</f>
        <v>4</v>
      </c>
      <c r="I82" s="380">
        <f>+Draw!J38*Srcs_Uses!$E$22</f>
        <v>4</v>
      </c>
      <c r="J82" s="380">
        <f>+Draw!K38*Srcs_Uses!$E$22</f>
        <v>4</v>
      </c>
      <c r="K82" s="380">
        <f>+Draw!L38*Srcs_Uses!$E$22</f>
        <v>4</v>
      </c>
      <c r="L82" s="380">
        <f>+Draw!M38*Srcs_Uses!$E$22</f>
        <v>4</v>
      </c>
      <c r="M82" s="380">
        <f>+Draw!N38*Srcs_Uses!$E$22</f>
        <v>4</v>
      </c>
      <c r="N82" s="380">
        <f>+Draw!O38*Srcs_Uses!$E$22</f>
        <v>0</v>
      </c>
      <c r="O82" s="380">
        <f>+Draw!P38*Srcs_Uses!$E$22</f>
        <v>0</v>
      </c>
      <c r="P82" s="380">
        <f>+Draw!Q38*Srcs_Uses!$E$22</f>
        <v>0</v>
      </c>
      <c r="Q82" s="380">
        <f>+Draw!R38*Srcs_Uses!$E$22</f>
        <v>0</v>
      </c>
      <c r="R82" s="380">
        <f>+Draw!S38*Srcs_Uses!$E$22</f>
        <v>0</v>
      </c>
      <c r="S82" s="380">
        <f>+Draw!T38*Srcs_Uses!$E$22</f>
        <v>0</v>
      </c>
      <c r="T82" s="380">
        <f t="shared" si="9"/>
        <v>40</v>
      </c>
      <c r="V82" s="326">
        <f>+T82-Srcs_Uses!E22</f>
        <v>0</v>
      </c>
    </row>
    <row r="83" spans="3:22">
      <c r="C83" s="377" t="str">
        <f>+Draw!C39</f>
        <v>INSURANCE CONSULTANT FEES</v>
      </c>
      <c r="D83" s="381">
        <f>+Draw!E39*Srcs_Uses!$E$23</f>
        <v>2.5</v>
      </c>
      <c r="E83" s="381">
        <f>+Draw!F39*Srcs_Uses!$E$23</f>
        <v>2.5</v>
      </c>
      <c r="F83" s="381">
        <f>+Draw!G39*Srcs_Uses!$E$23</f>
        <v>2.5</v>
      </c>
      <c r="G83" s="381">
        <f>+Draw!H39*Srcs_Uses!$E$23</f>
        <v>2.5</v>
      </c>
      <c r="H83" s="381">
        <f>+Draw!I39*Srcs_Uses!$E$23</f>
        <v>2.5</v>
      </c>
      <c r="I83" s="381">
        <f>+Draw!J39*Srcs_Uses!$E$23</f>
        <v>2.5</v>
      </c>
      <c r="J83" s="381">
        <f>+Draw!K39*Srcs_Uses!$E$23</f>
        <v>2.5</v>
      </c>
      <c r="K83" s="381">
        <f>+Draw!L39*Srcs_Uses!$E$23</f>
        <v>2.5</v>
      </c>
      <c r="L83" s="381">
        <f>+Draw!M39*Srcs_Uses!$E$23</f>
        <v>2.5</v>
      </c>
      <c r="M83" s="381">
        <f>+Draw!N39*Srcs_Uses!$E$23</f>
        <v>2.5</v>
      </c>
      <c r="N83" s="381">
        <f>+Draw!O39*Srcs_Uses!$E$23</f>
        <v>0</v>
      </c>
      <c r="O83" s="381">
        <f>+Draw!P39*Srcs_Uses!$E$23</f>
        <v>0</v>
      </c>
      <c r="P83" s="381">
        <f>+Draw!Q39*Srcs_Uses!$E$23</f>
        <v>0</v>
      </c>
      <c r="Q83" s="381">
        <f>+Draw!R39*Srcs_Uses!$E$23</f>
        <v>0</v>
      </c>
      <c r="R83" s="381">
        <f>+Draw!S39*Srcs_Uses!$E$23</f>
        <v>0</v>
      </c>
      <c r="S83" s="381">
        <f>+Draw!T39*Srcs_Uses!$E$23</f>
        <v>0</v>
      </c>
      <c r="T83" s="380">
        <f t="shared" si="9"/>
        <v>25</v>
      </c>
      <c r="V83" s="326">
        <f>+T83-Srcs_Uses!E23</f>
        <v>0</v>
      </c>
    </row>
    <row r="84" spans="3:22">
      <c r="C84" s="377" t="str">
        <f>+Draw!C40</f>
        <v xml:space="preserve">INITIAL WORKING CAPITAL </v>
      </c>
      <c r="D84" s="380">
        <f>+Draw!E40*Srcs_Uses!$E$24</f>
        <v>700</v>
      </c>
      <c r="E84" s="380">
        <f>+Draw!F40*Srcs_Uses!$E$24</f>
        <v>0</v>
      </c>
      <c r="F84" s="380">
        <f>+Draw!G40*Srcs_Uses!$E$24</f>
        <v>0</v>
      </c>
      <c r="G84" s="380">
        <f>+Draw!H40*Srcs_Uses!$E$24</f>
        <v>0</v>
      </c>
      <c r="H84" s="380">
        <f>+Draw!I40*Srcs_Uses!$E$24</f>
        <v>0</v>
      </c>
      <c r="I84" s="380">
        <f>+Draw!J40*Srcs_Uses!$E$24</f>
        <v>0</v>
      </c>
      <c r="J84" s="380">
        <f>+Draw!K40*Srcs_Uses!$E$24</f>
        <v>0</v>
      </c>
      <c r="K84" s="380">
        <f>+Draw!L40*Srcs_Uses!$E$24</f>
        <v>0</v>
      </c>
      <c r="L84" s="380">
        <f>+Draw!M40*Srcs_Uses!$E$24</f>
        <v>0</v>
      </c>
      <c r="M84" s="380">
        <f>+Draw!N40*Srcs_Uses!$E$24</f>
        <v>0</v>
      </c>
      <c r="N84" s="380">
        <f>+Draw!O40*Srcs_Uses!$E$24</f>
        <v>0</v>
      </c>
      <c r="O84" s="380">
        <f>+Draw!P40*Srcs_Uses!$E$24</f>
        <v>0</v>
      </c>
      <c r="P84" s="380">
        <f>+Draw!Q40*Srcs_Uses!$E$24</f>
        <v>0</v>
      </c>
      <c r="Q84" s="380">
        <f>+Draw!R40*Srcs_Uses!$E$24</f>
        <v>0</v>
      </c>
      <c r="R84" s="380">
        <f>+Draw!S40*Srcs_Uses!$E$24</f>
        <v>0</v>
      </c>
      <c r="S84" s="380">
        <f>+Draw!T40*Srcs_Uses!$E$24</f>
        <v>0</v>
      </c>
      <c r="T84" s="380">
        <f t="shared" si="9"/>
        <v>700</v>
      </c>
      <c r="V84" s="326">
        <f>+T84-Srcs_Uses!E24</f>
        <v>0</v>
      </c>
    </row>
    <row r="85" spans="3:22">
      <c r="C85" s="377" t="str">
        <f>+Draw!C41</f>
        <v>LAND USE PAYMENT</v>
      </c>
      <c r="D85" s="380">
        <f>+Draw!E41*Srcs_Uses!$E$25</f>
        <v>0</v>
      </c>
      <c r="E85" s="380">
        <f>+Draw!F41*Srcs_Uses!$E$25</f>
        <v>0</v>
      </c>
      <c r="F85" s="380">
        <f>+Draw!G41*Srcs_Uses!$E$25</f>
        <v>0</v>
      </c>
      <c r="G85" s="380">
        <f>+Draw!H41*Srcs_Uses!$E$25</f>
        <v>0</v>
      </c>
      <c r="H85" s="380">
        <f>+Draw!I41*Srcs_Uses!$E$25</f>
        <v>0</v>
      </c>
      <c r="I85" s="380">
        <f>+Draw!J41*Srcs_Uses!$E$25</f>
        <v>0</v>
      </c>
      <c r="J85" s="380">
        <f>+Draw!K41*Srcs_Uses!$E$25</f>
        <v>0</v>
      </c>
      <c r="K85" s="380">
        <f>+Draw!L41*Srcs_Uses!$E$25</f>
        <v>0</v>
      </c>
      <c r="L85" s="380">
        <f>+Draw!M41*Srcs_Uses!$E$25</f>
        <v>0</v>
      </c>
      <c r="M85" s="380">
        <f>+Draw!N41*Srcs_Uses!$E$25</f>
        <v>0</v>
      </c>
      <c r="N85" s="380">
        <f>+Draw!O41*Srcs_Uses!$E$25</f>
        <v>0</v>
      </c>
      <c r="O85" s="380">
        <f>+Draw!P41*Srcs_Uses!$E$25</f>
        <v>0</v>
      </c>
      <c r="P85" s="380">
        <f>+Draw!Q41*Srcs_Uses!$E$25</f>
        <v>0</v>
      </c>
      <c r="Q85" s="380">
        <f>+Draw!R41*Srcs_Uses!$E$25</f>
        <v>0</v>
      </c>
      <c r="R85" s="380">
        <f>+Draw!S41*Srcs_Uses!$E$25</f>
        <v>0</v>
      </c>
      <c r="S85" s="380">
        <f>+Draw!T41*Srcs_Uses!$E$25</f>
        <v>0</v>
      </c>
      <c r="T85" s="380">
        <f t="shared" si="9"/>
        <v>0</v>
      </c>
      <c r="V85" s="326">
        <f>+T85-Srcs_Uses!E25</f>
        <v>0</v>
      </c>
    </row>
    <row r="86" spans="3:22">
      <c r="C86" s="377" t="str">
        <f>+Draw!C42</f>
        <v>EQUITY CLOSING EXPENSES</v>
      </c>
      <c r="D86" s="380">
        <f>+Draw!E42*Srcs_Uses!$E$26</f>
        <v>0</v>
      </c>
      <c r="E86" s="380">
        <f>+Draw!F42*Srcs_Uses!$E$26</f>
        <v>0</v>
      </c>
      <c r="F86" s="380">
        <f>+Draw!G42*Srcs_Uses!$E$26</f>
        <v>0</v>
      </c>
      <c r="G86" s="380">
        <f>+Draw!H42*Srcs_Uses!$E$26</f>
        <v>0</v>
      </c>
      <c r="H86" s="380">
        <f>+Draw!I42*Srcs_Uses!$E$26</f>
        <v>0</v>
      </c>
      <c r="I86" s="380">
        <f>+Draw!J42*Srcs_Uses!$E$26</f>
        <v>250</v>
      </c>
      <c r="J86" s="380">
        <f>+Draw!K42*Srcs_Uses!$E$26</f>
        <v>0</v>
      </c>
      <c r="K86" s="380">
        <f>+Draw!L42*Srcs_Uses!$E$26</f>
        <v>0</v>
      </c>
      <c r="L86" s="380">
        <f>+Draw!M42*Srcs_Uses!$E$26</f>
        <v>0</v>
      </c>
      <c r="M86" s="380">
        <f>+Draw!N42*Srcs_Uses!$E$26</f>
        <v>250</v>
      </c>
      <c r="N86" s="380">
        <f>+Draw!O42*Srcs_Uses!$E$26</f>
        <v>0</v>
      </c>
      <c r="O86" s="380">
        <f>+Draw!P42*Srcs_Uses!$E$26</f>
        <v>0</v>
      </c>
      <c r="P86" s="380">
        <f>+Draw!Q42*Srcs_Uses!$E$26</f>
        <v>0</v>
      </c>
      <c r="Q86" s="380">
        <f>+Draw!R42*Srcs_Uses!$E$26</f>
        <v>0</v>
      </c>
      <c r="R86" s="380">
        <f>+Draw!S42*Srcs_Uses!$E$26</f>
        <v>0</v>
      </c>
      <c r="S86" s="380">
        <f>+Draw!T42*Srcs_Uses!$E$26</f>
        <v>0</v>
      </c>
      <c r="T86" s="380">
        <f t="shared" si="9"/>
        <v>500</v>
      </c>
      <c r="V86" s="326">
        <f>+T86-Srcs_Uses!E26</f>
        <v>0</v>
      </c>
    </row>
    <row r="87" spans="3:22">
      <c r="C87" s="377" t="str">
        <f>+Draw!C43</f>
        <v>UTILITY INTERCONNECT COSTS</v>
      </c>
      <c r="D87" s="380">
        <f>+Draw!E43*Srcs_Uses!$E$27</f>
        <v>0</v>
      </c>
      <c r="E87" s="380">
        <f>+Draw!F43*Srcs_Uses!$E$27</f>
        <v>0</v>
      </c>
      <c r="F87" s="380">
        <f>+Draw!G43*Srcs_Uses!$E$27</f>
        <v>0</v>
      </c>
      <c r="G87" s="380">
        <f>+Draw!H43*Srcs_Uses!$E$27</f>
        <v>0</v>
      </c>
      <c r="H87" s="380">
        <f>+Draw!I43*Srcs_Uses!$E$27</f>
        <v>0</v>
      </c>
      <c r="I87" s="380">
        <f>+Draw!J43*Srcs_Uses!$E$27</f>
        <v>0</v>
      </c>
      <c r="J87" s="380">
        <f>+Draw!K43*Srcs_Uses!$E$27</f>
        <v>0</v>
      </c>
      <c r="K87" s="380">
        <f>+Draw!L43*Srcs_Uses!$E$27</f>
        <v>0</v>
      </c>
      <c r="L87" s="380">
        <f>+Draw!M43*Srcs_Uses!$E$27</f>
        <v>0</v>
      </c>
      <c r="M87" s="380">
        <f>+Draw!N43*Srcs_Uses!$E$27</f>
        <v>0</v>
      </c>
      <c r="N87" s="380">
        <f>+Draw!O43*Srcs_Uses!$E$27</f>
        <v>0</v>
      </c>
      <c r="O87" s="380">
        <f>+Draw!P43*Srcs_Uses!$E$27</f>
        <v>0</v>
      </c>
      <c r="P87" s="380">
        <f>+Draw!Q43*Srcs_Uses!$E$27</f>
        <v>0</v>
      </c>
      <c r="Q87" s="380">
        <f>+Draw!R43*Srcs_Uses!$E$27</f>
        <v>0</v>
      </c>
      <c r="R87" s="380">
        <f>+Draw!S43*Srcs_Uses!$E$27</f>
        <v>0</v>
      </c>
      <c r="S87" s="380">
        <f>+Draw!T43*Srcs_Uses!$E$27</f>
        <v>0</v>
      </c>
      <c r="T87" s="380">
        <f t="shared" si="9"/>
        <v>0</v>
      </c>
      <c r="V87" s="326">
        <f>+T87-Srcs_Uses!E27</f>
        <v>0</v>
      </c>
    </row>
    <row r="88" spans="3:22">
      <c r="C88" s="377" t="str">
        <f>+Draw!C44</f>
        <v>CLOSING CONTINGENCY</v>
      </c>
      <c r="D88" s="380">
        <f>+Draw!E44*Srcs_Uses!$E$28</f>
        <v>0</v>
      </c>
      <c r="E88" s="380">
        <f>+Draw!F44*Srcs_Uses!$E$28</f>
        <v>0</v>
      </c>
      <c r="F88" s="380">
        <f>+Draw!G44*Srcs_Uses!$E$28</f>
        <v>0</v>
      </c>
      <c r="G88" s="380">
        <f>+Draw!H44*Srcs_Uses!$E$28</f>
        <v>0</v>
      </c>
      <c r="H88" s="380">
        <f>+Draw!I44*Srcs_Uses!$E$28</f>
        <v>0</v>
      </c>
      <c r="I88" s="380">
        <f>+Draw!J44*Srcs_Uses!$E$28</f>
        <v>0</v>
      </c>
      <c r="J88" s="380">
        <f>+Draw!K44*Srcs_Uses!$E$28</f>
        <v>0</v>
      </c>
      <c r="K88" s="380">
        <f>+Draw!L44*Srcs_Uses!$E$28</f>
        <v>0</v>
      </c>
      <c r="L88" s="380">
        <f>+Draw!M44*Srcs_Uses!$E$28</f>
        <v>0</v>
      </c>
      <c r="M88" s="380">
        <f>+Draw!N44*Srcs_Uses!$E$28</f>
        <v>0</v>
      </c>
      <c r="N88" s="380">
        <f>+Draw!O44*Srcs_Uses!$E$28</f>
        <v>0</v>
      </c>
      <c r="O88" s="380">
        <f>+Draw!P44*Srcs_Uses!$E$28</f>
        <v>0</v>
      </c>
      <c r="P88" s="380">
        <f>+Draw!Q44*Srcs_Uses!$E$28</f>
        <v>0</v>
      </c>
      <c r="Q88" s="380">
        <f>+Draw!R44*Srcs_Uses!$E$28</f>
        <v>0</v>
      </c>
      <c r="R88" s="380">
        <f>+Draw!S44*Srcs_Uses!$E$28</f>
        <v>0</v>
      </c>
      <c r="S88" s="380">
        <f>+Draw!T44*Srcs_Uses!$E$28</f>
        <v>0</v>
      </c>
      <c r="T88" s="380">
        <f t="shared" si="9"/>
        <v>0</v>
      </c>
      <c r="V88" s="326">
        <f>+T88-Srcs_Uses!E28</f>
        <v>0</v>
      </c>
    </row>
    <row r="89" spans="3:22">
      <c r="C89" s="377" t="str">
        <f>+Draw!C45</f>
        <v>CONSTRUCTION INSURANCE</v>
      </c>
      <c r="D89" s="380">
        <f>+Draw!E45*Srcs_Uses!$E$17</f>
        <v>0</v>
      </c>
      <c r="E89" s="380">
        <f>+Draw!F45*Srcs_Uses!$E$17</f>
        <v>0</v>
      </c>
      <c r="F89" s="380">
        <f>+Draw!G45*Srcs_Uses!$E$17</f>
        <v>0</v>
      </c>
      <c r="G89" s="380">
        <f>+Draw!H45*Srcs_Uses!$E$17</f>
        <v>131.07826295083333</v>
      </c>
      <c r="H89" s="380">
        <f>+Draw!I45*Srcs_Uses!$E$17</f>
        <v>0</v>
      </c>
      <c r="I89" s="380">
        <f>+Draw!J45*Srcs_Uses!$E$17</f>
        <v>0</v>
      </c>
      <c r="J89" s="380">
        <f>+Draw!K45*Srcs_Uses!$E$17</f>
        <v>131.07826295083333</v>
      </c>
      <c r="K89" s="380">
        <f>+Draw!L45*Srcs_Uses!$E$17</f>
        <v>0</v>
      </c>
      <c r="L89" s="380">
        <f>+Draw!M45*Srcs_Uses!$E$17</f>
        <v>0</v>
      </c>
      <c r="M89" s="380">
        <f>+Draw!N45*Srcs_Uses!$E$17</f>
        <v>0</v>
      </c>
      <c r="N89" s="380">
        <f>+Draw!O45*Srcs_Uses!$E$17</f>
        <v>0</v>
      </c>
      <c r="O89" s="380">
        <f>+Draw!P45*Srcs_Uses!$E$17</f>
        <v>0</v>
      </c>
      <c r="P89" s="380">
        <f>+Draw!Q45*Srcs_Uses!$E$17</f>
        <v>0</v>
      </c>
      <c r="Q89" s="380">
        <f>+Draw!R45*Srcs_Uses!$E$17</f>
        <v>0</v>
      </c>
      <c r="R89" s="380">
        <f>+Draw!S45*Srcs_Uses!$E$17</f>
        <v>0</v>
      </c>
      <c r="S89" s="380">
        <f>+Draw!T45*Srcs_Uses!$E$17</f>
        <v>0</v>
      </c>
      <c r="T89" s="380">
        <f t="shared" si="9"/>
        <v>262.15652590166667</v>
      </c>
      <c r="V89" s="326">
        <f>+T89-Srcs_Uses!E17</f>
        <v>0</v>
      </c>
    </row>
    <row r="90" spans="3:22">
      <c r="C90" s="377" t="str">
        <f>+Draw!C46</f>
        <v>EPC WARRANTY FEE</v>
      </c>
      <c r="D90" s="380">
        <f>+Draw!E46*Srcs_Uses!$E$19</f>
        <v>0</v>
      </c>
      <c r="E90" s="380">
        <f>+Draw!F46*Srcs_Uses!$E$19</f>
        <v>0</v>
      </c>
      <c r="F90" s="380">
        <f>+Draw!G46*Srcs_Uses!$E$19</f>
        <v>0</v>
      </c>
      <c r="G90" s="380">
        <f>+Draw!H46*Srcs_Uses!$E$19</f>
        <v>0</v>
      </c>
      <c r="H90" s="380">
        <f>+Draw!I46*Srcs_Uses!$E$19</f>
        <v>0</v>
      </c>
      <c r="I90" s="380">
        <f>+Draw!J46*Srcs_Uses!$E$19</f>
        <v>0</v>
      </c>
      <c r="J90" s="380">
        <f>+Draw!K46*Srcs_Uses!$E$19</f>
        <v>0</v>
      </c>
      <c r="K90" s="380">
        <f>+Draw!L46*Srcs_Uses!$E$19</f>
        <v>0</v>
      </c>
      <c r="L90" s="380">
        <f>+Draw!M46*Srcs_Uses!$E$19</f>
        <v>0</v>
      </c>
      <c r="M90" s="380">
        <f>+Draw!N46*Srcs_Uses!$E$19</f>
        <v>0</v>
      </c>
      <c r="N90" s="380">
        <f>+Draw!O46*Srcs_Uses!$E$19</f>
        <v>0</v>
      </c>
      <c r="O90" s="380">
        <f>+Draw!P46*Srcs_Uses!$E$19</f>
        <v>0</v>
      </c>
      <c r="P90" s="380">
        <f>+Draw!Q46*Srcs_Uses!$E$19</f>
        <v>0</v>
      </c>
      <c r="Q90" s="380">
        <f>+Draw!R46*Srcs_Uses!$E$19</f>
        <v>0</v>
      </c>
      <c r="R90" s="380">
        <f>+Draw!S46*Srcs_Uses!$E$19</f>
        <v>0</v>
      </c>
      <c r="S90" s="380">
        <f>+Draw!T46*Srcs_Uses!$E$19</f>
        <v>0</v>
      </c>
      <c r="T90" s="380">
        <f t="shared" si="9"/>
        <v>0</v>
      </c>
      <c r="V90" s="326">
        <f>+T90-Srcs_Uses!E19</f>
        <v>0</v>
      </c>
    </row>
    <row r="91" spans="3:22">
      <c r="C91" s="377" t="e">
        <f>+Draw!C47</f>
        <v>#REF!</v>
      </c>
      <c r="D91" s="380" t="e">
        <f>+Draw!E47*Srcs_Uses!#REF!</f>
        <v>#REF!</v>
      </c>
      <c r="E91" s="380" t="e">
        <f>+Draw!F47*Srcs_Uses!#REF!</f>
        <v>#REF!</v>
      </c>
      <c r="F91" s="380" t="e">
        <f>+Draw!G47*Srcs_Uses!#REF!</f>
        <v>#REF!</v>
      </c>
      <c r="G91" s="380" t="e">
        <f>+Draw!H47*Srcs_Uses!#REF!</f>
        <v>#REF!</v>
      </c>
      <c r="H91" s="380" t="e">
        <f>+Draw!I47*Srcs_Uses!#REF!</f>
        <v>#REF!</v>
      </c>
      <c r="I91" s="380" t="e">
        <f>+Draw!J47*Srcs_Uses!#REF!</f>
        <v>#REF!</v>
      </c>
      <c r="J91" s="380" t="e">
        <f>+Draw!K47*Srcs_Uses!#REF!</f>
        <v>#REF!</v>
      </c>
      <c r="K91" s="380" t="e">
        <f>+Draw!L47*Srcs_Uses!#REF!</f>
        <v>#REF!</v>
      </c>
      <c r="L91" s="380" t="e">
        <f>+Draw!M47*Srcs_Uses!#REF!</f>
        <v>#REF!</v>
      </c>
      <c r="M91" s="380" t="e">
        <f>+Draw!N47*Srcs_Uses!#REF!</f>
        <v>#REF!</v>
      </c>
      <c r="N91" s="380" t="e">
        <f>+Draw!O47*Srcs_Uses!#REF!</f>
        <v>#REF!</v>
      </c>
      <c r="O91" s="380" t="e">
        <f>+Draw!P47*Srcs_Uses!#REF!</f>
        <v>#REF!</v>
      </c>
      <c r="P91" s="380" t="e">
        <f>+Draw!Q47*Srcs_Uses!#REF!</f>
        <v>#REF!</v>
      </c>
      <c r="Q91" s="380" t="e">
        <f>+Draw!R47*Srcs_Uses!#REF!</f>
        <v>#REF!</v>
      </c>
      <c r="R91" s="380" t="e">
        <f>+Draw!S47*Srcs_Uses!#REF!</f>
        <v>#REF!</v>
      </c>
      <c r="S91" s="380" t="e">
        <f>+Draw!T47*Srcs_Uses!#REF!</f>
        <v>#REF!</v>
      </c>
      <c r="T91" s="380" t="e">
        <f t="shared" si="9"/>
        <v>#REF!</v>
      </c>
      <c r="V91" s="326" t="e">
        <f>+T91-Srcs_Uses!#REF!</f>
        <v>#REF!</v>
      </c>
    </row>
    <row r="92" spans="3:22">
      <c r="C92" s="365" t="s">
        <v>240</v>
      </c>
      <c r="D92" s="382" t="e">
        <f t="shared" ref="D92:T92" ca="1" si="10">SUM(D61:D91)</f>
        <v>#REF!</v>
      </c>
      <c r="E92" s="382" t="e">
        <f t="shared" ca="1" si="10"/>
        <v>#REF!</v>
      </c>
      <c r="F92" s="382" t="e">
        <f t="shared" ca="1" si="10"/>
        <v>#REF!</v>
      </c>
      <c r="G92" s="382" t="e">
        <f t="shared" ca="1" si="10"/>
        <v>#REF!</v>
      </c>
      <c r="H92" s="382" t="e">
        <f t="shared" ca="1" si="10"/>
        <v>#REF!</v>
      </c>
      <c r="I92" s="382" t="e">
        <f t="shared" ca="1" si="10"/>
        <v>#REF!</v>
      </c>
      <c r="J92" s="382" t="e">
        <f t="shared" ca="1" si="10"/>
        <v>#REF!</v>
      </c>
      <c r="K92" s="382" t="e">
        <f t="shared" ca="1" si="10"/>
        <v>#REF!</v>
      </c>
      <c r="L92" s="382" t="e">
        <f t="shared" ca="1" si="10"/>
        <v>#REF!</v>
      </c>
      <c r="M92" s="382" t="e">
        <f t="shared" ca="1" si="10"/>
        <v>#REF!</v>
      </c>
      <c r="N92" s="382" t="e">
        <f t="shared" ca="1" si="10"/>
        <v>#REF!</v>
      </c>
      <c r="O92" s="382" t="e">
        <f t="shared" ca="1" si="10"/>
        <v>#REF!</v>
      </c>
      <c r="P92" s="382" t="e">
        <f t="shared" ca="1" si="10"/>
        <v>#REF!</v>
      </c>
      <c r="Q92" s="382" t="e">
        <f t="shared" ca="1" si="10"/>
        <v>#REF!</v>
      </c>
      <c r="R92" s="382" t="e">
        <f t="shared" ca="1" si="10"/>
        <v>#REF!</v>
      </c>
      <c r="S92" s="382" t="e">
        <f t="shared" ca="1" si="10"/>
        <v>#REF!</v>
      </c>
      <c r="T92" s="382" t="e">
        <f t="shared" ca="1" si="10"/>
        <v>#REF!</v>
      </c>
    </row>
    <row r="93" spans="3:22">
      <c r="V93" s="326"/>
    </row>
    <row r="94" spans="3:22">
      <c r="D94" s="379"/>
      <c r="E94" s="379"/>
      <c r="F94" s="379"/>
      <c r="G94" s="379"/>
      <c r="H94" s="379"/>
      <c r="I94" s="379"/>
      <c r="J94" s="379"/>
      <c r="K94" s="379"/>
      <c r="L94" s="379"/>
      <c r="M94" s="379"/>
      <c r="N94" s="379"/>
      <c r="O94" s="379"/>
      <c r="P94" s="379"/>
      <c r="Q94" s="379"/>
      <c r="R94" s="379"/>
      <c r="S94" s="379"/>
      <c r="T94" s="380"/>
      <c r="V94" s="326"/>
    </row>
    <row r="95" spans="3:22">
      <c r="D95" s="379"/>
      <c r="E95" s="379"/>
      <c r="F95" s="379"/>
      <c r="G95" s="379"/>
      <c r="H95" s="379"/>
      <c r="I95" s="379"/>
      <c r="J95" s="379"/>
      <c r="K95" s="379"/>
      <c r="L95" s="379"/>
      <c r="M95" s="379"/>
      <c r="N95" s="379"/>
      <c r="O95" s="379"/>
      <c r="P95" s="379"/>
      <c r="Q95" s="379"/>
      <c r="R95" s="379"/>
      <c r="S95" s="379"/>
      <c r="T95" s="380"/>
      <c r="V95" s="326"/>
    </row>
    <row r="96" spans="3:22">
      <c r="C96" s="364" t="s">
        <v>563</v>
      </c>
      <c r="D96" s="379"/>
      <c r="E96" s="379"/>
      <c r="F96" s="379"/>
      <c r="G96" s="379"/>
      <c r="H96" s="379"/>
      <c r="I96" s="379"/>
      <c r="J96" s="379"/>
      <c r="K96" s="379"/>
      <c r="L96" s="379"/>
      <c r="M96" s="379"/>
      <c r="N96" s="379"/>
      <c r="O96" s="379"/>
      <c r="P96" s="379"/>
      <c r="Q96" s="379"/>
      <c r="R96" s="379"/>
      <c r="S96" s="379"/>
      <c r="T96" s="380"/>
      <c r="V96" s="326"/>
    </row>
    <row r="97" spans="3:23">
      <c r="C97" s="365" t="str">
        <f>+C59</f>
        <v>Months &gt;&gt;&gt;</v>
      </c>
      <c r="D97" s="367">
        <f t="shared" ref="D97:T97" si="11">+D59</f>
        <v>1</v>
      </c>
      <c r="E97" s="367">
        <f t="shared" si="11"/>
        <v>2</v>
      </c>
      <c r="F97" s="367">
        <f t="shared" si="11"/>
        <v>3</v>
      </c>
      <c r="G97" s="367">
        <f t="shared" si="11"/>
        <v>4</v>
      </c>
      <c r="H97" s="367">
        <f t="shared" si="11"/>
        <v>5</v>
      </c>
      <c r="I97" s="367">
        <f t="shared" si="11"/>
        <v>6</v>
      </c>
      <c r="J97" s="367">
        <f t="shared" si="11"/>
        <v>7</v>
      </c>
      <c r="K97" s="367">
        <f t="shared" si="11"/>
        <v>8</v>
      </c>
      <c r="L97" s="367">
        <f t="shared" si="11"/>
        <v>9</v>
      </c>
      <c r="M97" s="367">
        <f t="shared" si="11"/>
        <v>10</v>
      </c>
      <c r="N97" s="367">
        <f t="shared" si="11"/>
        <v>11</v>
      </c>
      <c r="O97" s="367">
        <f t="shared" si="11"/>
        <v>12</v>
      </c>
      <c r="P97" s="367">
        <f t="shared" si="11"/>
        <v>13</v>
      </c>
      <c r="Q97" s="367">
        <f t="shared" si="11"/>
        <v>14</v>
      </c>
      <c r="R97" s="367">
        <f t="shared" si="11"/>
        <v>15</v>
      </c>
      <c r="S97" s="367">
        <f t="shared" si="11"/>
        <v>16</v>
      </c>
      <c r="T97" s="367" t="str">
        <f t="shared" si="11"/>
        <v>Total</v>
      </c>
      <c r="V97" s="326"/>
    </row>
    <row r="98" spans="3:23">
      <c r="D98" s="379"/>
      <c r="E98" s="379"/>
      <c r="F98" s="379"/>
      <c r="G98" s="379"/>
      <c r="H98" s="379"/>
      <c r="I98" s="379"/>
      <c r="J98" s="379"/>
      <c r="K98" s="379"/>
      <c r="L98" s="379"/>
      <c r="M98" s="379"/>
      <c r="N98" s="379"/>
      <c r="O98" s="379"/>
      <c r="P98" s="379"/>
      <c r="Q98" s="379"/>
      <c r="R98" s="379"/>
      <c r="S98" s="379"/>
      <c r="T98" s="380"/>
      <c r="V98" s="326"/>
    </row>
    <row r="99" spans="3:23">
      <c r="C99" t="s">
        <v>564</v>
      </c>
      <c r="D99" s="380" t="e">
        <f t="shared" ref="D99:S99" ca="1" si="12">+D92</f>
        <v>#REF!</v>
      </c>
      <c r="E99" s="380" t="e">
        <f t="shared" ca="1" si="12"/>
        <v>#REF!</v>
      </c>
      <c r="F99" s="380" t="e">
        <f t="shared" ca="1" si="12"/>
        <v>#REF!</v>
      </c>
      <c r="G99" s="380" t="e">
        <f t="shared" ca="1" si="12"/>
        <v>#REF!</v>
      </c>
      <c r="H99" s="380" t="e">
        <f t="shared" ca="1" si="12"/>
        <v>#REF!</v>
      </c>
      <c r="I99" s="380" t="e">
        <f t="shared" ca="1" si="12"/>
        <v>#REF!</v>
      </c>
      <c r="J99" s="380" t="e">
        <f t="shared" ca="1" si="12"/>
        <v>#REF!</v>
      </c>
      <c r="K99" s="380" t="e">
        <f t="shared" ca="1" si="12"/>
        <v>#REF!</v>
      </c>
      <c r="L99" s="380" t="e">
        <f t="shared" ca="1" si="12"/>
        <v>#REF!</v>
      </c>
      <c r="M99" s="380" t="e">
        <f t="shared" ca="1" si="12"/>
        <v>#REF!</v>
      </c>
      <c r="N99" s="380" t="e">
        <f t="shared" ca="1" si="12"/>
        <v>#REF!</v>
      </c>
      <c r="O99" s="380" t="e">
        <f t="shared" ca="1" si="12"/>
        <v>#REF!</v>
      </c>
      <c r="P99" s="380" t="e">
        <f t="shared" ca="1" si="12"/>
        <v>#REF!</v>
      </c>
      <c r="Q99" s="380" t="e">
        <f t="shared" ca="1" si="12"/>
        <v>#REF!</v>
      </c>
      <c r="R99" s="380" t="e">
        <f t="shared" ca="1" si="12"/>
        <v>#REF!</v>
      </c>
      <c r="S99" s="380" t="e">
        <f t="shared" ca="1" si="12"/>
        <v>#REF!</v>
      </c>
      <c r="T99" s="380"/>
      <c r="V99" s="326"/>
    </row>
    <row r="100" spans="3:23">
      <c r="C100" t="s">
        <v>565</v>
      </c>
      <c r="D100" s="380" t="e">
        <f ca="1">+D99</f>
        <v>#REF!</v>
      </c>
      <c r="E100" s="380" t="e">
        <f ca="1">+D100+E99</f>
        <v>#REF!</v>
      </c>
      <c r="F100" s="380" t="e">
        <f t="shared" ref="F100:S100" ca="1" si="13">+E100+F99</f>
        <v>#REF!</v>
      </c>
      <c r="G100" s="380" t="e">
        <f t="shared" ca="1" si="13"/>
        <v>#REF!</v>
      </c>
      <c r="H100" s="380" t="e">
        <f t="shared" ca="1" si="13"/>
        <v>#REF!</v>
      </c>
      <c r="I100" s="380" t="e">
        <f t="shared" ca="1" si="13"/>
        <v>#REF!</v>
      </c>
      <c r="J100" s="380" t="e">
        <f t="shared" ca="1" si="13"/>
        <v>#REF!</v>
      </c>
      <c r="K100" s="380" t="e">
        <f t="shared" ca="1" si="13"/>
        <v>#REF!</v>
      </c>
      <c r="L100" s="380" t="e">
        <f t="shared" ca="1" si="13"/>
        <v>#REF!</v>
      </c>
      <c r="M100" s="380" t="e">
        <f t="shared" ca="1" si="13"/>
        <v>#REF!</v>
      </c>
      <c r="N100" s="380" t="e">
        <f t="shared" ca="1" si="13"/>
        <v>#REF!</v>
      </c>
      <c r="O100" s="380" t="e">
        <f t="shared" ca="1" si="13"/>
        <v>#REF!</v>
      </c>
      <c r="P100" s="380" t="e">
        <f t="shared" ca="1" si="13"/>
        <v>#REF!</v>
      </c>
      <c r="Q100" s="380" t="e">
        <f t="shared" ca="1" si="13"/>
        <v>#REF!</v>
      </c>
      <c r="R100" s="380" t="e">
        <f t="shared" ca="1" si="13"/>
        <v>#REF!</v>
      </c>
      <c r="S100" s="380" t="e">
        <f t="shared" ca="1" si="13"/>
        <v>#REF!</v>
      </c>
      <c r="T100" s="380"/>
      <c r="V100" s="326"/>
    </row>
    <row r="101" spans="3:23">
      <c r="D101" s="379"/>
      <c r="E101" s="379"/>
      <c r="F101" s="379"/>
      <c r="G101" s="379"/>
      <c r="H101" s="379"/>
      <c r="I101" s="379"/>
      <c r="J101" s="379"/>
      <c r="K101" s="379"/>
      <c r="L101" s="379"/>
      <c r="M101" s="379"/>
      <c r="N101" s="379"/>
      <c r="O101" s="379"/>
      <c r="P101" s="379"/>
      <c r="Q101" s="379"/>
      <c r="R101" s="379"/>
      <c r="S101" s="379"/>
      <c r="T101" s="380"/>
      <c r="V101" s="326"/>
    </row>
    <row r="102" spans="3:23">
      <c r="D102" s="379"/>
      <c r="E102" s="379"/>
      <c r="F102" s="379"/>
      <c r="G102" s="379"/>
      <c r="H102" s="379"/>
      <c r="I102" s="379"/>
      <c r="J102" s="379"/>
      <c r="K102" s="379"/>
      <c r="L102" s="379"/>
      <c r="M102" s="379"/>
      <c r="N102" s="379"/>
      <c r="O102" s="379"/>
      <c r="P102" s="379"/>
      <c r="Q102" s="379"/>
      <c r="R102" s="379"/>
      <c r="S102" s="379"/>
      <c r="T102" s="380"/>
      <c r="V102" s="326"/>
    </row>
    <row r="103" spans="3:23" ht="13.5" thickBot="1">
      <c r="D103" s="379"/>
      <c r="E103" s="379"/>
      <c r="F103" s="379"/>
      <c r="G103" s="379"/>
      <c r="H103" s="379"/>
      <c r="I103" s="379"/>
      <c r="J103" s="379"/>
      <c r="K103" s="379"/>
      <c r="L103" s="379"/>
      <c r="M103" s="379"/>
      <c r="N103" s="379"/>
      <c r="O103" s="379"/>
      <c r="P103" s="379"/>
      <c r="Q103" s="379"/>
      <c r="R103" s="379"/>
      <c r="S103" s="379"/>
      <c r="T103" s="380"/>
      <c r="V103" s="326"/>
    </row>
    <row r="104" spans="3:23">
      <c r="C104" s="371"/>
      <c r="D104" s="368"/>
      <c r="E104" s="368"/>
      <c r="F104" s="368"/>
      <c r="G104" s="368"/>
      <c r="H104" s="368"/>
      <c r="I104" s="368"/>
      <c r="J104" s="368"/>
      <c r="K104" s="368"/>
      <c r="L104" s="368"/>
      <c r="M104" s="368"/>
      <c r="N104" s="368"/>
      <c r="O104" s="368"/>
      <c r="P104" s="368"/>
      <c r="Q104" s="368"/>
      <c r="R104" s="368"/>
      <c r="S104" s="368"/>
      <c r="T104" s="369"/>
      <c r="V104" s="326"/>
    </row>
    <row r="105" spans="3:23" ht="20.25">
      <c r="C105" s="372" t="s">
        <v>606</v>
      </c>
      <c r="D105" s="370"/>
      <c r="E105" s="370"/>
      <c r="F105" s="370"/>
      <c r="G105" s="370"/>
      <c r="H105" s="370"/>
      <c r="I105" s="370"/>
      <c r="J105" s="370"/>
      <c r="K105" s="370"/>
      <c r="L105" s="370"/>
      <c r="M105" s="370"/>
      <c r="N105" s="370"/>
      <c r="O105" s="370"/>
      <c r="P105" s="370"/>
      <c r="Q105" s="370"/>
      <c r="R105" s="370"/>
      <c r="S105" s="370"/>
      <c r="T105" s="383"/>
      <c r="V105" s="326"/>
    </row>
    <row r="106" spans="3:23">
      <c r="C106" s="373" t="s">
        <v>607</v>
      </c>
      <c r="D106" s="384">
        <f>+Draw!E9</f>
        <v>0</v>
      </c>
      <c r="E106" s="384">
        <f>+Draw!F9</f>
        <v>0</v>
      </c>
      <c r="F106" s="384">
        <f>+Draw!G9</f>
        <v>10</v>
      </c>
      <c r="G106" s="384">
        <f>+Draw!H9</f>
        <v>10</v>
      </c>
      <c r="H106" s="384">
        <f>+Draw!I9</f>
        <v>10</v>
      </c>
      <c r="I106" s="384">
        <f>+Draw!J9</f>
        <v>10</v>
      </c>
      <c r="J106" s="384">
        <f>+Draw!K9</f>
        <v>0</v>
      </c>
      <c r="K106" s="384">
        <f>+Draw!L9</f>
        <v>0</v>
      </c>
      <c r="L106" s="384">
        <f>+Draw!M9</f>
        <v>0</v>
      </c>
      <c r="M106" s="384">
        <f>+Draw!N9</f>
        <v>0</v>
      </c>
      <c r="N106" s="384">
        <f>+Draw!O9</f>
        <v>0</v>
      </c>
      <c r="O106" s="384">
        <f>+Draw!P9</f>
        <v>0</v>
      </c>
      <c r="P106" s="384">
        <f>+Draw!Q9</f>
        <v>0</v>
      </c>
      <c r="Q106" s="384">
        <f>+Draw!R9</f>
        <v>0</v>
      </c>
      <c r="R106" s="384">
        <f>+Draw!S9</f>
        <v>0</v>
      </c>
      <c r="S106" s="384">
        <f>+Draw!T9</f>
        <v>0</v>
      </c>
      <c r="T106" s="385" t="str">
        <f>+Draw!U9</f>
        <v>ERROR</v>
      </c>
      <c r="U106" s="59"/>
      <c r="V106" s="59"/>
      <c r="W106" s="59"/>
    </row>
    <row r="107" spans="3:23">
      <c r="C107" s="373" t="s">
        <v>608</v>
      </c>
      <c r="D107" s="386">
        <f>+D106</f>
        <v>0</v>
      </c>
      <c r="E107" s="386">
        <f>D107+E106</f>
        <v>0</v>
      </c>
      <c r="F107" s="386">
        <f t="shared" ref="F107:S107" si="14">E107+F106</f>
        <v>10</v>
      </c>
      <c r="G107" s="386">
        <f t="shared" si="14"/>
        <v>20</v>
      </c>
      <c r="H107" s="386">
        <f t="shared" si="14"/>
        <v>30</v>
      </c>
      <c r="I107" s="386">
        <f t="shared" si="14"/>
        <v>40</v>
      </c>
      <c r="J107" s="386">
        <f t="shared" si="14"/>
        <v>40</v>
      </c>
      <c r="K107" s="386">
        <f t="shared" si="14"/>
        <v>40</v>
      </c>
      <c r="L107" s="386">
        <f t="shared" si="14"/>
        <v>40</v>
      </c>
      <c r="M107" s="386">
        <f t="shared" si="14"/>
        <v>40</v>
      </c>
      <c r="N107" s="386">
        <f t="shared" si="14"/>
        <v>40</v>
      </c>
      <c r="O107" s="386">
        <f t="shared" si="14"/>
        <v>40</v>
      </c>
      <c r="P107" s="386">
        <f t="shared" si="14"/>
        <v>40</v>
      </c>
      <c r="Q107" s="386">
        <f t="shared" si="14"/>
        <v>40</v>
      </c>
      <c r="R107" s="386">
        <f t="shared" si="14"/>
        <v>40</v>
      </c>
      <c r="S107" s="386">
        <f t="shared" si="14"/>
        <v>40</v>
      </c>
      <c r="T107" s="383"/>
      <c r="V107" s="326"/>
    </row>
    <row r="108" spans="3:23">
      <c r="C108" s="373" t="s">
        <v>695</v>
      </c>
      <c r="D108" s="386">
        <f>Draw!E11</f>
        <v>1500</v>
      </c>
      <c r="E108" s="386">
        <f>Draw!F11</f>
        <v>1500</v>
      </c>
      <c r="F108" s="386">
        <f>Draw!G11</f>
        <v>1500</v>
      </c>
      <c r="G108" s="386">
        <f>Draw!H11</f>
        <v>1500</v>
      </c>
      <c r="H108" s="386">
        <f>Draw!I11</f>
        <v>1500</v>
      </c>
      <c r="I108" s="386">
        <f>Draw!J11</f>
        <v>1500</v>
      </c>
      <c r="J108" s="386">
        <f>Draw!K11</f>
        <v>1500</v>
      </c>
      <c r="K108" s="386">
        <f>Draw!L11</f>
        <v>1500</v>
      </c>
      <c r="L108" s="386">
        <f>Draw!M11</f>
        <v>1500</v>
      </c>
      <c r="M108" s="386">
        <f>Draw!N11</f>
        <v>1500</v>
      </c>
      <c r="N108" s="386">
        <f>Draw!O11</f>
        <v>1500</v>
      </c>
      <c r="O108" s="386">
        <f>Draw!P11</f>
        <v>1500</v>
      </c>
      <c r="P108" s="386">
        <f>Draw!Q11</f>
        <v>1500</v>
      </c>
      <c r="Q108" s="386">
        <f>Draw!R11</f>
        <v>1500</v>
      </c>
      <c r="R108" s="386">
        <f>Draw!S11</f>
        <v>1500</v>
      </c>
      <c r="S108" s="386">
        <f>Draw!T11</f>
        <v>1500</v>
      </c>
      <c r="T108" s="386">
        <f>Draw!U11</f>
        <v>0</v>
      </c>
      <c r="V108" s="326"/>
    </row>
    <row r="109" spans="3:23">
      <c r="C109" s="373" t="s">
        <v>627</v>
      </c>
      <c r="D109" s="386">
        <f>+Assum!$E$99*D108*Draw!D107*(8760*Draw!E12)*0.001</f>
        <v>0</v>
      </c>
      <c r="E109" s="386">
        <f>+Assum!$E$99*E108*Draw!E107*(8760*Draw!F12)*0.001</f>
        <v>0</v>
      </c>
      <c r="F109" s="386">
        <f>+Assum!$E$99*F108*Draw!F107*(8760*Draw!G12)*0.001</f>
        <v>3895.0714285714284</v>
      </c>
      <c r="G109" s="386">
        <f>+Assum!$E$99*G108*Draw!G107*(8760*Draw!H12)*0.001</f>
        <v>7790.1428571428569</v>
      </c>
      <c r="H109" s="386">
        <f>+Assum!$E$99*H108*Draw!H107*(8760*Draw!I12)*0.001</f>
        <v>11685.214285714286</v>
      </c>
      <c r="I109" s="386">
        <f>+Assum!$E$99*I108*Draw!I107*(8760*Draw!J12)*0.001</f>
        <v>15580.285714285714</v>
      </c>
      <c r="J109" s="386">
        <f>+Assum!$E$99*J108*Draw!J107*(8760*Draw!K12)*0.001</f>
        <v>15580.285714285714</v>
      </c>
      <c r="K109" s="386">
        <f>+Assum!$E$99*K108*Draw!K107*(8760*Draw!L12)*0.001</f>
        <v>15580.285714285714</v>
      </c>
      <c r="L109" s="386">
        <f>+Assum!$E$99*L108*Draw!L107*(8760*Draw!M12)*0.001</f>
        <v>15580.285714285714</v>
      </c>
      <c r="M109" s="386">
        <f>+Assum!$E$99*M108*Draw!M107*(8760*Draw!N12)*0.001</f>
        <v>15580.285714285714</v>
      </c>
      <c r="N109" s="386">
        <f>+Assum!$E$99*N108*Draw!N107*(8760*Draw!O12)*0.001</f>
        <v>15580.285714285714</v>
      </c>
      <c r="O109" s="386">
        <f>+Assum!$E$99*O108*Draw!O107*(8760*Draw!P12)*0.001</f>
        <v>15580.285714285714</v>
      </c>
      <c r="P109" s="386">
        <f>+Assum!$E$99*P108*Draw!P107*(8760*Draw!Q12)*0.001</f>
        <v>15580.285714285714</v>
      </c>
      <c r="Q109" s="386">
        <f>+Assum!$E$99*Q108*Draw!Q107*(8760*Draw!R12)*0.001</f>
        <v>15580.285714285714</v>
      </c>
      <c r="R109" s="386">
        <f>+Assum!$E$99*R108*Draw!R107*(8760*Draw!S12)*0.001</f>
        <v>0</v>
      </c>
      <c r="S109" s="386">
        <f>+Assum!$E$99*S108*Draw!S107*(8760*Draw!T12)*0.001</f>
        <v>0</v>
      </c>
      <c r="T109" s="386">
        <f>+Assum!$E$99*T108*Draw!T107*(8760*Draw!U12)*0.001</f>
        <v>0</v>
      </c>
      <c r="V109" s="326"/>
    </row>
    <row r="110" spans="3:23">
      <c r="C110" s="373" t="s">
        <v>609</v>
      </c>
      <c r="D110" s="370">
        <f>+CashFlow!E8</f>
        <v>2.35E-2</v>
      </c>
      <c r="E110" s="370">
        <f>+D110</f>
        <v>2.35E-2</v>
      </c>
      <c r="F110" s="370">
        <f t="shared" ref="F110:S110" si="15">+E110</f>
        <v>2.35E-2</v>
      </c>
      <c r="G110" s="370">
        <f t="shared" si="15"/>
        <v>2.35E-2</v>
      </c>
      <c r="H110" s="370">
        <f t="shared" si="15"/>
        <v>2.35E-2</v>
      </c>
      <c r="I110" s="370">
        <f t="shared" si="15"/>
        <v>2.35E-2</v>
      </c>
      <c r="J110" s="370">
        <f t="shared" si="15"/>
        <v>2.35E-2</v>
      </c>
      <c r="K110" s="370">
        <f t="shared" si="15"/>
        <v>2.35E-2</v>
      </c>
      <c r="L110" s="370">
        <f t="shared" si="15"/>
        <v>2.35E-2</v>
      </c>
      <c r="M110" s="370">
        <f t="shared" si="15"/>
        <v>2.35E-2</v>
      </c>
      <c r="N110" s="370">
        <f t="shared" si="15"/>
        <v>2.35E-2</v>
      </c>
      <c r="O110" s="370">
        <f t="shared" si="15"/>
        <v>2.35E-2</v>
      </c>
      <c r="P110" s="370">
        <f t="shared" si="15"/>
        <v>2.35E-2</v>
      </c>
      <c r="Q110" s="370">
        <f t="shared" si="15"/>
        <v>2.35E-2</v>
      </c>
      <c r="R110" s="370">
        <f t="shared" si="15"/>
        <v>2.35E-2</v>
      </c>
      <c r="S110" s="370">
        <f t="shared" si="15"/>
        <v>2.35E-2</v>
      </c>
      <c r="T110" s="383"/>
      <c r="V110" s="326"/>
    </row>
    <row r="111" spans="3:23">
      <c r="C111" s="373"/>
      <c r="D111" s="370"/>
      <c r="E111" s="370"/>
      <c r="F111" s="370"/>
      <c r="G111" s="370"/>
      <c r="H111" s="370"/>
      <c r="I111" s="370"/>
      <c r="J111" s="370"/>
      <c r="K111" s="370"/>
      <c r="L111" s="370"/>
      <c r="M111" s="370"/>
      <c r="N111" s="370"/>
      <c r="O111" s="370"/>
      <c r="P111" s="370"/>
      <c r="Q111" s="370"/>
      <c r="R111" s="370"/>
      <c r="S111" s="370"/>
      <c r="T111" s="383"/>
      <c r="V111" s="326"/>
    </row>
    <row r="112" spans="3:23">
      <c r="C112" s="374" t="s">
        <v>610</v>
      </c>
      <c r="D112" s="386">
        <f>+D110*D109</f>
        <v>0</v>
      </c>
      <c r="E112" s="386">
        <f t="shared" ref="E112:S112" si="16">+E110*E109</f>
        <v>0</v>
      </c>
      <c r="F112" s="386">
        <f t="shared" si="16"/>
        <v>91.534178571428569</v>
      </c>
      <c r="G112" s="386">
        <f t="shared" si="16"/>
        <v>183.06835714285714</v>
      </c>
      <c r="H112" s="386">
        <f t="shared" si="16"/>
        <v>274.60253571428575</v>
      </c>
      <c r="I112" s="386">
        <f t="shared" si="16"/>
        <v>366.13671428571428</v>
      </c>
      <c r="J112" s="386">
        <f t="shared" si="16"/>
        <v>366.13671428571428</v>
      </c>
      <c r="K112" s="386">
        <f t="shared" si="16"/>
        <v>366.13671428571428</v>
      </c>
      <c r="L112" s="386">
        <f t="shared" si="16"/>
        <v>366.13671428571428</v>
      </c>
      <c r="M112" s="386">
        <f t="shared" si="16"/>
        <v>366.13671428571428</v>
      </c>
      <c r="N112" s="386">
        <f t="shared" si="16"/>
        <v>366.13671428571428</v>
      </c>
      <c r="O112" s="386">
        <f t="shared" si="16"/>
        <v>366.13671428571428</v>
      </c>
      <c r="P112" s="386">
        <f t="shared" si="16"/>
        <v>366.13671428571428</v>
      </c>
      <c r="Q112" s="386">
        <f t="shared" si="16"/>
        <v>366.13671428571428</v>
      </c>
      <c r="R112" s="386">
        <f t="shared" si="16"/>
        <v>0</v>
      </c>
      <c r="S112" s="386">
        <f t="shared" si="16"/>
        <v>0</v>
      </c>
      <c r="T112" s="383">
        <f>SUM(D112:S112)</f>
        <v>3844.4355000000005</v>
      </c>
      <c r="V112" s="326"/>
    </row>
    <row r="113" spans="3:22">
      <c r="C113" s="373"/>
      <c r="D113" s="370"/>
      <c r="E113" s="370"/>
      <c r="F113" s="370"/>
      <c r="G113" s="370"/>
      <c r="H113" s="370"/>
      <c r="I113" s="370"/>
      <c r="J113" s="370"/>
      <c r="K113" s="370"/>
      <c r="L113" s="370"/>
      <c r="M113" s="370"/>
      <c r="N113" s="370"/>
      <c r="O113" s="370"/>
      <c r="P113" s="370"/>
      <c r="Q113" s="370"/>
      <c r="R113" s="370"/>
      <c r="S113" s="370"/>
      <c r="T113" s="383"/>
      <c r="V113" s="326"/>
    </row>
    <row r="114" spans="3:22">
      <c r="C114" s="374" t="s">
        <v>261</v>
      </c>
      <c r="D114" s="370"/>
      <c r="E114" s="370"/>
      <c r="F114" s="370"/>
      <c r="G114" s="370"/>
      <c r="H114" s="370"/>
      <c r="I114" s="370"/>
      <c r="J114" s="370"/>
      <c r="K114" s="370"/>
      <c r="L114" s="370"/>
      <c r="M114" s="370"/>
      <c r="N114" s="370"/>
      <c r="O114" s="370"/>
      <c r="P114" s="370"/>
      <c r="Q114" s="370"/>
      <c r="R114" s="370"/>
      <c r="S114" s="370"/>
      <c r="T114" s="387"/>
    </row>
    <row r="115" spans="3:22">
      <c r="C115" s="373" t="s">
        <v>611</v>
      </c>
      <c r="D115" s="388" t="e">
        <f>(+Assum!$E$137+Assum!#REF!)*D106</f>
        <v>#REF!</v>
      </c>
      <c r="E115" s="388" t="e">
        <f>(+Assum!$E$137+Assum!#REF!)*E106</f>
        <v>#REF!</v>
      </c>
      <c r="F115" s="388" t="e">
        <f>(+Assum!$E$137+Assum!#REF!)*F106</f>
        <v>#REF!</v>
      </c>
      <c r="G115" s="388" t="e">
        <f>(+Assum!$E$137+Assum!#REF!)*G106</f>
        <v>#REF!</v>
      </c>
      <c r="H115" s="388" t="e">
        <f>(+Assum!$E$137+Assum!#REF!)*H106</f>
        <v>#REF!</v>
      </c>
      <c r="I115" s="388" t="e">
        <f>(+Assum!$E$137+Assum!#REF!)*I106</f>
        <v>#REF!</v>
      </c>
      <c r="J115" s="388" t="e">
        <f>(+Assum!$E$137+Assum!#REF!)*J106</f>
        <v>#REF!</v>
      </c>
      <c r="K115" s="388" t="e">
        <f>(+Assum!$E$137+Assum!#REF!)*K106</f>
        <v>#REF!</v>
      </c>
      <c r="L115" s="388" t="e">
        <f>(+Assum!$E$137+Assum!#REF!)*L106</f>
        <v>#REF!</v>
      </c>
      <c r="M115" s="388" t="e">
        <f>(+Assum!$E$137+Assum!#REF!)*M106</f>
        <v>#REF!</v>
      </c>
      <c r="N115" s="388" t="e">
        <f>(+Assum!$E$137+Assum!#REF!)*N106</f>
        <v>#REF!</v>
      </c>
      <c r="O115" s="388" t="e">
        <f>(+Assum!$E$137+Assum!#REF!)*O106</f>
        <v>#REF!</v>
      </c>
      <c r="P115" s="388" t="e">
        <f>(+Assum!$E$137+Assum!#REF!)*P106</f>
        <v>#REF!</v>
      </c>
      <c r="Q115" s="388" t="e">
        <f>(+Assum!$E$137+Assum!#REF!)*Q106</f>
        <v>#REF!</v>
      </c>
      <c r="R115" s="388" t="e">
        <f>(+Assum!$E$137+Assum!#REF!)*R106</f>
        <v>#REF!</v>
      </c>
      <c r="S115" s="388" t="e">
        <f>(+Assum!$E$137+Assum!#REF!)*S106</f>
        <v>#REF!</v>
      </c>
      <c r="T115" s="394" t="e">
        <f>SUM(D115:S115)</f>
        <v>#REF!</v>
      </c>
    </row>
    <row r="116" spans="3:22">
      <c r="C116" s="373" t="s">
        <v>612</v>
      </c>
      <c r="D116" s="384">
        <f>+Assum!$E$148*D112</f>
        <v>0</v>
      </c>
      <c r="E116" s="384">
        <f>+Assum!$E$148*E112</f>
        <v>0</v>
      </c>
      <c r="F116" s="384">
        <f>+Assum!$E$148*F112</f>
        <v>2.746025357142857</v>
      </c>
      <c r="G116" s="384">
        <f>+Assum!$E$148*G112</f>
        <v>5.492050714285714</v>
      </c>
      <c r="H116" s="384">
        <f>+Assum!$E$148*H112</f>
        <v>8.2380760714285728</v>
      </c>
      <c r="I116" s="384">
        <f>+Assum!$E$148*I112</f>
        <v>10.984101428571428</v>
      </c>
      <c r="J116" s="384">
        <f>+Assum!$E$148*J112</f>
        <v>10.984101428571428</v>
      </c>
      <c r="K116" s="384">
        <f>+Assum!$E$148*K112</f>
        <v>10.984101428571428</v>
      </c>
      <c r="L116" s="384">
        <f>+Assum!$E$148*L112</f>
        <v>10.984101428571428</v>
      </c>
      <c r="M116" s="384">
        <f>+Assum!$E$148*M112</f>
        <v>10.984101428571428</v>
      </c>
      <c r="N116" s="384">
        <f>+Assum!$E$148*N112</f>
        <v>10.984101428571428</v>
      </c>
      <c r="O116" s="384">
        <f>+Assum!$E$148*O112</f>
        <v>10.984101428571428</v>
      </c>
      <c r="P116" s="384">
        <f>+Assum!$E$148*P112</f>
        <v>10.984101428571428</v>
      </c>
      <c r="Q116" s="384">
        <f>+Assum!$E$148*Q112</f>
        <v>10.984101428571428</v>
      </c>
      <c r="R116" s="384">
        <f>+Assum!$E$148*R112</f>
        <v>0</v>
      </c>
      <c r="S116" s="384">
        <f>+Assum!$E$148*S112</f>
        <v>0</v>
      </c>
      <c r="T116" s="394">
        <f>SUM(D116:S116)</f>
        <v>115.33306499999998</v>
      </c>
    </row>
    <row r="117" spans="3:22">
      <c r="C117" s="373" t="s">
        <v>613</v>
      </c>
      <c r="D117" s="370"/>
      <c r="E117" s="370"/>
      <c r="F117" s="370"/>
      <c r="G117" s="370"/>
      <c r="H117" s="370">
        <f>+Assum!H61*Assum!H63</f>
        <v>262.15652590166667</v>
      </c>
      <c r="I117" s="370"/>
      <c r="J117" s="370"/>
      <c r="K117" s="370"/>
      <c r="L117" s="370"/>
      <c r="M117" s="370"/>
      <c r="N117" s="370"/>
      <c r="O117" s="370"/>
      <c r="P117" s="370"/>
      <c r="Q117" s="370"/>
      <c r="R117" s="370"/>
      <c r="S117" s="370"/>
      <c r="T117" s="387"/>
    </row>
    <row r="118" spans="3:22">
      <c r="C118" s="373"/>
      <c r="D118" s="370"/>
      <c r="E118" s="370"/>
      <c r="F118" s="370"/>
      <c r="G118" s="370"/>
      <c r="H118" s="370"/>
      <c r="I118" s="370"/>
      <c r="J118" s="370"/>
      <c r="K118" s="370"/>
      <c r="L118" s="370"/>
      <c r="M118" s="370"/>
      <c r="N118" s="370"/>
      <c r="O118" s="370"/>
      <c r="P118" s="370"/>
      <c r="Q118" s="370"/>
      <c r="R118" s="370"/>
      <c r="S118" s="370"/>
      <c r="T118" s="387"/>
    </row>
    <row r="119" spans="3:22">
      <c r="C119" s="374" t="s">
        <v>614</v>
      </c>
      <c r="D119" s="388" t="e">
        <f>SUM(D115:D118)</f>
        <v>#REF!</v>
      </c>
      <c r="E119" s="388" t="e">
        <f t="shared" ref="E119:S119" si="17">SUM(E115:E118)</f>
        <v>#REF!</v>
      </c>
      <c r="F119" s="388" t="e">
        <f t="shared" si="17"/>
        <v>#REF!</v>
      </c>
      <c r="G119" s="388" t="e">
        <f t="shared" si="17"/>
        <v>#REF!</v>
      </c>
      <c r="H119" s="388" t="e">
        <f t="shared" si="17"/>
        <v>#REF!</v>
      </c>
      <c r="I119" s="388" t="e">
        <f t="shared" si="17"/>
        <v>#REF!</v>
      </c>
      <c r="J119" s="388" t="e">
        <f t="shared" si="17"/>
        <v>#REF!</v>
      </c>
      <c r="K119" s="388" t="e">
        <f t="shared" si="17"/>
        <v>#REF!</v>
      </c>
      <c r="L119" s="388" t="e">
        <f t="shared" si="17"/>
        <v>#REF!</v>
      </c>
      <c r="M119" s="388" t="e">
        <f t="shared" si="17"/>
        <v>#REF!</v>
      </c>
      <c r="N119" s="388" t="e">
        <f t="shared" si="17"/>
        <v>#REF!</v>
      </c>
      <c r="O119" s="388" t="e">
        <f t="shared" si="17"/>
        <v>#REF!</v>
      </c>
      <c r="P119" s="388" t="e">
        <f t="shared" si="17"/>
        <v>#REF!</v>
      </c>
      <c r="Q119" s="388" t="e">
        <f t="shared" si="17"/>
        <v>#REF!</v>
      </c>
      <c r="R119" s="388" t="e">
        <f t="shared" si="17"/>
        <v>#REF!</v>
      </c>
      <c r="S119" s="388" t="e">
        <f t="shared" si="17"/>
        <v>#REF!</v>
      </c>
      <c r="T119" s="394" t="e">
        <f>SUM(D119:S119)</f>
        <v>#REF!</v>
      </c>
    </row>
    <row r="120" spans="3:22">
      <c r="C120" s="373"/>
      <c r="D120" s="370"/>
      <c r="E120" s="370"/>
      <c r="F120" s="370"/>
      <c r="G120" s="370"/>
      <c r="H120" s="370"/>
      <c r="I120" s="370"/>
      <c r="J120" s="370"/>
      <c r="K120" s="370"/>
      <c r="L120" s="370"/>
      <c r="M120" s="370"/>
      <c r="N120" s="370"/>
      <c r="O120" s="370"/>
      <c r="P120" s="370"/>
      <c r="Q120" s="370"/>
      <c r="R120" s="370"/>
      <c r="S120" s="370"/>
      <c r="T120" s="387"/>
    </row>
    <row r="121" spans="3:22">
      <c r="C121" s="374" t="s">
        <v>615</v>
      </c>
      <c r="D121" s="388" t="e">
        <f>+D112-D119</f>
        <v>#REF!</v>
      </c>
      <c r="E121" s="388" t="e">
        <f t="shared" ref="E121:S121" si="18">+E112-E119</f>
        <v>#REF!</v>
      </c>
      <c r="F121" s="388" t="e">
        <f t="shared" si="18"/>
        <v>#REF!</v>
      </c>
      <c r="G121" s="388" t="e">
        <f t="shared" si="18"/>
        <v>#REF!</v>
      </c>
      <c r="H121" s="388" t="e">
        <f t="shared" si="18"/>
        <v>#REF!</v>
      </c>
      <c r="I121" s="388" t="e">
        <f t="shared" si="18"/>
        <v>#REF!</v>
      </c>
      <c r="J121" s="388" t="e">
        <f t="shared" si="18"/>
        <v>#REF!</v>
      </c>
      <c r="K121" s="388" t="e">
        <f t="shared" si="18"/>
        <v>#REF!</v>
      </c>
      <c r="L121" s="388" t="e">
        <f t="shared" si="18"/>
        <v>#REF!</v>
      </c>
      <c r="M121" s="388" t="e">
        <f t="shared" si="18"/>
        <v>#REF!</v>
      </c>
      <c r="N121" s="388" t="e">
        <f t="shared" si="18"/>
        <v>#REF!</v>
      </c>
      <c r="O121" s="388" t="e">
        <f t="shared" si="18"/>
        <v>#REF!</v>
      </c>
      <c r="P121" s="388" t="e">
        <f t="shared" si="18"/>
        <v>#REF!</v>
      </c>
      <c r="Q121" s="388" t="e">
        <f t="shared" si="18"/>
        <v>#REF!</v>
      </c>
      <c r="R121" s="388" t="e">
        <f t="shared" si="18"/>
        <v>#REF!</v>
      </c>
      <c r="S121" s="388" t="e">
        <f t="shared" si="18"/>
        <v>#REF!</v>
      </c>
      <c r="T121" s="394" t="e">
        <f>SUM(D121:S121)</f>
        <v>#REF!</v>
      </c>
    </row>
    <row r="122" spans="3:22">
      <c r="C122" s="373"/>
      <c r="D122" s="370"/>
      <c r="E122" s="370"/>
      <c r="F122" s="370"/>
      <c r="G122" s="370"/>
      <c r="H122" s="370"/>
      <c r="I122" s="370"/>
      <c r="J122" s="370"/>
      <c r="K122" s="370"/>
      <c r="L122" s="370"/>
      <c r="M122" s="370"/>
      <c r="N122" s="370"/>
      <c r="O122" s="370"/>
      <c r="P122" s="370"/>
      <c r="Q122" s="370"/>
      <c r="R122" s="370"/>
      <c r="S122" s="370"/>
      <c r="T122" s="387"/>
    </row>
    <row r="123" spans="3:22">
      <c r="C123" s="375" t="s">
        <v>616</v>
      </c>
      <c r="D123" s="389" t="e">
        <f ca="1">IF((+D99-D121)&gt;0,(+D99-D121),0)</f>
        <v>#REF!</v>
      </c>
      <c r="E123" s="389" t="e">
        <f t="shared" ref="E123:S123" ca="1" si="19">IF((+E99-E121)&gt;0,(+E99-E121),0)</f>
        <v>#REF!</v>
      </c>
      <c r="F123" s="389" t="e">
        <f t="shared" ca="1" si="19"/>
        <v>#REF!</v>
      </c>
      <c r="G123" s="389" t="e">
        <f t="shared" ca="1" si="19"/>
        <v>#REF!</v>
      </c>
      <c r="H123" s="389" t="e">
        <f t="shared" ca="1" si="19"/>
        <v>#REF!</v>
      </c>
      <c r="I123" s="389" t="e">
        <f t="shared" ca="1" si="19"/>
        <v>#REF!</v>
      </c>
      <c r="J123" s="389" t="e">
        <f t="shared" ca="1" si="19"/>
        <v>#REF!</v>
      </c>
      <c r="K123" s="389" t="e">
        <f t="shared" ca="1" si="19"/>
        <v>#REF!</v>
      </c>
      <c r="L123" s="389" t="e">
        <f t="shared" ca="1" si="19"/>
        <v>#REF!</v>
      </c>
      <c r="M123" s="389" t="e">
        <f t="shared" ca="1" si="19"/>
        <v>#REF!</v>
      </c>
      <c r="N123" s="389" t="e">
        <f t="shared" ca="1" si="19"/>
        <v>#REF!</v>
      </c>
      <c r="O123" s="389" t="e">
        <f t="shared" ca="1" si="19"/>
        <v>#REF!</v>
      </c>
      <c r="P123" s="389" t="e">
        <f t="shared" ca="1" si="19"/>
        <v>#REF!</v>
      </c>
      <c r="Q123" s="389" t="e">
        <f t="shared" ca="1" si="19"/>
        <v>#REF!</v>
      </c>
      <c r="R123" s="389" t="e">
        <f t="shared" ca="1" si="19"/>
        <v>#REF!</v>
      </c>
      <c r="S123" s="389" t="e">
        <f t="shared" ca="1" si="19"/>
        <v>#REF!</v>
      </c>
      <c r="T123" s="390"/>
    </row>
    <row r="124" spans="3:22">
      <c r="C124" s="374" t="s">
        <v>617</v>
      </c>
      <c r="D124" s="391" t="e">
        <f ca="1">+D123</f>
        <v>#REF!</v>
      </c>
      <c r="E124" s="391" t="e">
        <f ca="1">IF((E123)&gt;0,(D124+E123),0)</f>
        <v>#REF!</v>
      </c>
      <c r="F124" s="391" t="e">
        <f t="shared" ref="F124:S124" ca="1" si="20">IF((F123)&gt;0,(E124+F123),0)</f>
        <v>#REF!</v>
      </c>
      <c r="G124" s="391" t="e">
        <f t="shared" ca="1" si="20"/>
        <v>#REF!</v>
      </c>
      <c r="H124" s="391" t="e">
        <f t="shared" ca="1" si="20"/>
        <v>#REF!</v>
      </c>
      <c r="I124" s="391" t="e">
        <f t="shared" ca="1" si="20"/>
        <v>#REF!</v>
      </c>
      <c r="J124" s="391" t="e">
        <f t="shared" ca="1" si="20"/>
        <v>#REF!</v>
      </c>
      <c r="K124" s="391" t="e">
        <f t="shared" ca="1" si="20"/>
        <v>#REF!</v>
      </c>
      <c r="L124" s="391" t="e">
        <f t="shared" ca="1" si="20"/>
        <v>#REF!</v>
      </c>
      <c r="M124" s="391" t="e">
        <f t="shared" ca="1" si="20"/>
        <v>#REF!</v>
      </c>
      <c r="N124" s="391" t="e">
        <f t="shared" ca="1" si="20"/>
        <v>#REF!</v>
      </c>
      <c r="O124" s="391" t="e">
        <f t="shared" ca="1" si="20"/>
        <v>#REF!</v>
      </c>
      <c r="P124" s="391" t="e">
        <f t="shared" ca="1" si="20"/>
        <v>#REF!</v>
      </c>
      <c r="Q124" s="391" t="e">
        <f t="shared" ca="1" si="20"/>
        <v>#REF!</v>
      </c>
      <c r="R124" s="391" t="e">
        <f t="shared" ca="1" si="20"/>
        <v>#REF!</v>
      </c>
      <c r="S124" s="391" t="e">
        <f t="shared" ca="1" si="20"/>
        <v>#REF!</v>
      </c>
      <c r="T124" s="387"/>
    </row>
    <row r="125" spans="3:22">
      <c r="C125" s="373"/>
      <c r="D125" s="370"/>
      <c r="E125" s="370"/>
      <c r="F125" s="370"/>
      <c r="G125" s="370"/>
      <c r="H125" s="370"/>
      <c r="I125" s="370"/>
      <c r="J125" s="370"/>
      <c r="K125" s="370"/>
      <c r="L125" s="370"/>
      <c r="M125" s="370"/>
      <c r="N125" s="370"/>
      <c r="O125" s="370"/>
      <c r="P125" s="370"/>
      <c r="Q125" s="370"/>
      <c r="R125" s="370"/>
      <c r="S125" s="370"/>
      <c r="T125" s="387"/>
    </row>
    <row r="126" spans="3:22">
      <c r="C126" s="373"/>
      <c r="D126" s="370"/>
      <c r="E126" s="370"/>
      <c r="F126" s="370"/>
      <c r="G126" s="370"/>
      <c r="H126" s="370"/>
      <c r="I126" s="370"/>
      <c r="J126" s="370"/>
      <c r="K126" s="370"/>
      <c r="L126" s="370"/>
      <c r="M126" s="370"/>
      <c r="N126" s="370"/>
      <c r="O126" s="370"/>
      <c r="P126" s="370"/>
      <c r="Q126" s="370"/>
      <c r="R126" s="370"/>
      <c r="S126" s="370"/>
      <c r="T126" s="387"/>
    </row>
    <row r="127" spans="3:22" ht="13.5" thickBot="1">
      <c r="C127" s="376"/>
      <c r="D127" s="392"/>
      <c r="E127" s="392"/>
      <c r="F127" s="392"/>
      <c r="G127" s="392"/>
      <c r="H127" s="392"/>
      <c r="I127" s="392"/>
      <c r="J127" s="392"/>
      <c r="K127" s="392"/>
      <c r="L127" s="392"/>
      <c r="M127" s="392"/>
      <c r="N127" s="392"/>
      <c r="O127" s="392"/>
      <c r="P127" s="392"/>
      <c r="Q127" s="392"/>
      <c r="R127" s="392"/>
      <c r="S127" s="392"/>
      <c r="T127" s="393"/>
    </row>
  </sheetData>
  <printOptions headings="1"/>
  <pageMargins left="0.75" right="0.75" top="1" bottom="1" header="0.5" footer="0.5"/>
  <pageSetup scale="28" orientation="landscape" verticalDpi="300"/>
  <headerFooter alignWithMargins="0"/>
  <rowBreaks count="1" manualBreakCount="1">
    <brk id="102" min="2" max="19" man="1"/>
  </rowBreaks>
  <colBreaks count="1" manualBreakCount="1">
    <brk id="1" max="1048575" man="1"/>
  </colBreaks>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B1:AQ88"/>
  <sheetViews>
    <sheetView zoomScale="75" workbookViewId="0">
      <selection activeCell="M60" sqref="M60"/>
    </sheetView>
  </sheetViews>
  <sheetFormatPr defaultColWidth="8.7109375" defaultRowHeight="12.75"/>
  <cols>
    <col min="1" max="1" width="4.7109375" style="65" customWidth="1"/>
    <col min="2" max="2" width="47.28515625" style="65" customWidth="1"/>
    <col min="3" max="3" width="18.7109375" style="65" customWidth="1"/>
    <col min="4" max="4" width="16.42578125" style="65" customWidth="1"/>
    <col min="5" max="5" width="15.42578125" style="65" customWidth="1"/>
    <col min="6" max="6" width="10.7109375" style="65" customWidth="1"/>
    <col min="7" max="7" width="20.85546875" style="65" customWidth="1"/>
    <col min="8" max="8" width="15.28515625" style="65" customWidth="1"/>
    <col min="9" max="9" width="13.7109375" style="65" customWidth="1"/>
    <col min="10" max="10" width="15.85546875" style="65" customWidth="1"/>
    <col min="11" max="11" width="11.85546875" style="65" customWidth="1"/>
    <col min="12" max="12" width="11.42578125" style="65" customWidth="1"/>
    <col min="13" max="13" width="11.28515625" style="65" customWidth="1"/>
    <col min="14" max="17" width="9.7109375" style="65" customWidth="1"/>
    <col min="18" max="16384" width="8.7109375" style="65"/>
  </cols>
  <sheetData>
    <row r="1" spans="2:43" ht="14.25" customHeight="1"/>
    <row r="2" spans="2:43" ht="14.25" customHeight="1"/>
    <row r="3" spans="2:43" ht="14.25" customHeight="1"/>
    <row r="4" spans="2:43" ht="14.25" customHeight="1">
      <c r="B4" s="145"/>
      <c r="C4" s="341" t="s">
        <v>589</v>
      </c>
      <c r="D4" s="339"/>
      <c r="E4" s="340" t="str">
        <f>Assum!$F$19&amp;" "&amp;FIXED(Assum!$F$31,2,TRUE)&amp;"MW Project"</f>
        <v>Sweetwater 129.00MW Project</v>
      </c>
      <c r="F4" s="147"/>
      <c r="G4" s="147"/>
      <c r="H4" s="147"/>
      <c r="I4" s="147"/>
      <c r="J4" s="147"/>
      <c r="K4" s="147"/>
      <c r="L4" s="147"/>
      <c r="M4" s="147"/>
      <c r="N4" s="147"/>
      <c r="O4" s="147"/>
      <c r="P4" s="147"/>
      <c r="Q4" s="147"/>
      <c r="R4" s="147"/>
      <c r="S4" s="147"/>
      <c r="T4" s="147"/>
      <c r="U4" s="147"/>
      <c r="V4" s="147"/>
      <c r="W4" s="147"/>
      <c r="X4" s="147"/>
      <c r="Y4" s="147"/>
      <c r="Z4" s="147"/>
      <c r="AA4" s="147"/>
      <c r="AB4" s="147"/>
      <c r="AC4" s="147"/>
      <c r="AD4" s="147"/>
      <c r="AE4" s="147"/>
      <c r="AF4" s="147"/>
      <c r="AG4" s="147"/>
      <c r="AH4" s="147"/>
      <c r="AI4" s="147"/>
      <c r="AJ4" s="147"/>
      <c r="AK4" s="147"/>
      <c r="AL4" s="147"/>
      <c r="AM4" s="147"/>
      <c r="AN4" s="147"/>
      <c r="AO4" s="147"/>
      <c r="AP4" s="147"/>
      <c r="AQ4" s="147"/>
    </row>
    <row r="5" spans="2:43" ht="15.75">
      <c r="B5" s="145"/>
      <c r="C5" s="146"/>
      <c r="D5" s="147"/>
      <c r="E5" s="148"/>
      <c r="F5" s="147"/>
      <c r="G5" s="147"/>
      <c r="H5" s="147"/>
      <c r="I5" s="147"/>
      <c r="J5" s="147"/>
      <c r="K5" s="147"/>
      <c r="L5" s="147"/>
      <c r="M5" s="147"/>
      <c r="N5" s="147"/>
      <c r="O5" s="147"/>
      <c r="P5" s="147"/>
      <c r="Q5" s="147"/>
      <c r="R5" s="147"/>
      <c r="S5" s="147"/>
      <c r="T5" s="147"/>
      <c r="U5" s="147"/>
      <c r="V5" s="147"/>
      <c r="W5" s="147"/>
      <c r="X5" s="147"/>
      <c r="Y5" s="147"/>
      <c r="Z5" s="147"/>
      <c r="AA5" s="147"/>
      <c r="AB5" s="147"/>
      <c r="AC5" s="147"/>
      <c r="AD5" s="147"/>
      <c r="AE5" s="147"/>
      <c r="AF5" s="147"/>
      <c r="AG5" s="147"/>
      <c r="AH5" s="147"/>
      <c r="AI5" s="147"/>
      <c r="AJ5" s="147"/>
      <c r="AK5" s="147"/>
      <c r="AL5" s="147"/>
      <c r="AM5" s="147"/>
      <c r="AN5" s="147"/>
      <c r="AO5" s="147"/>
      <c r="AP5" s="147"/>
      <c r="AQ5" s="147"/>
    </row>
    <row r="6" spans="2:43" ht="15.75">
      <c r="B6" s="145"/>
      <c r="C6" s="146"/>
      <c r="D6" s="147"/>
      <c r="E6" s="148"/>
      <c r="F6" s="147"/>
      <c r="G6" s="147"/>
      <c r="H6" s="147"/>
      <c r="I6" s="147"/>
      <c r="J6" s="147"/>
      <c r="K6" s="147"/>
      <c r="L6" s="147"/>
      <c r="M6" s="147"/>
      <c r="N6" s="147"/>
      <c r="O6" s="147"/>
      <c r="P6" s="147"/>
      <c r="Q6" s="147"/>
      <c r="R6" s="147"/>
      <c r="S6" s="147"/>
      <c r="T6" s="147"/>
      <c r="U6" s="147"/>
      <c r="V6" s="147"/>
      <c r="W6" s="147"/>
      <c r="X6" s="147"/>
      <c r="Y6" s="147"/>
      <c r="Z6" s="147"/>
      <c r="AA6" s="147"/>
      <c r="AB6" s="147"/>
      <c r="AC6" s="147"/>
      <c r="AD6" s="147"/>
      <c r="AE6" s="147"/>
      <c r="AF6" s="147"/>
      <c r="AG6" s="147"/>
      <c r="AH6" s="147"/>
      <c r="AI6" s="147"/>
      <c r="AJ6" s="147"/>
      <c r="AK6" s="147"/>
      <c r="AL6" s="147"/>
      <c r="AM6" s="147"/>
      <c r="AN6" s="147"/>
      <c r="AO6" s="147"/>
      <c r="AP6" s="147"/>
      <c r="AQ6" s="147"/>
    </row>
    <row r="7" spans="2:43" ht="15.75">
      <c r="B7" s="145"/>
      <c r="C7" s="146"/>
      <c r="D7" s="147"/>
      <c r="E7" s="148"/>
      <c r="F7" s="147"/>
      <c r="G7" s="147"/>
      <c r="H7" s="147"/>
      <c r="I7" s="147"/>
      <c r="J7" s="147"/>
      <c r="K7" s="147"/>
      <c r="L7" s="147"/>
      <c r="M7" s="147"/>
      <c r="N7" s="147"/>
      <c r="O7" s="147"/>
      <c r="P7" s="147"/>
      <c r="Q7" s="147"/>
      <c r="R7" s="147"/>
      <c r="S7" s="147"/>
      <c r="T7" s="147"/>
      <c r="U7" s="147"/>
      <c r="V7" s="147"/>
      <c r="W7" s="147"/>
      <c r="X7" s="147"/>
      <c r="Y7" s="147"/>
      <c r="Z7" s="147"/>
      <c r="AA7" s="147"/>
      <c r="AB7" s="147"/>
      <c r="AC7" s="147"/>
      <c r="AD7" s="147"/>
      <c r="AE7" s="147"/>
      <c r="AF7" s="147"/>
      <c r="AG7" s="147"/>
      <c r="AH7" s="147"/>
      <c r="AI7" s="147"/>
      <c r="AJ7" s="147"/>
      <c r="AK7" s="147"/>
      <c r="AL7" s="147"/>
      <c r="AM7" s="147"/>
      <c r="AN7" s="147"/>
      <c r="AO7" s="147"/>
      <c r="AP7" s="147"/>
      <c r="AQ7" s="147"/>
    </row>
    <row r="8" spans="2:43" ht="15.75">
      <c r="B8" s="147"/>
      <c r="C8" s="149"/>
      <c r="D8" s="148"/>
      <c r="E8" s="147"/>
      <c r="F8" s="1159" t="str">
        <f>zcell1</f>
        <v>-</v>
      </c>
      <c r="G8" s="1159" t="str">
        <f>zcell1</f>
        <v>-</v>
      </c>
      <c r="H8" s="1159" t="str">
        <f>zcell1</f>
        <v>-</v>
      </c>
      <c r="I8" s="151"/>
      <c r="J8" s="151"/>
      <c r="K8" s="147"/>
      <c r="L8" s="147"/>
      <c r="M8" s="147"/>
      <c r="N8" s="147"/>
      <c r="P8" s="147"/>
      <c r="Q8" s="147"/>
      <c r="R8" s="147"/>
      <c r="S8" s="147"/>
      <c r="T8" s="147"/>
      <c r="U8" s="147"/>
      <c r="V8" s="147"/>
      <c r="W8" s="147"/>
      <c r="X8" s="147"/>
      <c r="Y8" s="147"/>
      <c r="Z8" s="147"/>
      <c r="AA8" s="147"/>
      <c r="AB8" s="147"/>
      <c r="AC8" s="147"/>
      <c r="AD8" s="147"/>
      <c r="AE8" s="147"/>
      <c r="AF8" s="147"/>
      <c r="AG8" s="147"/>
      <c r="AH8" s="147"/>
      <c r="AI8" s="147"/>
      <c r="AJ8" s="147"/>
      <c r="AK8" s="147"/>
      <c r="AL8" s="147"/>
      <c r="AM8" s="147"/>
      <c r="AN8" s="147"/>
      <c r="AO8" s="147"/>
      <c r="AP8" s="147"/>
      <c r="AQ8" s="147"/>
    </row>
    <row r="9" spans="2:43">
      <c r="B9" s="152" t="s">
        <v>590</v>
      </c>
      <c r="C9" s="147"/>
      <c r="D9" s="151">
        <f>Assum!F30</f>
        <v>86</v>
      </c>
      <c r="E9" s="153" t="s">
        <v>591</v>
      </c>
      <c r="F9" s="1159">
        <f>Assum!H30</f>
        <v>0</v>
      </c>
      <c r="G9" s="1159">
        <f>Assum!I30</f>
        <v>86</v>
      </c>
      <c r="H9" s="1159">
        <f>Assum!J30</f>
        <v>0</v>
      </c>
      <c r="I9" s="151"/>
      <c r="J9" s="151"/>
      <c r="K9" s="147"/>
      <c r="L9" s="147"/>
      <c r="M9" s="147"/>
      <c r="N9" s="147"/>
      <c r="P9" s="147"/>
      <c r="Q9" s="147"/>
      <c r="R9" s="147"/>
      <c r="S9" s="147"/>
      <c r="T9" s="147"/>
      <c r="U9" s="147"/>
      <c r="V9" s="147"/>
      <c r="W9" s="147"/>
      <c r="X9" s="147"/>
      <c r="Y9" s="147"/>
      <c r="Z9" s="147"/>
      <c r="AA9" s="147"/>
      <c r="AB9" s="147"/>
      <c r="AC9" s="147"/>
      <c r="AD9" s="147"/>
      <c r="AE9" s="147"/>
      <c r="AF9" s="147"/>
      <c r="AG9" s="147"/>
      <c r="AH9" s="147"/>
      <c r="AI9" s="147"/>
      <c r="AJ9" s="147"/>
      <c r="AK9" s="147"/>
      <c r="AL9" s="147"/>
      <c r="AM9" s="147"/>
      <c r="AN9" s="147"/>
      <c r="AO9" s="147"/>
      <c r="AP9" s="147"/>
      <c r="AQ9" s="147"/>
    </row>
    <row r="10" spans="2:43">
      <c r="B10" s="151" t="s">
        <v>384</v>
      </c>
      <c r="C10" s="147"/>
      <c r="D10" s="154">
        <f>Assum!E99</f>
        <v>0.41499999999999998</v>
      </c>
      <c r="E10" s="151"/>
      <c r="F10" s="151"/>
      <c r="G10" s="155"/>
      <c r="H10" s="151"/>
      <c r="I10" s="151"/>
      <c r="J10" s="151"/>
      <c r="K10" s="147"/>
      <c r="L10" s="147"/>
      <c r="M10" s="147"/>
      <c r="N10" s="147"/>
      <c r="P10" s="147"/>
      <c r="Q10" s="147"/>
      <c r="R10" s="147"/>
      <c r="S10" s="147"/>
      <c r="T10" s="147"/>
      <c r="U10" s="147"/>
      <c r="V10" s="147"/>
      <c r="W10" s="147"/>
      <c r="X10" s="147"/>
      <c r="Y10" s="147"/>
      <c r="Z10" s="147"/>
      <c r="AA10" s="147"/>
      <c r="AB10" s="147"/>
      <c r="AC10" s="147"/>
      <c r="AD10" s="147"/>
      <c r="AE10" s="147"/>
      <c r="AF10" s="147"/>
      <c r="AG10" s="147"/>
      <c r="AH10" s="147"/>
      <c r="AI10" s="147"/>
      <c r="AJ10" s="147"/>
      <c r="AK10" s="147"/>
      <c r="AL10" s="147"/>
      <c r="AM10" s="147"/>
      <c r="AN10" s="147"/>
      <c r="AO10" s="147"/>
      <c r="AP10" s="147"/>
      <c r="AQ10" s="147"/>
    </row>
    <row r="11" spans="2:43">
      <c r="B11" s="523" t="s">
        <v>54</v>
      </c>
      <c r="C11" s="522">
        <f>Assum!D119</f>
        <v>8.2500000000000004E-2</v>
      </c>
      <c r="D11" s="156">
        <f>Assum!E119</f>
        <v>2.3499999999999997E-2</v>
      </c>
      <c r="E11" s="151"/>
      <c r="F11" s="151"/>
      <c r="G11" s="151"/>
      <c r="H11" s="151"/>
      <c r="I11" s="151"/>
      <c r="J11" s="151"/>
      <c r="K11" s="147"/>
      <c r="L11" s="147"/>
      <c r="M11" s="147"/>
      <c r="N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row>
    <row r="12" spans="2:43">
      <c r="B12" s="523"/>
      <c r="C12" s="147"/>
      <c r="D12" s="157"/>
      <c r="E12" s="151"/>
      <c r="F12" s="151"/>
      <c r="G12" s="151"/>
      <c r="H12" s="151"/>
      <c r="I12" s="151"/>
      <c r="J12" s="151"/>
      <c r="K12" s="147"/>
      <c r="L12" s="147"/>
      <c r="M12" s="147"/>
      <c r="N12" s="147"/>
      <c r="P12" s="147"/>
      <c r="Q12" s="147"/>
      <c r="R12" s="147"/>
      <c r="S12" s="147"/>
      <c r="T12" s="147"/>
      <c r="U12" s="147"/>
      <c r="V12" s="147"/>
      <c r="W12" s="147"/>
      <c r="X12" s="147"/>
      <c r="Y12" s="147"/>
      <c r="Z12" s="147"/>
      <c r="AA12" s="147"/>
      <c r="AB12" s="147"/>
      <c r="AC12" s="147"/>
      <c r="AD12" s="147"/>
      <c r="AE12" s="147"/>
      <c r="AF12" s="147"/>
      <c r="AG12" s="147"/>
      <c r="AH12" s="147"/>
      <c r="AI12" s="147"/>
      <c r="AJ12" s="147"/>
      <c r="AK12" s="147"/>
      <c r="AL12" s="147"/>
      <c r="AM12" s="147"/>
      <c r="AN12" s="147"/>
      <c r="AO12" s="147"/>
      <c r="AP12" s="147"/>
      <c r="AQ12" s="147"/>
    </row>
    <row r="13" spans="2:43">
      <c r="B13" s="523" t="s">
        <v>53</v>
      </c>
      <c r="C13" s="147"/>
      <c r="D13" s="156">
        <f>Assum!E107</f>
        <v>2.35E-2</v>
      </c>
      <c r="E13" s="147"/>
      <c r="F13" s="147"/>
      <c r="G13" s="147"/>
      <c r="H13" s="147"/>
      <c r="I13" s="147"/>
      <c r="J13" s="147"/>
      <c r="K13" s="147"/>
      <c r="L13" s="147"/>
      <c r="M13" s="147"/>
      <c r="N13" s="147"/>
      <c r="P13" s="147"/>
      <c r="Q13" s="147"/>
      <c r="R13" s="147"/>
      <c r="S13" s="147"/>
      <c r="T13" s="147"/>
      <c r="U13" s="147"/>
      <c r="V13" s="147"/>
      <c r="W13" s="147"/>
      <c r="X13" s="147"/>
      <c r="Y13" s="147"/>
      <c r="Z13" s="147"/>
      <c r="AA13" s="147"/>
      <c r="AB13" s="147"/>
      <c r="AC13" s="147"/>
      <c r="AD13" s="147"/>
      <c r="AE13" s="147"/>
      <c r="AF13" s="147"/>
      <c r="AG13" s="147"/>
      <c r="AH13" s="147"/>
      <c r="AI13" s="147"/>
      <c r="AJ13" s="147"/>
      <c r="AK13" s="147"/>
      <c r="AL13" s="147"/>
      <c r="AM13" s="147"/>
      <c r="AN13" s="147"/>
      <c r="AO13" s="147"/>
      <c r="AP13" s="147"/>
      <c r="AQ13" s="147"/>
    </row>
    <row r="14" spans="2:43">
      <c r="B14" s="523"/>
      <c r="C14" s="147"/>
      <c r="D14" s="157"/>
      <c r="E14" s="151"/>
      <c r="G14" s="151"/>
      <c r="H14" s="151"/>
      <c r="I14" s="151"/>
      <c r="J14" s="151"/>
      <c r="K14" s="147"/>
      <c r="L14" s="147"/>
      <c r="M14" s="147"/>
      <c r="N14" s="147"/>
      <c r="P14" s="147"/>
      <c r="Q14" s="147"/>
      <c r="R14" s="147"/>
      <c r="S14" s="147"/>
      <c r="T14" s="147"/>
      <c r="U14" s="147"/>
      <c r="V14" s="147"/>
      <c r="W14" s="147"/>
      <c r="X14" s="147"/>
      <c r="Y14" s="147"/>
      <c r="Z14" s="147"/>
      <c r="AA14" s="147"/>
      <c r="AB14" s="147"/>
      <c r="AC14" s="147"/>
      <c r="AD14" s="147"/>
      <c r="AE14" s="147"/>
      <c r="AF14" s="147"/>
      <c r="AG14" s="147"/>
      <c r="AH14" s="147"/>
      <c r="AI14" s="147"/>
      <c r="AJ14" s="147"/>
      <c r="AK14" s="147"/>
      <c r="AL14" s="147"/>
      <c r="AM14" s="147"/>
      <c r="AN14" s="147"/>
      <c r="AO14" s="147"/>
      <c r="AP14" s="147"/>
      <c r="AQ14" s="147"/>
    </row>
    <row r="15" spans="2:43">
      <c r="B15" s="523" t="s">
        <v>52</v>
      </c>
      <c r="C15" s="147"/>
      <c r="D15" s="156">
        <f>CashFlow!E8</f>
        <v>2.35E-2</v>
      </c>
      <c r="E15" s="147"/>
      <c r="F15" s="151"/>
      <c r="G15" s="151"/>
      <c r="H15" s="151"/>
      <c r="I15" s="151"/>
      <c r="J15" s="151"/>
      <c r="K15" s="147"/>
      <c r="L15" s="147"/>
      <c r="M15" s="147"/>
      <c r="N15" s="147"/>
      <c r="P15" s="147"/>
      <c r="Q15" s="147"/>
      <c r="R15" s="147"/>
      <c r="S15" s="147"/>
      <c r="T15" s="147"/>
      <c r="U15" s="147"/>
      <c r="V15" s="147"/>
      <c r="W15" s="147"/>
      <c r="X15" s="147"/>
      <c r="Y15" s="147"/>
      <c r="Z15" s="147"/>
      <c r="AA15" s="147"/>
      <c r="AB15" s="147"/>
      <c r="AC15" s="147"/>
      <c r="AD15" s="147"/>
      <c r="AE15" s="147"/>
      <c r="AF15" s="147"/>
      <c r="AG15" s="147"/>
      <c r="AH15" s="147"/>
      <c r="AI15" s="147"/>
      <c r="AJ15" s="147"/>
      <c r="AK15" s="147"/>
      <c r="AL15" s="147"/>
      <c r="AM15" s="147"/>
      <c r="AN15" s="147"/>
      <c r="AO15" s="147"/>
      <c r="AP15" s="147"/>
      <c r="AQ15" s="147"/>
    </row>
    <row r="16" spans="2:43">
      <c r="B16" s="147"/>
      <c r="C16" s="147"/>
      <c r="D16" s="147"/>
      <c r="E16" s="147"/>
      <c r="F16" s="151"/>
      <c r="G16" s="147"/>
      <c r="H16" s="147"/>
      <c r="I16" s="147"/>
      <c r="J16" s="147"/>
      <c r="K16" s="147"/>
      <c r="L16" s="147"/>
      <c r="M16" s="147"/>
      <c r="N16" s="147"/>
      <c r="P16" s="147"/>
      <c r="Q16" s="147"/>
      <c r="R16" s="147"/>
      <c r="S16" s="147"/>
      <c r="T16" s="147"/>
      <c r="U16" s="147"/>
      <c r="V16" s="147"/>
      <c r="W16" s="147"/>
      <c r="X16" s="147"/>
      <c r="Y16" s="147"/>
      <c r="Z16" s="147"/>
      <c r="AA16" s="147"/>
      <c r="AB16" s="147"/>
      <c r="AC16" s="147"/>
      <c r="AD16" s="147"/>
      <c r="AE16" s="147"/>
      <c r="AF16" s="147"/>
      <c r="AG16" s="147"/>
      <c r="AH16" s="147"/>
      <c r="AI16" s="147"/>
      <c r="AJ16" s="147"/>
      <c r="AK16" s="147"/>
      <c r="AL16" s="147"/>
      <c r="AM16" s="147"/>
      <c r="AN16" s="147"/>
      <c r="AO16" s="147"/>
      <c r="AP16" s="147"/>
      <c r="AQ16" s="147"/>
    </row>
    <row r="17" spans="2:43">
      <c r="B17" s="147"/>
      <c r="C17" s="147"/>
      <c r="D17" s="147"/>
      <c r="E17" s="147"/>
      <c r="F17" s="151"/>
      <c r="G17" s="147"/>
      <c r="H17" s="147"/>
      <c r="I17" s="147"/>
      <c r="J17" s="147"/>
      <c r="K17" s="147"/>
      <c r="L17" s="147"/>
      <c r="M17" s="147"/>
      <c r="N17" s="147"/>
      <c r="P17" s="147"/>
      <c r="Q17" s="147"/>
      <c r="R17" s="147"/>
      <c r="S17" s="147"/>
      <c r="T17" s="147"/>
      <c r="U17" s="147"/>
      <c r="V17" s="147"/>
      <c r="W17" s="147"/>
      <c r="X17" s="147"/>
      <c r="Y17" s="147"/>
      <c r="Z17" s="147"/>
      <c r="AA17" s="147"/>
      <c r="AB17" s="147"/>
      <c r="AC17" s="147"/>
      <c r="AD17" s="147"/>
      <c r="AE17" s="147"/>
      <c r="AF17" s="147"/>
      <c r="AG17" s="147"/>
      <c r="AH17" s="147"/>
      <c r="AI17" s="147"/>
      <c r="AJ17" s="147"/>
      <c r="AK17" s="147"/>
      <c r="AL17" s="147"/>
      <c r="AM17" s="147"/>
      <c r="AN17" s="147"/>
      <c r="AO17" s="147"/>
      <c r="AP17" s="147"/>
      <c r="AQ17" s="147"/>
    </row>
    <row r="18" spans="2:43" ht="13.5" thickBot="1">
      <c r="C18" s="147"/>
      <c r="D18" s="150"/>
      <c r="E18" s="150"/>
      <c r="F18" s="150"/>
      <c r="G18" s="150"/>
      <c r="H18" s="147"/>
      <c r="I18" s="147"/>
      <c r="J18" s="147"/>
      <c r="K18" s="147"/>
      <c r="L18" s="147"/>
      <c r="M18" s="147"/>
      <c r="N18" s="147"/>
      <c r="P18" s="147"/>
      <c r="Q18" s="147"/>
      <c r="R18" s="147"/>
      <c r="S18" s="147"/>
      <c r="T18" s="147"/>
      <c r="U18" s="147"/>
      <c r="V18" s="147"/>
      <c r="W18" s="147"/>
      <c r="X18" s="147"/>
      <c r="Y18" s="147"/>
      <c r="Z18" s="147"/>
      <c r="AA18" s="147"/>
      <c r="AB18" s="147"/>
      <c r="AC18" s="147"/>
      <c r="AD18" s="147"/>
      <c r="AE18" s="147"/>
      <c r="AF18" s="147"/>
      <c r="AG18" s="147"/>
      <c r="AH18" s="147"/>
      <c r="AI18" s="147"/>
      <c r="AJ18" s="147"/>
      <c r="AK18" s="147"/>
      <c r="AL18" s="147"/>
      <c r="AM18" s="147"/>
      <c r="AN18" s="147"/>
      <c r="AO18" s="147"/>
      <c r="AP18" s="147"/>
      <c r="AQ18" s="147"/>
    </row>
    <row r="19" spans="2:43">
      <c r="B19" s="1125" t="str">
        <f>Srcs_Uses!B5</f>
        <v>SOURCES OF FUNDS</v>
      </c>
      <c r="C19" s="1131" t="str">
        <f>Srcs_Uses!E5</f>
        <v>$TOTAL (000)</v>
      </c>
      <c r="D19" s="1131" t="str">
        <f>Srcs_Uses!F5</f>
        <v>% TOTAL</v>
      </c>
      <c r="E19" s="1132" t="str">
        <f>Srcs_Uses!G5</f>
        <v>$ PER KW</v>
      </c>
      <c r="F19" s="150"/>
      <c r="G19" s="1125" t="s">
        <v>173</v>
      </c>
      <c r="H19" s="1126" t="s">
        <v>174</v>
      </c>
      <c r="I19" s="1126" t="s">
        <v>175</v>
      </c>
      <c r="J19" s="1127" t="s">
        <v>310</v>
      </c>
      <c r="K19" s="1098"/>
      <c r="L19" s="1098"/>
      <c r="M19" s="1098"/>
      <c r="N19" s="1099"/>
      <c r="P19" s="147"/>
      <c r="Q19" s="147"/>
      <c r="R19" s="147"/>
      <c r="S19" s="147"/>
      <c r="T19" s="147"/>
      <c r="U19" s="147"/>
      <c r="V19" s="147"/>
      <c r="W19" s="147"/>
      <c r="X19" s="147"/>
      <c r="Y19" s="147"/>
      <c r="Z19" s="147"/>
      <c r="AA19" s="147"/>
      <c r="AB19" s="147"/>
      <c r="AC19" s="147"/>
      <c r="AD19" s="147"/>
      <c r="AE19" s="147"/>
      <c r="AF19" s="147"/>
      <c r="AG19" s="147"/>
      <c r="AH19" s="147"/>
      <c r="AI19" s="147"/>
      <c r="AJ19" s="147"/>
      <c r="AK19" s="147"/>
      <c r="AL19" s="147"/>
      <c r="AM19" s="147"/>
      <c r="AN19" s="147"/>
      <c r="AO19" s="147"/>
      <c r="AP19" s="147"/>
      <c r="AQ19" s="147"/>
    </row>
    <row r="20" spans="2:43">
      <c r="B20" s="1104" t="str">
        <f>Srcs_Uses!B6</f>
        <v>OUTSIDE EQUITY</v>
      </c>
      <c r="C20" s="1114">
        <f ca="1">Srcs_Uses!E6</f>
        <v>90426.917784397752</v>
      </c>
      <c r="D20" s="1133">
        <f ca="1">Srcs_Uses!F6</f>
        <v>0.68707368005384617</v>
      </c>
      <c r="E20" s="1134">
        <f ca="1">Srcs_Uses!G6</f>
        <v>700.983858793781</v>
      </c>
      <c r="F20" s="150"/>
      <c r="G20" s="1104" t="s">
        <v>176</v>
      </c>
      <c r="H20" s="1124">
        <f ca="1">Srcs_Uses!E6</f>
        <v>90426.917784397752</v>
      </c>
      <c r="I20" s="1520">
        <f ca="1">H20/$H$22</f>
        <v>0.98999999999913557</v>
      </c>
      <c r="J20" s="1128">
        <f>Assum!E202</f>
        <v>0.39549999999999996</v>
      </c>
      <c r="K20" s="1109"/>
      <c r="L20" s="1109"/>
      <c r="M20" s="1109"/>
      <c r="N20" s="1103"/>
      <c r="P20" s="147"/>
      <c r="Q20" s="147"/>
      <c r="R20" s="147"/>
      <c r="S20" s="147"/>
      <c r="T20" s="147"/>
      <c r="U20" s="147"/>
      <c r="V20" s="147"/>
      <c r="W20" s="147"/>
      <c r="X20" s="147"/>
      <c r="Y20" s="147"/>
      <c r="Z20" s="147"/>
      <c r="AA20" s="147"/>
      <c r="AB20" s="147"/>
      <c r="AC20" s="147"/>
      <c r="AD20" s="147"/>
      <c r="AE20" s="147"/>
      <c r="AF20" s="147"/>
      <c r="AG20" s="147"/>
      <c r="AH20" s="147"/>
      <c r="AI20" s="147"/>
      <c r="AJ20" s="147"/>
      <c r="AK20" s="147"/>
      <c r="AL20" s="147"/>
      <c r="AM20" s="147"/>
      <c r="AN20" s="147"/>
      <c r="AO20" s="147"/>
      <c r="AP20" s="147"/>
      <c r="AQ20" s="147"/>
    </row>
    <row r="21" spans="2:43">
      <c r="B21" s="1104" t="str">
        <f>Srcs_Uses!B7</f>
        <v>EWC EQUITY</v>
      </c>
      <c r="C21" s="1114">
        <f ca="1">Srcs_Uses!E7</f>
        <v>913.40320994341164</v>
      </c>
      <c r="D21" s="1133">
        <f ca="1">Srcs_Uses!F7</f>
        <v>6.9401381823620822E-3</v>
      </c>
      <c r="E21" s="1134">
        <f ca="1">Srcs_Uses!G7</f>
        <v>7.0806450383210207</v>
      </c>
      <c r="F21" s="150"/>
      <c r="G21" s="1104" t="s">
        <v>177</v>
      </c>
      <c r="H21" s="1124">
        <f ca="1">Srcs_Uses!E7</f>
        <v>913.40320994341164</v>
      </c>
      <c r="I21" s="1520">
        <f ca="1">H21/$H$22</f>
        <v>9.9999999999912676E-3</v>
      </c>
      <c r="J21" s="1128">
        <f>Assum!E203</f>
        <v>0.39549999999999996</v>
      </c>
      <c r="K21" s="1109"/>
      <c r="L21" s="1109"/>
      <c r="M21" s="1109"/>
      <c r="N21" s="1103"/>
      <c r="P21" s="147"/>
      <c r="Q21" s="147"/>
      <c r="R21" s="147"/>
      <c r="S21" s="147"/>
      <c r="T21" s="147"/>
      <c r="U21" s="147"/>
      <c r="V21" s="147"/>
      <c r="W21" s="147"/>
      <c r="X21" s="147"/>
      <c r="Y21" s="147"/>
      <c r="Z21" s="147"/>
      <c r="AA21" s="147"/>
      <c r="AB21" s="147"/>
      <c r="AC21" s="147"/>
      <c r="AD21" s="147"/>
      <c r="AE21" s="147"/>
      <c r="AF21" s="147"/>
      <c r="AG21" s="147"/>
      <c r="AH21" s="147"/>
      <c r="AI21" s="147"/>
      <c r="AJ21" s="147"/>
      <c r="AK21" s="147"/>
      <c r="AL21" s="147"/>
      <c r="AM21" s="147"/>
      <c r="AN21" s="147"/>
      <c r="AO21" s="147"/>
      <c r="AP21" s="147"/>
      <c r="AQ21" s="147"/>
    </row>
    <row r="22" spans="2:43">
      <c r="B22" s="1104" t="str">
        <f>Srcs_Uses!B8</f>
        <v>SENIOR BANK DEBT</v>
      </c>
      <c r="C22" s="1114">
        <f>Srcs_Uses!E8</f>
        <v>40271.353865997226</v>
      </c>
      <c r="D22" s="1133">
        <f ca="1">Srcs_Uses!F8</f>
        <v>0.30598618176318587</v>
      </c>
      <c r="E22" s="1134">
        <f>Srcs_Uses!G8</f>
        <v>312.18103772090871</v>
      </c>
      <c r="F22" s="150"/>
      <c r="G22" s="1104" t="s">
        <v>178</v>
      </c>
      <c r="H22" s="1109">
        <f ca="1">SUM(H20:H21)</f>
        <v>91340.320994341164</v>
      </c>
      <c r="I22" s="1521">
        <f ca="1">H22/$H$22</f>
        <v>1</v>
      </c>
      <c r="J22" s="1109"/>
      <c r="K22" s="1109"/>
      <c r="L22" s="1109"/>
      <c r="M22" s="1109"/>
      <c r="N22" s="1103"/>
      <c r="P22" s="147"/>
      <c r="Q22" s="147"/>
      <c r="R22" s="147"/>
      <c r="S22" s="147"/>
      <c r="T22" s="147"/>
      <c r="U22" s="147"/>
      <c r="V22" s="147"/>
      <c r="W22" s="147"/>
      <c r="X22" s="147"/>
      <c r="Y22" s="147"/>
      <c r="Z22" s="147"/>
      <c r="AA22" s="147"/>
      <c r="AB22" s="147"/>
      <c r="AC22" s="147"/>
      <c r="AD22" s="147"/>
      <c r="AE22" s="147"/>
      <c r="AF22" s="147"/>
      <c r="AG22" s="147"/>
      <c r="AH22" s="147"/>
      <c r="AI22" s="147"/>
      <c r="AJ22" s="147"/>
      <c r="AK22" s="147"/>
      <c r="AL22" s="147"/>
      <c r="AM22" s="147"/>
      <c r="AN22" s="147"/>
      <c r="AO22" s="147"/>
      <c r="AP22" s="147"/>
      <c r="AQ22" s="147"/>
    </row>
    <row r="23" spans="2:43">
      <c r="B23" s="1104" t="str">
        <f>Srcs_Uses!B9</f>
        <v>JUNIOR DEBT</v>
      </c>
      <c r="C23" s="1114">
        <f>Srcs_Uses!E9</f>
        <v>0</v>
      </c>
      <c r="D23" s="1133">
        <f ca="1">Srcs_Uses!F9</f>
        <v>0</v>
      </c>
      <c r="E23" s="1134">
        <f>Srcs_Uses!G9</f>
        <v>0</v>
      </c>
      <c r="F23" s="150"/>
      <c r="G23" s="1104"/>
      <c r="H23" s="1129"/>
      <c r="I23" s="1114"/>
      <c r="J23" s="1114"/>
      <c r="K23" s="1109"/>
      <c r="L23" s="1109"/>
      <c r="M23" s="1109"/>
      <c r="N23" s="1103"/>
      <c r="P23" s="147"/>
      <c r="Q23" s="147"/>
      <c r="R23" s="147"/>
      <c r="S23" s="147"/>
      <c r="T23" s="147"/>
      <c r="U23" s="147"/>
      <c r="V23" s="147"/>
      <c r="W23" s="147"/>
      <c r="X23" s="147"/>
      <c r="Y23" s="147"/>
      <c r="Z23" s="147"/>
      <c r="AA23" s="147"/>
      <c r="AB23" s="147"/>
      <c r="AC23" s="147"/>
      <c r="AD23" s="147"/>
      <c r="AE23" s="147"/>
      <c r="AF23" s="147"/>
      <c r="AG23" s="147"/>
      <c r="AH23" s="147"/>
      <c r="AI23" s="147"/>
      <c r="AJ23" s="147"/>
      <c r="AK23" s="147"/>
      <c r="AL23" s="147"/>
      <c r="AM23" s="147"/>
      <c r="AN23" s="147"/>
      <c r="AO23" s="147"/>
      <c r="AP23" s="147"/>
      <c r="AQ23" s="147"/>
    </row>
    <row r="24" spans="2:43">
      <c r="B24" s="1104" t="str">
        <f>Srcs_Uses!B10</f>
        <v xml:space="preserve">      CASH SUB-TOTAL</v>
      </c>
      <c r="C24" s="1114">
        <f ca="1">Srcs_Uses!E10</f>
        <v>131611.67486033839</v>
      </c>
      <c r="D24" s="1133">
        <f ca="1">Srcs_Uses!F10</f>
        <v>0.99999999999939404</v>
      </c>
      <c r="E24" s="1134">
        <f ca="1">Srcs_Uses!G10</f>
        <v>1020.2455415530108</v>
      </c>
      <c r="F24" s="150"/>
      <c r="G24" s="1104"/>
      <c r="H24" s="1124"/>
      <c r="I24" s="1109"/>
      <c r="J24" s="1109"/>
      <c r="K24" s="1109"/>
      <c r="L24" s="1109"/>
      <c r="M24" s="1109"/>
      <c r="N24" s="1103"/>
      <c r="P24" s="147"/>
      <c r="Q24" s="147"/>
      <c r="R24" s="147"/>
      <c r="S24" s="147"/>
      <c r="T24" s="147"/>
      <c r="U24" s="147"/>
      <c r="V24" s="147"/>
      <c r="W24" s="147"/>
      <c r="X24" s="147"/>
      <c r="Y24" s="147"/>
      <c r="Z24" s="147"/>
      <c r="AA24" s="147"/>
      <c r="AB24" s="147"/>
      <c r="AC24" s="147"/>
      <c r="AD24" s="147"/>
      <c r="AE24" s="147"/>
      <c r="AF24" s="147"/>
      <c r="AG24" s="147"/>
      <c r="AH24" s="147"/>
      <c r="AI24" s="147"/>
      <c r="AJ24" s="147"/>
      <c r="AK24" s="147"/>
      <c r="AL24" s="147"/>
      <c r="AM24" s="147"/>
      <c r="AN24" s="147"/>
      <c r="AO24" s="147"/>
      <c r="AP24" s="147"/>
      <c r="AQ24" s="147"/>
    </row>
    <row r="25" spans="2:43">
      <c r="B25" s="477"/>
      <c r="C25" s="222"/>
      <c r="D25" s="222"/>
      <c r="E25" s="812"/>
      <c r="F25" s="150"/>
      <c r="G25" s="1113"/>
      <c r="H25" s="1130" t="s">
        <v>13</v>
      </c>
      <c r="I25" s="1130"/>
      <c r="J25" s="1109"/>
      <c r="K25" s="222"/>
      <c r="L25" s="1130" t="s">
        <v>14</v>
      </c>
      <c r="M25" s="1130"/>
      <c r="N25" s="1103"/>
      <c r="P25" s="147"/>
      <c r="Q25" s="147"/>
      <c r="R25" s="147"/>
      <c r="S25" s="147"/>
      <c r="T25" s="147"/>
      <c r="U25" s="147"/>
      <c r="V25" s="147"/>
      <c r="W25" s="147"/>
      <c r="X25" s="147"/>
      <c r="Y25" s="147"/>
      <c r="Z25" s="147"/>
      <c r="AA25" s="147"/>
      <c r="AB25" s="147"/>
      <c r="AC25" s="147"/>
      <c r="AD25" s="147"/>
      <c r="AE25" s="147"/>
      <c r="AF25" s="147"/>
      <c r="AG25" s="147"/>
      <c r="AH25" s="147"/>
      <c r="AI25" s="147"/>
      <c r="AJ25" s="147"/>
      <c r="AK25" s="147"/>
      <c r="AL25" s="147"/>
      <c r="AM25" s="147"/>
      <c r="AN25" s="147"/>
      <c r="AO25" s="147"/>
      <c r="AP25" s="147"/>
      <c r="AQ25" s="147"/>
    </row>
    <row r="26" spans="2:43">
      <c r="B26" s="1104" t="str">
        <f>Srcs_Uses!B12</f>
        <v xml:space="preserve">     CASH &amp; NON-CASH TOTAL</v>
      </c>
      <c r="C26" s="1114">
        <f ca="1">Srcs_Uses!E12</f>
        <v>131611.67486033839</v>
      </c>
      <c r="D26" s="1133">
        <f ca="1">Srcs_Uses!F12</f>
        <v>1</v>
      </c>
      <c r="E26" s="1134">
        <f ca="1">Srcs_Uses!G12</f>
        <v>1020.2455415530108</v>
      </c>
      <c r="F26" s="150"/>
      <c r="G26" s="1107"/>
      <c r="H26" s="1121" t="s">
        <v>15</v>
      </c>
      <c r="I26" s="1122"/>
      <c r="J26" s="1109"/>
      <c r="K26" s="222"/>
      <c r="L26" s="1121" t="s">
        <v>16</v>
      </c>
      <c r="M26" s="1122"/>
      <c r="N26" s="1103"/>
      <c r="P26" s="147"/>
      <c r="Q26" s="147"/>
      <c r="R26" s="147"/>
      <c r="S26" s="147"/>
      <c r="T26" s="147"/>
      <c r="U26" s="147"/>
      <c r="V26" s="147"/>
      <c r="W26" s="147"/>
      <c r="X26" s="147"/>
      <c r="Y26" s="147"/>
      <c r="Z26" s="147"/>
      <c r="AA26" s="147"/>
      <c r="AB26" s="147"/>
      <c r="AC26" s="147"/>
      <c r="AD26" s="147"/>
      <c r="AE26" s="147"/>
      <c r="AF26" s="147"/>
      <c r="AG26" s="147"/>
      <c r="AH26" s="147"/>
      <c r="AI26" s="147"/>
      <c r="AJ26" s="147"/>
      <c r="AK26" s="147"/>
      <c r="AL26" s="147"/>
      <c r="AM26" s="147"/>
      <c r="AN26" s="147"/>
      <c r="AO26" s="147"/>
      <c r="AP26" s="147"/>
      <c r="AQ26" s="147"/>
    </row>
    <row r="27" spans="2:43">
      <c r="B27" s="477"/>
      <c r="C27" s="1114"/>
      <c r="D27" s="1133"/>
      <c r="E27" s="1134"/>
      <c r="F27" s="150"/>
      <c r="G27" s="1100"/>
      <c r="H27" s="1101" t="s">
        <v>17</v>
      </c>
      <c r="I27" s="1101" t="s">
        <v>18</v>
      </c>
      <c r="J27" s="1102"/>
      <c r="K27" s="222"/>
      <c r="L27" s="1101" t="s">
        <v>17</v>
      </c>
      <c r="M27" s="1101" t="s">
        <v>18</v>
      </c>
      <c r="N27" s="1103"/>
      <c r="P27" s="147"/>
      <c r="Q27" s="147"/>
      <c r="R27" s="147"/>
      <c r="S27" s="147"/>
      <c r="T27" s="147"/>
      <c r="U27" s="147"/>
      <c r="V27" s="147"/>
      <c r="W27" s="147"/>
      <c r="X27" s="147"/>
      <c r="Y27" s="147"/>
      <c r="Z27" s="147"/>
      <c r="AA27" s="147"/>
      <c r="AB27" s="147"/>
      <c r="AC27" s="147"/>
      <c r="AD27" s="147"/>
      <c r="AE27" s="147"/>
      <c r="AF27" s="147"/>
      <c r="AG27" s="147"/>
      <c r="AH27" s="147"/>
      <c r="AI27" s="147"/>
      <c r="AJ27" s="147"/>
      <c r="AK27" s="147"/>
      <c r="AL27" s="147"/>
      <c r="AM27" s="147"/>
      <c r="AN27" s="147"/>
      <c r="AO27" s="147"/>
      <c r="AP27" s="147"/>
      <c r="AQ27" s="147"/>
    </row>
    <row r="28" spans="2:43">
      <c r="B28" s="1104"/>
      <c r="C28" s="1114"/>
      <c r="D28" s="1133"/>
      <c r="E28" s="1134"/>
      <c r="F28" s="150"/>
      <c r="G28" s="1104" t="s">
        <v>55</v>
      </c>
      <c r="H28" s="1105">
        <f>Assum!E341</f>
        <v>0.99</v>
      </c>
      <c r="I28" s="1105">
        <f>Assum!E345</f>
        <v>0.99</v>
      </c>
      <c r="J28" s="1106"/>
      <c r="K28" s="222"/>
      <c r="L28" s="1105">
        <f>Assum!E342</f>
        <v>0.01</v>
      </c>
      <c r="M28" s="1105">
        <f>Assum!E346</f>
        <v>0.01</v>
      </c>
      <c r="N28" s="1103"/>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row>
    <row r="29" spans="2:43">
      <c r="B29" s="1135" t="str">
        <f>Srcs_Uses!B14</f>
        <v>USES OF FUNDS</v>
      </c>
      <c r="C29" s="1114"/>
      <c r="D29" s="1133"/>
      <c r="E29" s="1134"/>
      <c r="F29" s="150"/>
      <c r="G29" s="1107"/>
      <c r="H29" s="1108"/>
      <c r="I29" s="1108"/>
      <c r="J29" s="1109"/>
      <c r="K29" s="222"/>
      <c r="L29" s="1108"/>
      <c r="M29" s="1108"/>
      <c r="N29" s="1103"/>
      <c r="P29" s="147"/>
      <c r="Q29" s="147"/>
      <c r="R29" s="147"/>
      <c r="S29" s="147"/>
      <c r="T29" s="147"/>
      <c r="U29" s="147"/>
      <c r="V29" s="147"/>
      <c r="W29" s="147"/>
      <c r="X29" s="147"/>
      <c r="Y29" s="147"/>
      <c r="Z29" s="147"/>
      <c r="AA29" s="147"/>
      <c r="AB29" s="147"/>
      <c r="AC29" s="147"/>
      <c r="AD29" s="147"/>
      <c r="AE29" s="147"/>
      <c r="AF29" s="147"/>
      <c r="AG29" s="147"/>
      <c r="AH29" s="147"/>
      <c r="AI29" s="147"/>
      <c r="AJ29" s="147"/>
      <c r="AK29" s="147"/>
      <c r="AL29" s="147"/>
      <c r="AM29" s="147"/>
      <c r="AN29" s="147"/>
      <c r="AO29" s="147"/>
      <c r="AP29" s="147"/>
      <c r="AQ29" s="147"/>
    </row>
    <row r="30" spans="2:43">
      <c r="B30" s="1104" t="str">
        <f>Srcs_Uses!B15</f>
        <v>PRIMARY FACILITY COSTS</v>
      </c>
      <c r="C30" s="1114">
        <f ca="1">Srcs_Uses!E15</f>
        <v>116608.57833059954</v>
      </c>
      <c r="D30" s="1133">
        <f ca="1">Srcs_Uses!F15</f>
        <v>0.88600482032261596</v>
      </c>
      <c r="E30" s="1134">
        <f ca="1">Srcs_Uses!G15</f>
        <v>903.94246767906623</v>
      </c>
      <c r="F30" s="150"/>
      <c r="G30" s="1110"/>
      <c r="H30" s="1101" t="s">
        <v>19</v>
      </c>
      <c r="I30" s="1101" t="s">
        <v>20</v>
      </c>
      <c r="J30" s="1111"/>
      <c r="K30" s="222"/>
      <c r="L30" s="1101" t="s">
        <v>19</v>
      </c>
      <c r="M30" s="1101" t="s">
        <v>20</v>
      </c>
      <c r="N30" s="1103"/>
      <c r="P30" s="147"/>
      <c r="Q30" s="147"/>
      <c r="R30" s="147"/>
      <c r="S30" s="147"/>
      <c r="T30" s="147"/>
      <c r="U30" s="147"/>
      <c r="V30" s="147"/>
      <c r="W30" s="147"/>
      <c r="X30" s="147"/>
      <c r="Y30" s="147"/>
      <c r="Z30" s="147"/>
      <c r="AA30" s="147"/>
      <c r="AB30" s="147"/>
      <c r="AC30" s="147"/>
      <c r="AD30" s="147"/>
      <c r="AE30" s="147"/>
      <c r="AF30" s="147"/>
      <c r="AG30" s="147"/>
      <c r="AH30" s="147"/>
      <c r="AI30" s="147"/>
      <c r="AJ30" s="147"/>
      <c r="AK30" s="147"/>
      <c r="AL30" s="147"/>
      <c r="AM30" s="147"/>
      <c r="AN30" s="147"/>
      <c r="AO30" s="147"/>
      <c r="AP30" s="147"/>
      <c r="AQ30" s="147"/>
    </row>
    <row r="31" spans="2:43">
      <c r="B31" s="1104" t="str">
        <f>Srcs_Uses!B16</f>
        <v>PREDEVELOPMENT EXPENSES TOTAL</v>
      </c>
      <c r="C31" s="1114">
        <f>Srcs_Uses!E16</f>
        <v>3069.92</v>
      </c>
      <c r="D31" s="1133">
        <f ca="1">Srcs_Uses!F16</f>
        <v>2.3325590251974223E-2</v>
      </c>
      <c r="E31" s="1134">
        <f>Srcs_Uses!G16</f>
        <v>23.79782945736434</v>
      </c>
      <c r="F31" s="150"/>
      <c r="G31" s="1112" t="s">
        <v>21</v>
      </c>
      <c r="H31" s="1105">
        <f ca="1">Outside!D70</f>
        <v>-0.24279000870883469</v>
      </c>
      <c r="I31" s="1105">
        <f ca="1">Outside!D65</f>
        <v>0.12338958382606507</v>
      </c>
      <c r="J31" s="1105"/>
      <c r="K31" s="222"/>
      <c r="L31" s="1519">
        <f ca="1">EWC!D70</f>
        <v>-0.24279000870883469</v>
      </c>
      <c r="M31" s="1105">
        <f ca="1">EWC!D65</f>
        <v>0.12338958382606507</v>
      </c>
      <c r="N31" s="1103"/>
      <c r="P31" s="147"/>
      <c r="Q31" s="147"/>
      <c r="R31" s="147"/>
      <c r="S31" s="147"/>
      <c r="T31" s="147"/>
      <c r="U31" s="147"/>
      <c r="V31" s="147"/>
      <c r="W31" s="147"/>
      <c r="X31" s="147"/>
      <c r="Y31" s="147"/>
      <c r="Z31" s="147"/>
      <c r="AA31" s="147"/>
      <c r="AB31" s="147"/>
      <c r="AC31" s="147"/>
      <c r="AD31" s="147"/>
      <c r="AE31" s="147"/>
      <c r="AF31" s="147"/>
      <c r="AG31" s="147"/>
      <c r="AH31" s="147"/>
      <c r="AI31" s="147"/>
      <c r="AJ31" s="147"/>
      <c r="AK31" s="147"/>
      <c r="AL31" s="147"/>
      <c r="AM31" s="147"/>
      <c r="AN31" s="147"/>
      <c r="AO31" s="147"/>
      <c r="AP31" s="147"/>
      <c r="AQ31" s="147"/>
    </row>
    <row r="32" spans="2:43">
      <c r="B32" s="1104" t="str">
        <f>Srcs_Uses!B17</f>
        <v>CONSTRUCTION INSURANCE</v>
      </c>
      <c r="C32" s="1114">
        <f>Srcs_Uses!E17</f>
        <v>262.15652590166667</v>
      </c>
      <c r="D32" s="1133">
        <f ca="1">Srcs_Uses!F17</f>
        <v>1.9918941552429198E-3</v>
      </c>
      <c r="E32" s="1134">
        <f>Srcs_Uses!G17</f>
        <v>2.0322211310206719</v>
      </c>
      <c r="F32" s="150"/>
      <c r="G32" s="1112" t="s">
        <v>22</v>
      </c>
      <c r="H32" s="1105">
        <f ca="1">Outside!D71</f>
        <v>-5.8192253857851026E-2</v>
      </c>
      <c r="I32" s="1105">
        <f ca="1">Outside!D66</f>
        <v>0.12499999403953552</v>
      </c>
      <c r="J32" s="1105"/>
      <c r="K32" s="222"/>
      <c r="L32" s="1519">
        <f ca="1">EWC!D71</f>
        <v>-5.8192253857851026E-2</v>
      </c>
      <c r="M32" s="1105">
        <f ca="1">EWC!D66</f>
        <v>0.12499999403953552</v>
      </c>
      <c r="N32" s="1103"/>
      <c r="P32" s="147"/>
      <c r="Q32" s="147"/>
      <c r="R32" s="147"/>
      <c r="S32" s="147"/>
      <c r="T32" s="147"/>
      <c r="U32" s="147"/>
      <c r="V32" s="147"/>
      <c r="W32" s="147"/>
      <c r="X32" s="147"/>
      <c r="Y32" s="147"/>
      <c r="Z32" s="147"/>
      <c r="AA32" s="147"/>
      <c r="AB32" s="147"/>
      <c r="AC32" s="147"/>
      <c r="AD32" s="147"/>
      <c r="AE32" s="147"/>
      <c r="AF32" s="147"/>
      <c r="AG32" s="147"/>
      <c r="AH32" s="147"/>
      <c r="AI32" s="147"/>
      <c r="AJ32" s="147"/>
      <c r="AK32" s="147"/>
      <c r="AL32" s="147"/>
      <c r="AM32" s="147"/>
      <c r="AN32" s="147"/>
      <c r="AO32" s="147"/>
      <c r="AP32" s="147"/>
      <c r="AQ32" s="147"/>
    </row>
    <row r="33" spans="2:43">
      <c r="B33" s="1104" t="str">
        <f>Srcs_Uses!B18</f>
        <v>CONSTRUCTION INTEREST</v>
      </c>
      <c r="C33" s="1114">
        <f ca="1">Srcs_Uses!E18</f>
        <v>8185.9496936240857</v>
      </c>
      <c r="D33" s="1133">
        <f ca="1">Srcs_Uses!F18</f>
        <v>6.2197747295287611E-2</v>
      </c>
      <c r="E33" s="1134">
        <f ca="1">Srcs_Uses!G18</f>
        <v>63.456974369178958</v>
      </c>
      <c r="F33" s="150"/>
      <c r="G33" s="1112" t="s">
        <v>23</v>
      </c>
      <c r="H33" s="1105">
        <f ca="1">Outside!D72</f>
        <v>-5.8151063323020932E-2</v>
      </c>
      <c r="I33" s="1105">
        <f ca="1">Outside!D67</f>
        <v>0.12500291466712951</v>
      </c>
      <c r="J33" s="1105"/>
      <c r="K33" s="222"/>
      <c r="L33" s="1519">
        <f ca="1">EWC!D72</f>
        <v>-5.8151063323020932E-2</v>
      </c>
      <c r="M33" s="1105">
        <f ca="1">EWC!D67</f>
        <v>0.12500291466712951</v>
      </c>
      <c r="N33" s="1103"/>
      <c r="P33" s="147"/>
      <c r="Q33" s="147"/>
      <c r="R33" s="147"/>
      <c r="S33" s="147"/>
      <c r="T33" s="147"/>
      <c r="U33" s="147"/>
      <c r="V33" s="147"/>
      <c r="W33" s="147"/>
      <c r="X33" s="147"/>
      <c r="Y33" s="147"/>
      <c r="Z33" s="147"/>
      <c r="AA33" s="147"/>
      <c r="AB33" s="147"/>
      <c r="AC33" s="147"/>
      <c r="AD33" s="147"/>
      <c r="AE33" s="147"/>
      <c r="AF33" s="147"/>
      <c r="AG33" s="147"/>
      <c r="AH33" s="147"/>
      <c r="AI33" s="147"/>
      <c r="AJ33" s="147"/>
      <c r="AK33" s="147"/>
      <c r="AL33" s="147"/>
      <c r="AM33" s="147"/>
      <c r="AN33" s="147"/>
      <c r="AO33" s="147"/>
      <c r="AP33" s="147"/>
      <c r="AQ33" s="147"/>
    </row>
    <row r="34" spans="2:43">
      <c r="B34" s="1104" t="str">
        <f>Srcs_Uses!B19</f>
        <v>EPC WARRANTY FEE</v>
      </c>
      <c r="C34" s="1114">
        <f>Srcs_Uses!E19</f>
        <v>0</v>
      </c>
      <c r="D34" s="1133">
        <f ca="1">Srcs_Uses!F19</f>
        <v>0</v>
      </c>
      <c r="E34" s="1134">
        <f>Srcs_Uses!G19</f>
        <v>0</v>
      </c>
      <c r="F34" s="150"/>
      <c r="G34" s="1113"/>
      <c r="H34" s="1109"/>
      <c r="I34" s="1109"/>
      <c r="J34" s="1109"/>
      <c r="K34" s="222"/>
      <c r="L34" s="1109"/>
      <c r="M34" s="1114"/>
      <c r="N34" s="1103"/>
      <c r="P34" s="147"/>
      <c r="Q34" s="147"/>
      <c r="R34" s="147"/>
      <c r="S34" s="147"/>
      <c r="T34" s="147"/>
      <c r="U34" s="147"/>
      <c r="V34" s="147"/>
      <c r="W34" s="147"/>
      <c r="X34" s="147"/>
      <c r="Y34" s="147"/>
      <c r="Z34" s="147"/>
      <c r="AA34" s="147"/>
      <c r="AB34" s="147"/>
      <c r="AC34" s="147"/>
      <c r="AD34" s="147"/>
      <c r="AE34" s="147"/>
      <c r="AF34" s="147"/>
      <c r="AG34" s="147"/>
      <c r="AH34" s="147"/>
      <c r="AI34" s="147"/>
      <c r="AJ34" s="147"/>
      <c r="AK34" s="147"/>
      <c r="AL34" s="147"/>
      <c r="AM34" s="147"/>
      <c r="AN34" s="147"/>
      <c r="AO34" s="147"/>
      <c r="AP34" s="147"/>
      <c r="AQ34" s="147"/>
    </row>
    <row r="35" spans="2:43">
      <c r="B35" s="1104" t="str">
        <f>Srcs_Uses!B20</f>
        <v>LEGAL CLOSING</v>
      </c>
      <c r="C35" s="1114">
        <f>Srcs_Uses!E20</f>
        <v>1000</v>
      </c>
      <c r="D35" s="1133">
        <f ca="1">Srcs_Uses!F20</f>
        <v>7.5981101305487514E-3</v>
      </c>
      <c r="E35" s="1134">
        <f>Srcs_Uses!G20</f>
        <v>7.7519379844961236</v>
      </c>
      <c r="F35" s="150"/>
      <c r="G35" s="1100"/>
      <c r="H35" s="1101" t="s">
        <v>24</v>
      </c>
      <c r="I35" s="1101" t="s">
        <v>25</v>
      </c>
      <c r="J35" s="1115"/>
      <c r="K35" s="222"/>
      <c r="L35" s="1101" t="s">
        <v>24</v>
      </c>
      <c r="M35" s="1101" t="s">
        <v>25</v>
      </c>
      <c r="N35" s="1103"/>
      <c r="P35" s="147"/>
      <c r="Q35" s="147"/>
      <c r="R35" s="147"/>
      <c r="S35" s="147"/>
      <c r="T35" s="147"/>
      <c r="U35" s="147"/>
      <c r="V35" s="147"/>
      <c r="W35" s="147"/>
      <c r="X35" s="147"/>
      <c r="Y35" s="147"/>
      <c r="Z35" s="147"/>
      <c r="AA35" s="147"/>
      <c r="AB35" s="147"/>
      <c r="AC35" s="147"/>
      <c r="AD35" s="147"/>
      <c r="AE35" s="147"/>
      <c r="AF35" s="147"/>
      <c r="AG35" s="147"/>
      <c r="AH35" s="147"/>
      <c r="AI35" s="147"/>
      <c r="AJ35" s="147"/>
      <c r="AK35" s="147"/>
      <c r="AL35" s="147"/>
      <c r="AM35" s="147"/>
      <c r="AN35" s="147"/>
      <c r="AO35" s="147"/>
      <c r="AP35" s="147"/>
      <c r="AQ35" s="147"/>
    </row>
    <row r="36" spans="2:43">
      <c r="B36" s="1104" t="str">
        <f>Srcs_Uses!B21</f>
        <v>BANKING DUE DILIGENCE EXPENSES</v>
      </c>
      <c r="C36" s="1114">
        <f>Srcs_Uses!E21</f>
        <v>100</v>
      </c>
      <c r="D36" s="1133">
        <f ca="1">Srcs_Uses!F21</f>
        <v>7.598110130548751E-4</v>
      </c>
      <c r="E36" s="1134">
        <f>Srcs_Uses!G21</f>
        <v>0.77519379844961245</v>
      </c>
      <c r="F36" s="150"/>
      <c r="G36" s="1107"/>
      <c r="H36" s="1116">
        <f>Assum!$E$330</f>
        <v>0.125</v>
      </c>
      <c r="I36" s="1116">
        <f>Assum!$E$330</f>
        <v>0.125</v>
      </c>
      <c r="J36" s="1116"/>
      <c r="K36" s="222"/>
      <c r="L36" s="1116">
        <f>Assum!E330</f>
        <v>0.125</v>
      </c>
      <c r="M36" s="1116">
        <f>Assum!E330</f>
        <v>0.125</v>
      </c>
      <c r="N36" s="1103"/>
      <c r="P36" s="147"/>
      <c r="Q36" s="147"/>
      <c r="R36" s="147"/>
      <c r="S36" s="147"/>
      <c r="T36" s="147"/>
      <c r="U36" s="147"/>
      <c r="V36" s="147"/>
      <c r="W36" s="147"/>
      <c r="X36" s="147"/>
      <c r="Y36" s="147"/>
      <c r="Z36" s="147"/>
      <c r="AA36" s="147"/>
      <c r="AB36" s="147"/>
      <c r="AC36" s="147"/>
      <c r="AD36" s="147"/>
      <c r="AE36" s="147"/>
      <c r="AF36" s="147"/>
      <c r="AG36" s="147"/>
      <c r="AH36" s="147"/>
      <c r="AI36" s="147"/>
      <c r="AJ36" s="147"/>
      <c r="AK36" s="147"/>
      <c r="AL36" s="147"/>
      <c r="AM36" s="147"/>
      <c r="AN36" s="147"/>
      <c r="AO36" s="147"/>
      <c r="AP36" s="147"/>
      <c r="AQ36" s="147"/>
    </row>
    <row r="37" spans="2:43">
      <c r="B37" s="1104" t="str">
        <f>Srcs_Uses!B22</f>
        <v>INDEPENDENT ENGINEER</v>
      </c>
      <c r="C37" s="1114">
        <f>Srcs_Uses!E22</f>
        <v>40</v>
      </c>
      <c r="D37" s="1133">
        <f ca="1">Srcs_Uses!F22</f>
        <v>3.0392440522195008E-4</v>
      </c>
      <c r="E37" s="1134">
        <f>Srcs_Uses!G22</f>
        <v>0.31007751937984496</v>
      </c>
      <c r="F37" s="150"/>
      <c r="G37" s="1104" t="s">
        <v>26</v>
      </c>
      <c r="H37" s="1117">
        <f ca="1">Outside!E70</f>
        <v>-81894.44205564147</v>
      </c>
      <c r="I37" s="1117">
        <f ca="1">Outside!E65</f>
        <v>-447.04275167883168</v>
      </c>
      <c r="J37" s="1117"/>
      <c r="K37" s="222"/>
      <c r="L37" s="1117">
        <f ca="1">EWC!E70</f>
        <v>-827.21658641982322</v>
      </c>
      <c r="M37" s="1117">
        <f ca="1">EWC!E65</f>
        <v>-4.5155833718464526</v>
      </c>
      <c r="N37" s="1103"/>
      <c r="P37" s="147"/>
      <c r="Q37" s="147"/>
      <c r="R37" s="147"/>
      <c r="S37" s="147"/>
      <c r="T37" s="147"/>
      <c r="U37" s="147"/>
      <c r="V37" s="147"/>
      <c r="W37" s="147"/>
      <c r="X37" s="147"/>
      <c r="Y37" s="147"/>
      <c r="Z37" s="147"/>
      <c r="AA37" s="147"/>
      <c r="AB37" s="147"/>
      <c r="AC37" s="147"/>
      <c r="AD37" s="147"/>
      <c r="AE37" s="147"/>
      <c r="AF37" s="147"/>
      <c r="AG37" s="147"/>
      <c r="AH37" s="147"/>
      <c r="AI37" s="147"/>
      <c r="AJ37" s="147"/>
      <c r="AK37" s="147"/>
      <c r="AL37" s="147"/>
      <c r="AM37" s="147"/>
      <c r="AN37" s="147"/>
      <c r="AO37" s="147"/>
      <c r="AP37" s="147"/>
      <c r="AQ37" s="147"/>
    </row>
    <row r="38" spans="2:43">
      <c r="B38" s="1104" t="str">
        <f>Srcs_Uses!B23</f>
        <v>INSURANCE CONSULTANT FEES</v>
      </c>
      <c r="C38" s="1114">
        <f>Srcs_Uses!E23</f>
        <v>25</v>
      </c>
      <c r="D38" s="1133">
        <f ca="1">Srcs_Uses!F23</f>
        <v>1.8995275326371877E-4</v>
      </c>
      <c r="E38" s="1134">
        <f>Srcs_Uses!G23</f>
        <v>0.19379844961240311</v>
      </c>
      <c r="F38" s="150"/>
      <c r="G38" s="1104" t="s">
        <v>234</v>
      </c>
      <c r="H38" s="1117">
        <f ca="1">Outside!E71</f>
        <v>-78392.284932222537</v>
      </c>
      <c r="I38" s="1117">
        <f ca="1">Outside!E66</f>
        <v>-2.0380774685690994E-6</v>
      </c>
      <c r="J38" s="1117"/>
      <c r="K38" s="222"/>
      <c r="L38" s="1117">
        <f ca="1">EWC!E71</f>
        <v>-791.84126194084388</v>
      </c>
      <c r="M38" s="1117">
        <f ca="1">EWC!E66</f>
        <v>-4.2274534095554372E-8</v>
      </c>
      <c r="N38" s="1103"/>
      <c r="P38" s="147"/>
      <c r="Q38" s="147"/>
      <c r="R38" s="147"/>
      <c r="S38" s="147"/>
      <c r="T38" s="147"/>
      <c r="U38" s="147"/>
      <c r="V38" s="147"/>
      <c r="W38" s="147"/>
      <c r="X38" s="147"/>
      <c r="Y38" s="147"/>
      <c r="Z38" s="147"/>
      <c r="AA38" s="147"/>
      <c r="AB38" s="147"/>
      <c r="AC38" s="147"/>
      <c r="AD38" s="147"/>
      <c r="AE38" s="147"/>
      <c r="AF38" s="147"/>
      <c r="AG38" s="147"/>
      <c r="AH38" s="147"/>
      <c r="AI38" s="147"/>
      <c r="AJ38" s="147"/>
      <c r="AK38" s="147"/>
      <c r="AL38" s="147"/>
      <c r="AM38" s="147"/>
      <c r="AN38" s="147"/>
      <c r="AO38" s="147"/>
      <c r="AP38" s="147"/>
      <c r="AQ38" s="147"/>
    </row>
    <row r="39" spans="2:43">
      <c r="B39" s="1104" t="str">
        <f>Srcs_Uses!B24</f>
        <v xml:space="preserve">INITIAL WORKING CAPITAL </v>
      </c>
      <c r="C39" s="1114">
        <f>Srcs_Uses!E24</f>
        <v>700</v>
      </c>
      <c r="D39" s="1133">
        <f ca="1">Srcs_Uses!F24</f>
        <v>5.3186770913841259E-3</v>
      </c>
      <c r="E39" s="1134">
        <f>Srcs_Uses!G24</f>
        <v>5.4263565891472867</v>
      </c>
      <c r="F39" s="150"/>
      <c r="G39" s="1104" t="s">
        <v>235</v>
      </c>
      <c r="H39" s="1117">
        <f ca="1">Outside!E72</f>
        <v>-78390.880598062402</v>
      </c>
      <c r="I39" s="1117">
        <f ca="1">Outside!E67</f>
        <v>0.83607083681671535</v>
      </c>
      <c r="J39" s="1117"/>
      <c r="K39" s="222"/>
      <c r="L39" s="1117">
        <f ca="1">EWC!E72</f>
        <v>-791.82707674730727</v>
      </c>
      <c r="M39" s="1117">
        <f ca="1">EWC!E67</f>
        <v>8.4451382798159582E-3</v>
      </c>
      <c r="N39" s="1103"/>
      <c r="P39" s="147"/>
      <c r="Q39" s="147"/>
      <c r="R39" s="147"/>
      <c r="S39" s="147"/>
      <c r="T39" s="147"/>
      <c r="U39" s="147"/>
      <c r="V39" s="147"/>
      <c r="W39" s="147"/>
      <c r="X39" s="147"/>
      <c r="Y39" s="147"/>
      <c r="Z39" s="147"/>
      <c r="AA39" s="147"/>
      <c r="AB39" s="147"/>
      <c r="AC39" s="147"/>
      <c r="AD39" s="147"/>
      <c r="AE39" s="147"/>
      <c r="AF39" s="147"/>
      <c r="AG39" s="147"/>
      <c r="AH39" s="147"/>
      <c r="AI39" s="147"/>
      <c r="AJ39" s="147"/>
      <c r="AK39" s="147"/>
      <c r="AL39" s="147"/>
      <c r="AM39" s="147"/>
      <c r="AN39" s="147"/>
      <c r="AO39" s="147"/>
      <c r="AP39" s="147"/>
      <c r="AQ39" s="147"/>
    </row>
    <row r="40" spans="2:43" ht="13.5" thickBot="1">
      <c r="B40" s="1104" t="str">
        <f>Srcs_Uses!B25</f>
        <v>LAND USE PAYMENT</v>
      </c>
      <c r="C40" s="1114">
        <f>Srcs_Uses!E25</f>
        <v>0</v>
      </c>
      <c r="D40" s="1133">
        <f ca="1">Srcs_Uses!F25</f>
        <v>0</v>
      </c>
      <c r="E40" s="1134">
        <f>Srcs_Uses!G25</f>
        <v>0</v>
      </c>
      <c r="F40" s="150"/>
      <c r="G40" s="1118"/>
      <c r="H40" s="1119"/>
      <c r="I40" s="1119"/>
      <c r="J40" s="1119"/>
      <c r="K40" s="1119"/>
      <c r="L40" s="1119"/>
      <c r="M40" s="1119"/>
      <c r="N40" s="1120"/>
      <c r="P40" s="147"/>
      <c r="Q40" s="147"/>
      <c r="R40" s="147"/>
      <c r="S40" s="147"/>
      <c r="T40" s="147"/>
      <c r="U40" s="147"/>
      <c r="V40" s="147"/>
      <c r="W40" s="147"/>
      <c r="X40" s="147"/>
      <c r="Y40" s="147"/>
      <c r="Z40" s="147"/>
      <c r="AA40" s="147"/>
      <c r="AB40" s="147"/>
      <c r="AC40" s="147"/>
      <c r="AD40" s="147"/>
      <c r="AE40" s="147"/>
      <c r="AF40" s="147"/>
      <c r="AG40" s="147"/>
      <c r="AH40" s="147"/>
      <c r="AI40" s="147"/>
      <c r="AJ40" s="147"/>
      <c r="AK40" s="147"/>
      <c r="AL40" s="147"/>
      <c r="AM40" s="147"/>
      <c r="AN40" s="147"/>
      <c r="AO40" s="147"/>
      <c r="AP40" s="147"/>
      <c r="AQ40" s="147"/>
    </row>
    <row r="41" spans="2:43">
      <c r="B41" s="1104" t="str">
        <f>Srcs_Uses!B26</f>
        <v>EQUITY CLOSING EXPENSES</v>
      </c>
      <c r="C41" s="1114">
        <f>Srcs_Uses!E26</f>
        <v>500</v>
      </c>
      <c r="D41" s="1133">
        <f ca="1">Srcs_Uses!F26</f>
        <v>3.7990550652743757E-3</v>
      </c>
      <c r="E41" s="1134">
        <f>Srcs_Uses!G26</f>
        <v>3.8759689922480618</v>
      </c>
      <c r="F41" s="150"/>
      <c r="G41" s="147"/>
      <c r="H41" s="151"/>
      <c r="I41" s="151"/>
      <c r="J41" s="151"/>
      <c r="K41" s="147"/>
      <c r="L41" s="147"/>
      <c r="M41" s="147"/>
      <c r="N41" s="147"/>
      <c r="P41" s="147"/>
      <c r="Q41" s="147"/>
      <c r="R41" s="147"/>
      <c r="S41" s="147"/>
      <c r="T41" s="147"/>
      <c r="U41" s="147"/>
      <c r="V41" s="147"/>
      <c r="W41" s="147"/>
      <c r="X41" s="147"/>
      <c r="Y41" s="147"/>
      <c r="Z41" s="147"/>
      <c r="AA41" s="147"/>
      <c r="AB41" s="147"/>
      <c r="AC41" s="147"/>
      <c r="AD41" s="147"/>
      <c r="AE41" s="147"/>
      <c r="AF41" s="147"/>
      <c r="AG41" s="147"/>
      <c r="AH41" s="147"/>
      <c r="AI41" s="147"/>
      <c r="AJ41" s="147"/>
      <c r="AK41" s="147"/>
      <c r="AL41" s="147"/>
      <c r="AM41" s="147"/>
      <c r="AN41" s="147"/>
      <c r="AO41" s="147"/>
      <c r="AP41" s="147"/>
      <c r="AQ41" s="147"/>
    </row>
    <row r="42" spans="2:43">
      <c r="B42" s="1104" t="str">
        <f>Srcs_Uses!B27</f>
        <v>UTILITY INTERCONNECT COSTS</v>
      </c>
      <c r="C42" s="1114">
        <f>Srcs_Uses!E27</f>
        <v>0</v>
      </c>
      <c r="D42" s="1133">
        <f ca="1">Srcs_Uses!F27</f>
        <v>0</v>
      </c>
      <c r="E42" s="1134">
        <f>Srcs_Uses!G27</f>
        <v>0</v>
      </c>
      <c r="F42" s="150"/>
      <c r="G42" s="147"/>
      <c r="H42" s="151"/>
      <c r="I42" s="151"/>
      <c r="J42" s="151"/>
      <c r="K42" s="147"/>
      <c r="L42" s="147"/>
      <c r="M42" s="147"/>
      <c r="N42" s="147"/>
      <c r="P42" s="147"/>
      <c r="Q42" s="147"/>
      <c r="R42" s="147"/>
      <c r="S42" s="147"/>
      <c r="T42" s="147"/>
      <c r="U42" s="147"/>
      <c r="V42" s="147"/>
      <c r="W42" s="147"/>
      <c r="X42" s="147"/>
      <c r="Y42" s="147"/>
      <c r="Z42" s="147"/>
      <c r="AA42" s="147"/>
      <c r="AB42" s="147"/>
      <c r="AC42" s="147"/>
      <c r="AD42" s="147"/>
      <c r="AE42" s="147"/>
      <c r="AF42" s="147"/>
      <c r="AG42" s="147"/>
      <c r="AH42" s="147"/>
      <c r="AI42" s="147"/>
      <c r="AJ42" s="147"/>
      <c r="AK42" s="147"/>
      <c r="AL42" s="147"/>
      <c r="AM42" s="147"/>
      <c r="AN42" s="147"/>
      <c r="AO42" s="147"/>
      <c r="AP42" s="147"/>
      <c r="AQ42" s="147"/>
    </row>
    <row r="43" spans="2:43">
      <c r="B43" s="1104" t="str">
        <f>Srcs_Uses!B28</f>
        <v>CLOSING CONTINGENCY</v>
      </c>
      <c r="C43" s="1114">
        <f>Srcs_Uses!E28</f>
        <v>0</v>
      </c>
      <c r="D43" s="1133">
        <f ca="1">Srcs_Uses!F28</f>
        <v>0</v>
      </c>
      <c r="E43" s="1134">
        <f>Srcs_Uses!G28</f>
        <v>0</v>
      </c>
      <c r="F43" s="150"/>
      <c r="G43" s="147"/>
      <c r="H43" s="151"/>
      <c r="I43" s="151"/>
      <c r="J43" s="151"/>
      <c r="K43" s="147"/>
      <c r="L43" s="147"/>
      <c r="M43" s="147"/>
      <c r="N43" s="147"/>
      <c r="P43" s="147"/>
      <c r="Q43" s="147"/>
      <c r="R43" s="147"/>
      <c r="S43" s="147"/>
      <c r="T43" s="147"/>
      <c r="U43" s="147"/>
      <c r="V43" s="147"/>
      <c r="W43" s="147"/>
      <c r="X43" s="147"/>
      <c r="Y43" s="147"/>
      <c r="Z43" s="147"/>
      <c r="AA43" s="147"/>
      <c r="AB43" s="147"/>
      <c r="AC43" s="147"/>
      <c r="AD43" s="147"/>
      <c r="AE43" s="147"/>
      <c r="AF43" s="147"/>
      <c r="AG43" s="147"/>
      <c r="AH43" s="147"/>
      <c r="AI43" s="147"/>
      <c r="AJ43" s="147"/>
      <c r="AK43" s="147"/>
      <c r="AL43" s="147"/>
      <c r="AM43" s="147"/>
      <c r="AN43" s="147"/>
      <c r="AO43" s="147"/>
      <c r="AP43" s="147"/>
      <c r="AQ43" s="147"/>
    </row>
    <row r="44" spans="2:43">
      <c r="B44" s="1104" t="str">
        <f>Srcs_Uses!B29</f>
        <v>LIQUIDATED DAMAGES</v>
      </c>
      <c r="C44" s="1114">
        <f>Srcs_Uses!E29</f>
        <v>0</v>
      </c>
      <c r="D44" s="1133">
        <f ca="1">Srcs_Uses!F29</f>
        <v>0</v>
      </c>
      <c r="E44" s="1134">
        <f>Srcs_Uses!G29</f>
        <v>0</v>
      </c>
      <c r="F44" s="150"/>
      <c r="G44" s="147"/>
      <c r="H44" s="151"/>
      <c r="I44" s="151"/>
      <c r="J44" s="151"/>
      <c r="K44" s="147"/>
      <c r="L44" s="147"/>
      <c r="M44" s="147"/>
      <c r="N44" s="147"/>
      <c r="P44" s="147"/>
      <c r="Q44" s="147"/>
      <c r="R44" s="147"/>
      <c r="S44" s="147"/>
      <c r="T44" s="147"/>
      <c r="U44" s="147"/>
      <c r="V44" s="147"/>
      <c r="W44" s="147"/>
      <c r="X44" s="147"/>
      <c r="Y44" s="147"/>
      <c r="Z44" s="147"/>
      <c r="AA44" s="147"/>
      <c r="AB44" s="147"/>
      <c r="AC44" s="147"/>
      <c r="AD44" s="147"/>
      <c r="AE44" s="147"/>
      <c r="AF44" s="147"/>
      <c r="AG44" s="147"/>
      <c r="AH44" s="147"/>
      <c r="AI44" s="147"/>
      <c r="AJ44" s="147"/>
      <c r="AK44" s="147"/>
      <c r="AL44" s="147"/>
      <c r="AM44" s="147"/>
      <c r="AN44" s="147"/>
      <c r="AO44" s="147"/>
      <c r="AP44" s="147"/>
      <c r="AQ44" s="147"/>
    </row>
    <row r="45" spans="2:43">
      <c r="B45" s="1104" t="str">
        <f>Srcs_Uses!B30</f>
        <v>TITLE INSURANCE</v>
      </c>
      <c r="C45" s="1114">
        <f>Srcs_Uses!E30</f>
        <v>516</v>
      </c>
      <c r="D45" s="1133">
        <f ca="1">Srcs_Uses!F30</f>
        <v>3.9206248273631556E-3</v>
      </c>
      <c r="E45" s="1134">
        <f>Srcs_Uses!G30</f>
        <v>4</v>
      </c>
      <c r="F45" s="150"/>
      <c r="G45" s="147"/>
      <c r="H45" s="164"/>
      <c r="I45" s="150"/>
      <c r="J45" s="150"/>
      <c r="K45" s="150"/>
      <c r="L45" s="147"/>
      <c r="M45" s="147"/>
      <c r="N45" s="147"/>
      <c r="P45" s="147"/>
      <c r="Q45" s="147"/>
      <c r="R45" s="147"/>
      <c r="S45" s="147"/>
      <c r="T45" s="147"/>
      <c r="U45" s="147"/>
      <c r="V45" s="147"/>
      <c r="W45" s="147"/>
      <c r="X45" s="147"/>
      <c r="Y45" s="147"/>
      <c r="Z45" s="147"/>
      <c r="AA45" s="147"/>
      <c r="AB45" s="147"/>
      <c r="AC45" s="147"/>
      <c r="AD45" s="147"/>
      <c r="AE45" s="147"/>
      <c r="AF45" s="147"/>
      <c r="AG45" s="147"/>
      <c r="AH45" s="147"/>
      <c r="AI45" s="147"/>
      <c r="AJ45" s="147"/>
      <c r="AK45" s="147"/>
      <c r="AL45" s="147"/>
      <c r="AM45" s="147"/>
      <c r="AN45" s="147"/>
      <c r="AO45" s="147"/>
      <c r="AP45" s="147"/>
      <c r="AQ45" s="147"/>
    </row>
    <row r="46" spans="2:43">
      <c r="B46" s="1104" t="str">
        <f>Srcs_Uses!B31</f>
        <v>SR DEBT ARRANGEMENT FEE</v>
      </c>
      <c r="C46" s="1114">
        <f>Srcs_Uses!E31</f>
        <v>604.07030798995834</v>
      </c>
      <c r="D46" s="1133">
        <f ca="1">Srcs_Uses!F31</f>
        <v>4.5897927267022067E-3</v>
      </c>
      <c r="E46" s="1134">
        <f>Srcs_Uses!G31</f>
        <v>4.6827155658136306</v>
      </c>
      <c r="F46" s="150"/>
      <c r="G46" s="147"/>
      <c r="H46" s="164"/>
      <c r="I46" s="150"/>
      <c r="J46" s="150"/>
      <c r="K46" s="150"/>
      <c r="L46" s="147"/>
      <c r="M46" s="147"/>
      <c r="N46" s="147"/>
      <c r="P46" s="147"/>
      <c r="Q46" s="147"/>
      <c r="R46" s="147"/>
      <c r="S46" s="147"/>
      <c r="T46" s="147"/>
      <c r="U46" s="147"/>
      <c r="V46" s="147"/>
      <c r="W46" s="147"/>
      <c r="X46" s="147"/>
      <c r="Y46" s="147"/>
      <c r="Z46" s="147"/>
      <c r="AA46" s="147"/>
      <c r="AB46" s="147"/>
      <c r="AC46" s="147"/>
      <c r="AD46" s="147"/>
      <c r="AE46" s="147"/>
      <c r="AF46" s="147"/>
      <c r="AG46" s="147"/>
      <c r="AH46" s="147"/>
      <c r="AI46" s="147"/>
      <c r="AJ46" s="147"/>
      <c r="AK46" s="147"/>
      <c r="AL46" s="147"/>
      <c r="AM46" s="147"/>
      <c r="AN46" s="147"/>
      <c r="AO46" s="147"/>
      <c r="AP46" s="147"/>
      <c r="AQ46" s="147"/>
    </row>
    <row r="47" spans="2:43">
      <c r="B47" s="1104" t="str">
        <f>Srcs_Uses!B32</f>
        <v>JR DEBT ARRANGEMENT FEE</v>
      </c>
      <c r="C47" s="1114">
        <f>Srcs_Uses!E32</f>
        <v>0</v>
      </c>
      <c r="D47" s="1133">
        <f ca="1">Srcs_Uses!F32</f>
        <v>0</v>
      </c>
      <c r="E47" s="1134">
        <f>Srcs_Uses!G32</f>
        <v>0</v>
      </c>
      <c r="F47" s="150"/>
      <c r="G47" s="147"/>
      <c r="H47" s="164"/>
      <c r="I47" s="150"/>
      <c r="J47" s="150"/>
      <c r="K47" s="150"/>
      <c r="L47" s="147"/>
      <c r="M47" s="147"/>
      <c r="N47" s="147"/>
      <c r="P47" s="147"/>
      <c r="Q47" s="147"/>
      <c r="R47" s="147"/>
      <c r="S47" s="147"/>
      <c r="T47" s="147"/>
      <c r="U47" s="147"/>
      <c r="V47" s="147"/>
      <c r="W47" s="147"/>
      <c r="X47" s="147"/>
      <c r="Y47" s="147"/>
      <c r="Z47" s="147"/>
      <c r="AA47" s="147"/>
      <c r="AB47" s="147"/>
      <c r="AC47" s="147"/>
      <c r="AD47" s="147"/>
      <c r="AE47" s="147"/>
      <c r="AF47" s="147"/>
      <c r="AG47" s="147"/>
      <c r="AH47" s="147"/>
      <c r="AI47" s="147"/>
      <c r="AJ47" s="147"/>
      <c r="AK47" s="147"/>
      <c r="AL47" s="147"/>
      <c r="AM47" s="147"/>
      <c r="AN47" s="147"/>
      <c r="AO47" s="147"/>
      <c r="AP47" s="147"/>
      <c r="AQ47" s="147"/>
    </row>
    <row r="48" spans="2:43" ht="13.5" thickBot="1">
      <c r="B48" s="1136" t="str">
        <f>Srcs_Uses!B33</f>
        <v xml:space="preserve">      TOTAL</v>
      </c>
      <c r="C48" s="1137">
        <f ca="1">Srcs_Uses!E33</f>
        <v>131611.67485811526</v>
      </c>
      <c r="D48" s="1138">
        <f ca="1">Srcs_Uses!F33</f>
        <v>1</v>
      </c>
      <c r="E48" s="1139">
        <f ca="1">Srcs_Uses!G33</f>
        <v>1020.2455415357772</v>
      </c>
      <c r="F48" s="150"/>
      <c r="G48" s="147"/>
      <c r="H48" s="164"/>
      <c r="I48" s="150"/>
      <c r="J48" s="150"/>
      <c r="K48" s="150"/>
      <c r="L48" s="147"/>
      <c r="M48" s="147"/>
      <c r="N48" s="147"/>
      <c r="P48" s="147"/>
      <c r="Q48" s="147"/>
      <c r="R48" s="147"/>
      <c r="S48" s="147"/>
      <c r="T48" s="147"/>
      <c r="U48" s="147"/>
      <c r="V48" s="147"/>
      <c r="W48" s="147"/>
      <c r="X48" s="147"/>
      <c r="Y48" s="147"/>
      <c r="Z48" s="147"/>
      <c r="AA48" s="147"/>
      <c r="AB48" s="147"/>
      <c r="AC48" s="147"/>
      <c r="AD48" s="147"/>
      <c r="AE48" s="147"/>
      <c r="AF48" s="147"/>
      <c r="AG48" s="147"/>
      <c r="AH48" s="147"/>
      <c r="AI48" s="147"/>
      <c r="AJ48" s="147"/>
      <c r="AK48" s="147"/>
      <c r="AL48" s="147"/>
      <c r="AM48" s="147"/>
      <c r="AN48" s="147"/>
      <c r="AO48" s="147"/>
      <c r="AP48" s="147"/>
      <c r="AQ48" s="147"/>
    </row>
    <row r="49" spans="2:43">
      <c r="F49" s="150"/>
      <c r="G49" s="147"/>
      <c r="H49" s="151"/>
      <c r="I49" s="151"/>
      <c r="J49" s="151"/>
      <c r="K49" s="147"/>
      <c r="L49" s="147"/>
      <c r="M49" s="147"/>
      <c r="N49" s="147"/>
      <c r="P49" s="147"/>
      <c r="Q49" s="147"/>
      <c r="R49" s="147"/>
      <c r="S49" s="147"/>
      <c r="T49" s="147"/>
      <c r="U49" s="147"/>
      <c r="V49" s="147"/>
      <c r="W49" s="147"/>
      <c r="X49" s="147"/>
      <c r="Y49" s="147"/>
      <c r="Z49" s="147"/>
      <c r="AA49" s="147"/>
      <c r="AB49" s="147"/>
      <c r="AC49" s="147"/>
      <c r="AD49" s="147"/>
      <c r="AE49" s="147"/>
      <c r="AF49" s="147"/>
      <c r="AG49" s="147"/>
      <c r="AH49" s="147"/>
      <c r="AI49" s="147"/>
      <c r="AJ49" s="147"/>
      <c r="AK49" s="147"/>
      <c r="AL49" s="147"/>
      <c r="AM49" s="147"/>
      <c r="AN49" s="147"/>
      <c r="AO49" s="147"/>
      <c r="AP49" s="147"/>
      <c r="AQ49" s="147"/>
    </row>
    <row r="50" spans="2:43">
      <c r="F50" s="150"/>
      <c r="G50" s="147"/>
      <c r="H50" s="151"/>
      <c r="I50" s="151"/>
      <c r="J50" s="151"/>
      <c r="K50" s="147"/>
      <c r="L50" s="147"/>
      <c r="M50" s="147"/>
      <c r="N50" s="147"/>
      <c r="P50" s="147"/>
      <c r="Q50" s="147"/>
      <c r="R50" s="147"/>
      <c r="S50" s="147"/>
      <c r="T50" s="147"/>
      <c r="U50" s="147"/>
      <c r="V50" s="147"/>
      <c r="W50" s="147"/>
      <c r="X50" s="147"/>
      <c r="Y50" s="147"/>
      <c r="Z50" s="147"/>
      <c r="AA50" s="147"/>
      <c r="AB50" s="147"/>
      <c r="AC50" s="147"/>
      <c r="AD50" s="147"/>
      <c r="AE50" s="147"/>
      <c r="AF50" s="147"/>
      <c r="AG50" s="147"/>
      <c r="AH50" s="147"/>
      <c r="AI50" s="147"/>
      <c r="AJ50" s="147"/>
      <c r="AK50" s="147"/>
      <c r="AL50" s="147"/>
      <c r="AM50" s="147"/>
      <c r="AN50" s="147"/>
      <c r="AO50" s="147"/>
      <c r="AP50" s="147"/>
      <c r="AQ50" s="147"/>
    </row>
    <row r="51" spans="2:43">
      <c r="B51" s="147"/>
      <c r="C51" s="151"/>
      <c r="D51" s="154"/>
      <c r="E51" s="151"/>
      <c r="F51" s="158"/>
      <c r="G51" s="158"/>
      <c r="H51" s="151"/>
      <c r="I51" s="151"/>
      <c r="J51" s="151"/>
      <c r="K51" s="147"/>
      <c r="L51" s="147"/>
      <c r="M51" s="147"/>
      <c r="N51" s="147"/>
      <c r="P51" s="147"/>
      <c r="Q51" s="147"/>
      <c r="R51" s="147"/>
      <c r="S51" s="147"/>
      <c r="T51" s="147"/>
      <c r="U51" s="147"/>
      <c r="V51" s="147"/>
      <c r="W51" s="147"/>
      <c r="X51" s="147"/>
      <c r="Y51" s="147"/>
      <c r="Z51" s="147"/>
      <c r="AA51" s="147"/>
      <c r="AB51" s="147"/>
      <c r="AC51" s="147"/>
      <c r="AD51" s="147"/>
      <c r="AE51" s="147"/>
      <c r="AF51" s="147"/>
      <c r="AG51" s="147"/>
      <c r="AH51" s="147"/>
      <c r="AI51" s="147"/>
      <c r="AJ51" s="147"/>
      <c r="AK51" s="147"/>
      <c r="AL51" s="147"/>
      <c r="AM51" s="147"/>
      <c r="AN51" s="147"/>
      <c r="AO51" s="147"/>
      <c r="AP51" s="147"/>
      <c r="AQ51" s="147"/>
    </row>
    <row r="52" spans="2:43" ht="13.5" thickBot="1">
      <c r="B52" s="147"/>
      <c r="C52" s="151"/>
      <c r="D52" s="154"/>
      <c r="E52" s="151"/>
      <c r="F52" s="151"/>
      <c r="G52" s="151"/>
      <c r="H52" s="151"/>
      <c r="I52" s="151"/>
      <c r="J52" s="151"/>
      <c r="K52" s="147"/>
      <c r="L52" s="147"/>
      <c r="M52" s="147"/>
      <c r="N52" s="147"/>
      <c r="P52" s="147"/>
      <c r="Q52" s="147"/>
      <c r="R52" s="147"/>
      <c r="S52" s="147"/>
      <c r="T52" s="147"/>
      <c r="U52" s="147"/>
      <c r="V52" s="147"/>
      <c r="W52" s="147"/>
      <c r="X52" s="147"/>
      <c r="Y52" s="147"/>
      <c r="Z52" s="147"/>
      <c r="AA52" s="147"/>
      <c r="AB52" s="147"/>
      <c r="AC52" s="147"/>
      <c r="AD52" s="147"/>
      <c r="AE52" s="147"/>
      <c r="AF52" s="147"/>
      <c r="AG52" s="147"/>
      <c r="AH52" s="147"/>
      <c r="AI52" s="147"/>
      <c r="AJ52" s="147"/>
      <c r="AK52" s="147"/>
      <c r="AL52" s="147"/>
      <c r="AM52" s="147"/>
      <c r="AN52" s="147"/>
      <c r="AO52" s="147"/>
      <c r="AP52" s="147"/>
      <c r="AQ52" s="147"/>
    </row>
    <row r="53" spans="2:43">
      <c r="B53" s="1125" t="s">
        <v>163</v>
      </c>
      <c r="C53" s="1140"/>
      <c r="D53" s="1141" t="s">
        <v>164</v>
      </c>
      <c r="E53" s="1142" t="s">
        <v>165</v>
      </c>
      <c r="F53" s="1098"/>
      <c r="G53" s="1143" t="s">
        <v>170</v>
      </c>
      <c r="H53" s="1098"/>
      <c r="I53" s="1098"/>
      <c r="J53" s="1098"/>
      <c r="K53" s="1098"/>
      <c r="L53" s="1098"/>
      <c r="M53" s="1098"/>
      <c r="N53" s="1098"/>
      <c r="O53" s="1098"/>
      <c r="P53" s="1098"/>
      <c r="Q53" s="1099"/>
      <c r="R53" s="147"/>
      <c r="S53" s="147"/>
      <c r="T53" s="147"/>
      <c r="U53" s="147"/>
      <c r="V53" s="147"/>
      <c r="W53" s="147"/>
      <c r="X53" s="147"/>
      <c r="Y53" s="147"/>
      <c r="Z53" s="147"/>
      <c r="AA53" s="147"/>
      <c r="AB53" s="147"/>
      <c r="AC53" s="147"/>
      <c r="AD53" s="147"/>
      <c r="AE53" s="147"/>
      <c r="AF53" s="147"/>
      <c r="AG53" s="147"/>
      <c r="AH53" s="147"/>
      <c r="AI53" s="147"/>
      <c r="AJ53" s="147"/>
      <c r="AK53" s="147"/>
      <c r="AL53" s="147"/>
      <c r="AM53" s="147"/>
      <c r="AN53" s="147"/>
      <c r="AO53" s="147"/>
      <c r="AP53" s="147"/>
      <c r="AQ53" s="147"/>
    </row>
    <row r="54" spans="2:43">
      <c r="B54" s="1104"/>
      <c r="C54" s="1144" t="s">
        <v>166</v>
      </c>
      <c r="D54" s="1145" t="s">
        <v>167</v>
      </c>
      <c r="E54" s="1146" t="s">
        <v>168</v>
      </c>
      <c r="F54" s="1109"/>
      <c r="G54" s="1101"/>
      <c r="H54" s="1147">
        <f>SrDebt!E27</f>
        <v>35795</v>
      </c>
      <c r="I54" s="1147">
        <f>SrDebt!F27</f>
        <v>36158</v>
      </c>
      <c r="J54" s="1147">
        <f>SrDebt!G27</f>
        <v>36523</v>
      </c>
      <c r="K54" s="1147">
        <f>SrDebt!H27</f>
        <v>36889</v>
      </c>
      <c r="L54" s="1147">
        <f>SrDebt!I27</f>
        <v>37254</v>
      </c>
      <c r="M54" s="1147">
        <f>SrDebt!J27</f>
        <v>37619</v>
      </c>
      <c r="N54" s="1147">
        <f>SrDebt!K27</f>
        <v>37984</v>
      </c>
      <c r="O54" s="1147">
        <f>SrDebt!L27</f>
        <v>38350</v>
      </c>
      <c r="P54" s="1147">
        <f>SrDebt!M27</f>
        <v>38715</v>
      </c>
      <c r="Q54" s="1148">
        <f>SrDebt!N27</f>
        <v>39080</v>
      </c>
      <c r="R54" s="147"/>
      <c r="S54" s="147"/>
      <c r="T54" s="147"/>
      <c r="U54" s="147"/>
      <c r="V54" s="147"/>
      <c r="W54" s="147"/>
      <c r="X54" s="147"/>
      <c r="Y54" s="147"/>
      <c r="Z54" s="147"/>
      <c r="AA54" s="147"/>
      <c r="AB54" s="147"/>
      <c r="AC54" s="147"/>
      <c r="AD54" s="147"/>
      <c r="AE54" s="147"/>
      <c r="AF54" s="147"/>
      <c r="AG54" s="147"/>
      <c r="AH54" s="147"/>
      <c r="AI54" s="147"/>
      <c r="AJ54" s="147"/>
      <c r="AK54" s="147"/>
      <c r="AL54" s="147"/>
      <c r="AM54" s="147"/>
      <c r="AN54" s="147"/>
      <c r="AO54" s="147"/>
      <c r="AP54" s="147"/>
      <c r="AQ54" s="147"/>
    </row>
    <row r="55" spans="2:43">
      <c r="B55" s="1104" t="s">
        <v>709</v>
      </c>
      <c r="C55" s="1149">
        <f>SrDebt!G21</f>
        <v>18</v>
      </c>
      <c r="D55" s="1150">
        <f>Assum!E253</f>
        <v>9.0999999999999998E-2</v>
      </c>
      <c r="E55" s="1151">
        <f>Assum!E234</f>
        <v>40271.353865997226</v>
      </c>
      <c r="F55" s="1109"/>
      <c r="G55" s="1123" t="s">
        <v>171</v>
      </c>
      <c r="H55" s="1152">
        <f>SrDebt!E12</f>
        <v>1.4</v>
      </c>
      <c r="I55" s="1152">
        <f>SrDebt!F12</f>
        <v>1.4</v>
      </c>
      <c r="J55" s="1152">
        <f>SrDebt!G12</f>
        <v>1.4</v>
      </c>
      <c r="K55" s="1152">
        <f>SrDebt!H12</f>
        <v>1.4</v>
      </c>
      <c r="L55" s="1152">
        <f>SrDebt!I12</f>
        <v>1.4000000000000001</v>
      </c>
      <c r="M55" s="1152">
        <f>SrDebt!J12</f>
        <v>1.4000000000000001</v>
      </c>
      <c r="N55" s="1152">
        <f>SrDebt!K12</f>
        <v>1.4</v>
      </c>
      <c r="O55" s="1152">
        <f>SrDebt!L12</f>
        <v>1.4</v>
      </c>
      <c r="P55" s="1152">
        <f>SrDebt!M12</f>
        <v>1.4</v>
      </c>
      <c r="Q55" s="1153">
        <f>SrDebt!N12</f>
        <v>1.4</v>
      </c>
      <c r="R55" s="147"/>
      <c r="S55" s="159"/>
      <c r="T55" s="147"/>
      <c r="U55" s="147"/>
      <c r="V55" s="147"/>
      <c r="W55" s="147"/>
      <c r="X55" s="147"/>
      <c r="Y55" s="147"/>
      <c r="Z55" s="147"/>
      <c r="AA55" s="147"/>
      <c r="AB55" s="147"/>
      <c r="AC55" s="147"/>
      <c r="AD55" s="147"/>
      <c r="AE55" s="147"/>
      <c r="AF55" s="147"/>
      <c r="AG55" s="147"/>
      <c r="AH55" s="147"/>
      <c r="AI55" s="147"/>
      <c r="AJ55" s="147"/>
      <c r="AK55" s="147"/>
      <c r="AL55" s="147"/>
      <c r="AM55" s="147"/>
      <c r="AN55" s="147"/>
      <c r="AO55" s="147"/>
      <c r="AP55" s="147"/>
      <c r="AQ55" s="147"/>
    </row>
    <row r="56" spans="2:43">
      <c r="B56" s="1104" t="s">
        <v>708</v>
      </c>
      <c r="C56" s="1149">
        <f>JrDebt!G38</f>
        <v>0</v>
      </c>
      <c r="D56" s="1154">
        <f>Assum!E296</f>
        <v>5.5E-2</v>
      </c>
      <c r="E56" s="1151">
        <f>Assum!C278</f>
        <v>0</v>
      </c>
      <c r="F56" s="1109"/>
      <c r="G56" s="1123" t="s">
        <v>172</v>
      </c>
      <c r="H56" s="1129" t="str">
        <f>JrDebt!E30</f>
        <v/>
      </c>
      <c r="I56" s="1129" t="str">
        <f>JrDebt!F30</f>
        <v/>
      </c>
      <c r="J56" s="1129" t="str">
        <f>JrDebt!G30</f>
        <v/>
      </c>
      <c r="K56" s="1129" t="str">
        <f>JrDebt!H30</f>
        <v/>
      </c>
      <c r="L56" s="1129" t="str">
        <f>JrDebt!I30</f>
        <v/>
      </c>
      <c r="M56" s="1129" t="str">
        <f>JrDebt!J30</f>
        <v/>
      </c>
      <c r="N56" s="1129" t="str">
        <f>JrDebt!K30</f>
        <v/>
      </c>
      <c r="O56" s="1129" t="str">
        <f>JrDebt!L30</f>
        <v/>
      </c>
      <c r="P56" s="1129" t="str">
        <f>JrDebt!M30</f>
        <v/>
      </c>
      <c r="Q56" s="1155" t="str">
        <f>JrDebt!N30</f>
        <v/>
      </c>
      <c r="R56" s="147"/>
      <c r="S56" s="159"/>
      <c r="T56" s="147"/>
      <c r="U56" s="147"/>
      <c r="V56" s="147"/>
      <c r="W56" s="147"/>
      <c r="X56" s="147"/>
      <c r="Y56" s="147"/>
      <c r="Z56" s="147"/>
      <c r="AA56" s="147"/>
      <c r="AB56" s="147"/>
      <c r="AC56" s="147"/>
      <c r="AD56" s="147"/>
      <c r="AE56" s="147"/>
      <c r="AF56" s="147"/>
      <c r="AG56" s="147"/>
      <c r="AH56" s="147"/>
      <c r="AI56" s="147"/>
      <c r="AJ56" s="147"/>
      <c r="AK56" s="147"/>
      <c r="AL56" s="147"/>
      <c r="AM56" s="147"/>
      <c r="AN56" s="147"/>
      <c r="AO56" s="147"/>
      <c r="AP56" s="147"/>
      <c r="AQ56" s="147"/>
    </row>
    <row r="57" spans="2:43">
      <c r="B57" s="1104" t="s">
        <v>169</v>
      </c>
      <c r="C57" s="1149"/>
      <c r="D57" s="1154">
        <f>(E55/E57)*D55+(E56/E57)*D56</f>
        <v>9.0999999999999998E-2</v>
      </c>
      <c r="E57" s="1151">
        <f>E55+E56</f>
        <v>40271.353865997226</v>
      </c>
      <c r="F57" s="1109"/>
      <c r="G57" s="1123"/>
      <c r="H57" s="1152"/>
      <c r="I57" s="1152"/>
      <c r="J57" s="1152"/>
      <c r="K57" s="1152"/>
      <c r="L57" s="1152"/>
      <c r="M57" s="1152"/>
      <c r="N57" s="1152"/>
      <c r="O57" s="1152"/>
      <c r="P57" s="1152"/>
      <c r="Q57" s="1153"/>
      <c r="R57" s="147"/>
      <c r="S57" s="159"/>
      <c r="T57" s="147"/>
      <c r="U57" s="147"/>
      <c r="V57" s="147"/>
      <c r="W57" s="147"/>
      <c r="X57" s="147"/>
      <c r="Y57" s="147"/>
      <c r="Z57" s="147"/>
      <c r="AA57" s="147"/>
      <c r="AB57" s="147"/>
      <c r="AC57" s="147"/>
      <c r="AD57" s="147"/>
      <c r="AE57" s="147"/>
      <c r="AF57" s="147"/>
      <c r="AG57" s="147"/>
      <c r="AH57" s="147"/>
      <c r="AI57" s="147"/>
      <c r="AJ57" s="147"/>
      <c r="AK57" s="147"/>
      <c r="AL57" s="147"/>
      <c r="AM57" s="147"/>
      <c r="AN57" s="147"/>
      <c r="AO57" s="147"/>
      <c r="AP57" s="147"/>
      <c r="AQ57" s="147"/>
    </row>
    <row r="58" spans="2:43">
      <c r="B58" s="1156" t="s">
        <v>104</v>
      </c>
      <c r="C58" s="1109"/>
      <c r="D58" s="1109"/>
      <c r="E58" s="1109"/>
      <c r="F58" s="1109"/>
      <c r="G58" s="1123"/>
      <c r="H58" s="1147">
        <f>SrDebt!O27</f>
        <v>39445</v>
      </c>
      <c r="I58" s="1147">
        <f>SrDebt!P27</f>
        <v>39811</v>
      </c>
      <c r="J58" s="1147">
        <f>SrDebt!Q27</f>
        <v>40176</v>
      </c>
      <c r="K58" s="1147">
        <f>SrDebt!R27</f>
        <v>40541</v>
      </c>
      <c r="L58" s="1147">
        <f>SrDebt!S27</f>
        <v>40906</v>
      </c>
      <c r="M58" s="1147">
        <f>SrDebt!T27</f>
        <v>41272</v>
      </c>
      <c r="N58" s="1147">
        <f>SrDebt!U27</f>
        <v>41637</v>
      </c>
      <c r="O58" s="1147">
        <f>SrDebt!V27</f>
        <v>42002</v>
      </c>
      <c r="P58" s="1147">
        <f>SrDebt!W27</f>
        <v>42367</v>
      </c>
      <c r="Q58" s="1148">
        <f>SrDebt!X27</f>
        <v>42733</v>
      </c>
      <c r="R58" s="147"/>
      <c r="S58" s="159"/>
      <c r="T58" s="147"/>
      <c r="U58" s="147"/>
      <c r="V58" s="147"/>
      <c r="W58" s="147"/>
      <c r="X58" s="147"/>
      <c r="Y58" s="147"/>
      <c r="Z58" s="147"/>
      <c r="AA58" s="147"/>
      <c r="AB58" s="147"/>
      <c r="AC58" s="147"/>
      <c r="AD58" s="147"/>
      <c r="AE58" s="147"/>
      <c r="AF58" s="147"/>
      <c r="AG58" s="147"/>
      <c r="AH58" s="147"/>
      <c r="AI58" s="147"/>
      <c r="AJ58" s="147"/>
      <c r="AK58" s="147"/>
      <c r="AL58" s="147"/>
      <c r="AM58" s="147"/>
      <c r="AN58" s="147"/>
      <c r="AO58" s="147"/>
      <c r="AP58" s="147"/>
      <c r="AQ58" s="147"/>
    </row>
    <row r="59" spans="2:43">
      <c r="B59" s="477"/>
      <c r="C59" s="222"/>
      <c r="D59" s="222"/>
      <c r="E59" s="222"/>
      <c r="F59" s="222"/>
      <c r="G59" s="1123" t="s">
        <v>171</v>
      </c>
      <c r="H59" s="1152">
        <f>SrDebt!O12</f>
        <v>1.4</v>
      </c>
      <c r="I59" s="1152">
        <f>SrDebt!P12</f>
        <v>1.4000000000000001</v>
      </c>
      <c r="J59" s="1152">
        <f>SrDebt!Q12</f>
        <v>1.4</v>
      </c>
      <c r="K59" s="1152">
        <f>SrDebt!R12</f>
        <v>1.4</v>
      </c>
      <c r="L59" s="1154">
        <f>SrDebt!S12</f>
        <v>1.4</v>
      </c>
      <c r="M59" s="1152">
        <f>SrDebt!T12</f>
        <v>1.4</v>
      </c>
      <c r="N59" s="1152">
        <f>SrDebt!U12</f>
        <v>1.3999999999999997</v>
      </c>
      <c r="O59" s="1152">
        <f>SrDebt!V12</f>
        <v>1.7814762585292059</v>
      </c>
      <c r="P59" s="1152" t="str">
        <f>SrDebt!W12</f>
        <v xml:space="preserve"> </v>
      </c>
      <c r="Q59" s="1153" t="str">
        <f>SrDebt!X12</f>
        <v xml:space="preserve"> </v>
      </c>
      <c r="R59" s="147"/>
      <c r="S59" s="159"/>
      <c r="T59" s="147"/>
      <c r="U59" s="147"/>
      <c r="V59" s="147"/>
      <c r="W59" s="147"/>
      <c r="X59" s="147"/>
      <c r="Y59" s="147"/>
      <c r="Z59" s="147"/>
      <c r="AA59" s="147"/>
      <c r="AB59" s="147"/>
      <c r="AC59" s="147"/>
      <c r="AD59" s="147"/>
      <c r="AE59" s="147"/>
      <c r="AF59" s="147"/>
      <c r="AG59" s="147"/>
      <c r="AH59" s="147"/>
      <c r="AI59" s="147"/>
      <c r="AJ59" s="147"/>
      <c r="AK59" s="147"/>
      <c r="AL59" s="147"/>
      <c r="AM59" s="147"/>
      <c r="AN59" s="147"/>
      <c r="AO59" s="147"/>
      <c r="AP59" s="147"/>
      <c r="AQ59" s="147"/>
    </row>
    <row r="60" spans="2:43">
      <c r="B60" s="477"/>
      <c r="C60" s="222"/>
      <c r="D60" s="222"/>
      <c r="E60" s="222"/>
      <c r="F60" s="222"/>
      <c r="G60" s="1123" t="s">
        <v>172</v>
      </c>
      <c r="H60" s="1129" t="str">
        <f>JrDebt!O30</f>
        <v/>
      </c>
      <c r="I60" s="1129" t="str">
        <f>JrDebt!P30</f>
        <v/>
      </c>
      <c r="J60" s="1129" t="str">
        <f>JrDebt!Q30</f>
        <v/>
      </c>
      <c r="K60" s="1129" t="str">
        <f>JrDebt!R30</f>
        <v/>
      </c>
      <c r="L60" s="1129" t="str">
        <f>JrDebt!S30</f>
        <v/>
      </c>
      <c r="M60" s="1129" t="str">
        <f>JrDebt!T30</f>
        <v/>
      </c>
      <c r="N60" s="1129" t="str">
        <f>JrDebt!U30</f>
        <v/>
      </c>
      <c r="O60" s="1129" t="str">
        <f>JrDebt!V30</f>
        <v/>
      </c>
      <c r="P60" s="1129" t="str">
        <f>JrDebt!W30</f>
        <v/>
      </c>
      <c r="Q60" s="1155" t="str">
        <f>JrDebt!X30</f>
        <v/>
      </c>
      <c r="R60" s="147"/>
      <c r="S60" s="147"/>
      <c r="T60" s="147"/>
      <c r="U60" s="147"/>
      <c r="V60" s="147"/>
      <c r="W60" s="147"/>
      <c r="X60" s="147"/>
      <c r="Y60" s="147"/>
      <c r="Z60" s="147"/>
      <c r="AA60" s="147"/>
      <c r="AB60" s="147"/>
      <c r="AC60" s="147"/>
      <c r="AD60" s="147"/>
      <c r="AE60" s="147"/>
      <c r="AF60" s="147"/>
      <c r="AG60" s="147"/>
      <c r="AH60" s="147"/>
      <c r="AI60" s="147"/>
      <c r="AJ60" s="147"/>
      <c r="AK60" s="147"/>
      <c r="AL60" s="147"/>
      <c r="AM60" s="147"/>
      <c r="AN60" s="147"/>
      <c r="AO60" s="147"/>
      <c r="AP60" s="147"/>
      <c r="AQ60" s="147"/>
    </row>
    <row r="61" spans="2:43" ht="13.5" thickBot="1">
      <c r="B61" s="1157"/>
      <c r="C61" s="1119"/>
      <c r="D61" s="1119"/>
      <c r="E61" s="1119"/>
      <c r="F61" s="1119"/>
      <c r="G61" s="1119"/>
      <c r="H61" s="1119"/>
      <c r="I61" s="1119"/>
      <c r="J61" s="1119"/>
      <c r="K61" s="1119"/>
      <c r="L61" s="1119"/>
      <c r="M61" s="1119"/>
      <c r="N61" s="1119"/>
      <c r="O61" s="1158"/>
      <c r="P61" s="1119"/>
      <c r="Q61" s="1120"/>
      <c r="R61" s="147"/>
      <c r="S61" s="147"/>
      <c r="T61" s="147"/>
      <c r="U61" s="147"/>
      <c r="V61" s="147"/>
      <c r="W61" s="147"/>
      <c r="X61" s="147"/>
      <c r="Y61" s="147"/>
      <c r="Z61" s="147"/>
      <c r="AA61" s="147"/>
      <c r="AB61" s="147"/>
      <c r="AC61" s="147"/>
      <c r="AD61" s="147"/>
      <c r="AE61" s="147"/>
      <c r="AF61" s="147"/>
      <c r="AG61" s="147"/>
      <c r="AH61" s="147"/>
      <c r="AI61" s="147"/>
      <c r="AJ61" s="147"/>
      <c r="AK61" s="147"/>
      <c r="AL61" s="147"/>
      <c r="AM61" s="147"/>
      <c r="AN61" s="147"/>
      <c r="AO61" s="147"/>
      <c r="AP61" s="147"/>
      <c r="AQ61" s="147"/>
    </row>
    <row r="62" spans="2:43">
      <c r="H62" s="147"/>
      <c r="I62" s="147"/>
      <c r="J62" s="147"/>
      <c r="K62" s="147"/>
      <c r="L62" s="147"/>
      <c r="M62" s="147"/>
      <c r="N62" s="147"/>
      <c r="P62" s="147"/>
      <c r="Q62" s="147"/>
      <c r="R62" s="147"/>
      <c r="S62" s="147"/>
      <c r="T62" s="147"/>
      <c r="U62" s="147"/>
      <c r="V62" s="147"/>
      <c r="W62" s="147"/>
      <c r="X62" s="147"/>
      <c r="Y62" s="147"/>
      <c r="Z62" s="147"/>
      <c r="AA62" s="147"/>
      <c r="AB62" s="147"/>
      <c r="AC62" s="147"/>
      <c r="AD62" s="147"/>
      <c r="AE62" s="147"/>
      <c r="AF62" s="147"/>
      <c r="AG62" s="147"/>
      <c r="AH62" s="147"/>
      <c r="AI62" s="147"/>
      <c r="AJ62" s="147"/>
      <c r="AK62" s="147"/>
      <c r="AL62" s="147"/>
      <c r="AM62" s="147"/>
      <c r="AN62" s="147"/>
      <c r="AO62" s="147"/>
      <c r="AP62" s="147"/>
      <c r="AQ62" s="147"/>
    </row>
    <row r="63" spans="2:43">
      <c r="H63" s="147"/>
      <c r="I63" s="147"/>
      <c r="J63" s="147"/>
      <c r="K63" s="147"/>
      <c r="L63" s="161"/>
      <c r="M63" s="147"/>
      <c r="N63" s="147"/>
      <c r="P63" s="147"/>
      <c r="Q63" s="147"/>
      <c r="R63" s="147"/>
      <c r="S63" s="147"/>
      <c r="T63" s="147"/>
      <c r="U63" s="147"/>
      <c r="V63" s="147"/>
      <c r="W63" s="147"/>
      <c r="X63" s="147"/>
      <c r="Y63" s="147"/>
      <c r="Z63" s="147"/>
      <c r="AA63" s="147"/>
      <c r="AB63" s="147"/>
      <c r="AC63" s="147"/>
      <c r="AD63" s="147"/>
      <c r="AE63" s="147"/>
      <c r="AF63" s="147"/>
      <c r="AG63" s="147"/>
      <c r="AH63" s="147"/>
      <c r="AI63" s="147"/>
      <c r="AJ63" s="147"/>
      <c r="AK63" s="147"/>
      <c r="AL63" s="147"/>
      <c r="AM63" s="147"/>
      <c r="AN63" s="147"/>
      <c r="AO63" s="147"/>
      <c r="AP63" s="147"/>
      <c r="AQ63" s="147"/>
    </row>
    <row r="64" spans="2:43">
      <c r="H64" s="147"/>
      <c r="I64" s="147"/>
      <c r="J64" s="147"/>
      <c r="K64" s="147"/>
      <c r="L64" s="162"/>
      <c r="M64" s="147"/>
      <c r="N64" s="147"/>
      <c r="P64" s="147"/>
      <c r="Q64" s="147"/>
      <c r="R64" s="147"/>
      <c r="S64" s="147"/>
      <c r="T64" s="147"/>
      <c r="U64" s="147"/>
      <c r="V64" s="147"/>
      <c r="W64" s="147"/>
      <c r="X64" s="147"/>
      <c r="Y64" s="147"/>
      <c r="Z64" s="147"/>
      <c r="AA64" s="147"/>
      <c r="AB64" s="147"/>
      <c r="AC64" s="147"/>
      <c r="AD64" s="147"/>
      <c r="AE64" s="147"/>
      <c r="AF64" s="147"/>
      <c r="AG64" s="147"/>
      <c r="AH64" s="147"/>
      <c r="AI64" s="147"/>
      <c r="AJ64" s="147"/>
      <c r="AK64" s="147"/>
      <c r="AL64" s="147"/>
      <c r="AM64" s="147"/>
      <c r="AN64" s="147"/>
      <c r="AO64" s="147"/>
      <c r="AP64" s="147"/>
      <c r="AQ64" s="147"/>
    </row>
    <row r="65" spans="8:43">
      <c r="H65" s="147"/>
      <c r="I65" s="147"/>
      <c r="J65" s="147"/>
      <c r="K65" s="147"/>
      <c r="L65" s="147"/>
      <c r="M65" s="147"/>
      <c r="N65" s="147"/>
      <c r="P65" s="147"/>
      <c r="Q65" s="147"/>
      <c r="R65" s="147"/>
      <c r="S65" s="159"/>
      <c r="T65" s="147"/>
      <c r="U65" s="147"/>
      <c r="V65" s="147"/>
      <c r="W65" s="147"/>
      <c r="X65" s="147"/>
      <c r="Y65" s="147"/>
      <c r="Z65" s="147"/>
      <c r="AA65" s="147"/>
      <c r="AB65" s="147"/>
      <c r="AC65" s="147"/>
      <c r="AD65" s="147"/>
      <c r="AE65" s="147"/>
      <c r="AF65" s="147"/>
      <c r="AG65" s="147"/>
      <c r="AH65" s="147"/>
      <c r="AI65" s="147"/>
      <c r="AJ65" s="147"/>
      <c r="AK65" s="147"/>
      <c r="AL65" s="147"/>
      <c r="AM65" s="147"/>
      <c r="AN65" s="147"/>
      <c r="AO65" s="147"/>
      <c r="AP65" s="147"/>
      <c r="AQ65" s="147"/>
    </row>
    <row r="66" spans="8:43">
      <c r="H66" s="155"/>
      <c r="I66" s="147"/>
      <c r="J66" s="147"/>
      <c r="K66" s="149"/>
      <c r="L66" s="149"/>
      <c r="M66" s="147"/>
      <c r="N66" s="147"/>
      <c r="P66" s="147"/>
      <c r="Q66" s="147"/>
      <c r="R66" s="147"/>
      <c r="S66" s="159"/>
      <c r="T66" s="147"/>
      <c r="U66" s="147"/>
      <c r="V66" s="147"/>
      <c r="W66" s="147"/>
      <c r="X66" s="147"/>
      <c r="Y66" s="147"/>
      <c r="Z66" s="147"/>
      <c r="AA66" s="147"/>
      <c r="AB66" s="147"/>
      <c r="AC66" s="147"/>
      <c r="AD66" s="147"/>
      <c r="AE66" s="147"/>
      <c r="AF66" s="147"/>
      <c r="AG66" s="147"/>
      <c r="AH66" s="147"/>
      <c r="AI66" s="147"/>
      <c r="AJ66" s="147"/>
      <c r="AK66" s="147"/>
      <c r="AL66" s="147"/>
      <c r="AM66" s="147"/>
      <c r="AN66" s="147"/>
      <c r="AO66" s="147"/>
      <c r="AP66" s="147"/>
      <c r="AQ66" s="147"/>
    </row>
    <row r="67" spans="8:43">
      <c r="H67" s="147"/>
      <c r="I67" s="147"/>
      <c r="J67" s="147"/>
      <c r="K67" s="163"/>
      <c r="L67" s="147"/>
      <c r="M67" s="147"/>
      <c r="N67" s="147"/>
      <c r="P67" s="147"/>
      <c r="Q67" s="147"/>
      <c r="R67" s="147"/>
      <c r="S67" s="159"/>
      <c r="T67" s="147"/>
      <c r="U67" s="147"/>
      <c r="V67" s="147"/>
      <c r="W67" s="147"/>
      <c r="X67" s="147"/>
      <c r="Y67" s="147"/>
      <c r="Z67" s="147"/>
      <c r="AA67" s="147"/>
      <c r="AB67" s="147"/>
      <c r="AC67" s="147"/>
      <c r="AD67" s="147"/>
      <c r="AE67" s="147"/>
      <c r="AF67" s="147"/>
      <c r="AG67" s="147"/>
      <c r="AH67" s="147"/>
      <c r="AI67" s="147"/>
      <c r="AJ67" s="147"/>
      <c r="AK67" s="147"/>
      <c r="AL67" s="147"/>
      <c r="AM67" s="147"/>
      <c r="AN67" s="147"/>
      <c r="AO67" s="147"/>
      <c r="AP67" s="147"/>
      <c r="AQ67" s="147"/>
    </row>
    <row r="68" spans="8:43">
      <c r="H68" s="147"/>
      <c r="I68" s="147"/>
      <c r="J68" s="147"/>
      <c r="K68" s="147"/>
      <c r="L68" s="147"/>
      <c r="M68" s="147"/>
      <c r="N68" s="147"/>
      <c r="P68" s="147"/>
      <c r="Q68" s="147"/>
      <c r="R68" s="147"/>
      <c r="S68" s="159"/>
      <c r="T68" s="147"/>
      <c r="U68" s="147"/>
      <c r="V68" s="147"/>
      <c r="W68" s="147"/>
      <c r="X68" s="147"/>
      <c r="Y68" s="147"/>
      <c r="Z68" s="147"/>
      <c r="AA68" s="147"/>
      <c r="AB68" s="147"/>
      <c r="AC68" s="147"/>
      <c r="AD68" s="147"/>
      <c r="AE68" s="147"/>
      <c r="AF68" s="147"/>
      <c r="AG68" s="147"/>
      <c r="AH68" s="147"/>
      <c r="AI68" s="147"/>
      <c r="AJ68" s="147"/>
      <c r="AK68" s="147"/>
      <c r="AL68" s="147"/>
      <c r="AM68" s="147"/>
      <c r="AN68" s="147"/>
      <c r="AO68" s="147"/>
      <c r="AP68" s="147"/>
      <c r="AQ68" s="147"/>
    </row>
    <row r="69" spans="8:43">
      <c r="H69" s="147"/>
      <c r="I69" s="147"/>
      <c r="J69" s="147"/>
      <c r="K69" s="147"/>
      <c r="L69" s="147"/>
      <c r="M69" s="147"/>
      <c r="N69" s="147"/>
      <c r="P69" s="147"/>
      <c r="Q69" s="147"/>
      <c r="R69" s="147"/>
      <c r="S69" s="159"/>
      <c r="T69" s="147"/>
      <c r="U69" s="147"/>
      <c r="V69" s="147"/>
      <c r="W69" s="147"/>
      <c r="X69" s="147"/>
      <c r="Y69" s="147"/>
      <c r="Z69" s="147"/>
      <c r="AA69" s="147"/>
      <c r="AB69" s="147"/>
      <c r="AC69" s="147"/>
      <c r="AD69" s="147"/>
      <c r="AE69" s="147"/>
      <c r="AF69" s="147"/>
      <c r="AG69" s="147"/>
      <c r="AH69" s="147"/>
      <c r="AI69" s="147"/>
      <c r="AJ69" s="147"/>
      <c r="AK69" s="147"/>
      <c r="AL69" s="147"/>
      <c r="AM69" s="147"/>
      <c r="AN69" s="147"/>
      <c r="AO69" s="147"/>
      <c r="AP69" s="147"/>
      <c r="AQ69" s="147"/>
    </row>
    <row r="70" spans="8:43">
      <c r="H70" s="153"/>
      <c r="I70" s="147"/>
      <c r="J70" s="147"/>
      <c r="K70" s="147"/>
      <c r="L70" s="153"/>
      <c r="M70" s="147"/>
      <c r="N70" s="147"/>
      <c r="P70" s="147"/>
      <c r="Q70" s="147"/>
      <c r="R70" s="147"/>
      <c r="S70" s="159"/>
      <c r="T70" s="147"/>
      <c r="U70" s="147"/>
      <c r="V70" s="147"/>
      <c r="W70" s="147"/>
      <c r="X70" s="147"/>
      <c r="Y70" s="147"/>
      <c r="Z70" s="147"/>
      <c r="AA70" s="147"/>
      <c r="AB70" s="147"/>
      <c r="AC70" s="147"/>
      <c r="AD70" s="147"/>
      <c r="AE70" s="147"/>
      <c r="AF70" s="147"/>
      <c r="AG70" s="147"/>
      <c r="AH70" s="147"/>
      <c r="AI70" s="147"/>
      <c r="AJ70" s="147"/>
      <c r="AK70" s="147"/>
      <c r="AL70" s="147"/>
      <c r="AM70" s="147"/>
      <c r="AN70" s="147"/>
      <c r="AO70" s="147"/>
      <c r="AP70" s="147"/>
      <c r="AQ70" s="147"/>
    </row>
    <row r="71" spans="8:43">
      <c r="H71" s="153"/>
      <c r="I71" s="147"/>
      <c r="J71" s="147"/>
      <c r="K71" s="147"/>
      <c r="L71" s="147"/>
      <c r="M71" s="147"/>
      <c r="N71" s="147"/>
      <c r="P71" s="147"/>
      <c r="Q71" s="147"/>
      <c r="R71" s="147"/>
      <c r="S71" s="159"/>
      <c r="T71" s="147"/>
      <c r="U71" s="147"/>
      <c r="V71" s="147"/>
      <c r="W71" s="147"/>
      <c r="X71" s="147"/>
      <c r="Y71" s="147"/>
      <c r="Z71" s="147"/>
      <c r="AA71" s="147"/>
      <c r="AB71" s="147"/>
      <c r="AC71" s="147"/>
      <c r="AD71" s="147"/>
      <c r="AE71" s="147"/>
      <c r="AF71" s="147"/>
      <c r="AG71" s="147"/>
      <c r="AH71" s="147"/>
      <c r="AI71" s="147"/>
      <c r="AJ71" s="147"/>
      <c r="AK71" s="147"/>
      <c r="AL71" s="147"/>
      <c r="AM71" s="147"/>
      <c r="AN71" s="147"/>
      <c r="AO71" s="147"/>
      <c r="AP71" s="147"/>
      <c r="AQ71" s="147"/>
    </row>
    <row r="72" spans="8:43">
      <c r="H72" s="147"/>
      <c r="I72" s="147"/>
      <c r="J72" s="147"/>
      <c r="K72" s="147"/>
      <c r="L72" s="147"/>
      <c r="M72" s="147"/>
      <c r="N72" s="147"/>
      <c r="P72" s="147"/>
      <c r="Q72" s="147"/>
      <c r="R72" s="147"/>
      <c r="S72" s="147"/>
      <c r="T72" s="147"/>
      <c r="U72" s="147"/>
      <c r="V72" s="147"/>
      <c r="W72" s="147"/>
      <c r="X72" s="147"/>
      <c r="Y72" s="147"/>
      <c r="Z72" s="147"/>
      <c r="AA72" s="147"/>
      <c r="AB72" s="147"/>
      <c r="AC72" s="147"/>
      <c r="AD72" s="147"/>
      <c r="AE72" s="147"/>
      <c r="AF72" s="147"/>
      <c r="AG72" s="147"/>
      <c r="AH72" s="147"/>
      <c r="AI72" s="147"/>
      <c r="AJ72" s="147"/>
      <c r="AK72" s="147"/>
      <c r="AL72" s="147"/>
      <c r="AM72" s="147"/>
      <c r="AN72" s="147"/>
      <c r="AO72" s="147"/>
      <c r="AP72" s="147"/>
      <c r="AQ72" s="147"/>
    </row>
    <row r="73" spans="8:43">
      <c r="H73" s="153"/>
      <c r="I73" s="147"/>
      <c r="J73" s="147"/>
      <c r="K73" s="147"/>
      <c r="L73" s="153"/>
      <c r="M73" s="147"/>
      <c r="N73" s="147"/>
      <c r="P73" s="147"/>
      <c r="Q73" s="147"/>
      <c r="R73" s="147"/>
      <c r="S73" s="147"/>
      <c r="T73" s="147"/>
      <c r="U73" s="147"/>
      <c r="V73" s="147"/>
      <c r="W73" s="147"/>
      <c r="X73" s="147"/>
      <c r="Y73" s="147"/>
      <c r="Z73" s="147"/>
      <c r="AA73" s="147"/>
      <c r="AB73" s="147"/>
      <c r="AC73" s="147"/>
      <c r="AD73" s="147"/>
      <c r="AE73" s="147"/>
      <c r="AF73" s="147"/>
      <c r="AG73" s="147"/>
      <c r="AH73" s="147"/>
      <c r="AI73" s="147"/>
      <c r="AJ73" s="147"/>
      <c r="AK73" s="147"/>
      <c r="AL73" s="147"/>
      <c r="AM73" s="147"/>
      <c r="AN73" s="147"/>
      <c r="AO73" s="147"/>
      <c r="AP73" s="147"/>
      <c r="AQ73" s="147"/>
    </row>
    <row r="74" spans="8:43">
      <c r="H74" s="153"/>
      <c r="I74" s="147"/>
      <c r="J74" s="147"/>
      <c r="K74" s="147"/>
      <c r="L74" s="147"/>
      <c r="M74" s="147"/>
      <c r="N74" s="147"/>
      <c r="P74" s="147"/>
      <c r="Q74" s="147"/>
      <c r="R74" s="147"/>
      <c r="S74" s="153"/>
      <c r="T74" s="153"/>
      <c r="U74" s="153"/>
      <c r="V74" s="153"/>
      <c r="W74" s="153"/>
      <c r="X74" s="153"/>
      <c r="Y74" s="153"/>
      <c r="Z74" s="153"/>
      <c r="AA74" s="153"/>
      <c r="AB74" s="153"/>
      <c r="AC74" s="153"/>
      <c r="AD74" s="153"/>
      <c r="AE74" s="153"/>
      <c r="AF74" s="153"/>
      <c r="AG74" s="153"/>
      <c r="AH74" s="153"/>
      <c r="AI74" s="153"/>
      <c r="AJ74" s="153"/>
      <c r="AK74" s="153"/>
      <c r="AL74" s="153"/>
      <c r="AM74" s="153"/>
      <c r="AN74" s="153"/>
      <c r="AO74" s="153"/>
      <c r="AP74" s="153"/>
      <c r="AQ74" s="153"/>
    </row>
    <row r="75" spans="8:43">
      <c r="H75" s="150"/>
      <c r="I75" s="147"/>
      <c r="J75" s="147"/>
      <c r="K75" s="147"/>
      <c r="L75" s="147"/>
      <c r="M75" s="147"/>
      <c r="N75" s="147"/>
      <c r="P75" s="147"/>
      <c r="Q75" s="147"/>
      <c r="R75" s="147"/>
      <c r="S75" s="147"/>
      <c r="T75" s="147"/>
      <c r="U75" s="147"/>
      <c r="V75" s="147"/>
      <c r="W75" s="147"/>
      <c r="X75" s="147"/>
      <c r="Y75" s="147"/>
      <c r="Z75" s="147"/>
      <c r="AA75" s="147"/>
      <c r="AB75" s="147"/>
      <c r="AC75" s="147"/>
      <c r="AD75" s="147"/>
      <c r="AE75" s="147"/>
      <c r="AF75" s="147"/>
      <c r="AG75" s="147"/>
      <c r="AH75" s="147"/>
      <c r="AI75" s="147"/>
      <c r="AJ75" s="147"/>
      <c r="AK75" s="147"/>
      <c r="AL75" s="147"/>
      <c r="AM75" s="147"/>
      <c r="AN75" s="147"/>
      <c r="AO75" s="147"/>
      <c r="AP75" s="147"/>
      <c r="AQ75" s="147"/>
    </row>
    <row r="76" spans="8:43">
      <c r="H76" s="150"/>
      <c r="I76" s="147"/>
      <c r="J76" s="147"/>
      <c r="K76" s="147"/>
      <c r="L76" s="147"/>
      <c r="M76" s="147"/>
      <c r="N76" s="147"/>
      <c r="P76" s="147"/>
      <c r="Q76" s="147"/>
      <c r="R76" s="147"/>
      <c r="S76" s="147"/>
      <c r="T76" s="147"/>
      <c r="U76" s="147"/>
      <c r="V76" s="147"/>
      <c r="W76" s="147"/>
      <c r="X76" s="147"/>
      <c r="Y76" s="147"/>
      <c r="Z76" s="147"/>
      <c r="AA76" s="147"/>
      <c r="AB76" s="147"/>
      <c r="AC76" s="147"/>
      <c r="AD76" s="147"/>
      <c r="AE76" s="147"/>
      <c r="AF76" s="147"/>
      <c r="AG76" s="147"/>
      <c r="AH76" s="147"/>
      <c r="AI76" s="147"/>
      <c r="AJ76" s="147"/>
      <c r="AK76" s="147"/>
      <c r="AL76" s="147"/>
      <c r="AM76" s="147"/>
      <c r="AN76" s="147"/>
      <c r="AO76" s="147"/>
      <c r="AP76" s="147"/>
      <c r="AQ76" s="147"/>
    </row>
    <row r="77" spans="8:43">
      <c r="H77" s="151"/>
      <c r="I77" s="147"/>
      <c r="J77" s="147"/>
      <c r="K77" s="147"/>
      <c r="L77" s="147"/>
      <c r="M77" s="147"/>
      <c r="N77" s="147"/>
      <c r="P77" s="147"/>
      <c r="Q77" s="147"/>
      <c r="R77" s="147"/>
      <c r="S77" s="147"/>
      <c r="T77" s="147"/>
      <c r="U77" s="147"/>
      <c r="V77" s="147"/>
      <c r="W77" s="147"/>
      <c r="X77" s="147"/>
      <c r="Y77" s="147"/>
      <c r="Z77" s="147"/>
      <c r="AA77" s="147"/>
      <c r="AB77" s="147"/>
      <c r="AC77" s="147"/>
      <c r="AD77" s="147"/>
      <c r="AE77" s="147"/>
      <c r="AF77" s="147"/>
      <c r="AG77" s="147"/>
      <c r="AH77" s="147"/>
      <c r="AI77" s="147"/>
      <c r="AJ77" s="147"/>
      <c r="AK77" s="147"/>
      <c r="AL77" s="147"/>
      <c r="AM77" s="147"/>
      <c r="AN77" s="147"/>
      <c r="AO77" s="147"/>
      <c r="AP77" s="147"/>
      <c r="AQ77" s="147"/>
    </row>
    <row r="78" spans="8:43">
      <c r="H78" s="150"/>
      <c r="I78" s="147"/>
      <c r="J78" s="147"/>
      <c r="K78" s="147"/>
      <c r="L78" s="153"/>
      <c r="M78" s="147"/>
      <c r="N78" s="147"/>
      <c r="P78" s="147"/>
      <c r="Q78" s="147"/>
      <c r="R78" s="147"/>
      <c r="S78" s="153"/>
      <c r="T78" s="153"/>
      <c r="U78" s="153"/>
      <c r="V78" s="153"/>
      <c r="W78" s="153"/>
      <c r="X78" s="153"/>
      <c r="Y78" s="153"/>
      <c r="Z78" s="153"/>
      <c r="AA78" s="153"/>
      <c r="AB78" s="153"/>
      <c r="AC78" s="153"/>
      <c r="AD78" s="153"/>
      <c r="AE78" s="153"/>
      <c r="AF78" s="153"/>
      <c r="AG78" s="153"/>
      <c r="AH78" s="153"/>
      <c r="AI78" s="153"/>
      <c r="AJ78" s="153"/>
      <c r="AK78" s="153"/>
      <c r="AL78" s="153"/>
      <c r="AM78" s="153"/>
      <c r="AN78" s="153"/>
      <c r="AO78" s="153"/>
      <c r="AP78" s="153"/>
      <c r="AQ78" s="153"/>
    </row>
    <row r="79" spans="8:43">
      <c r="H79" s="160"/>
      <c r="I79" s="147"/>
      <c r="J79" s="147"/>
      <c r="K79" s="147"/>
      <c r="L79" s="147"/>
      <c r="M79" s="147"/>
      <c r="N79" s="147"/>
      <c r="P79" s="147"/>
      <c r="Q79" s="147"/>
      <c r="R79" s="147"/>
      <c r="S79" s="147"/>
      <c r="T79" s="147"/>
      <c r="U79" s="147"/>
      <c r="V79" s="147"/>
      <c r="W79" s="147"/>
      <c r="X79" s="147"/>
      <c r="Y79" s="147"/>
      <c r="Z79" s="147"/>
      <c r="AA79" s="161"/>
      <c r="AB79" s="161"/>
      <c r="AC79" s="161"/>
      <c r="AD79" s="161"/>
      <c r="AE79" s="161"/>
      <c r="AF79" s="161"/>
      <c r="AG79" s="161"/>
      <c r="AH79" s="161"/>
      <c r="AI79" s="161"/>
      <c r="AJ79" s="161"/>
      <c r="AK79" s="161"/>
      <c r="AL79" s="161"/>
      <c r="AM79" s="161"/>
      <c r="AN79" s="161"/>
      <c r="AO79" s="161"/>
      <c r="AP79" s="161"/>
      <c r="AQ79" s="161"/>
    </row>
    <row r="80" spans="8:43">
      <c r="H80" s="150"/>
      <c r="I80" s="147"/>
      <c r="J80" s="147"/>
      <c r="K80" s="147"/>
      <c r="L80" s="147"/>
      <c r="M80" s="147"/>
      <c r="N80" s="147"/>
      <c r="P80" s="147"/>
      <c r="Q80" s="147"/>
      <c r="R80" s="147"/>
      <c r="S80" s="147"/>
      <c r="T80" s="147"/>
      <c r="U80" s="147"/>
      <c r="V80" s="147"/>
      <c r="W80" s="147"/>
      <c r="X80" s="147"/>
      <c r="Y80" s="147"/>
      <c r="Z80" s="147"/>
      <c r="AA80" s="161"/>
      <c r="AB80" s="161"/>
      <c r="AC80" s="161"/>
      <c r="AD80" s="161"/>
      <c r="AE80" s="161"/>
      <c r="AF80" s="161"/>
      <c r="AG80" s="161"/>
      <c r="AH80" s="161"/>
      <c r="AI80" s="161"/>
      <c r="AJ80" s="161"/>
      <c r="AK80" s="161"/>
      <c r="AL80" s="161"/>
      <c r="AM80" s="161"/>
      <c r="AN80" s="161"/>
      <c r="AO80" s="161"/>
      <c r="AP80" s="161"/>
      <c r="AQ80" s="161"/>
    </row>
    <row r="81" spans="2:43">
      <c r="H81" s="150"/>
      <c r="I81" s="147"/>
      <c r="J81" s="147"/>
      <c r="K81" s="147"/>
      <c r="L81" s="147"/>
      <c r="M81" s="147"/>
      <c r="N81" s="147"/>
      <c r="P81" s="147"/>
      <c r="Q81" s="147"/>
      <c r="R81" s="147"/>
      <c r="S81" s="147"/>
      <c r="T81" s="147"/>
      <c r="U81" s="147"/>
      <c r="V81" s="147"/>
      <c r="W81" s="147"/>
      <c r="X81" s="147"/>
      <c r="Y81" s="147"/>
      <c r="Z81" s="147"/>
      <c r="AA81" s="161"/>
      <c r="AB81" s="161"/>
      <c r="AC81" s="161"/>
      <c r="AD81" s="161"/>
      <c r="AE81" s="161"/>
      <c r="AF81" s="161"/>
      <c r="AG81" s="161"/>
      <c r="AH81" s="161"/>
      <c r="AI81" s="161"/>
      <c r="AJ81" s="161"/>
      <c r="AK81" s="161"/>
      <c r="AL81" s="161"/>
      <c r="AM81" s="161"/>
      <c r="AN81" s="161"/>
      <c r="AO81" s="161"/>
      <c r="AP81" s="161"/>
      <c r="AQ81" s="161"/>
    </row>
    <row r="82" spans="2:43">
      <c r="H82" s="150"/>
      <c r="I82" s="147"/>
      <c r="J82" s="147"/>
      <c r="K82" s="147"/>
      <c r="L82" s="147"/>
      <c r="M82" s="147"/>
      <c r="N82" s="147"/>
      <c r="P82" s="147"/>
      <c r="Q82" s="147"/>
      <c r="R82" s="147"/>
      <c r="S82" s="147"/>
      <c r="T82" s="147"/>
      <c r="U82" s="147"/>
      <c r="V82" s="147"/>
      <c r="W82" s="147"/>
      <c r="X82" s="147"/>
      <c r="Y82" s="147"/>
      <c r="Z82" s="147"/>
      <c r="AA82" s="147"/>
      <c r="AB82" s="147"/>
      <c r="AC82" s="147"/>
      <c r="AD82" s="147"/>
      <c r="AE82" s="147"/>
      <c r="AF82" s="147"/>
      <c r="AG82" s="147"/>
      <c r="AH82" s="147"/>
      <c r="AI82" s="147"/>
      <c r="AJ82" s="147"/>
      <c r="AK82" s="147"/>
      <c r="AL82" s="147"/>
      <c r="AM82" s="147"/>
      <c r="AN82" s="147"/>
      <c r="AO82" s="147"/>
      <c r="AP82" s="147"/>
      <c r="AQ82" s="147"/>
    </row>
    <row r="83" spans="2:43">
      <c r="H83" s="151"/>
      <c r="I83" s="147"/>
      <c r="J83" s="147"/>
      <c r="K83" s="147"/>
      <c r="L83" s="147"/>
      <c r="M83" s="147"/>
      <c r="N83" s="147"/>
      <c r="P83" s="147"/>
      <c r="Q83" s="147"/>
      <c r="R83" s="147"/>
      <c r="S83" s="153"/>
      <c r="T83" s="153"/>
      <c r="U83" s="153"/>
      <c r="V83" s="153"/>
      <c r="W83" s="153"/>
      <c r="X83" s="153"/>
      <c r="Y83" s="153"/>
      <c r="Z83" s="153"/>
      <c r="AA83" s="153"/>
      <c r="AB83" s="153"/>
      <c r="AC83" s="153"/>
      <c r="AD83" s="153"/>
      <c r="AE83" s="153"/>
      <c r="AF83" s="153"/>
      <c r="AG83" s="153"/>
      <c r="AH83" s="153"/>
      <c r="AI83" s="153"/>
      <c r="AJ83" s="153"/>
      <c r="AK83" s="153"/>
      <c r="AL83" s="153"/>
      <c r="AM83" s="153"/>
      <c r="AN83" s="153"/>
      <c r="AO83" s="153"/>
      <c r="AP83" s="153"/>
      <c r="AQ83" s="153"/>
    </row>
    <row r="84" spans="2:43">
      <c r="B84" s="149"/>
      <c r="C84" s="151"/>
      <c r="D84" s="151"/>
      <c r="E84" s="151"/>
      <c r="F84" s="151"/>
      <c r="G84" s="147"/>
      <c r="H84" s="147"/>
      <c r="I84" s="151"/>
      <c r="J84" s="151"/>
      <c r="K84" s="147"/>
      <c r="L84" s="147"/>
      <c r="M84" s="147"/>
      <c r="N84" s="147"/>
      <c r="P84" s="147"/>
      <c r="Q84" s="147"/>
      <c r="R84" s="147"/>
      <c r="S84" s="147"/>
      <c r="T84" s="147"/>
      <c r="U84" s="147"/>
      <c r="V84" s="147"/>
      <c r="W84" s="147"/>
      <c r="X84" s="147"/>
      <c r="Y84" s="147"/>
      <c r="Z84" s="147"/>
      <c r="AA84" s="147"/>
      <c r="AB84" s="147"/>
      <c r="AC84" s="147"/>
      <c r="AD84" s="147"/>
      <c r="AE84" s="147"/>
      <c r="AF84" s="147"/>
      <c r="AG84" s="147"/>
      <c r="AH84" s="147"/>
      <c r="AI84" s="147"/>
      <c r="AJ84" s="147"/>
      <c r="AK84" s="147"/>
      <c r="AL84" s="147"/>
      <c r="AM84" s="147"/>
      <c r="AN84" s="147"/>
      <c r="AO84" s="147"/>
      <c r="AP84" s="147"/>
      <c r="AQ84" s="147"/>
    </row>
    <row r="85" spans="2:43">
      <c r="B85" s="147"/>
      <c r="C85" s="147"/>
      <c r="D85" s="147"/>
      <c r="E85" s="147"/>
      <c r="F85" s="147"/>
      <c r="G85" s="147"/>
      <c r="H85" s="147"/>
      <c r="I85" s="147"/>
      <c r="J85" s="147"/>
      <c r="K85" s="147"/>
      <c r="L85" s="147"/>
      <c r="M85" s="147"/>
      <c r="N85" s="147"/>
      <c r="P85" s="147"/>
      <c r="Q85" s="147"/>
      <c r="R85" s="147"/>
      <c r="S85" s="147"/>
      <c r="T85" s="147"/>
      <c r="U85" s="147"/>
      <c r="V85" s="147"/>
      <c r="W85" s="147"/>
      <c r="X85" s="147"/>
      <c r="Y85" s="147"/>
      <c r="Z85" s="147"/>
      <c r="AA85" s="147"/>
      <c r="AB85" s="147"/>
      <c r="AC85" s="147"/>
      <c r="AD85" s="147"/>
      <c r="AE85" s="147"/>
      <c r="AF85" s="147"/>
      <c r="AG85" s="147"/>
      <c r="AH85" s="147"/>
      <c r="AI85" s="147"/>
      <c r="AJ85" s="147"/>
      <c r="AK85" s="147"/>
      <c r="AL85" s="147"/>
      <c r="AM85" s="147"/>
      <c r="AN85" s="147"/>
      <c r="AO85" s="147"/>
      <c r="AP85" s="147"/>
      <c r="AQ85" s="147"/>
    </row>
    <row r="86" spans="2:43">
      <c r="B86" s="147"/>
      <c r="C86" s="147"/>
      <c r="D86" s="147"/>
      <c r="E86" s="147"/>
      <c r="F86" s="147"/>
      <c r="G86" s="147"/>
      <c r="H86" s="147"/>
      <c r="I86" s="147"/>
      <c r="J86" s="147"/>
      <c r="K86" s="147"/>
      <c r="L86" s="147"/>
      <c r="M86" s="147"/>
      <c r="N86" s="147"/>
      <c r="O86" s="147"/>
      <c r="P86" s="147"/>
      <c r="Q86" s="147"/>
      <c r="R86" s="147"/>
    </row>
    <row r="87" spans="2:43">
      <c r="B87" s="147"/>
      <c r="C87" s="147"/>
      <c r="D87" s="147"/>
      <c r="E87" s="147"/>
      <c r="F87" s="147"/>
      <c r="G87" s="147"/>
      <c r="H87" s="147"/>
      <c r="I87" s="147"/>
      <c r="J87" s="147"/>
      <c r="K87" s="147"/>
      <c r="L87" s="147"/>
      <c r="M87" s="147"/>
      <c r="N87" s="147"/>
      <c r="O87" s="147"/>
      <c r="P87" s="147"/>
      <c r="Q87" s="147"/>
      <c r="R87" s="147"/>
    </row>
    <row r="88" spans="2:43">
      <c r="B88" s="147"/>
      <c r="C88" s="147"/>
      <c r="D88" s="147"/>
      <c r="E88" s="147"/>
      <c r="F88" s="147"/>
      <c r="G88" s="147"/>
      <c r="H88" s="147"/>
      <c r="I88" s="147"/>
      <c r="J88" s="147"/>
      <c r="K88" s="147"/>
      <c r="L88" s="147"/>
      <c r="M88" s="147"/>
      <c r="N88" s="147"/>
      <c r="O88" s="147"/>
      <c r="P88" s="147"/>
      <c r="Q88" s="147"/>
      <c r="R88" s="147"/>
    </row>
  </sheetData>
  <pageMargins left="0.3" right="0.32" top="0.63" bottom="0.65" header="0.5" footer="0.5"/>
  <pageSetup scale="46" orientation="landscape"/>
  <headerFooter alignWithMargins="0"/>
  <drawing r:id="rId1"/>
  <legacyDrawing r:id="rId2"/>
  <oleObjects>
    <mc:AlternateContent xmlns:mc="http://schemas.openxmlformats.org/markup-compatibility/2006">
      <mc:Choice Requires="x14">
        <oleObject progId="WPDraw30.Drawing" shapeId="9217" r:id="rId3">
          <objectPr defaultSize="0" autoPict="0" r:id="rId4">
            <anchor moveWithCells="1">
              <from>
                <xdr:col>1</xdr:col>
                <xdr:colOff>85725</xdr:colOff>
                <xdr:row>0</xdr:row>
                <xdr:rowOff>47625</xdr:rowOff>
              </from>
              <to>
                <xdr:col>1</xdr:col>
                <xdr:colOff>1304925</xdr:colOff>
                <xdr:row>6</xdr:row>
                <xdr:rowOff>190500</xdr:rowOff>
              </to>
            </anchor>
          </objectPr>
        </oleObject>
      </mc:Choice>
      <mc:Fallback>
        <oleObject progId="WPDraw30.Drawing" shapeId="9217" r:id="rId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49</vt:i4>
      </vt:variant>
    </vt:vector>
  </HeadingPairs>
  <TitlesOfParts>
    <vt:vector size="67" baseType="lpstr">
      <vt:lpstr>Internal</vt:lpstr>
      <vt:lpstr>Assum</vt:lpstr>
      <vt:lpstr>Merchant</vt:lpstr>
      <vt:lpstr>EWCIRR</vt:lpstr>
      <vt:lpstr>EWCSum</vt:lpstr>
      <vt:lpstr>Srcs_Uses</vt:lpstr>
      <vt:lpstr>CashFlow</vt:lpstr>
      <vt:lpstr>Revolver</vt:lpstr>
      <vt:lpstr>SrDebt</vt:lpstr>
      <vt:lpstr>JrDebt</vt:lpstr>
      <vt:lpstr>Income</vt:lpstr>
      <vt:lpstr>CapAcc</vt:lpstr>
      <vt:lpstr>Basis</vt:lpstr>
      <vt:lpstr>Outside</vt:lpstr>
      <vt:lpstr>EWC</vt:lpstr>
      <vt:lpstr>RAC</vt:lpstr>
      <vt:lpstr>Draw</vt:lpstr>
      <vt:lpstr>ExecSum</vt:lpstr>
      <vt:lpstr>Assum1</vt:lpstr>
      <vt:lpstr>Assum2</vt:lpstr>
      <vt:lpstr>Assum3</vt:lpstr>
      <vt:lpstr>Assum4</vt:lpstr>
      <vt:lpstr>Assum5</vt:lpstr>
      <vt:lpstr>Basis</vt:lpstr>
      <vt:lpstr>BS</vt:lpstr>
      <vt:lpstr>CapAcc</vt:lpstr>
      <vt:lpstr>Cashflow</vt:lpstr>
      <vt:lpstr>Draw</vt:lpstr>
      <vt:lpstr>EWC</vt:lpstr>
      <vt:lpstr>EWCSum</vt:lpstr>
      <vt:lpstr>ExecSum</vt:lpstr>
      <vt:lpstr>Income</vt:lpstr>
      <vt:lpstr>INFL</vt:lpstr>
      <vt:lpstr>InternAssum1</vt:lpstr>
      <vt:lpstr>InternAssum2</vt:lpstr>
      <vt:lpstr>JR_COVRATIO</vt:lpstr>
      <vt:lpstr>JRDebt</vt:lpstr>
      <vt:lpstr>MinGain</vt:lpstr>
      <vt:lpstr>Outside</vt:lpstr>
      <vt:lpstr>CashFlow!Print_Area</vt:lpstr>
      <vt:lpstr>Draw!Print_Area</vt:lpstr>
      <vt:lpstr>EWCSum!Print_Area</vt:lpstr>
      <vt:lpstr>Income!Print_Area</vt:lpstr>
      <vt:lpstr>SrDebt!Print_Titles</vt:lpstr>
      <vt:lpstr>RAC</vt:lpstr>
      <vt:lpstr>secure_index</vt:lpstr>
      <vt:lpstr>Sources_Uses</vt:lpstr>
      <vt:lpstr>SR_COVRATIO</vt:lpstr>
      <vt:lpstr>SR_COVRATIO_A</vt:lpstr>
      <vt:lpstr>SR_COVRATIO_B</vt:lpstr>
      <vt:lpstr>SRDebt</vt:lpstr>
      <vt:lpstr>XIRR</vt:lpstr>
      <vt:lpstr>zcell1</vt:lpstr>
      <vt:lpstr>zcell10</vt:lpstr>
      <vt:lpstr>zcell11</vt:lpstr>
      <vt:lpstr>zcell12</vt:lpstr>
      <vt:lpstr>zcell13</vt:lpstr>
      <vt:lpstr>zcell14</vt:lpstr>
      <vt:lpstr>zcell15</vt:lpstr>
      <vt:lpstr>zcell2</vt:lpstr>
      <vt:lpstr>zcell3</vt:lpstr>
      <vt:lpstr>zcell4</vt:lpstr>
      <vt:lpstr>zcell5</vt:lpstr>
      <vt:lpstr>zcell6</vt:lpstr>
      <vt:lpstr>zcell7</vt:lpstr>
      <vt:lpstr>zcell8</vt:lpstr>
      <vt:lpstr>zcell9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Eddie Moses</dc:creator>
  <cp:lastModifiedBy>Felienne</cp:lastModifiedBy>
  <cp:lastPrinted>2000-03-10T04:44:53Z</cp:lastPrinted>
  <dcterms:created xsi:type="dcterms:W3CDTF">1998-12-01T19:40:48Z</dcterms:created>
  <dcterms:modified xsi:type="dcterms:W3CDTF">2014-09-03T14:48:38Z</dcterms:modified>
</cp:coreProperties>
</file>