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780" windowWidth="13560" windowHeight="79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9" i="1" l="1"/>
  <c r="M9" i="1" s="1"/>
  <c r="L9" i="1"/>
  <c r="O9" i="1"/>
  <c r="P9" i="1"/>
  <c r="R9" i="1"/>
  <c r="U9" i="1"/>
  <c r="J10" i="1"/>
  <c r="L10" i="1" s="1"/>
  <c r="O10" i="1"/>
  <c r="U10" i="1"/>
  <c r="J11" i="1"/>
  <c r="M11" i="1" s="1"/>
  <c r="L11" i="1"/>
  <c r="U11" i="1"/>
  <c r="I12" i="1"/>
  <c r="I21" i="1" s="1"/>
  <c r="J12" i="1"/>
  <c r="P12" i="1" s="1"/>
  <c r="R12" i="1" s="1"/>
  <c r="L12" i="1"/>
  <c r="M12" i="1"/>
  <c r="O12" i="1"/>
  <c r="U12" i="1"/>
  <c r="I13" i="1"/>
  <c r="J13" i="1"/>
  <c r="P13" i="1" s="1"/>
  <c r="R13" i="1" s="1"/>
  <c r="L13" i="1"/>
  <c r="M13" i="1"/>
  <c r="N13" i="1"/>
  <c r="U13" i="1"/>
  <c r="I14" i="1"/>
  <c r="J14" i="1"/>
  <c r="P14" i="1" s="1"/>
  <c r="R14" i="1" s="1"/>
  <c r="L14" i="1"/>
  <c r="M14" i="1"/>
  <c r="O14" i="1"/>
  <c r="U14" i="1"/>
  <c r="I15" i="1"/>
  <c r="J15" i="1"/>
  <c r="P15" i="1" s="1"/>
  <c r="R15" i="1" s="1"/>
  <c r="L15" i="1"/>
  <c r="M15" i="1"/>
  <c r="N15" i="1"/>
  <c r="U15" i="1"/>
  <c r="J16" i="1"/>
  <c r="L16" i="1"/>
  <c r="M16" i="1"/>
  <c r="P16" i="1"/>
  <c r="R16" i="1" s="1"/>
  <c r="U16" i="1"/>
  <c r="J17" i="1"/>
  <c r="L17" i="1"/>
  <c r="M17" i="1"/>
  <c r="N17" i="1"/>
  <c r="P17" i="1"/>
  <c r="R17" i="1"/>
  <c r="J18" i="1"/>
  <c r="M18" i="1" s="1"/>
  <c r="L18" i="1"/>
  <c r="P18" i="1"/>
  <c r="R18" i="1"/>
  <c r="U18" i="1"/>
  <c r="E19" i="1"/>
  <c r="J19" i="1" s="1"/>
  <c r="F19" i="1"/>
  <c r="G19" i="1"/>
  <c r="U19" i="1"/>
  <c r="J20" i="1"/>
  <c r="L20" i="1" s="1"/>
  <c r="N20" i="1"/>
  <c r="U20" i="1"/>
  <c r="E21" i="1"/>
  <c r="J21" i="1" s="1"/>
  <c r="F21" i="1"/>
  <c r="G21" i="1"/>
  <c r="H21" i="1"/>
  <c r="K21" i="1"/>
  <c r="N21" i="1"/>
  <c r="O21" i="1"/>
  <c r="Q21" i="1"/>
  <c r="S21" i="1"/>
  <c r="T21" i="1"/>
  <c r="U21" i="1"/>
  <c r="P21" i="1" l="1"/>
  <c r="R21" i="1" s="1"/>
  <c r="L21" i="1"/>
  <c r="M21" i="1"/>
  <c r="P19" i="1"/>
  <c r="R19" i="1" s="1"/>
  <c r="L19" i="1"/>
  <c r="M19" i="1"/>
  <c r="P20" i="1"/>
  <c r="R20" i="1" s="1"/>
  <c r="P10" i="1"/>
  <c r="R10" i="1" s="1"/>
  <c r="M20" i="1"/>
  <c r="P11" i="1"/>
  <c r="R11" i="1" s="1"/>
  <c r="M10" i="1"/>
</calcChain>
</file>

<file path=xl/sharedStrings.xml><?xml version="1.0" encoding="utf-8"?>
<sst xmlns="http://schemas.openxmlformats.org/spreadsheetml/2006/main" count="50" uniqueCount="44">
  <si>
    <t>2001 Pro Forma</t>
  </si>
  <si>
    <t>Group Expenses</t>
  </si>
  <si>
    <t>2000</t>
  </si>
  <si>
    <t>People</t>
  </si>
  <si>
    <t>Office</t>
  </si>
  <si>
    <t>Equipment</t>
  </si>
  <si>
    <t>Consultants</t>
  </si>
  <si>
    <t>Other</t>
  </si>
  <si>
    <t>Total</t>
  </si>
  <si>
    <t>Variance</t>
  </si>
  <si>
    <t>Tot/HC</t>
  </si>
  <si>
    <t>Bill Out</t>
  </si>
  <si>
    <t>Stretch</t>
  </si>
  <si>
    <t>Net</t>
  </si>
  <si>
    <t>2000 Net</t>
  </si>
  <si>
    <t>Headcount</t>
  </si>
  <si>
    <t>BA&amp;R</t>
  </si>
  <si>
    <t>Colwell</t>
  </si>
  <si>
    <t>Transaction Support</t>
  </si>
  <si>
    <t>Energy Ops/EOL Trading</t>
  </si>
  <si>
    <t>Beck</t>
  </si>
  <si>
    <t>Human Resources</t>
  </si>
  <si>
    <t>Oxley</t>
  </si>
  <si>
    <t>Legal</t>
  </si>
  <si>
    <t>Haedicke</t>
  </si>
  <si>
    <t>Public Relations</t>
  </si>
  <si>
    <t>Thode</t>
  </si>
  <si>
    <t>Tax</t>
  </si>
  <si>
    <t>Douglas</t>
  </si>
  <si>
    <t>Research</t>
  </si>
  <si>
    <t>Kaminski</t>
  </si>
  <si>
    <t xml:space="preserve">e-source </t>
  </si>
  <si>
    <t>CABC</t>
  </si>
  <si>
    <t>Tholan</t>
  </si>
  <si>
    <t>Technical Services</t>
  </si>
  <si>
    <t>Redmond</t>
  </si>
  <si>
    <t>Treasury</t>
  </si>
  <si>
    <t>Defner</t>
  </si>
  <si>
    <t>TOTAL</t>
  </si>
  <si>
    <t>NOTES:</t>
  </si>
  <si>
    <t>* Other - includes net decrease due to expected corporate allocation;</t>
  </si>
  <si>
    <t>* Stretch- every group given a stretch charge of $83,000 in order to keep flat to 2000 forecast; includes negotiated numbers for BA&amp;R, Transaction Support, Energy Ops, Human Resources, Public Relations and Technical Services</t>
  </si>
  <si>
    <t>ENA BUDGET</t>
  </si>
  <si>
    <t>* Bill/Out - expected charge out to EIM/EGM/other for BA&amp;R, Transaction Support, Energy Ops, HR, Legal (including charge out of outside legal to ENA groups), Public Relations, Tax (including charge out of outside tax to ENA groups), Research, e-source (assume 60% outside ENA), CABC and Treasury(including $3.3M in facility costs for TurboPark)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</si>
</sst>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2" fillId="0" borderId="0" xfId="0" quotePrefix="1" applyFont="1"/>
    <xf numFmtId="44" fontId="0" fillId="0" borderId="0" xfId="1" applyFont="1"/>
    <xf numFmtId="1" fontId="0" fillId="0" borderId="0" xfId="1" applyNumberFormat="1" applyFont="1"/>
    <xf numFmtId="0" fontId="4" fillId="0" borderId="0" xfId="0" applyFont="1"/>
    <xf numFmtId="44" fontId="4" fillId="0" borderId="0" xfId="1" applyFont="1"/>
    <xf numFmtId="1" fontId="4" fillId="0" borderId="0" xfId="1" applyNumberFormat="1" applyFont="1"/>
    <xf numFmtId="0" fontId="2" fillId="0" borderId="0" xfId="0" applyFont="1" applyBorder="1"/>
    <xf numFmtId="44" fontId="3" fillId="0" borderId="0" xfId="1" applyFont="1" applyBorder="1"/>
    <xf numFmtId="44" fontId="2" fillId="0" borderId="0" xfId="1" applyFont="1" applyBorder="1"/>
    <xf numFmtId="44" fontId="0" fillId="0" borderId="0" xfId="1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44" fontId="3" fillId="0" borderId="3" xfId="1" applyFont="1" applyBorder="1"/>
    <xf numFmtId="44" fontId="3" fillId="0" borderId="4" xfId="1" applyFont="1" applyBorder="1"/>
    <xf numFmtId="44" fontId="2" fillId="0" borderId="3" xfId="1" applyFont="1" applyBorder="1"/>
    <xf numFmtId="44" fontId="2" fillId="0" borderId="4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0" fontId="3" fillId="0" borderId="8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U27"/>
  <sheetViews>
    <sheetView tabSelected="1" workbookViewId="0">
      <selection activeCell="C9" sqref="C9"/>
    </sheetView>
  </sheetViews>
  <sheetFormatPr defaultRowHeight="12.75" x14ac:dyDescent="0.2"/>
  <cols>
    <col min="3" max="3" width="24" customWidth="1"/>
    <col min="5" max="5" width="15.140625" customWidth="1"/>
    <col min="6" max="6" width="15" customWidth="1"/>
    <col min="7" max="7" width="16.7109375" customWidth="1"/>
    <col min="8" max="8" width="16.42578125" customWidth="1"/>
    <col min="9" max="9" width="15" customWidth="1"/>
    <col min="10" max="10" width="16.7109375" customWidth="1"/>
    <col min="11" max="11" width="16" customWidth="1"/>
    <col min="12" max="12" width="14.85546875" customWidth="1"/>
    <col min="13" max="13" width="16.7109375" customWidth="1"/>
    <col min="14" max="14" width="17.28515625" customWidth="1"/>
    <col min="15" max="15" width="15.7109375" customWidth="1"/>
    <col min="16" max="16" width="16.28515625" customWidth="1"/>
    <col min="17" max="17" width="15" customWidth="1"/>
    <col min="18" max="18" width="15.28515625" customWidth="1"/>
  </cols>
  <sheetData>
    <row r="6" spans="3:21" ht="13.5" thickBot="1" x14ac:dyDescent="0.25">
      <c r="D6" s="1" t="s">
        <v>0</v>
      </c>
    </row>
    <row r="7" spans="3:21" ht="13.5" thickTop="1" x14ac:dyDescent="0.2">
      <c r="C7" s="1" t="s">
        <v>1</v>
      </c>
      <c r="P7" s="14"/>
      <c r="Q7" s="27" t="s">
        <v>42</v>
      </c>
      <c r="R7" s="15"/>
      <c r="T7" s="2" t="s">
        <v>2</v>
      </c>
      <c r="U7" s="3"/>
    </row>
    <row r="8" spans="3:21" x14ac:dyDescent="0.2"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4" t="s">
        <v>2</v>
      </c>
      <c r="L8" s="1" t="s">
        <v>9</v>
      </c>
      <c r="M8" s="1" t="s">
        <v>10</v>
      </c>
      <c r="N8" s="1" t="s">
        <v>11</v>
      </c>
      <c r="O8" s="1" t="s">
        <v>12</v>
      </c>
      <c r="P8" s="16" t="s">
        <v>13</v>
      </c>
      <c r="Q8" s="10" t="s">
        <v>14</v>
      </c>
      <c r="R8" s="17" t="s">
        <v>9</v>
      </c>
      <c r="S8" s="1" t="s">
        <v>15</v>
      </c>
      <c r="T8" s="1" t="s">
        <v>15</v>
      </c>
      <c r="U8" s="1" t="s">
        <v>9</v>
      </c>
    </row>
    <row r="9" spans="3:21" x14ac:dyDescent="0.2">
      <c r="C9" s="3" t="s">
        <v>16</v>
      </c>
      <c r="D9" t="s">
        <v>17</v>
      </c>
      <c r="E9" s="5">
        <v>10050000</v>
      </c>
      <c r="F9" s="5">
        <v>818000</v>
      </c>
      <c r="G9" s="5">
        <v>528000</v>
      </c>
      <c r="H9" s="5">
        <v>188000</v>
      </c>
      <c r="I9" s="5">
        <v>374000</v>
      </c>
      <c r="J9" s="5">
        <f t="shared" ref="J9:J21" si="0">SUM(E9:I9)</f>
        <v>11958000</v>
      </c>
      <c r="K9" s="5">
        <v>11487000</v>
      </c>
      <c r="L9" s="5">
        <f t="shared" ref="L9:L21" si="1">+J9-K9</f>
        <v>471000</v>
      </c>
      <c r="M9" s="5">
        <f t="shared" ref="M9:M21" si="2">+J9/S9</f>
        <v>96435.483870967742</v>
      </c>
      <c r="N9" s="5">
        <v>700000</v>
      </c>
      <c r="O9" s="5">
        <f>471000+83000</f>
        <v>554000</v>
      </c>
      <c r="P9" s="18">
        <f t="shared" ref="P9:P21" si="3">+J9-N9-O9</f>
        <v>10704000</v>
      </c>
      <c r="Q9" s="11">
        <v>10787000</v>
      </c>
      <c r="R9" s="19">
        <f t="shared" ref="R9:R21" si="4">+P9-Q9</f>
        <v>-83000</v>
      </c>
      <c r="S9" s="6">
        <v>124</v>
      </c>
      <c r="T9" s="6">
        <v>118</v>
      </c>
      <c r="U9" s="6">
        <f t="shared" ref="U9:U20" si="5">+S9-T9</f>
        <v>6</v>
      </c>
    </row>
    <row r="10" spans="3:21" x14ac:dyDescent="0.2">
      <c r="C10" s="3" t="s">
        <v>18</v>
      </c>
      <c r="D10" t="s">
        <v>17</v>
      </c>
      <c r="E10" s="5">
        <v>2600000</v>
      </c>
      <c r="F10" s="5">
        <v>89000</v>
      </c>
      <c r="G10" s="5">
        <v>37000</v>
      </c>
      <c r="H10" s="5">
        <v>1200000</v>
      </c>
      <c r="I10" s="5">
        <v>0</v>
      </c>
      <c r="J10" s="5">
        <f t="shared" si="0"/>
        <v>3926000</v>
      </c>
      <c r="K10" s="5">
        <v>2373000</v>
      </c>
      <c r="L10" s="5">
        <f t="shared" si="1"/>
        <v>1553000</v>
      </c>
      <c r="M10" s="5">
        <f t="shared" si="2"/>
        <v>261733.33333333334</v>
      </c>
      <c r="N10" s="5">
        <v>1500000</v>
      </c>
      <c r="O10" s="5">
        <f>353000+83000</f>
        <v>436000</v>
      </c>
      <c r="P10" s="18">
        <f t="shared" si="3"/>
        <v>1990000</v>
      </c>
      <c r="Q10" s="11">
        <v>2073000</v>
      </c>
      <c r="R10" s="19">
        <f t="shared" si="4"/>
        <v>-83000</v>
      </c>
      <c r="S10" s="6">
        <v>15</v>
      </c>
      <c r="T10" s="6">
        <v>11</v>
      </c>
      <c r="U10" s="6">
        <f t="shared" si="5"/>
        <v>4</v>
      </c>
    </row>
    <row r="11" spans="3:21" x14ac:dyDescent="0.2">
      <c r="C11" s="3" t="s">
        <v>19</v>
      </c>
      <c r="D11" t="s">
        <v>20</v>
      </c>
      <c r="E11" s="5">
        <v>35452000</v>
      </c>
      <c r="F11" s="5">
        <v>4407000</v>
      </c>
      <c r="G11" s="5">
        <v>8009000</v>
      </c>
      <c r="H11" s="5">
        <v>1977000</v>
      </c>
      <c r="I11" s="5">
        <v>-1550000</v>
      </c>
      <c r="J11" s="5">
        <f t="shared" si="0"/>
        <v>48295000</v>
      </c>
      <c r="K11" s="5">
        <v>43099000</v>
      </c>
      <c r="L11" s="5">
        <f t="shared" si="1"/>
        <v>5196000</v>
      </c>
      <c r="M11" s="5">
        <f t="shared" si="2"/>
        <v>104308.85529157668</v>
      </c>
      <c r="N11" s="5">
        <v>5364000</v>
      </c>
      <c r="O11" s="5">
        <v>1083000</v>
      </c>
      <c r="P11" s="18">
        <f t="shared" si="3"/>
        <v>41848000</v>
      </c>
      <c r="Q11" s="11">
        <v>38299000</v>
      </c>
      <c r="R11" s="19">
        <f t="shared" si="4"/>
        <v>3549000</v>
      </c>
      <c r="S11" s="6">
        <v>463</v>
      </c>
      <c r="T11" s="6">
        <v>455</v>
      </c>
      <c r="U11" s="6">
        <f t="shared" si="5"/>
        <v>8</v>
      </c>
    </row>
    <row r="12" spans="3:21" x14ac:dyDescent="0.2">
      <c r="C12" s="3" t="s">
        <v>21</v>
      </c>
      <c r="D12" t="s">
        <v>22</v>
      </c>
      <c r="E12" s="5">
        <v>6488000</v>
      </c>
      <c r="F12" s="5">
        <v>616000</v>
      </c>
      <c r="G12" s="5">
        <v>338000</v>
      </c>
      <c r="H12" s="5">
        <v>881000</v>
      </c>
      <c r="I12" s="5">
        <f>1657000-1500000</f>
        <v>157000</v>
      </c>
      <c r="J12" s="5">
        <f t="shared" si="0"/>
        <v>8480000</v>
      </c>
      <c r="K12" s="5">
        <v>4543000</v>
      </c>
      <c r="L12" s="5">
        <f t="shared" si="1"/>
        <v>3937000</v>
      </c>
      <c r="M12" s="5">
        <f t="shared" si="2"/>
        <v>122898.55072463768</v>
      </c>
      <c r="N12" s="5">
        <v>2796000</v>
      </c>
      <c r="O12" s="5">
        <f>684000+83000</f>
        <v>767000</v>
      </c>
      <c r="P12" s="18">
        <f t="shared" si="3"/>
        <v>4917000</v>
      </c>
      <c r="Q12" s="11">
        <v>2443000</v>
      </c>
      <c r="R12" s="19">
        <f t="shared" si="4"/>
        <v>2474000</v>
      </c>
      <c r="S12" s="6">
        <v>69</v>
      </c>
      <c r="T12" s="6">
        <v>41</v>
      </c>
      <c r="U12" s="6">
        <f t="shared" si="5"/>
        <v>28</v>
      </c>
    </row>
    <row r="13" spans="3:21" x14ac:dyDescent="0.2">
      <c r="C13" s="3" t="s">
        <v>23</v>
      </c>
      <c r="D13" t="s">
        <v>24</v>
      </c>
      <c r="E13" s="5">
        <v>14836000</v>
      </c>
      <c r="F13" s="5">
        <v>1307000</v>
      </c>
      <c r="G13" s="5">
        <v>550000</v>
      </c>
      <c r="H13" s="5">
        <v>18054000</v>
      </c>
      <c r="I13" s="5">
        <f>2214000-2200000</f>
        <v>14000</v>
      </c>
      <c r="J13" s="5">
        <f t="shared" si="0"/>
        <v>34761000</v>
      </c>
      <c r="K13" s="5">
        <v>38298000</v>
      </c>
      <c r="L13" s="5">
        <f t="shared" si="1"/>
        <v>-3537000</v>
      </c>
      <c r="M13" s="5">
        <f t="shared" si="2"/>
        <v>381989.01098901097</v>
      </c>
      <c r="N13" s="5">
        <f>9597000+14385000</f>
        <v>23982000</v>
      </c>
      <c r="O13" s="5">
        <v>83000</v>
      </c>
      <c r="P13" s="18">
        <f t="shared" si="3"/>
        <v>10696000</v>
      </c>
      <c r="Q13" s="11">
        <v>15602000</v>
      </c>
      <c r="R13" s="19">
        <f t="shared" si="4"/>
        <v>-4906000</v>
      </c>
      <c r="S13" s="6">
        <v>91</v>
      </c>
      <c r="T13" s="6">
        <v>96</v>
      </c>
      <c r="U13" s="6">
        <f t="shared" si="5"/>
        <v>-5</v>
      </c>
    </row>
    <row r="14" spans="3:21" x14ac:dyDescent="0.2">
      <c r="C14" s="3" t="s">
        <v>25</v>
      </c>
      <c r="D14" t="s">
        <v>26</v>
      </c>
      <c r="E14" s="5">
        <v>864000</v>
      </c>
      <c r="F14" s="5">
        <v>1708000</v>
      </c>
      <c r="G14" s="5">
        <v>67000</v>
      </c>
      <c r="H14" s="5">
        <v>87000</v>
      </c>
      <c r="I14" s="5">
        <f>271000-300000</f>
        <v>-29000</v>
      </c>
      <c r="J14" s="5">
        <f t="shared" si="0"/>
        <v>2697000</v>
      </c>
      <c r="K14" s="5">
        <v>2642000</v>
      </c>
      <c r="L14" s="5">
        <f t="shared" si="1"/>
        <v>55000</v>
      </c>
      <c r="M14" s="5">
        <f t="shared" si="2"/>
        <v>299666.66666666669</v>
      </c>
      <c r="N14" s="5">
        <v>0</v>
      </c>
      <c r="O14" s="5">
        <f>1000000+83000</f>
        <v>1083000</v>
      </c>
      <c r="P14" s="18">
        <f t="shared" si="3"/>
        <v>1614000</v>
      </c>
      <c r="Q14" s="11">
        <v>2442000</v>
      </c>
      <c r="R14" s="19">
        <f t="shared" si="4"/>
        <v>-828000</v>
      </c>
      <c r="S14" s="6">
        <v>9</v>
      </c>
      <c r="T14" s="6">
        <v>9</v>
      </c>
      <c r="U14" s="6">
        <f t="shared" si="5"/>
        <v>0</v>
      </c>
    </row>
    <row r="15" spans="3:21" x14ac:dyDescent="0.2">
      <c r="C15" s="3" t="s">
        <v>27</v>
      </c>
      <c r="D15" t="s">
        <v>28</v>
      </c>
      <c r="E15" s="5">
        <v>4484000</v>
      </c>
      <c r="F15" s="5">
        <v>330000</v>
      </c>
      <c r="G15" s="5">
        <v>259000</v>
      </c>
      <c r="H15" s="5">
        <v>954000</v>
      </c>
      <c r="I15" s="5">
        <f>1553000-1600000</f>
        <v>-47000</v>
      </c>
      <c r="J15" s="5">
        <f t="shared" si="0"/>
        <v>5980000</v>
      </c>
      <c r="K15" s="5">
        <v>5395000</v>
      </c>
      <c r="L15" s="5">
        <f t="shared" si="1"/>
        <v>585000</v>
      </c>
      <c r="M15" s="5">
        <f t="shared" si="2"/>
        <v>157368.42105263157</v>
      </c>
      <c r="N15" s="5">
        <f>2519000+524000</f>
        <v>3043000</v>
      </c>
      <c r="O15" s="5">
        <v>83000</v>
      </c>
      <c r="P15" s="18">
        <f t="shared" si="3"/>
        <v>2854000</v>
      </c>
      <c r="Q15" s="11">
        <v>3638000</v>
      </c>
      <c r="R15" s="19">
        <f t="shared" si="4"/>
        <v>-784000</v>
      </c>
      <c r="S15" s="6">
        <v>38</v>
      </c>
      <c r="T15" s="6">
        <v>27</v>
      </c>
      <c r="U15" s="6">
        <f t="shared" si="5"/>
        <v>11</v>
      </c>
    </row>
    <row r="16" spans="3:21" x14ac:dyDescent="0.2">
      <c r="C16" s="3" t="s">
        <v>29</v>
      </c>
      <c r="D16" t="s">
        <v>30</v>
      </c>
      <c r="E16" s="5">
        <v>8522000</v>
      </c>
      <c r="F16" s="5">
        <v>602000</v>
      </c>
      <c r="G16" s="5">
        <v>546000</v>
      </c>
      <c r="H16" s="5">
        <v>458000</v>
      </c>
      <c r="I16" s="5">
        <v>393000</v>
      </c>
      <c r="J16" s="5">
        <f t="shared" si="0"/>
        <v>10521000</v>
      </c>
      <c r="K16" s="5">
        <v>3762000</v>
      </c>
      <c r="L16" s="5">
        <f t="shared" si="1"/>
        <v>6759000</v>
      </c>
      <c r="M16" s="5">
        <f t="shared" si="2"/>
        <v>175350</v>
      </c>
      <c r="N16" s="5">
        <v>8238000</v>
      </c>
      <c r="O16" s="5">
        <v>83000</v>
      </c>
      <c r="P16" s="18">
        <f t="shared" si="3"/>
        <v>2200000</v>
      </c>
      <c r="Q16" s="11">
        <v>2362000</v>
      </c>
      <c r="R16" s="19">
        <f t="shared" si="4"/>
        <v>-162000</v>
      </c>
      <c r="S16" s="6">
        <v>60</v>
      </c>
      <c r="T16" s="6">
        <v>42</v>
      </c>
      <c r="U16" s="6">
        <f t="shared" si="5"/>
        <v>18</v>
      </c>
    </row>
    <row r="17" spans="3:21" x14ac:dyDescent="0.2">
      <c r="C17" s="3" t="s">
        <v>31</v>
      </c>
      <c r="D17" t="s">
        <v>17</v>
      </c>
      <c r="E17" s="5">
        <v>1213596</v>
      </c>
      <c r="F17" s="5">
        <v>351021</v>
      </c>
      <c r="G17" s="5">
        <v>388923</v>
      </c>
      <c r="H17" s="5">
        <v>192000</v>
      </c>
      <c r="I17" s="5">
        <v>0</v>
      </c>
      <c r="J17" s="5">
        <f>SUM(E17:I17)</f>
        <v>2145540</v>
      </c>
      <c r="K17" s="5">
        <v>0</v>
      </c>
      <c r="L17" s="5">
        <f>+J17-K17</f>
        <v>2145540</v>
      </c>
      <c r="M17" s="5">
        <f t="shared" si="2"/>
        <v>134096.25</v>
      </c>
      <c r="N17" s="5">
        <f>2145540*0.6</f>
        <v>1287324</v>
      </c>
      <c r="O17" s="5">
        <v>83000</v>
      </c>
      <c r="P17" s="18">
        <f>+J17-N17-O17</f>
        <v>775216</v>
      </c>
      <c r="Q17" s="11">
        <v>0</v>
      </c>
      <c r="R17" s="19">
        <f>+P17-Q17</f>
        <v>775216</v>
      </c>
      <c r="S17" s="6">
        <v>16</v>
      </c>
      <c r="T17" s="6">
        <v>16</v>
      </c>
      <c r="U17" s="6">
        <v>0</v>
      </c>
    </row>
    <row r="18" spans="3:21" x14ac:dyDescent="0.2">
      <c r="C18" s="3" t="s">
        <v>32</v>
      </c>
      <c r="D18" t="s">
        <v>33</v>
      </c>
      <c r="E18" s="5">
        <v>2055700</v>
      </c>
      <c r="F18" s="5">
        <v>393000</v>
      </c>
      <c r="G18" s="5">
        <v>180967</v>
      </c>
      <c r="H18" s="5">
        <v>500000</v>
      </c>
      <c r="I18" s="5">
        <v>0</v>
      </c>
      <c r="J18" s="5">
        <f t="shared" si="0"/>
        <v>3129667</v>
      </c>
      <c r="K18" s="5">
        <v>3324000</v>
      </c>
      <c r="L18" s="5">
        <f t="shared" si="1"/>
        <v>-194333</v>
      </c>
      <c r="M18" s="5">
        <f t="shared" si="2"/>
        <v>195604.1875</v>
      </c>
      <c r="N18" s="5">
        <v>2100000</v>
      </c>
      <c r="O18" s="5">
        <v>83000</v>
      </c>
      <c r="P18" s="18">
        <f t="shared" si="3"/>
        <v>946667</v>
      </c>
      <c r="Q18" s="11">
        <v>3324000</v>
      </c>
      <c r="R18" s="19">
        <f t="shared" si="4"/>
        <v>-2377333</v>
      </c>
      <c r="S18" s="6">
        <v>16</v>
      </c>
      <c r="T18" s="6">
        <v>16</v>
      </c>
      <c r="U18" s="6">
        <f t="shared" si="5"/>
        <v>0</v>
      </c>
    </row>
    <row r="19" spans="3:21" x14ac:dyDescent="0.2">
      <c r="C19" s="3" t="s">
        <v>34</v>
      </c>
      <c r="D19" t="s">
        <v>35</v>
      </c>
      <c r="E19" s="5">
        <f>3069056+613523+1500503</f>
        <v>5183082</v>
      </c>
      <c r="F19" s="5">
        <f>107146+47960+32283</f>
        <v>187389</v>
      </c>
      <c r="G19" s="5">
        <f>56277+154364+281970+66</f>
        <v>492677</v>
      </c>
      <c r="H19" s="5">
        <v>11971</v>
      </c>
      <c r="I19" s="5">
        <v>0</v>
      </c>
      <c r="J19" s="5">
        <f t="shared" si="0"/>
        <v>5875119</v>
      </c>
      <c r="K19" s="5">
        <v>3023000</v>
      </c>
      <c r="L19" s="5">
        <f t="shared" si="1"/>
        <v>2852119</v>
      </c>
      <c r="M19" s="5">
        <f t="shared" si="2"/>
        <v>225966.11538461538</v>
      </c>
      <c r="N19" s="5">
        <v>0</v>
      </c>
      <c r="O19" s="5">
        <v>83000</v>
      </c>
      <c r="P19" s="18">
        <f t="shared" si="3"/>
        <v>5792119</v>
      </c>
      <c r="Q19" s="11">
        <v>3023000</v>
      </c>
      <c r="R19" s="19">
        <f t="shared" si="4"/>
        <v>2769119</v>
      </c>
      <c r="S19" s="6">
        <v>26</v>
      </c>
      <c r="T19" s="6">
        <v>11</v>
      </c>
      <c r="U19" s="6">
        <f t="shared" si="5"/>
        <v>15</v>
      </c>
    </row>
    <row r="20" spans="3:21" x14ac:dyDescent="0.2">
      <c r="C20" s="1" t="s">
        <v>36</v>
      </c>
      <c r="D20" s="7" t="s">
        <v>37</v>
      </c>
      <c r="E20" s="8">
        <v>3343000</v>
      </c>
      <c r="F20" s="8">
        <v>263000</v>
      </c>
      <c r="G20" s="8">
        <v>114000</v>
      </c>
      <c r="H20" s="8">
        <v>0</v>
      </c>
      <c r="I20" s="8">
        <v>3333000</v>
      </c>
      <c r="J20" s="8">
        <f t="shared" si="0"/>
        <v>7053000</v>
      </c>
      <c r="K20" s="8">
        <v>3170000</v>
      </c>
      <c r="L20" s="8">
        <f t="shared" si="1"/>
        <v>3883000</v>
      </c>
      <c r="M20" s="8">
        <f t="shared" si="2"/>
        <v>306652.17391304346</v>
      </c>
      <c r="N20" s="8">
        <f>809000+3333333</f>
        <v>4142333</v>
      </c>
      <c r="O20" s="8">
        <v>84669</v>
      </c>
      <c r="P20" s="20">
        <f t="shared" si="3"/>
        <v>2825998</v>
      </c>
      <c r="Q20" s="12">
        <v>3170000</v>
      </c>
      <c r="R20" s="21">
        <f t="shared" si="4"/>
        <v>-344002</v>
      </c>
      <c r="S20" s="9">
        <v>23</v>
      </c>
      <c r="T20" s="9">
        <v>15</v>
      </c>
      <c r="U20" s="9">
        <f t="shared" si="5"/>
        <v>8</v>
      </c>
    </row>
    <row r="21" spans="3:21" x14ac:dyDescent="0.2">
      <c r="C21" s="3" t="s">
        <v>38</v>
      </c>
      <c r="E21" s="5">
        <f>SUM(E9:E20)</f>
        <v>95091378</v>
      </c>
      <c r="F21" s="5">
        <f>SUM(F9:F20)</f>
        <v>11071410</v>
      </c>
      <c r="G21" s="5">
        <f>SUM(G9:G20)</f>
        <v>11510567</v>
      </c>
      <c r="H21" s="5">
        <f>SUM(H9:H20)</f>
        <v>24502971</v>
      </c>
      <c r="I21" s="5">
        <f>SUM(I9:I20)</f>
        <v>2645000</v>
      </c>
      <c r="J21" s="5">
        <f t="shared" si="0"/>
        <v>144821326</v>
      </c>
      <c r="K21" s="5">
        <f>SUM(K9:K20)</f>
        <v>121116000</v>
      </c>
      <c r="L21" s="5">
        <f t="shared" si="1"/>
        <v>23705326</v>
      </c>
      <c r="M21" s="5">
        <f t="shared" si="2"/>
        <v>152443.50105263159</v>
      </c>
      <c r="N21" s="5">
        <f>SUM(N9:N20)</f>
        <v>53152657</v>
      </c>
      <c r="O21" s="5">
        <f>SUM(O9:O20)</f>
        <v>4505669</v>
      </c>
      <c r="P21" s="18">
        <f t="shared" si="3"/>
        <v>87163000</v>
      </c>
      <c r="Q21" s="11">
        <f>SUM(Q9:Q20)</f>
        <v>87163000</v>
      </c>
      <c r="R21" s="19">
        <f t="shared" si="4"/>
        <v>0</v>
      </c>
      <c r="S21" s="6">
        <f>SUM(S9:S20)</f>
        <v>950</v>
      </c>
      <c r="T21" s="6">
        <f>SUM(T9:T20)</f>
        <v>857</v>
      </c>
      <c r="U21" s="6">
        <f>SUM(U9:U20)</f>
        <v>93</v>
      </c>
    </row>
    <row r="22" spans="3:21" x14ac:dyDescent="0.2"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22"/>
      <c r="Q22" s="13"/>
      <c r="R22" s="23"/>
      <c r="S22" s="6"/>
      <c r="T22" s="6"/>
      <c r="U22" s="6"/>
    </row>
    <row r="23" spans="3:21" ht="13.5" thickBot="1" x14ac:dyDescent="0.25">
      <c r="C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24"/>
      <c r="Q23" s="25"/>
      <c r="R23" s="26"/>
      <c r="S23" s="6"/>
      <c r="T23" s="6"/>
      <c r="U23" s="6"/>
    </row>
    <row r="24" spans="3:21" ht="13.5" thickTop="1" x14ac:dyDescent="0.2">
      <c r="C24" t="s">
        <v>40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6"/>
      <c r="T24" s="6"/>
      <c r="U24" s="6"/>
    </row>
    <row r="25" spans="3:21" x14ac:dyDescent="0.2">
      <c r="C25" t="s">
        <v>43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6"/>
      <c r="U25" s="6"/>
    </row>
    <row r="26" spans="3:21" x14ac:dyDescent="0.2">
      <c r="C26" t="s">
        <v>41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6"/>
      <c r="U26" s="6"/>
    </row>
    <row r="27" spans="3:21" x14ac:dyDescent="0.2">
      <c r="E27" s="5"/>
      <c r="F27" s="5"/>
      <c r="G27" s="5"/>
      <c r="H27" s="5"/>
      <c r="I27" s="5"/>
      <c r="S27" s="6"/>
      <c r="T27" s="6"/>
      <c r="U27" s="6"/>
    </row>
  </sheetData>
  <pageMargins left="0.75" right="0.75" top="1" bottom="1" header="0.5" footer="0.5"/>
  <pageSetup paperSize="5" scale="53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Felienne</cp:lastModifiedBy>
  <cp:lastPrinted>2000-11-09T23:59:15Z</cp:lastPrinted>
  <dcterms:created xsi:type="dcterms:W3CDTF">2000-11-09T23:54:23Z</dcterms:created>
  <dcterms:modified xsi:type="dcterms:W3CDTF">2014-09-03T14:52:51Z</dcterms:modified>
</cp:coreProperties>
</file>