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285" windowWidth="9645" windowHeight="6525" activeTab="1"/>
  </bookViews>
  <sheets>
    <sheet name="60 MW" sheetId="17" r:id="rId1"/>
    <sheet name="140 MW" sheetId="19" r:id="rId2"/>
    <sheet name="Sheet6" sheetId="5" r:id="rId3"/>
    <sheet name="Sheet7" sheetId="6" r:id="rId4"/>
    <sheet name="Sheet8" sheetId="7" r:id="rId5"/>
    <sheet name="Sheet9" sheetId="8" r:id="rId6"/>
    <sheet name="Sheet10" sheetId="9" r:id="rId7"/>
    <sheet name="Sheet11" sheetId="10" r:id="rId8"/>
    <sheet name="Sheet12" sheetId="11" r:id="rId9"/>
    <sheet name="Sheet13" sheetId="12" r:id="rId10"/>
    <sheet name="Sheet14" sheetId="13" r:id="rId11"/>
    <sheet name="Sheet15" sheetId="14" r:id="rId12"/>
    <sheet name="Sheet16" sheetId="15" r:id="rId13"/>
  </sheets>
  <calcPr calcId="152511"/>
</workbook>
</file>

<file path=xl/calcChain.xml><?xml version="1.0" encoding="utf-8"?>
<calcChain xmlns="http://schemas.openxmlformats.org/spreadsheetml/2006/main">
  <c r="E6" i="19" l="1"/>
  <c r="C10" i="19"/>
  <c r="C12" i="19" s="1"/>
  <c r="C14" i="19" s="1"/>
  <c r="B12" i="19"/>
  <c r="B14" i="19" s="1"/>
  <c r="B13" i="19"/>
  <c r="C13" i="19"/>
  <c r="E18" i="19"/>
  <c r="E19" i="19"/>
  <c r="E20" i="19"/>
  <c r="E21" i="19"/>
  <c r="E22" i="19"/>
  <c r="B26" i="19"/>
  <c r="B31" i="19"/>
  <c r="B36" i="19"/>
  <c r="B39" i="19"/>
  <c r="E40" i="19"/>
  <c r="E41" i="19" s="1"/>
  <c r="E6" i="17"/>
  <c r="C12" i="17" s="1"/>
  <c r="C14" i="17" s="1"/>
  <c r="C10" i="17"/>
  <c r="B12" i="17"/>
  <c r="B14" i="17" s="1"/>
  <c r="B13" i="17"/>
  <c r="C13" i="17"/>
  <c r="E18" i="17"/>
  <c r="E28" i="17" s="1"/>
  <c r="E19" i="17"/>
  <c r="E20" i="17"/>
  <c r="E21" i="17"/>
  <c r="E22" i="17"/>
  <c r="E23" i="17"/>
  <c r="B26" i="17"/>
  <c r="B31" i="17"/>
  <c r="B36" i="17"/>
  <c r="B39" i="17"/>
  <c r="E40" i="17"/>
  <c r="E41" i="17"/>
  <c r="B32" i="17" s="1"/>
  <c r="B30" i="17" l="1"/>
  <c r="B35" i="17" s="1"/>
  <c r="B37" i="17" s="1"/>
  <c r="B41" i="17" s="1"/>
  <c r="E28" i="19"/>
  <c r="B32" i="19"/>
  <c r="E23" i="19"/>
  <c r="E29" i="17"/>
  <c r="E30" i="17"/>
  <c r="B33" i="17" s="1"/>
  <c r="E29" i="19" l="1"/>
  <c r="E30" i="19" s="1"/>
  <c r="B33" i="19" l="1"/>
  <c r="B30" i="19"/>
  <c r="B35" i="19" s="1"/>
  <c r="B37" i="19" s="1"/>
  <c r="B41" i="19" s="1"/>
</calcChain>
</file>

<file path=xl/sharedStrings.xml><?xml version="1.0" encoding="utf-8"?>
<sst xmlns="http://schemas.openxmlformats.org/spreadsheetml/2006/main" count="128" uniqueCount="62">
  <si>
    <t>Percent Debt Financing</t>
  </si>
  <si>
    <t>Annual Debt Interest Rate (%)</t>
  </si>
  <si>
    <t>Debt Life (Yrs)</t>
  </si>
  <si>
    <t>After-Tax Equity Return (%)</t>
  </si>
  <si>
    <t>Project Life (Yrs)</t>
  </si>
  <si>
    <t>Income Tax Rate (%)</t>
  </si>
  <si>
    <t>Before-Tax Equity Return (%)</t>
  </si>
  <si>
    <t>Debt Life</t>
  </si>
  <si>
    <t>Remainder</t>
  </si>
  <si>
    <t>Prop. of Equity Return in Period</t>
  </si>
  <si>
    <t>Capital Recovery (%)</t>
  </si>
  <si>
    <t xml:space="preserve">  Equity Portion</t>
  </si>
  <si>
    <t xml:space="preserve">  Debt Portion</t>
  </si>
  <si>
    <t>Total Capital Recovery (%)</t>
  </si>
  <si>
    <t>Capital Recovery</t>
  </si>
  <si>
    <t>Version 1</t>
  </si>
  <si>
    <t>Project Economics</t>
  </si>
  <si>
    <t>EPC Price ($MM)</t>
  </si>
  <si>
    <t>Construction Period (Months)</t>
  </si>
  <si>
    <t>Annual Hours of Operation</t>
  </si>
  <si>
    <t>Fuel Cost ($/MMBtu)</t>
  </si>
  <si>
    <t>Steam Sales (klb/hr)</t>
  </si>
  <si>
    <t>Steam Energy (Btu/lb)</t>
  </si>
  <si>
    <t>Steam Generation Efficiency (%)</t>
  </si>
  <si>
    <t>Revenue Requirement</t>
  </si>
  <si>
    <t>$MM/yr</t>
  </si>
  <si>
    <t>O&amp;M Expense</t>
  </si>
  <si>
    <t>Insurance &amp; Taxes</t>
  </si>
  <si>
    <t xml:space="preserve">  Subtotal</t>
  </si>
  <si>
    <t>Less: Steam Sales</t>
  </si>
  <si>
    <t>Power Sales</t>
  </si>
  <si>
    <t>Power Price ($/MWh)</t>
  </si>
  <si>
    <t>Capex</t>
  </si>
  <si>
    <t>EPC Price</t>
  </si>
  <si>
    <t>Spare Parts</t>
  </si>
  <si>
    <t>Land</t>
  </si>
  <si>
    <t>Owner's Engineer</t>
  </si>
  <si>
    <t>Construction Insurance</t>
  </si>
  <si>
    <t>O&amp;M Mobilization</t>
  </si>
  <si>
    <t>IDC</t>
  </si>
  <si>
    <t>Financing Costs</t>
  </si>
  <si>
    <t>Legal Costs</t>
  </si>
  <si>
    <t>Working Capital</t>
  </si>
  <si>
    <t xml:space="preserve">  Total Capex</t>
  </si>
  <si>
    <t>O&amp;M Expenses</t>
  </si>
  <si>
    <t>Payroll</t>
  </si>
  <si>
    <t>Administration</t>
  </si>
  <si>
    <t>Chemicals</t>
  </si>
  <si>
    <t>Routine Maintenance</t>
  </si>
  <si>
    <t>Major Maintenance</t>
  </si>
  <si>
    <t>Fee</t>
  </si>
  <si>
    <t xml:space="preserve">  Total O&amp;M Expenses</t>
  </si>
  <si>
    <t>Average Output (MW)</t>
  </si>
  <si>
    <t>Land Lease</t>
  </si>
  <si>
    <t>Fuel</t>
  </si>
  <si>
    <t>Development Costs &amp; Fees</t>
  </si>
  <si>
    <t>Steam Price Calculated ($/klb)</t>
  </si>
  <si>
    <t>Avg. HHV Heat Rate (Btu/kWh)</t>
  </si>
  <si>
    <t>Steam Price Specified ($/klb)</t>
  </si>
  <si>
    <t>Power Sales (MWh/yr)</t>
  </si>
  <si>
    <t>Pueblo 60 MW CC</t>
  </si>
  <si>
    <t>Pueblo 140 MW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</si>
</sst>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66" formatCode="0.0"/>
    <numFmt numFmtId="172" formatCode="_(* #,##0_);_(* \(#,##0\);_(* &quot;-&quot;??_);_(@_)"/>
    <numFmt numFmtId="184" formatCode="_(&quot;$&quot;* #,##0.0_);_(&quot;$&quot;* \(#,##0.0\);_(&quot;$&quot;* &quot;-&quot;_);_(@_)"/>
    <numFmt numFmtId="186" formatCode="_(&quot;$&quot;* #,##0.00_);_(&quot;$&quot;* \(#,##0.00\);_(&quot;$&quot;* &quot;-&quot;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sz val="10"/>
      <name val="Arial Narrow"/>
    </font>
    <font>
      <u val="singleAccounting"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42" fontId="2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quotePrefix="1"/>
    <xf numFmtId="0" fontId="5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42" fontId="2" fillId="0" borderId="0" xfId="2"/>
    <xf numFmtId="184" fontId="2" fillId="2" borderId="0" xfId="2" applyNumberFormat="1" applyFill="1"/>
    <xf numFmtId="184" fontId="9" fillId="2" borderId="0" xfId="2" applyNumberFormat="1" applyFont="1" applyFill="1"/>
    <xf numFmtId="184" fontId="3" fillId="2" borderId="0" xfId="2" applyNumberFormat="1" applyFont="1" applyFill="1"/>
    <xf numFmtId="184" fontId="0" fillId="2" borderId="0" xfId="0" applyNumberFormat="1" applyFill="1"/>
    <xf numFmtId="186" fontId="0" fillId="0" borderId="0" xfId="0" applyNumberFormat="1"/>
    <xf numFmtId="184" fontId="6" fillId="2" borderId="0" xfId="2" applyNumberFormat="1" applyFont="1" applyFill="1"/>
    <xf numFmtId="172" fontId="2" fillId="2" borderId="0" xfId="1" applyNumberFormat="1" applyFill="1"/>
    <xf numFmtId="43" fontId="6" fillId="2" borderId="0" xfId="0" applyNumberFormat="1" applyFont="1" applyFill="1"/>
    <xf numFmtId="186" fontId="2" fillId="2" borderId="0" xfId="2" applyNumberFormat="1" applyFill="1"/>
    <xf numFmtId="2" fontId="1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84" fontId="9" fillId="0" borderId="1" xfId="2" applyNumberFormat="1" applyFont="1" applyBorder="1"/>
    <xf numFmtId="16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72" fontId="2" fillId="0" borderId="3" xfId="1" applyNumberFormat="1" applyBorder="1"/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84" fontId="2" fillId="0" borderId="2" xfId="2" applyNumberFormat="1" applyBorder="1"/>
    <xf numFmtId="184" fontId="2" fillId="0" borderId="3" xfId="2" applyNumberFormat="1" applyBorder="1"/>
    <xf numFmtId="184" fontId="2" fillId="0" borderId="4" xfId="2" applyNumberFormat="1" applyBorder="1"/>
    <xf numFmtId="184" fontId="2" fillId="0" borderId="0" xfId="2" applyNumberFormat="1" applyBorder="1"/>
    <xf numFmtId="184" fontId="9" fillId="0" borderId="0" xfId="2" applyNumberFormat="1" applyFont="1" applyBorder="1"/>
    <xf numFmtId="0" fontId="10" fillId="2" borderId="0" xfId="0" applyFont="1" applyFill="1" applyAlignment="1">
      <alignment horizontal="center"/>
    </xf>
  </cellXfs>
  <cellStyles count="3">
    <cellStyle name="Comma" xfId="1" builtinId="3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22" sqref="B22"/>
    </sheetView>
  </sheetViews>
  <sheetFormatPr defaultRowHeight="12.75" x14ac:dyDescent="0.2"/>
  <cols>
    <col min="1" max="1" width="29.28515625" customWidth="1"/>
    <col min="2" max="3" width="10.7109375" customWidth="1"/>
    <col min="4" max="4" width="29.7109375" customWidth="1"/>
    <col min="5" max="5" width="10.7109375" customWidth="1"/>
  </cols>
  <sheetData>
    <row r="1" spans="1:5" ht="18" x14ac:dyDescent="0.25">
      <c r="A1" s="3"/>
      <c r="B1" s="3"/>
      <c r="C1" s="47" t="s">
        <v>60</v>
      </c>
      <c r="D1" s="3"/>
      <c r="E1" s="3"/>
    </row>
    <row r="2" spans="1:5" ht="18" x14ac:dyDescent="0.25">
      <c r="A2" s="3"/>
      <c r="B2" s="3"/>
      <c r="C2" s="6" t="s">
        <v>16</v>
      </c>
      <c r="D2" s="3"/>
      <c r="E2" s="3"/>
    </row>
    <row r="3" spans="1:5" ht="13.5" thickBot="1" x14ac:dyDescent="0.25">
      <c r="A3" s="3"/>
      <c r="B3" s="3"/>
      <c r="C3" s="5" t="s">
        <v>15</v>
      </c>
      <c r="D3" s="3"/>
      <c r="E3" s="3"/>
    </row>
    <row r="4" spans="1:5" x14ac:dyDescent="0.2">
      <c r="A4" s="4" t="s">
        <v>0</v>
      </c>
      <c r="B4" s="39">
        <v>70</v>
      </c>
      <c r="D4" t="s">
        <v>4</v>
      </c>
      <c r="E4" s="39">
        <v>10</v>
      </c>
    </row>
    <row r="5" spans="1:5" ht="13.5" thickBot="1" x14ac:dyDescent="0.25">
      <c r="A5" s="10" t="s">
        <v>1</v>
      </c>
      <c r="B5" s="40">
        <v>10</v>
      </c>
      <c r="D5" t="s">
        <v>5</v>
      </c>
      <c r="E5" s="41">
        <v>35</v>
      </c>
    </row>
    <row r="6" spans="1:5" x14ac:dyDescent="0.2">
      <c r="A6" s="10" t="s">
        <v>2</v>
      </c>
      <c r="B6" s="40">
        <v>10</v>
      </c>
      <c r="D6" t="s">
        <v>6</v>
      </c>
      <c r="E6" s="30">
        <f>100*B7/(100-E5)</f>
        <v>30.76923076923077</v>
      </c>
    </row>
    <row r="7" spans="1:5" ht="13.5" thickBot="1" x14ac:dyDescent="0.25">
      <c r="A7" s="11" t="s">
        <v>3</v>
      </c>
      <c r="B7" s="41">
        <v>20</v>
      </c>
      <c r="D7" s="7"/>
      <c r="E7" s="7"/>
    </row>
    <row r="8" spans="1:5" x14ac:dyDescent="0.2">
      <c r="D8" s="7"/>
      <c r="E8" s="7"/>
    </row>
    <row r="9" spans="1:5" ht="13.5" thickBot="1" x14ac:dyDescent="0.25">
      <c r="B9" s="12" t="s">
        <v>7</v>
      </c>
      <c r="C9" s="12" t="s">
        <v>8</v>
      </c>
      <c r="D9" s="7"/>
      <c r="E9" s="7"/>
    </row>
    <row r="10" spans="1:5" ht="13.5" thickBot="1" x14ac:dyDescent="0.25">
      <c r="A10" t="s">
        <v>9</v>
      </c>
      <c r="B10" s="38">
        <v>1</v>
      </c>
      <c r="C10" s="27">
        <f>1-B10</f>
        <v>0</v>
      </c>
      <c r="D10" s="8"/>
      <c r="E10" s="8"/>
    </row>
    <row r="11" spans="1:5" x14ac:dyDescent="0.2">
      <c r="A11" t="s">
        <v>10</v>
      </c>
      <c r="B11" s="2"/>
      <c r="C11" s="2"/>
      <c r="D11" s="8"/>
      <c r="E11" s="8"/>
    </row>
    <row r="12" spans="1:5" x14ac:dyDescent="0.2">
      <c r="A12" t="s">
        <v>11</v>
      </c>
      <c r="B12" s="28">
        <f>-12*PMT($E$6/1200,$B$6*12,B10*(100-$B$4))</f>
        <v>9.6954130896106143</v>
      </c>
      <c r="C12" s="28" t="e">
        <f>-12*((1+($E$6/1200))^(B6*12))*PMT($E$6/1200,($E$4-$B$6)*12,C10*(100-$B$4))</f>
        <v>#NUM!</v>
      </c>
      <c r="E12" s="9"/>
    </row>
    <row r="13" spans="1:5" x14ac:dyDescent="0.2">
      <c r="A13" t="s">
        <v>12</v>
      </c>
      <c r="B13" s="29">
        <f>-12*PMT($B$5/1200,$B$6*12,$B$4)</f>
        <v>11.100661898067978</v>
      </c>
      <c r="C13" s="29">
        <f>-12*PMT($B$5/1200,$B$6*12,0)</f>
        <v>0</v>
      </c>
    </row>
    <row r="14" spans="1:5" x14ac:dyDescent="0.2">
      <c r="A14" s="1" t="s">
        <v>13</v>
      </c>
      <c r="B14" s="28">
        <f>B12+B13</f>
        <v>20.796074987678594</v>
      </c>
      <c r="C14" s="28" t="e">
        <f>C12+C13</f>
        <v>#NUM!</v>
      </c>
      <c r="E14" s="26"/>
    </row>
    <row r="15" spans="1:5" x14ac:dyDescent="0.2">
      <c r="E15" s="2"/>
    </row>
    <row r="16" spans="1:5" ht="13.5" thickBot="1" x14ac:dyDescent="0.25">
      <c r="E16" s="2"/>
    </row>
    <row r="17" spans="1:5" x14ac:dyDescent="0.2">
      <c r="A17" t="s">
        <v>17</v>
      </c>
      <c r="B17" s="32">
        <v>72.2</v>
      </c>
      <c r="D17" s="13" t="s">
        <v>32</v>
      </c>
      <c r="E17" s="14" t="s">
        <v>25</v>
      </c>
    </row>
    <row r="18" spans="1:5" x14ac:dyDescent="0.2">
      <c r="A18" t="s">
        <v>18</v>
      </c>
      <c r="B18" s="33">
        <v>24</v>
      </c>
      <c r="D18" t="s">
        <v>33</v>
      </c>
      <c r="E18" s="17">
        <f>B17</f>
        <v>72.2</v>
      </c>
    </row>
    <row r="19" spans="1:5" x14ac:dyDescent="0.2">
      <c r="A19" t="s">
        <v>19</v>
      </c>
      <c r="B19" s="33">
        <v>8500</v>
      </c>
      <c r="D19" t="s">
        <v>39</v>
      </c>
      <c r="E19" s="17">
        <f>E18*(1.05)^(B18/12)-E18</f>
        <v>7.4005000000000081</v>
      </c>
    </row>
    <row r="20" spans="1:5" x14ac:dyDescent="0.2">
      <c r="A20" t="s">
        <v>52</v>
      </c>
      <c r="B20" s="34">
        <v>73.400000000000006</v>
      </c>
      <c r="D20" t="s">
        <v>37</v>
      </c>
      <c r="E20" s="17">
        <f>B17*0.005</f>
        <v>0.36100000000000004</v>
      </c>
    </row>
    <row r="21" spans="1:5" x14ac:dyDescent="0.2">
      <c r="A21" t="s">
        <v>57</v>
      </c>
      <c r="B21" s="35">
        <v>8170</v>
      </c>
      <c r="D21" t="s">
        <v>34</v>
      </c>
      <c r="E21" s="17">
        <f>0.025*B17</f>
        <v>1.8050000000000002</v>
      </c>
    </row>
    <row r="22" spans="1:5" x14ac:dyDescent="0.2">
      <c r="A22" t="s">
        <v>20</v>
      </c>
      <c r="B22" s="36">
        <v>4.4000000000000004</v>
      </c>
      <c r="D22" t="s">
        <v>38</v>
      </c>
      <c r="E22" s="17">
        <f>0.01*B17</f>
        <v>0.72200000000000009</v>
      </c>
    </row>
    <row r="23" spans="1:5" x14ac:dyDescent="0.2">
      <c r="A23" t="s">
        <v>21</v>
      </c>
      <c r="B23" s="33">
        <v>0</v>
      </c>
      <c r="D23" t="s">
        <v>42</v>
      </c>
      <c r="E23" s="19">
        <f>E41/8</f>
        <v>0.48125000000000001</v>
      </c>
    </row>
    <row r="24" spans="1:5" x14ac:dyDescent="0.2">
      <c r="A24" t="s">
        <v>22</v>
      </c>
      <c r="B24" s="33">
        <v>0</v>
      </c>
      <c r="D24" t="s">
        <v>36</v>
      </c>
      <c r="E24" s="45">
        <v>1</v>
      </c>
    </row>
    <row r="25" spans="1:5" ht="13.5" thickBot="1" x14ac:dyDescent="0.25">
      <c r="A25" t="s">
        <v>23</v>
      </c>
      <c r="B25" s="37">
        <v>0</v>
      </c>
      <c r="D25" t="s">
        <v>41</v>
      </c>
      <c r="E25" s="45">
        <v>0.5</v>
      </c>
    </row>
    <row r="26" spans="1:5" x14ac:dyDescent="0.2">
      <c r="A26" t="s">
        <v>56</v>
      </c>
      <c r="B26" s="25" t="e">
        <f>0.1*B24*B22/B25</f>
        <v>#DIV/0!</v>
      </c>
      <c r="D26" t="s">
        <v>55</v>
      </c>
      <c r="E26" s="45">
        <v>0</v>
      </c>
    </row>
    <row r="27" spans="1:5" ht="15" x14ac:dyDescent="0.35">
      <c r="A27" t="s">
        <v>58</v>
      </c>
      <c r="B27" s="21">
        <v>0</v>
      </c>
      <c r="D27" t="s">
        <v>35</v>
      </c>
      <c r="E27" s="46">
        <v>0</v>
      </c>
    </row>
    <row r="28" spans="1:5" x14ac:dyDescent="0.2">
      <c r="D28" t="s">
        <v>28</v>
      </c>
      <c r="E28" s="20">
        <f>SUM(E18:E27)</f>
        <v>84.469750000000019</v>
      </c>
    </row>
    <row r="29" spans="1:5" ht="15" x14ac:dyDescent="0.35">
      <c r="A29" s="13" t="s">
        <v>24</v>
      </c>
      <c r="B29" s="14" t="s">
        <v>25</v>
      </c>
      <c r="D29" t="s">
        <v>40</v>
      </c>
      <c r="E29" s="18">
        <f>0.02*E28*B4/100+0.3</f>
        <v>1.4825765000000004</v>
      </c>
    </row>
    <row r="30" spans="1:5" x14ac:dyDescent="0.2">
      <c r="A30" t="s">
        <v>14</v>
      </c>
      <c r="B30" s="17">
        <f>B14*E30/100</f>
        <v>17.874710272594346</v>
      </c>
      <c r="D30" s="15" t="s">
        <v>43</v>
      </c>
      <c r="E30" s="22">
        <f>E28+E29</f>
        <v>85.952326500000026</v>
      </c>
    </row>
    <row r="31" spans="1:5" x14ac:dyDescent="0.2">
      <c r="A31" t="s">
        <v>54</v>
      </c>
      <c r="B31" s="17">
        <f>B20*B19*B21*B22/1000000000</f>
        <v>22.427957200000002</v>
      </c>
    </row>
    <row r="32" spans="1:5" x14ac:dyDescent="0.2">
      <c r="A32" t="s">
        <v>26</v>
      </c>
      <c r="B32" s="17">
        <f>E41</f>
        <v>3.85</v>
      </c>
    </row>
    <row r="33" spans="1:5" ht="13.5" thickBot="1" x14ac:dyDescent="0.25">
      <c r="A33" t="s">
        <v>27</v>
      </c>
      <c r="B33" s="17">
        <f>0.01*E30</f>
        <v>0.85952326500000031</v>
      </c>
    </row>
    <row r="34" spans="1:5" ht="15.75" thickBot="1" x14ac:dyDescent="0.4">
      <c r="A34" t="s">
        <v>53</v>
      </c>
      <c r="B34" s="31">
        <v>1</v>
      </c>
      <c r="D34" s="13" t="s">
        <v>44</v>
      </c>
      <c r="E34" s="14" t="s">
        <v>25</v>
      </c>
    </row>
    <row r="35" spans="1:5" x14ac:dyDescent="0.2">
      <c r="A35" t="s">
        <v>28</v>
      </c>
      <c r="B35" s="17">
        <f>SUM(B30:B34)</f>
        <v>46.012190737594352</v>
      </c>
      <c r="D35" t="s">
        <v>45</v>
      </c>
      <c r="E35" s="42">
        <v>1.1000000000000001</v>
      </c>
    </row>
    <row r="36" spans="1:5" ht="15" x14ac:dyDescent="0.35">
      <c r="A36" t="s">
        <v>29</v>
      </c>
      <c r="B36" s="18">
        <f>B23*B19*B27/1000000</f>
        <v>0</v>
      </c>
      <c r="D36" t="s">
        <v>46</v>
      </c>
      <c r="E36" s="43">
        <v>0.2</v>
      </c>
    </row>
    <row r="37" spans="1:5" x14ac:dyDescent="0.2">
      <c r="A37" t="s">
        <v>30</v>
      </c>
      <c r="B37" s="17">
        <f>B35-B36</f>
        <v>46.012190737594352</v>
      </c>
      <c r="D37" t="s">
        <v>47</v>
      </c>
      <c r="E37" s="43">
        <v>0.2</v>
      </c>
    </row>
    <row r="38" spans="1:5" x14ac:dyDescent="0.2">
      <c r="B38" s="16"/>
      <c r="D38" t="s">
        <v>48</v>
      </c>
      <c r="E38" s="43">
        <v>0.5</v>
      </c>
    </row>
    <row r="39" spans="1:5" ht="13.5" thickBot="1" x14ac:dyDescent="0.25">
      <c r="A39" t="s">
        <v>59</v>
      </c>
      <c r="B39" s="23">
        <f>B20*B19</f>
        <v>623900</v>
      </c>
      <c r="D39" t="s">
        <v>49</v>
      </c>
      <c r="E39" s="44">
        <v>1.5</v>
      </c>
    </row>
    <row r="40" spans="1:5" ht="15" x14ac:dyDescent="0.35">
      <c r="D40" t="s">
        <v>50</v>
      </c>
      <c r="E40" s="18">
        <f>SUM(E35:E39)*0.1</f>
        <v>0.35000000000000003</v>
      </c>
    </row>
    <row r="41" spans="1:5" x14ac:dyDescent="0.2">
      <c r="A41" s="15" t="s">
        <v>31</v>
      </c>
      <c r="B41" s="24">
        <f>1000000*B37/B39</f>
        <v>73.749303955111955</v>
      </c>
      <c r="D41" s="15" t="s">
        <v>51</v>
      </c>
      <c r="E41" s="22">
        <f>SUM(E35:E40)</f>
        <v>3.85</v>
      </c>
    </row>
  </sheetData>
  <pageMargins left="0.75" right="0.75" top="0.5" bottom="0" header="0.5" footer="0.5"/>
  <pageSetup orientation="portrait" horizontalDpi="300" verticalDpi="300" r:id="rId1"/>
  <headerFooter alignWithMargins="0">
    <oddHeader>&amp;L&amp;D&amp;R&amp;T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34" workbookViewId="0">
      <selection activeCell="B58" sqref="B58"/>
    </sheetView>
  </sheetViews>
  <sheetFormatPr defaultRowHeight="12.75" x14ac:dyDescent="0.2"/>
  <cols>
    <col min="1" max="1" width="29.28515625" customWidth="1"/>
    <col min="2" max="3" width="10.7109375" customWidth="1"/>
    <col min="4" max="4" width="29.7109375" customWidth="1"/>
    <col min="5" max="5" width="10.7109375" customWidth="1"/>
  </cols>
  <sheetData>
    <row r="1" spans="1:5" ht="18" x14ac:dyDescent="0.25">
      <c r="A1" s="3"/>
      <c r="B1" s="3"/>
      <c r="C1" s="47" t="s">
        <v>61</v>
      </c>
      <c r="D1" s="3"/>
      <c r="E1" s="3"/>
    </row>
    <row r="2" spans="1:5" ht="18" x14ac:dyDescent="0.25">
      <c r="A2" s="3"/>
      <c r="B2" s="3"/>
      <c r="C2" s="6" t="s">
        <v>16</v>
      </c>
      <c r="D2" s="3"/>
      <c r="E2" s="3"/>
    </row>
    <row r="3" spans="1:5" ht="13.5" thickBot="1" x14ac:dyDescent="0.25">
      <c r="A3" s="3"/>
      <c r="B3" s="3"/>
      <c r="C3" s="5" t="s">
        <v>15</v>
      </c>
      <c r="D3" s="3"/>
      <c r="E3" s="3"/>
    </row>
    <row r="4" spans="1:5" x14ac:dyDescent="0.2">
      <c r="A4" s="4" t="s">
        <v>0</v>
      </c>
      <c r="B4" s="39">
        <v>70</v>
      </c>
      <c r="D4" t="s">
        <v>4</v>
      </c>
      <c r="E4" s="39">
        <v>10</v>
      </c>
    </row>
    <row r="5" spans="1:5" ht="13.5" thickBot="1" x14ac:dyDescent="0.25">
      <c r="A5" s="10" t="s">
        <v>1</v>
      </c>
      <c r="B5" s="40">
        <v>10</v>
      </c>
      <c r="D5" t="s">
        <v>5</v>
      </c>
      <c r="E5" s="41">
        <v>35</v>
      </c>
    </row>
    <row r="6" spans="1:5" x14ac:dyDescent="0.2">
      <c r="A6" s="10" t="s">
        <v>2</v>
      </c>
      <c r="B6" s="40">
        <v>10</v>
      </c>
      <c r="D6" t="s">
        <v>6</v>
      </c>
      <c r="E6" s="30">
        <f>100*B7/(100-E5)</f>
        <v>30.76923076923077</v>
      </c>
    </row>
    <row r="7" spans="1:5" ht="13.5" thickBot="1" x14ac:dyDescent="0.25">
      <c r="A7" s="11" t="s">
        <v>3</v>
      </c>
      <c r="B7" s="41">
        <v>20</v>
      </c>
      <c r="D7" s="7"/>
      <c r="E7" s="7"/>
    </row>
    <row r="8" spans="1:5" x14ac:dyDescent="0.2">
      <c r="D8" s="7"/>
      <c r="E8" s="7"/>
    </row>
    <row r="9" spans="1:5" ht="13.5" thickBot="1" x14ac:dyDescent="0.25">
      <c r="B9" s="12" t="s">
        <v>7</v>
      </c>
      <c r="C9" s="12" t="s">
        <v>8</v>
      </c>
      <c r="D9" s="7"/>
      <c r="E9" s="7"/>
    </row>
    <row r="10" spans="1:5" ht="13.5" thickBot="1" x14ac:dyDescent="0.25">
      <c r="A10" t="s">
        <v>9</v>
      </c>
      <c r="B10" s="38">
        <v>1</v>
      </c>
      <c r="C10" s="27">
        <f>1-B10</f>
        <v>0</v>
      </c>
      <c r="D10" s="8"/>
      <c r="E10" s="8"/>
    </row>
    <row r="11" spans="1:5" x14ac:dyDescent="0.2">
      <c r="A11" t="s">
        <v>10</v>
      </c>
      <c r="B11" s="2"/>
      <c r="C11" s="2"/>
      <c r="D11" s="8"/>
      <c r="E11" s="8"/>
    </row>
    <row r="12" spans="1:5" x14ac:dyDescent="0.2">
      <c r="A12" t="s">
        <v>11</v>
      </c>
      <c r="B12" s="28">
        <f>-12*PMT($E$6/1200,$B$6*12,B10*(100-$B$4))</f>
        <v>9.6954130896106143</v>
      </c>
      <c r="C12" s="28" t="e">
        <f>-12*((1+($E$6/1200))^(B6*12))*PMT($E$6/1200,($E$4-$B$6)*12,C10*(100-$B$4))</f>
        <v>#NUM!</v>
      </c>
      <c r="E12" s="9"/>
    </row>
    <row r="13" spans="1:5" x14ac:dyDescent="0.2">
      <c r="A13" t="s">
        <v>12</v>
      </c>
      <c r="B13" s="29">
        <f>-12*PMT($B$5/1200,$B$6*12,$B$4)</f>
        <v>11.100661898067978</v>
      </c>
      <c r="C13" s="29">
        <f>-12*PMT($B$5/1200,$B$6*12,0)</f>
        <v>0</v>
      </c>
    </row>
    <row r="14" spans="1:5" x14ac:dyDescent="0.2">
      <c r="A14" s="1" t="s">
        <v>13</v>
      </c>
      <c r="B14" s="28">
        <f>B12+B13</f>
        <v>20.796074987678594</v>
      </c>
      <c r="C14" s="28" t="e">
        <f>C12+C13</f>
        <v>#NUM!</v>
      </c>
      <c r="E14" s="26"/>
    </row>
    <row r="15" spans="1:5" x14ac:dyDescent="0.2">
      <c r="E15" s="2"/>
    </row>
    <row r="16" spans="1:5" ht="13.5" thickBot="1" x14ac:dyDescent="0.25">
      <c r="E16" s="2"/>
    </row>
    <row r="17" spans="1:5" x14ac:dyDescent="0.2">
      <c r="A17" t="s">
        <v>17</v>
      </c>
      <c r="B17" s="32">
        <v>108.6</v>
      </c>
      <c r="D17" s="13" t="s">
        <v>32</v>
      </c>
      <c r="E17" s="14" t="s">
        <v>25</v>
      </c>
    </row>
    <row r="18" spans="1:5" x14ac:dyDescent="0.2">
      <c r="A18" t="s">
        <v>18</v>
      </c>
      <c r="B18" s="33">
        <v>24</v>
      </c>
      <c r="D18" t="s">
        <v>33</v>
      </c>
      <c r="E18" s="17">
        <f>B17</f>
        <v>108.6</v>
      </c>
    </row>
    <row r="19" spans="1:5" x14ac:dyDescent="0.2">
      <c r="A19" t="s">
        <v>19</v>
      </c>
      <c r="B19" s="33">
        <v>8500</v>
      </c>
      <c r="D19" t="s">
        <v>39</v>
      </c>
      <c r="E19" s="17">
        <f>E18*(1.05)^(B18/12)-E18</f>
        <v>11.131500000000003</v>
      </c>
    </row>
    <row r="20" spans="1:5" x14ac:dyDescent="0.2">
      <c r="A20" t="s">
        <v>52</v>
      </c>
      <c r="B20" s="34">
        <v>143.69999999999999</v>
      </c>
      <c r="D20" t="s">
        <v>37</v>
      </c>
      <c r="E20" s="17">
        <f>B17*0.005</f>
        <v>0.54300000000000004</v>
      </c>
    </row>
    <row r="21" spans="1:5" x14ac:dyDescent="0.2">
      <c r="A21" t="s">
        <v>57</v>
      </c>
      <c r="B21" s="35">
        <v>7900</v>
      </c>
      <c r="D21" t="s">
        <v>34</v>
      </c>
      <c r="E21" s="17">
        <f>0.025*B17</f>
        <v>2.7149999999999999</v>
      </c>
    </row>
    <row r="22" spans="1:5" x14ac:dyDescent="0.2">
      <c r="A22" t="s">
        <v>20</v>
      </c>
      <c r="B22" s="36">
        <v>4.4000000000000004</v>
      </c>
      <c r="D22" t="s">
        <v>38</v>
      </c>
      <c r="E22" s="17">
        <f>0.01*B17</f>
        <v>1.0860000000000001</v>
      </c>
    </row>
    <row r="23" spans="1:5" x14ac:dyDescent="0.2">
      <c r="A23" t="s">
        <v>21</v>
      </c>
      <c r="B23" s="33">
        <v>0</v>
      </c>
      <c r="D23" t="s">
        <v>42</v>
      </c>
      <c r="E23" s="19">
        <f>E41/8</f>
        <v>0.59124999999999994</v>
      </c>
    </row>
    <row r="24" spans="1:5" x14ac:dyDescent="0.2">
      <c r="A24" t="s">
        <v>22</v>
      </c>
      <c r="B24" s="33">
        <v>0</v>
      </c>
      <c r="D24" t="s">
        <v>36</v>
      </c>
      <c r="E24" s="45">
        <v>1</v>
      </c>
    </row>
    <row r="25" spans="1:5" ht="13.5" thickBot="1" x14ac:dyDescent="0.25">
      <c r="A25" t="s">
        <v>23</v>
      </c>
      <c r="B25" s="37">
        <v>0</v>
      </c>
      <c r="D25" t="s">
        <v>41</v>
      </c>
      <c r="E25" s="45">
        <v>0.5</v>
      </c>
    </row>
    <row r="26" spans="1:5" x14ac:dyDescent="0.2">
      <c r="A26" t="s">
        <v>56</v>
      </c>
      <c r="B26" s="25" t="e">
        <f>0.1*B24*B22/B25</f>
        <v>#DIV/0!</v>
      </c>
      <c r="D26" t="s">
        <v>55</v>
      </c>
      <c r="E26" s="45">
        <v>0</v>
      </c>
    </row>
    <row r="27" spans="1:5" ht="15" x14ac:dyDescent="0.35">
      <c r="A27" t="s">
        <v>58</v>
      </c>
      <c r="B27" s="21">
        <v>0</v>
      </c>
      <c r="D27" t="s">
        <v>35</v>
      </c>
      <c r="E27" s="46">
        <v>0</v>
      </c>
    </row>
    <row r="28" spans="1:5" x14ac:dyDescent="0.2">
      <c r="D28" t="s">
        <v>28</v>
      </c>
      <c r="E28" s="20">
        <f>SUM(E18:E27)</f>
        <v>126.16675000000001</v>
      </c>
    </row>
    <row r="29" spans="1:5" ht="15" x14ac:dyDescent="0.35">
      <c r="A29" s="13" t="s">
        <v>24</v>
      </c>
      <c r="B29" s="14" t="s">
        <v>25</v>
      </c>
      <c r="D29" t="s">
        <v>40</v>
      </c>
      <c r="E29" s="18">
        <f>0.02*E28*B4/100+0.3</f>
        <v>2.0663345</v>
      </c>
    </row>
    <row r="30" spans="1:5" x14ac:dyDescent="0.2">
      <c r="A30" t="s">
        <v>14</v>
      </c>
      <c r="B30" s="17">
        <f>B14*E30/100</f>
        <v>26.667448411633259</v>
      </c>
      <c r="D30" s="15" t="s">
        <v>43</v>
      </c>
      <c r="E30" s="22">
        <f>E28+E29</f>
        <v>128.23308450000002</v>
      </c>
    </row>
    <row r="31" spans="1:5" x14ac:dyDescent="0.2">
      <c r="A31" t="s">
        <v>54</v>
      </c>
      <c r="B31" s="17">
        <f>B20*B19*B21*B22/1000000000</f>
        <v>42.457602000000001</v>
      </c>
    </row>
    <row r="32" spans="1:5" x14ac:dyDescent="0.2">
      <c r="A32" t="s">
        <v>26</v>
      </c>
      <c r="B32" s="17">
        <f>E41</f>
        <v>4.7299999999999995</v>
      </c>
    </row>
    <row r="33" spans="1:5" ht="13.5" thickBot="1" x14ac:dyDescent="0.25">
      <c r="A33" t="s">
        <v>27</v>
      </c>
      <c r="B33" s="17">
        <f>0.01*E30</f>
        <v>1.2823308450000002</v>
      </c>
    </row>
    <row r="34" spans="1:5" ht="15.75" thickBot="1" x14ac:dyDescent="0.4">
      <c r="A34" t="s">
        <v>53</v>
      </c>
      <c r="B34" s="31">
        <v>1</v>
      </c>
      <c r="D34" s="13" t="s">
        <v>44</v>
      </c>
      <c r="E34" s="14" t="s">
        <v>25</v>
      </c>
    </row>
    <row r="35" spans="1:5" x14ac:dyDescent="0.2">
      <c r="A35" t="s">
        <v>28</v>
      </c>
      <c r="B35" s="17">
        <f>SUM(B30:B34)</f>
        <v>76.137381256633262</v>
      </c>
      <c r="D35" t="s">
        <v>45</v>
      </c>
      <c r="E35" s="42">
        <v>1.1000000000000001</v>
      </c>
    </row>
    <row r="36" spans="1:5" ht="15" x14ac:dyDescent="0.35">
      <c r="A36" t="s">
        <v>29</v>
      </c>
      <c r="B36" s="18">
        <f>B23*B19*B27/1000000</f>
        <v>0</v>
      </c>
      <c r="D36" t="s">
        <v>46</v>
      </c>
      <c r="E36" s="43">
        <v>0.2</v>
      </c>
    </row>
    <row r="37" spans="1:5" x14ac:dyDescent="0.2">
      <c r="A37" t="s">
        <v>30</v>
      </c>
      <c r="B37" s="17">
        <f>B35-B36</f>
        <v>76.137381256633262</v>
      </c>
      <c r="D37" t="s">
        <v>47</v>
      </c>
      <c r="E37" s="43">
        <v>0.2</v>
      </c>
    </row>
    <row r="38" spans="1:5" x14ac:dyDescent="0.2">
      <c r="B38" s="16"/>
      <c r="D38" t="s">
        <v>48</v>
      </c>
      <c r="E38" s="43">
        <v>0.5</v>
      </c>
    </row>
    <row r="39" spans="1:5" ht="13.5" thickBot="1" x14ac:dyDescent="0.25">
      <c r="A39" t="s">
        <v>59</v>
      </c>
      <c r="B39" s="23">
        <f>B20*B19</f>
        <v>1221450</v>
      </c>
      <c r="D39" t="s">
        <v>49</v>
      </c>
      <c r="E39" s="44">
        <v>2.2999999999999998</v>
      </c>
    </row>
    <row r="40" spans="1:5" ht="15" x14ac:dyDescent="0.35">
      <c r="D40" t="s">
        <v>50</v>
      </c>
      <c r="E40" s="18">
        <f>SUM(E35:E39)*0.1</f>
        <v>0.43</v>
      </c>
    </row>
    <row r="41" spans="1:5" x14ac:dyDescent="0.2">
      <c r="A41" s="15" t="s">
        <v>31</v>
      </c>
      <c r="B41" s="24">
        <f>1000000*B37/B39</f>
        <v>62.333604532836603</v>
      </c>
      <c r="D41" s="15" t="s">
        <v>51</v>
      </c>
      <c r="E41" s="22">
        <f>SUM(E35:E40)</f>
        <v>4.7299999999999995</v>
      </c>
    </row>
  </sheetData>
  <pageMargins left="0.75" right="0.75" top="0.5" bottom="0" header="0.5" footer="0.5"/>
  <pageSetup orientation="portrait" horizontalDpi="300" verticalDpi="300" r:id="rId1"/>
  <headerFooter alignWithMargins="0">
    <oddHeader>&amp;L&amp;D&amp;R&amp;T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workbookViewId="0">
      <selection activeCell="E38" sqref="E38"/>
    </sheetView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60 MW</vt:lpstr>
      <vt:lpstr>140 MW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Power Corp.</dc:creator>
  <cp:lastModifiedBy>Felienne</cp:lastModifiedBy>
  <cp:lastPrinted>2000-06-15T20:05:57Z</cp:lastPrinted>
  <dcterms:created xsi:type="dcterms:W3CDTF">1998-02-21T18:37:30Z</dcterms:created>
  <dcterms:modified xsi:type="dcterms:W3CDTF">2014-09-03T15:16:31Z</dcterms:modified>
</cp:coreProperties>
</file>