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480" windowWidth="8880" windowHeight="4560" tabRatio="157"/>
  </bookViews>
  <sheets>
    <sheet name="Summary" sheetId="1" r:id="rId1"/>
    <sheet name="RMTC_2" sheetId="7" r:id="rId2"/>
    <sheet name="Elpaso_6" sheetId="9" r:id="rId3"/>
    <sheet name="ENA_9" sheetId="11" r:id="rId4"/>
    <sheet name="ENA_11" sheetId="13" r:id="rId5"/>
    <sheet name="ENA_12" sheetId="14" r:id="rId6"/>
    <sheet name="ENA_13" sheetId="15" r:id="rId7"/>
    <sheet name="Back End Deal" sheetId="25" r:id="rId8"/>
    <sheet name="ENA #QA4309.1-Expired" sheetId="19" r:id="rId9"/>
    <sheet name="ENA #QA5217.1-Expired" sheetId="20" r:id="rId10"/>
    <sheet name="ElPaso #1009351-Expired" sheetId="24" r:id="rId11"/>
    <sheet name="ENA_19-Expired" sheetId="16" r:id="rId12"/>
    <sheet name="El Paso_18-Expired" sheetId="17" r:id="rId13"/>
    <sheet name="ENA_#QO886.1-Expired" sheetId="18" r:id="rId14"/>
    <sheet name="ENA O6763.1-Expired" sheetId="23" r:id="rId15"/>
    <sheet name="ENA_10-Expired" sheetId="12" r:id="rId16"/>
    <sheet name="Sempra_1_Expired" sheetId="3" r:id="rId17"/>
    <sheet name="MEC_8_Expired" sheetId="10" r:id="rId18"/>
    <sheet name="Avista_1_Expired" sheetId="2" r:id="rId19"/>
    <sheet name="Avista_2_Expired" sheetId="4" r:id="rId20"/>
    <sheet name="Sempra_2_Expired" sheetId="5" r:id="rId21"/>
    <sheet name="Sempra_2.1_Expired" sheetId="6" r:id="rId22"/>
  </sheets>
  <externalReferences>
    <externalReference r:id="rId23"/>
    <externalReference r:id="rId24"/>
    <externalReference r:id="rId25"/>
    <externalReference r:id="rId26"/>
    <externalReference r:id="rId27"/>
  </externalReferences>
  <definedNames>
    <definedName name="_xlnm.Print_Area" localSheetId="18">Avista_1_Expired!$A$1:$K$41</definedName>
    <definedName name="_xlnm.Print_Area" localSheetId="19">Avista_2_Expired!$A$1:$K$46</definedName>
    <definedName name="_xlnm.Print_Area" localSheetId="16">Sempra_1_Expired!$A$1:$K$44</definedName>
    <definedName name="_xlnm.Print_Area" localSheetId="0">Summary!$A$1:$Q$104</definedName>
  </definedNames>
  <calcPr calcId="152511"/>
</workbook>
</file>

<file path=xl/calcChain.xml><?xml version="1.0" encoding="utf-8"?>
<calcChain xmlns="http://schemas.openxmlformats.org/spreadsheetml/2006/main">
  <c r="D10" i="2" l="1"/>
  <c r="F10" i="2"/>
  <c r="G10" i="2"/>
  <c r="K13" i="1" s="1"/>
  <c r="D11" i="2"/>
  <c r="F11" i="2"/>
  <c r="G11" i="2"/>
  <c r="I11" i="2"/>
  <c r="J11" i="2" s="1"/>
  <c r="D12" i="2"/>
  <c r="F12" i="2"/>
  <c r="G12" i="2"/>
  <c r="D13" i="2"/>
  <c r="I13" i="2" s="1"/>
  <c r="J13" i="2" s="1"/>
  <c r="F13" i="2"/>
  <c r="G13" i="2"/>
  <c r="D14" i="2"/>
  <c r="F14" i="2"/>
  <c r="G14" i="2"/>
  <c r="I14" i="2"/>
  <c r="J14" i="2" s="1"/>
  <c r="D15" i="2"/>
  <c r="F15" i="2"/>
  <c r="I15" i="2"/>
  <c r="J15" i="2" s="1"/>
  <c r="D16" i="2"/>
  <c r="F16" i="2"/>
  <c r="I16" i="2"/>
  <c r="J16" i="2" s="1"/>
  <c r="D17" i="2"/>
  <c r="F17" i="2"/>
  <c r="I17" i="2" s="1"/>
  <c r="J17" i="2" s="1"/>
  <c r="D18" i="2"/>
  <c r="F18" i="2"/>
  <c r="I18" i="2"/>
  <c r="J18" i="2" s="1"/>
  <c r="D19" i="2"/>
  <c r="F19" i="2"/>
  <c r="I19" i="2"/>
  <c r="J19" i="2" s="1"/>
  <c r="D20" i="2"/>
  <c r="F20" i="2"/>
  <c r="I20" i="2"/>
  <c r="J20" i="2" s="1"/>
  <c r="D21" i="2"/>
  <c r="F21" i="2"/>
  <c r="I21" i="2" s="1"/>
  <c r="J21" i="2" s="1"/>
  <c r="K22" i="2"/>
  <c r="B26" i="2"/>
  <c r="D26" i="2"/>
  <c r="E26" i="2"/>
  <c r="G26" i="2"/>
  <c r="B27" i="2"/>
  <c r="D27" i="2"/>
  <c r="E27" i="2"/>
  <c r="G27" i="2"/>
  <c r="K14" i="1" s="1"/>
  <c r="B28" i="2"/>
  <c r="D28" i="2"/>
  <c r="E28" i="2"/>
  <c r="G28" i="2"/>
  <c r="I28" i="2"/>
  <c r="J28" i="2" s="1"/>
  <c r="B29" i="2"/>
  <c r="D29" i="2"/>
  <c r="I29" i="2" s="1"/>
  <c r="J29" i="2" s="1"/>
  <c r="E29" i="2"/>
  <c r="G29" i="2"/>
  <c r="B30" i="2"/>
  <c r="D30" i="2"/>
  <c r="I30" i="2" s="1"/>
  <c r="J30" i="2" s="1"/>
  <c r="E30" i="2"/>
  <c r="B31" i="2"/>
  <c r="D31" i="2"/>
  <c r="E31" i="2"/>
  <c r="I31" i="2"/>
  <c r="J31" i="2"/>
  <c r="B32" i="2"/>
  <c r="D32" i="2"/>
  <c r="I32" i="2" s="1"/>
  <c r="J32" i="2" s="1"/>
  <c r="E32" i="2"/>
  <c r="B33" i="2"/>
  <c r="D33" i="2"/>
  <c r="I33" i="2" s="1"/>
  <c r="E33" i="2"/>
  <c r="J33" i="2"/>
  <c r="B34" i="2"/>
  <c r="D34" i="2"/>
  <c r="E34" i="2"/>
  <c r="I34" i="2"/>
  <c r="J34" i="2" s="1"/>
  <c r="B35" i="2"/>
  <c r="D35" i="2"/>
  <c r="E35" i="2"/>
  <c r="I35" i="2"/>
  <c r="J35" i="2" s="1"/>
  <c r="B36" i="2"/>
  <c r="D36" i="2"/>
  <c r="E36" i="2"/>
  <c r="I36" i="2"/>
  <c r="J36" i="2" s="1"/>
  <c r="B37" i="2"/>
  <c r="D37" i="2"/>
  <c r="I37" i="2" s="1"/>
  <c r="J37" i="2" s="1"/>
  <c r="E37" i="2"/>
  <c r="F38" i="2"/>
  <c r="K38" i="2"/>
  <c r="K40" i="2"/>
  <c r="D9" i="4"/>
  <c r="F9" i="4"/>
  <c r="G9" i="4"/>
  <c r="D10" i="4"/>
  <c r="F10" i="4"/>
  <c r="I10" i="4"/>
  <c r="J10" i="4" s="1"/>
  <c r="D11" i="4"/>
  <c r="I11" i="4" s="1"/>
  <c r="J11" i="4" s="1"/>
  <c r="F11" i="4"/>
  <c r="D12" i="4"/>
  <c r="I12" i="4" s="1"/>
  <c r="J12" i="4" s="1"/>
  <c r="F12" i="4"/>
  <c r="D13" i="4"/>
  <c r="F13" i="4"/>
  <c r="D14" i="4"/>
  <c r="F14" i="4"/>
  <c r="I14" i="4"/>
  <c r="J14" i="4"/>
  <c r="D15" i="4"/>
  <c r="F15" i="4"/>
  <c r="D16" i="4"/>
  <c r="F16" i="4"/>
  <c r="D17" i="4"/>
  <c r="I17" i="4" s="1"/>
  <c r="J17" i="4" s="1"/>
  <c r="F17" i="4"/>
  <c r="D18" i="4"/>
  <c r="F18" i="4"/>
  <c r="I18" i="4"/>
  <c r="J18" i="4" s="1"/>
  <c r="D19" i="4"/>
  <c r="I19" i="4" s="1"/>
  <c r="J19" i="4" s="1"/>
  <c r="F19" i="4"/>
  <c r="D20" i="4"/>
  <c r="I20" i="4" s="1"/>
  <c r="J20" i="4" s="1"/>
  <c r="F20" i="4"/>
  <c r="D21" i="4"/>
  <c r="F21" i="4"/>
  <c r="D22" i="4"/>
  <c r="F22" i="4"/>
  <c r="I22" i="4"/>
  <c r="J22" i="4"/>
  <c r="D23" i="4"/>
  <c r="F23" i="4"/>
  <c r="K24" i="4"/>
  <c r="D28" i="4"/>
  <c r="I28" i="4" s="1"/>
  <c r="F28" i="4"/>
  <c r="D29" i="4"/>
  <c r="I29" i="4" s="1"/>
  <c r="J29" i="4" s="1"/>
  <c r="F29" i="4"/>
  <c r="D30" i="4"/>
  <c r="I30" i="4" s="1"/>
  <c r="J30" i="4" s="1"/>
  <c r="F30" i="4"/>
  <c r="D31" i="4"/>
  <c r="F31" i="4"/>
  <c r="I31" i="4"/>
  <c r="J31" i="4" s="1"/>
  <c r="D32" i="4"/>
  <c r="I32" i="4" s="1"/>
  <c r="F32" i="4"/>
  <c r="J32" i="4"/>
  <c r="D33" i="4"/>
  <c r="F33" i="4"/>
  <c r="I33" i="4"/>
  <c r="J33" i="4" s="1"/>
  <c r="D34" i="4"/>
  <c r="I34" i="4" s="1"/>
  <c r="F34" i="4"/>
  <c r="J34" i="4"/>
  <c r="D35" i="4"/>
  <c r="I35" i="4" s="1"/>
  <c r="F35" i="4"/>
  <c r="J35" i="4"/>
  <c r="D36" i="4"/>
  <c r="I36" i="4" s="1"/>
  <c r="J36" i="4" s="1"/>
  <c r="F36" i="4"/>
  <c r="D37" i="4"/>
  <c r="F37" i="4"/>
  <c r="D38" i="4"/>
  <c r="I38" i="4" s="1"/>
  <c r="J38" i="4" s="1"/>
  <c r="F38" i="4"/>
  <c r="D39" i="4"/>
  <c r="F39" i="4"/>
  <c r="I39" i="4"/>
  <c r="J39" i="4" s="1"/>
  <c r="D40" i="4"/>
  <c r="I40" i="4" s="1"/>
  <c r="F40" i="4"/>
  <c r="J40" i="4"/>
  <c r="D41" i="4"/>
  <c r="F41" i="4"/>
  <c r="I41" i="4"/>
  <c r="J41" i="4"/>
  <c r="D42" i="4"/>
  <c r="I42" i="4" s="1"/>
  <c r="F42" i="4"/>
  <c r="J42" i="4"/>
  <c r="F43" i="4"/>
  <c r="M22" i="1" s="1"/>
  <c r="K43" i="4"/>
  <c r="K45" i="4" s="1"/>
  <c r="D9" i="25"/>
  <c r="F9" i="25"/>
  <c r="G9" i="25"/>
  <c r="D10" i="25"/>
  <c r="H10" i="25" s="1"/>
  <c r="F10" i="25"/>
  <c r="G10" i="25"/>
  <c r="I10" i="25"/>
  <c r="K10" i="25" s="1"/>
  <c r="D11" i="25"/>
  <c r="F11" i="25"/>
  <c r="G11" i="25"/>
  <c r="H11" i="25"/>
  <c r="I11" i="25" s="1"/>
  <c r="K11" i="25" s="1"/>
  <c r="D12" i="25"/>
  <c r="H12" i="25" s="1"/>
  <c r="F12" i="25"/>
  <c r="G12" i="25"/>
  <c r="I12" i="25"/>
  <c r="K12" i="25"/>
  <c r="D13" i="25"/>
  <c r="F13" i="25"/>
  <c r="G13" i="25"/>
  <c r="H13" i="25" s="1"/>
  <c r="I13" i="25" s="1"/>
  <c r="K13" i="25" s="1"/>
  <c r="D14" i="25"/>
  <c r="F14" i="25"/>
  <c r="G14" i="25"/>
  <c r="H14" i="25"/>
  <c r="I14" i="25" s="1"/>
  <c r="K14" i="25" s="1"/>
  <c r="D15" i="25"/>
  <c r="F15" i="25"/>
  <c r="G15" i="25"/>
  <c r="H15" i="25" s="1"/>
  <c r="I15" i="25" s="1"/>
  <c r="K15" i="25" s="1"/>
  <c r="D16" i="25"/>
  <c r="F16" i="25"/>
  <c r="G16" i="25"/>
  <c r="H16" i="25"/>
  <c r="I16" i="25" s="1"/>
  <c r="K16" i="25" s="1"/>
  <c r="D17" i="25"/>
  <c r="F17" i="25"/>
  <c r="G17" i="25"/>
  <c r="H17" i="25" s="1"/>
  <c r="D18" i="25"/>
  <c r="F18" i="25"/>
  <c r="G18" i="25"/>
  <c r="H18" i="25" s="1"/>
  <c r="I18" i="25" s="1"/>
  <c r="K18" i="25" s="1"/>
  <c r="D19" i="25"/>
  <c r="F19" i="25"/>
  <c r="G19" i="25"/>
  <c r="H19" i="25"/>
  <c r="I19" i="25"/>
  <c r="K19" i="25" s="1"/>
  <c r="D20" i="25"/>
  <c r="F20" i="25"/>
  <c r="G20" i="25"/>
  <c r="H20" i="25"/>
  <c r="I20" i="25" s="1"/>
  <c r="K20" i="25" s="1"/>
  <c r="D21" i="25"/>
  <c r="F21" i="25"/>
  <c r="G21" i="25"/>
  <c r="D22" i="25"/>
  <c r="H22" i="25" s="1"/>
  <c r="F22" i="25"/>
  <c r="G22" i="25"/>
  <c r="I22" i="25"/>
  <c r="K22" i="25" s="1"/>
  <c r="D23" i="25"/>
  <c r="F23" i="25"/>
  <c r="G23" i="25"/>
  <c r="H23" i="25"/>
  <c r="I23" i="25" s="1"/>
  <c r="K23" i="25" s="1"/>
  <c r="D24" i="25"/>
  <c r="H24" i="25" s="1"/>
  <c r="I24" i="25" s="1"/>
  <c r="K24" i="25" s="1"/>
  <c r="F24" i="25"/>
  <c r="G24" i="25"/>
  <c r="D25" i="25"/>
  <c r="F25" i="25"/>
  <c r="G25" i="25"/>
  <c r="D26" i="25"/>
  <c r="H26" i="25" s="1"/>
  <c r="I26" i="25" s="1"/>
  <c r="K26" i="25" s="1"/>
  <c r="F26" i="25"/>
  <c r="G26" i="25"/>
  <c r="D27" i="25"/>
  <c r="F27" i="25"/>
  <c r="G27" i="25"/>
  <c r="H27" i="25"/>
  <c r="I27" i="25" s="1"/>
  <c r="K27" i="25" s="1"/>
  <c r="D28" i="25"/>
  <c r="H28" i="25" s="1"/>
  <c r="I28" i="25" s="1"/>
  <c r="F28" i="25"/>
  <c r="G28" i="25"/>
  <c r="K28" i="25"/>
  <c r="D29" i="25"/>
  <c r="F29" i="25"/>
  <c r="G29" i="25"/>
  <c r="H29" i="25" s="1"/>
  <c r="I29" i="25" s="1"/>
  <c r="K29" i="25"/>
  <c r="D30" i="25"/>
  <c r="F30" i="25"/>
  <c r="G30" i="25"/>
  <c r="H30" i="25"/>
  <c r="I30" i="25" s="1"/>
  <c r="K30" i="25" s="1"/>
  <c r="D31" i="25"/>
  <c r="F31" i="25"/>
  <c r="G31" i="25"/>
  <c r="H31" i="25" s="1"/>
  <c r="I31" i="25" s="1"/>
  <c r="K31" i="25"/>
  <c r="D32" i="25"/>
  <c r="F32" i="25"/>
  <c r="G32" i="25"/>
  <c r="H32" i="25"/>
  <c r="I32" i="25" s="1"/>
  <c r="K32" i="25" s="1"/>
  <c r="F9" i="17"/>
  <c r="F12" i="17" s="1"/>
  <c r="I9" i="17"/>
  <c r="K12" i="17"/>
  <c r="G9" i="24"/>
  <c r="I9" i="24" s="1"/>
  <c r="I12" i="24" s="1"/>
  <c r="F12" i="24"/>
  <c r="K12" i="24"/>
  <c r="B21" i="24"/>
  <c r="H9" i="9"/>
  <c r="I9" i="9" s="1"/>
  <c r="K9" i="9"/>
  <c r="H10" i="9"/>
  <c r="H11" i="9"/>
  <c r="I11" i="9" s="1"/>
  <c r="K11" i="9" s="1"/>
  <c r="H12" i="9"/>
  <c r="I12" i="9" s="1"/>
  <c r="K12" i="9"/>
  <c r="H13" i="9"/>
  <c r="I13" i="9" s="1"/>
  <c r="K13" i="9" s="1"/>
  <c r="F15" i="9"/>
  <c r="H17" i="9"/>
  <c r="I17" i="9"/>
  <c r="K17" i="9" s="1"/>
  <c r="H18" i="9"/>
  <c r="I18" i="9"/>
  <c r="K18" i="9" s="1"/>
  <c r="H19" i="9"/>
  <c r="H20" i="9"/>
  <c r="I20" i="9"/>
  <c r="K20" i="9" s="1"/>
  <c r="H21" i="9"/>
  <c r="I21" i="9" s="1"/>
  <c r="K21" i="9"/>
  <c r="F23" i="9"/>
  <c r="M38" i="1" s="1"/>
  <c r="N38" i="1" s="1"/>
  <c r="N39" i="1" s="1"/>
  <c r="I11" i="19"/>
  <c r="J11" i="19" s="1"/>
  <c r="A12" i="19"/>
  <c r="I12" i="19"/>
  <c r="J12" i="19"/>
  <c r="A13" i="19"/>
  <c r="I13" i="19"/>
  <c r="J13" i="19" s="1"/>
  <c r="A14" i="19"/>
  <c r="A15" i="19" s="1"/>
  <c r="A16" i="19" s="1"/>
  <c r="A17" i="19" s="1"/>
  <c r="A18" i="19" s="1"/>
  <c r="A19" i="19" s="1"/>
  <c r="A20" i="19" s="1"/>
  <c r="A21" i="19" s="1"/>
  <c r="A22" i="19" s="1"/>
  <c r="A23" i="19" s="1"/>
  <c r="I14" i="19"/>
  <c r="J14" i="19"/>
  <c r="I15" i="19"/>
  <c r="J15" i="19" s="1"/>
  <c r="I16" i="19"/>
  <c r="J16" i="19"/>
  <c r="I17" i="19"/>
  <c r="J17" i="19" s="1"/>
  <c r="I18" i="19"/>
  <c r="J18" i="19" s="1"/>
  <c r="I19" i="19"/>
  <c r="J19" i="19" s="1"/>
  <c r="I20" i="19"/>
  <c r="J20" i="19" s="1"/>
  <c r="I21" i="19"/>
  <c r="J21" i="19"/>
  <c r="I22" i="19"/>
  <c r="J22" i="19"/>
  <c r="I23" i="19"/>
  <c r="J23" i="19"/>
  <c r="F24" i="19"/>
  <c r="K24" i="19"/>
  <c r="I27" i="19"/>
  <c r="A28" i="19"/>
  <c r="I28" i="19"/>
  <c r="J28" i="19"/>
  <c r="A29" i="19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I29" i="19"/>
  <c r="J29" i="19" s="1"/>
  <c r="I30" i="19"/>
  <c r="J30" i="19"/>
  <c r="I31" i="19"/>
  <c r="J31" i="19"/>
  <c r="I32" i="19"/>
  <c r="J32" i="19"/>
  <c r="I33" i="19"/>
  <c r="J33" i="19" s="1"/>
  <c r="I34" i="19"/>
  <c r="J34" i="19"/>
  <c r="I35" i="19"/>
  <c r="J35" i="19" s="1"/>
  <c r="I36" i="19"/>
  <c r="J36" i="19" s="1"/>
  <c r="I37" i="19"/>
  <c r="J37" i="19" s="1"/>
  <c r="I38" i="19"/>
  <c r="J38" i="19" s="1"/>
  <c r="I39" i="19"/>
  <c r="J39" i="19" s="1"/>
  <c r="F40" i="19"/>
  <c r="K40" i="19"/>
  <c r="K42" i="19" s="1"/>
  <c r="I11" i="20"/>
  <c r="J11" i="20" s="1"/>
  <c r="A12" i="20"/>
  <c r="A13" i="20" s="1"/>
  <c r="A14" i="20" s="1"/>
  <c r="I12" i="20"/>
  <c r="I13" i="20"/>
  <c r="J13" i="20"/>
  <c r="I14" i="20"/>
  <c r="J14" i="20"/>
  <c r="A15" i="20"/>
  <c r="A16" i="20" s="1"/>
  <c r="A17" i="20" s="1"/>
  <c r="A18" i="20" s="1"/>
  <c r="A19" i="20" s="1"/>
  <c r="I15" i="20"/>
  <c r="J15" i="20" s="1"/>
  <c r="I16" i="20"/>
  <c r="J16" i="20"/>
  <c r="I17" i="20"/>
  <c r="J17" i="20"/>
  <c r="I18" i="20"/>
  <c r="J18" i="20" s="1"/>
  <c r="I19" i="20"/>
  <c r="J19" i="20" s="1"/>
  <c r="A20" i="20"/>
  <c r="I20" i="20"/>
  <c r="J20" i="20"/>
  <c r="A21" i="20"/>
  <c r="A22" i="20" s="1"/>
  <c r="A23" i="20" s="1"/>
  <c r="I21" i="20"/>
  <c r="J21" i="20" s="1"/>
  <c r="I22" i="20"/>
  <c r="J22" i="20"/>
  <c r="I23" i="20"/>
  <c r="J23" i="20"/>
  <c r="F24" i="20"/>
  <c r="K24" i="20"/>
  <c r="I27" i="20"/>
  <c r="A28" i="20"/>
  <c r="A29" i="20" s="1"/>
  <c r="I28" i="20"/>
  <c r="J28" i="20"/>
  <c r="I29" i="20"/>
  <c r="J29" i="20" s="1"/>
  <c r="A30" i="20"/>
  <c r="A31" i="20" s="1"/>
  <c r="A32" i="20" s="1"/>
  <c r="A33" i="20" s="1"/>
  <c r="A34" i="20" s="1"/>
  <c r="A35" i="20" s="1"/>
  <c r="A36" i="20" s="1"/>
  <c r="A37" i="20" s="1"/>
  <c r="A38" i="20" s="1"/>
  <c r="A39" i="20" s="1"/>
  <c r="I30" i="20"/>
  <c r="J30" i="20" s="1"/>
  <c r="I31" i="20"/>
  <c r="J31" i="20"/>
  <c r="I32" i="20"/>
  <c r="J32" i="20"/>
  <c r="I33" i="20"/>
  <c r="J33" i="20"/>
  <c r="I34" i="20"/>
  <c r="J34" i="20" s="1"/>
  <c r="I35" i="20"/>
  <c r="J35" i="20"/>
  <c r="I36" i="20"/>
  <c r="J36" i="20"/>
  <c r="I37" i="20"/>
  <c r="J37" i="20" s="1"/>
  <c r="I38" i="20"/>
  <c r="J38" i="20"/>
  <c r="I39" i="20"/>
  <c r="J39" i="20"/>
  <c r="F40" i="20"/>
  <c r="F42" i="20" s="1"/>
  <c r="K40" i="20"/>
  <c r="K42" i="20"/>
  <c r="G9" i="23"/>
  <c r="H9" i="23" s="1"/>
  <c r="J9" i="23"/>
  <c r="J12" i="23" s="1"/>
  <c r="F12" i="23"/>
  <c r="I12" i="23"/>
  <c r="K12" i="23"/>
  <c r="B21" i="23"/>
  <c r="G9" i="18"/>
  <c r="I9" i="18" s="1"/>
  <c r="J9" i="18" s="1"/>
  <c r="J12" i="18" s="1"/>
  <c r="F12" i="18"/>
  <c r="I12" i="18"/>
  <c r="K12" i="18"/>
  <c r="B21" i="18"/>
  <c r="F9" i="12"/>
  <c r="F10" i="12"/>
  <c r="I10" i="12"/>
  <c r="J10" i="12"/>
  <c r="F11" i="12"/>
  <c r="I11" i="12"/>
  <c r="J11" i="12"/>
  <c r="F12" i="12"/>
  <c r="I12" i="12"/>
  <c r="J12" i="12" s="1"/>
  <c r="F13" i="12"/>
  <c r="I13" i="12"/>
  <c r="J13" i="12" s="1"/>
  <c r="F14" i="12"/>
  <c r="I14" i="12"/>
  <c r="J14" i="12" s="1"/>
  <c r="F15" i="12"/>
  <c r="I15" i="12" s="1"/>
  <c r="J15" i="12" s="1"/>
  <c r="F16" i="12"/>
  <c r="I16" i="12"/>
  <c r="J16" i="12" s="1"/>
  <c r="F17" i="12"/>
  <c r="I17" i="12" s="1"/>
  <c r="J17" i="12"/>
  <c r="F18" i="12"/>
  <c r="I18" i="12" s="1"/>
  <c r="J18" i="12" s="1"/>
  <c r="F19" i="12"/>
  <c r="I19" i="12" s="1"/>
  <c r="J19" i="12" s="1"/>
  <c r="F20" i="12"/>
  <c r="I20" i="12"/>
  <c r="J20" i="12"/>
  <c r="K22" i="12"/>
  <c r="F26" i="12"/>
  <c r="H26" i="12"/>
  <c r="I26" i="12"/>
  <c r="I39" i="12" s="1"/>
  <c r="F27" i="12"/>
  <c r="F39" i="12" s="1"/>
  <c r="H27" i="12"/>
  <c r="I27" i="12"/>
  <c r="K27" i="12" s="1"/>
  <c r="F28" i="12"/>
  <c r="H28" i="12"/>
  <c r="I28" i="12"/>
  <c r="K28" i="12" s="1"/>
  <c r="F29" i="12"/>
  <c r="H29" i="12"/>
  <c r="I29" i="12"/>
  <c r="K29" i="12" s="1"/>
  <c r="F30" i="12"/>
  <c r="H30" i="12"/>
  <c r="I30" i="12"/>
  <c r="K30" i="12" s="1"/>
  <c r="F31" i="12"/>
  <c r="H31" i="12"/>
  <c r="I31" i="12"/>
  <c r="K31" i="12" s="1"/>
  <c r="F32" i="12"/>
  <c r="H32" i="12"/>
  <c r="I32" i="12"/>
  <c r="K32" i="12" s="1"/>
  <c r="F33" i="12"/>
  <c r="H33" i="12"/>
  <c r="I33" i="12"/>
  <c r="K33" i="12" s="1"/>
  <c r="F34" i="12"/>
  <c r="H34" i="12"/>
  <c r="I34" i="12"/>
  <c r="K34" i="12" s="1"/>
  <c r="F35" i="12"/>
  <c r="H35" i="12"/>
  <c r="I35" i="12"/>
  <c r="K35" i="12" s="1"/>
  <c r="F36" i="12"/>
  <c r="H36" i="12"/>
  <c r="I36" i="12"/>
  <c r="K36" i="12" s="1"/>
  <c r="F37" i="12"/>
  <c r="H37" i="12"/>
  <c r="I37" i="12"/>
  <c r="K37" i="12" s="1"/>
  <c r="J39" i="12"/>
  <c r="F9" i="13"/>
  <c r="I9" i="13" s="1"/>
  <c r="H9" i="13"/>
  <c r="K9" i="13"/>
  <c r="F10" i="13"/>
  <c r="H10" i="13"/>
  <c r="I10" i="13" s="1"/>
  <c r="K10" i="13"/>
  <c r="F11" i="13"/>
  <c r="I11" i="13" s="1"/>
  <c r="K11" i="13" s="1"/>
  <c r="H11" i="13"/>
  <c r="F12" i="13"/>
  <c r="H12" i="13"/>
  <c r="I12" i="13" s="1"/>
  <c r="K12" i="13" s="1"/>
  <c r="F13" i="13"/>
  <c r="I13" i="13" s="1"/>
  <c r="H13" i="13"/>
  <c r="K13" i="13"/>
  <c r="F14" i="13"/>
  <c r="H14" i="13"/>
  <c r="I14" i="13" s="1"/>
  <c r="K14" i="13"/>
  <c r="F15" i="13"/>
  <c r="I15" i="13" s="1"/>
  <c r="K15" i="13" s="1"/>
  <c r="H15" i="13"/>
  <c r="F16" i="13"/>
  <c r="H16" i="13"/>
  <c r="F17" i="13"/>
  <c r="I17" i="13" s="1"/>
  <c r="H17" i="13"/>
  <c r="K17" i="13"/>
  <c r="F18" i="13"/>
  <c r="H18" i="13"/>
  <c r="I18" i="13" s="1"/>
  <c r="K18" i="13"/>
  <c r="F19" i="13"/>
  <c r="I19" i="13" s="1"/>
  <c r="K19" i="13" s="1"/>
  <c r="H19" i="13"/>
  <c r="F20" i="13"/>
  <c r="H20" i="13"/>
  <c r="J22" i="13"/>
  <c r="F26" i="13"/>
  <c r="H26" i="13"/>
  <c r="F27" i="13"/>
  <c r="I27" i="13" s="1"/>
  <c r="K27" i="13" s="1"/>
  <c r="H27" i="13"/>
  <c r="F28" i="13"/>
  <c r="H28" i="13"/>
  <c r="F29" i="13"/>
  <c r="I29" i="13" s="1"/>
  <c r="K29" i="13" s="1"/>
  <c r="H29" i="13"/>
  <c r="F30" i="13"/>
  <c r="H30" i="13"/>
  <c r="F31" i="13"/>
  <c r="I31" i="13" s="1"/>
  <c r="K31" i="13" s="1"/>
  <c r="H31" i="13"/>
  <c r="F32" i="13"/>
  <c r="H32" i="13"/>
  <c r="F33" i="13"/>
  <c r="I33" i="13" s="1"/>
  <c r="K33" i="13" s="1"/>
  <c r="H33" i="13"/>
  <c r="F34" i="13"/>
  <c r="H34" i="13"/>
  <c r="F35" i="13"/>
  <c r="I35" i="13" s="1"/>
  <c r="K35" i="13" s="1"/>
  <c r="H35" i="13"/>
  <c r="F36" i="13"/>
  <c r="H36" i="13"/>
  <c r="F37" i="13"/>
  <c r="I37" i="13" s="1"/>
  <c r="K37" i="13" s="1"/>
  <c r="H37" i="13"/>
  <c r="J39" i="13"/>
  <c r="J41" i="13"/>
  <c r="F9" i="14"/>
  <c r="H9" i="14"/>
  <c r="I9" i="14"/>
  <c r="F10" i="14"/>
  <c r="H10" i="14"/>
  <c r="I10" i="14"/>
  <c r="K10" i="14" s="1"/>
  <c r="F11" i="14"/>
  <c r="H11" i="14"/>
  <c r="I11" i="14" s="1"/>
  <c r="K11" i="14" s="1"/>
  <c r="F12" i="14"/>
  <c r="H12" i="14"/>
  <c r="I12" i="14"/>
  <c r="K12" i="14" s="1"/>
  <c r="F13" i="14"/>
  <c r="H13" i="14"/>
  <c r="I13" i="14"/>
  <c r="K13" i="14" s="1"/>
  <c r="F14" i="14"/>
  <c r="H14" i="14"/>
  <c r="I14" i="14"/>
  <c r="K14" i="14" s="1"/>
  <c r="F15" i="14"/>
  <c r="H15" i="14"/>
  <c r="I15" i="14" s="1"/>
  <c r="K15" i="14" s="1"/>
  <c r="F16" i="14"/>
  <c r="H16" i="14"/>
  <c r="I16" i="14"/>
  <c r="K16" i="14" s="1"/>
  <c r="F17" i="14"/>
  <c r="H17" i="14"/>
  <c r="I17" i="14"/>
  <c r="K17" i="14" s="1"/>
  <c r="F18" i="14"/>
  <c r="F22" i="14" s="1"/>
  <c r="H18" i="14"/>
  <c r="I18" i="14"/>
  <c r="K18" i="14" s="1"/>
  <c r="F19" i="14"/>
  <c r="H19" i="14"/>
  <c r="I19" i="14" s="1"/>
  <c r="K19" i="14" s="1"/>
  <c r="F20" i="14"/>
  <c r="H20" i="14"/>
  <c r="I20" i="14"/>
  <c r="K20" i="14" s="1"/>
  <c r="J22" i="14"/>
  <c r="F26" i="14"/>
  <c r="H26" i="14"/>
  <c r="I26" i="14"/>
  <c r="F27" i="14"/>
  <c r="H27" i="14"/>
  <c r="F28" i="14"/>
  <c r="H28" i="14"/>
  <c r="I28" i="14"/>
  <c r="K28" i="14" s="1"/>
  <c r="F29" i="14"/>
  <c r="H29" i="14"/>
  <c r="I29" i="14"/>
  <c r="K29" i="14" s="1"/>
  <c r="F30" i="14"/>
  <c r="H30" i="14"/>
  <c r="I30" i="14"/>
  <c r="K30" i="14" s="1"/>
  <c r="F31" i="14"/>
  <c r="H31" i="14"/>
  <c r="I31" i="14"/>
  <c r="K31" i="14" s="1"/>
  <c r="F32" i="14"/>
  <c r="H32" i="14"/>
  <c r="I32" i="14"/>
  <c r="K32" i="14" s="1"/>
  <c r="F33" i="14"/>
  <c r="H33" i="14"/>
  <c r="I33" i="14"/>
  <c r="K33" i="14" s="1"/>
  <c r="F34" i="14"/>
  <c r="H34" i="14"/>
  <c r="I34" i="14"/>
  <c r="K34" i="14" s="1"/>
  <c r="F35" i="14"/>
  <c r="H35" i="14"/>
  <c r="I35" i="14" s="1"/>
  <c r="K35" i="14" s="1"/>
  <c r="F36" i="14"/>
  <c r="H36" i="14"/>
  <c r="I36" i="14"/>
  <c r="K36" i="14" s="1"/>
  <c r="F37" i="14"/>
  <c r="H37" i="14"/>
  <c r="I37" i="14"/>
  <c r="K37" i="14" s="1"/>
  <c r="F39" i="14"/>
  <c r="F41" i="14" s="1"/>
  <c r="J39" i="14"/>
  <c r="J41" i="14" s="1"/>
  <c r="F9" i="15"/>
  <c r="H9" i="15"/>
  <c r="I9" i="15"/>
  <c r="K9" i="15"/>
  <c r="F10" i="15"/>
  <c r="H10" i="15"/>
  <c r="I10" i="15"/>
  <c r="K10" i="15"/>
  <c r="F11" i="15"/>
  <c r="H11" i="15"/>
  <c r="I11" i="15"/>
  <c r="K11" i="15"/>
  <c r="F12" i="15"/>
  <c r="H12" i="15"/>
  <c r="I12" i="15"/>
  <c r="K12" i="15"/>
  <c r="F13" i="15"/>
  <c r="H13" i="15"/>
  <c r="I13" i="15"/>
  <c r="K13" i="15"/>
  <c r="F14" i="15"/>
  <c r="H14" i="15"/>
  <c r="I14" i="15"/>
  <c r="K14" i="15"/>
  <c r="F15" i="15"/>
  <c r="H15" i="15"/>
  <c r="I15" i="15"/>
  <c r="K15" i="15"/>
  <c r="F16" i="15"/>
  <c r="H16" i="15"/>
  <c r="I16" i="15"/>
  <c r="K16" i="15"/>
  <c r="F17" i="15"/>
  <c r="H17" i="15"/>
  <c r="I17" i="15"/>
  <c r="K17" i="15"/>
  <c r="F18" i="15"/>
  <c r="H18" i="15"/>
  <c r="I18" i="15"/>
  <c r="K18" i="15"/>
  <c r="F19" i="15"/>
  <c r="H19" i="15"/>
  <c r="I19" i="15"/>
  <c r="K19" i="15"/>
  <c r="F20" i="15"/>
  <c r="H20" i="15"/>
  <c r="I20" i="15"/>
  <c r="K20" i="15"/>
  <c r="F22" i="15"/>
  <c r="J22" i="15"/>
  <c r="F26" i="15"/>
  <c r="I26" i="15" s="1"/>
  <c r="H26" i="15"/>
  <c r="F27" i="15"/>
  <c r="I27" i="15" s="1"/>
  <c r="H27" i="15"/>
  <c r="K27" i="15"/>
  <c r="F28" i="15"/>
  <c r="I28" i="15" s="1"/>
  <c r="H28" i="15"/>
  <c r="K28" i="15"/>
  <c r="F29" i="15"/>
  <c r="I29" i="15" s="1"/>
  <c r="K29" i="15" s="1"/>
  <c r="H29" i="15"/>
  <c r="F30" i="15"/>
  <c r="I30" i="15" s="1"/>
  <c r="K30" i="15" s="1"/>
  <c r="H30" i="15"/>
  <c r="F31" i="15"/>
  <c r="I31" i="15" s="1"/>
  <c r="H31" i="15"/>
  <c r="K31" i="15"/>
  <c r="F32" i="15"/>
  <c r="I32" i="15" s="1"/>
  <c r="H32" i="15"/>
  <c r="K32" i="15"/>
  <c r="F33" i="15"/>
  <c r="I33" i="15" s="1"/>
  <c r="K33" i="15" s="1"/>
  <c r="H33" i="15"/>
  <c r="F34" i="15"/>
  <c r="I34" i="15" s="1"/>
  <c r="K34" i="15" s="1"/>
  <c r="H34" i="15"/>
  <c r="F35" i="15"/>
  <c r="I35" i="15" s="1"/>
  <c r="H35" i="15"/>
  <c r="K35" i="15"/>
  <c r="F36" i="15"/>
  <c r="I36" i="15" s="1"/>
  <c r="H36" i="15"/>
  <c r="K36" i="15"/>
  <c r="F37" i="15"/>
  <c r="I37" i="15" s="1"/>
  <c r="K37" i="15" s="1"/>
  <c r="H37" i="15"/>
  <c r="F39" i="15"/>
  <c r="J39" i="15"/>
  <c r="J41" i="15"/>
  <c r="I9" i="16"/>
  <c r="I12" i="16" s="1"/>
  <c r="F12" i="16"/>
  <c r="K12" i="16"/>
  <c r="F9" i="11"/>
  <c r="H9" i="11"/>
  <c r="I9" i="11"/>
  <c r="F10" i="11"/>
  <c r="H10" i="11"/>
  <c r="I10" i="11"/>
  <c r="K10" i="11" s="1"/>
  <c r="F11" i="11"/>
  <c r="F22" i="11" s="1"/>
  <c r="M45" i="1" s="1"/>
  <c r="H11" i="11"/>
  <c r="F12" i="11"/>
  <c r="I12" i="11" s="1"/>
  <c r="K12" i="11" s="1"/>
  <c r="H12" i="11"/>
  <c r="F13" i="11"/>
  <c r="H13" i="11"/>
  <c r="I13" i="11" s="1"/>
  <c r="K13" i="11" s="1"/>
  <c r="F14" i="11"/>
  <c r="H14" i="11"/>
  <c r="F15" i="11"/>
  <c r="H15" i="11"/>
  <c r="I15" i="11"/>
  <c r="K15" i="11" s="1"/>
  <c r="F16" i="11"/>
  <c r="H16" i="11"/>
  <c r="I16" i="11"/>
  <c r="K16" i="11" s="1"/>
  <c r="F17" i="11"/>
  <c r="H17" i="11"/>
  <c r="I17" i="11"/>
  <c r="K17" i="11"/>
  <c r="F18" i="11"/>
  <c r="H18" i="11"/>
  <c r="I18" i="11"/>
  <c r="K18" i="11" s="1"/>
  <c r="F19" i="11"/>
  <c r="I19" i="11" s="1"/>
  <c r="H19" i="11"/>
  <c r="K19" i="11"/>
  <c r="F20" i="11"/>
  <c r="H20" i="11"/>
  <c r="I20" i="11" s="1"/>
  <c r="K20" i="11" s="1"/>
  <c r="J22" i="11"/>
  <c r="F26" i="11"/>
  <c r="F39" i="11" s="1"/>
  <c r="H26" i="11"/>
  <c r="I26" i="11" s="1"/>
  <c r="F27" i="11"/>
  <c r="H27" i="11"/>
  <c r="I27" i="11"/>
  <c r="K27" i="11" s="1"/>
  <c r="F28" i="11"/>
  <c r="H28" i="11"/>
  <c r="I28" i="11" s="1"/>
  <c r="K28" i="11" s="1"/>
  <c r="F29" i="11"/>
  <c r="H29" i="11"/>
  <c r="I29" i="11"/>
  <c r="K29" i="11" s="1"/>
  <c r="F30" i="11"/>
  <c r="H30" i="11"/>
  <c r="I30" i="11"/>
  <c r="K30" i="11" s="1"/>
  <c r="F31" i="11"/>
  <c r="H31" i="11"/>
  <c r="I31" i="11" s="1"/>
  <c r="K31" i="11"/>
  <c r="F32" i="11"/>
  <c r="I32" i="11" s="1"/>
  <c r="K32" i="11" s="1"/>
  <c r="H32" i="11"/>
  <c r="F33" i="11"/>
  <c r="H33" i="11"/>
  <c r="I33" i="11" s="1"/>
  <c r="K33" i="11" s="1"/>
  <c r="F34" i="11"/>
  <c r="H34" i="11"/>
  <c r="I34" i="11" s="1"/>
  <c r="K34" i="11" s="1"/>
  <c r="F35" i="11"/>
  <c r="H35" i="11"/>
  <c r="I35" i="11" s="1"/>
  <c r="K35" i="11" s="1"/>
  <c r="F36" i="11"/>
  <c r="H36" i="11"/>
  <c r="I36" i="11" s="1"/>
  <c r="K36" i="11" s="1"/>
  <c r="F37" i="11"/>
  <c r="H37" i="11"/>
  <c r="I37" i="11"/>
  <c r="K37" i="11" s="1"/>
  <c r="J39" i="11"/>
  <c r="I9" i="10"/>
  <c r="J9" i="10"/>
  <c r="I10" i="10"/>
  <c r="J10" i="10" s="1"/>
  <c r="I11" i="10"/>
  <c r="J11" i="10"/>
  <c r="I12" i="10"/>
  <c r="J12" i="10"/>
  <c r="I13" i="10"/>
  <c r="J13" i="10"/>
  <c r="I14" i="10"/>
  <c r="J14" i="10" s="1"/>
  <c r="F15" i="10"/>
  <c r="K15" i="10"/>
  <c r="I20" i="10"/>
  <c r="J20" i="10"/>
  <c r="I21" i="10"/>
  <c r="J21" i="10" s="1"/>
  <c r="I22" i="10"/>
  <c r="I23" i="10"/>
  <c r="J23" i="10" s="1"/>
  <c r="I24" i="10"/>
  <c r="J24" i="10"/>
  <c r="I25" i="10"/>
  <c r="J25" i="10" s="1"/>
  <c r="F26" i="10"/>
  <c r="K26" i="10"/>
  <c r="F28" i="10"/>
  <c r="F9" i="7"/>
  <c r="I9" i="7"/>
  <c r="J9" i="7"/>
  <c r="F10" i="7"/>
  <c r="I10" i="7"/>
  <c r="J10" i="7"/>
  <c r="F11" i="7"/>
  <c r="I11" i="7" s="1"/>
  <c r="J11" i="7"/>
  <c r="F12" i="7"/>
  <c r="I12" i="7"/>
  <c r="J12" i="7"/>
  <c r="F13" i="7"/>
  <c r="I13" i="7"/>
  <c r="J13" i="7"/>
  <c r="F14" i="7"/>
  <c r="I14" i="7"/>
  <c r="J14" i="7"/>
  <c r="F15" i="7"/>
  <c r="I15" i="7"/>
  <c r="J15" i="7" s="1"/>
  <c r="F16" i="7"/>
  <c r="I16" i="7" s="1"/>
  <c r="J16" i="7" s="1"/>
  <c r="F17" i="7"/>
  <c r="I17" i="7"/>
  <c r="J17" i="7"/>
  <c r="F18" i="7"/>
  <c r="I18" i="7"/>
  <c r="J18" i="7" s="1"/>
  <c r="F19" i="7"/>
  <c r="I19" i="7" s="1"/>
  <c r="J19" i="7" s="1"/>
  <c r="F20" i="7"/>
  <c r="I20" i="7"/>
  <c r="K20" i="7"/>
  <c r="K22" i="7" s="1"/>
  <c r="Q33" i="1" s="1"/>
  <c r="F22" i="7"/>
  <c r="M33" i="1" s="1"/>
  <c r="N33" i="1" s="1"/>
  <c r="F26" i="7"/>
  <c r="I26" i="7"/>
  <c r="F27" i="7"/>
  <c r="I27" i="7"/>
  <c r="J27" i="7"/>
  <c r="F28" i="7"/>
  <c r="F29" i="7"/>
  <c r="I29" i="7" s="1"/>
  <c r="J29" i="7" s="1"/>
  <c r="F30" i="7"/>
  <c r="I30" i="7"/>
  <c r="J30" i="7" s="1"/>
  <c r="F31" i="7"/>
  <c r="I31" i="7"/>
  <c r="J31" i="7"/>
  <c r="F32" i="7"/>
  <c r="I32" i="7" s="1"/>
  <c r="J32" i="7" s="1"/>
  <c r="F33" i="7"/>
  <c r="I33" i="7"/>
  <c r="J33" i="7" s="1"/>
  <c r="F34" i="7"/>
  <c r="I34" i="7" s="1"/>
  <c r="J34" i="7" s="1"/>
  <c r="F35" i="7"/>
  <c r="I35" i="7" s="1"/>
  <c r="J35" i="7" s="1"/>
  <c r="F36" i="7"/>
  <c r="I36" i="7" s="1"/>
  <c r="J36" i="7"/>
  <c r="F37" i="7"/>
  <c r="I37" i="7" s="1"/>
  <c r="K37" i="7" s="1"/>
  <c r="K39" i="7" s="1"/>
  <c r="F9" i="3"/>
  <c r="F10" i="3"/>
  <c r="I10" i="3"/>
  <c r="J10" i="3"/>
  <c r="F11" i="3"/>
  <c r="I11" i="3" s="1"/>
  <c r="J11" i="3" s="1"/>
  <c r="F12" i="3"/>
  <c r="I12" i="3" s="1"/>
  <c r="J12" i="3" s="1"/>
  <c r="F13" i="3"/>
  <c r="I13" i="3"/>
  <c r="J13" i="3"/>
  <c r="F14" i="3"/>
  <c r="F15" i="3"/>
  <c r="I15" i="3" s="1"/>
  <c r="J15" i="3" s="1"/>
  <c r="F16" i="3"/>
  <c r="F32" i="3" s="1"/>
  <c r="I32" i="3" s="1"/>
  <c r="I16" i="3"/>
  <c r="J16" i="3" s="1"/>
  <c r="F17" i="3"/>
  <c r="I17" i="3"/>
  <c r="J17" i="3" s="1"/>
  <c r="F18" i="3"/>
  <c r="I18" i="3"/>
  <c r="J18" i="3"/>
  <c r="F19" i="3"/>
  <c r="I19" i="3" s="1"/>
  <c r="J19" i="3" s="1"/>
  <c r="F20" i="3"/>
  <c r="K21" i="3"/>
  <c r="Q17" i="1" s="1"/>
  <c r="B25" i="3"/>
  <c r="E25" i="3"/>
  <c r="B26" i="3"/>
  <c r="E26" i="3"/>
  <c r="F26" i="3"/>
  <c r="I26" i="3"/>
  <c r="J26" i="3" s="1"/>
  <c r="B27" i="3"/>
  <c r="E27" i="3"/>
  <c r="F27" i="3"/>
  <c r="I27" i="3" s="1"/>
  <c r="J27" i="3" s="1"/>
  <c r="B28" i="3"/>
  <c r="E28" i="3"/>
  <c r="F28" i="3"/>
  <c r="I28" i="3" s="1"/>
  <c r="J28" i="3" s="1"/>
  <c r="B29" i="3"/>
  <c r="E29" i="3"/>
  <c r="F29" i="3"/>
  <c r="I29" i="3" s="1"/>
  <c r="J29" i="3" s="1"/>
  <c r="B30" i="3"/>
  <c r="E30" i="3"/>
  <c r="B31" i="3"/>
  <c r="E31" i="3"/>
  <c r="B32" i="3"/>
  <c r="E32" i="3"/>
  <c r="J32" i="3"/>
  <c r="B33" i="3"/>
  <c r="E33" i="3"/>
  <c r="F33" i="3"/>
  <c r="I33" i="3"/>
  <c r="J33" i="3" s="1"/>
  <c r="B34" i="3"/>
  <c r="E34" i="3"/>
  <c r="F34" i="3"/>
  <c r="I34" i="3" s="1"/>
  <c r="J34" i="3" s="1"/>
  <c r="B35" i="3"/>
  <c r="E35" i="3"/>
  <c r="F35" i="3"/>
  <c r="I35" i="3" s="1"/>
  <c r="J35" i="3" s="1"/>
  <c r="B36" i="3"/>
  <c r="E36" i="3"/>
  <c r="K37" i="3"/>
  <c r="K39" i="3"/>
  <c r="F9" i="6"/>
  <c r="I9" i="6"/>
  <c r="J9" i="6" s="1"/>
  <c r="F10" i="6"/>
  <c r="I10" i="6"/>
  <c r="J10" i="6" s="1"/>
  <c r="F11" i="6"/>
  <c r="I11" i="6"/>
  <c r="J11" i="6"/>
  <c r="F12" i="6"/>
  <c r="I12" i="6" s="1"/>
  <c r="J12" i="6" s="1"/>
  <c r="F13" i="6"/>
  <c r="I13" i="6" s="1"/>
  <c r="J13" i="6" s="1"/>
  <c r="F14" i="6"/>
  <c r="I14" i="6"/>
  <c r="J14" i="6" s="1"/>
  <c r="F15" i="6"/>
  <c r="I15" i="6"/>
  <c r="J15" i="6"/>
  <c r="F16" i="6"/>
  <c r="I16" i="6" s="1"/>
  <c r="J16" i="6" s="1"/>
  <c r="K17" i="6"/>
  <c r="F21" i="6"/>
  <c r="I21" i="6" s="1"/>
  <c r="F22" i="6"/>
  <c r="I22" i="6"/>
  <c r="J22" i="6" s="1"/>
  <c r="F23" i="6"/>
  <c r="I23" i="6"/>
  <c r="J23" i="6"/>
  <c r="F24" i="6"/>
  <c r="I24" i="6" s="1"/>
  <c r="J24" i="6" s="1"/>
  <c r="F25" i="6"/>
  <c r="I25" i="6"/>
  <c r="J25" i="6" s="1"/>
  <c r="F26" i="6"/>
  <c r="I26" i="6"/>
  <c r="J26" i="6" s="1"/>
  <c r="F27" i="6"/>
  <c r="I27" i="6"/>
  <c r="J27" i="6"/>
  <c r="F28" i="6"/>
  <c r="I28" i="6" s="1"/>
  <c r="J28" i="6" s="1"/>
  <c r="F29" i="6"/>
  <c r="M30" i="1" s="1"/>
  <c r="N30" i="1" s="1"/>
  <c r="K29" i="6"/>
  <c r="K31" i="6" s="1"/>
  <c r="D9" i="5"/>
  <c r="F9" i="5"/>
  <c r="G9" i="5"/>
  <c r="D10" i="5"/>
  <c r="I10" i="5" s="1"/>
  <c r="F10" i="5"/>
  <c r="J10" i="5"/>
  <c r="D11" i="5"/>
  <c r="I11" i="5" s="1"/>
  <c r="J11" i="5" s="1"/>
  <c r="F11" i="5"/>
  <c r="D12" i="5"/>
  <c r="I12" i="5" s="1"/>
  <c r="J12" i="5" s="1"/>
  <c r="F12" i="5"/>
  <c r="D13" i="5"/>
  <c r="I13" i="5" s="1"/>
  <c r="J13" i="5" s="1"/>
  <c r="F13" i="5"/>
  <c r="D14" i="5"/>
  <c r="I14" i="5" s="1"/>
  <c r="J14" i="5" s="1"/>
  <c r="F14" i="5"/>
  <c r="D15" i="5"/>
  <c r="I15" i="5" s="1"/>
  <c r="F15" i="5"/>
  <c r="J15" i="5"/>
  <c r="D16" i="5"/>
  <c r="I16" i="5" s="1"/>
  <c r="J16" i="5" s="1"/>
  <c r="F16" i="5"/>
  <c r="D17" i="5"/>
  <c r="I17" i="5" s="1"/>
  <c r="F17" i="5"/>
  <c r="J17" i="5"/>
  <c r="D18" i="5"/>
  <c r="I18" i="5" s="1"/>
  <c r="F18" i="5"/>
  <c r="J18" i="5"/>
  <c r="D19" i="5"/>
  <c r="I19" i="5" s="1"/>
  <c r="J19" i="5" s="1"/>
  <c r="F19" i="5"/>
  <c r="D20" i="5"/>
  <c r="I20" i="5" s="1"/>
  <c r="J20" i="5" s="1"/>
  <c r="F20" i="5"/>
  <c r="D21" i="5"/>
  <c r="I21" i="5" s="1"/>
  <c r="J21" i="5" s="1"/>
  <c r="F21" i="5"/>
  <c r="D22" i="5"/>
  <c r="I22" i="5" s="1"/>
  <c r="J22" i="5" s="1"/>
  <c r="F22" i="5"/>
  <c r="D23" i="5"/>
  <c r="I23" i="5" s="1"/>
  <c r="F23" i="5"/>
  <c r="J23" i="5"/>
  <c r="F24" i="5"/>
  <c r="M25" i="1" s="1"/>
  <c r="N25" i="1" s="1"/>
  <c r="K24" i="5"/>
  <c r="Q25" i="1" s="1"/>
  <c r="D28" i="5"/>
  <c r="I28" i="5" s="1"/>
  <c r="J28" i="5" s="1"/>
  <c r="F28" i="5"/>
  <c r="D29" i="5"/>
  <c r="I29" i="5" s="1"/>
  <c r="F29" i="5"/>
  <c r="J29" i="5"/>
  <c r="D30" i="5"/>
  <c r="I30" i="5" s="1"/>
  <c r="J30" i="5" s="1"/>
  <c r="F30" i="5"/>
  <c r="D31" i="5"/>
  <c r="I31" i="5" s="1"/>
  <c r="F31" i="5"/>
  <c r="J31" i="5"/>
  <c r="D32" i="5"/>
  <c r="I32" i="5" s="1"/>
  <c r="F32" i="5"/>
  <c r="J32" i="5"/>
  <c r="D33" i="5"/>
  <c r="I33" i="5" s="1"/>
  <c r="J33" i="5" s="1"/>
  <c r="F33" i="5"/>
  <c r="D34" i="5"/>
  <c r="I34" i="5" s="1"/>
  <c r="J34" i="5" s="1"/>
  <c r="F34" i="5"/>
  <c r="D35" i="5"/>
  <c r="I35" i="5" s="1"/>
  <c r="J35" i="5" s="1"/>
  <c r="F35" i="5"/>
  <c r="D36" i="5"/>
  <c r="I36" i="5" s="1"/>
  <c r="J36" i="5" s="1"/>
  <c r="F36" i="5"/>
  <c r="D37" i="5"/>
  <c r="I37" i="5" s="1"/>
  <c r="F37" i="5"/>
  <c r="J37" i="5"/>
  <c r="D38" i="5"/>
  <c r="I38" i="5" s="1"/>
  <c r="J38" i="5" s="1"/>
  <c r="F38" i="5"/>
  <c r="D39" i="5"/>
  <c r="I39" i="5" s="1"/>
  <c r="F39" i="5"/>
  <c r="J39" i="5"/>
  <c r="D40" i="5"/>
  <c r="I40" i="5" s="1"/>
  <c r="F40" i="5"/>
  <c r="J40" i="5"/>
  <c r="D41" i="5"/>
  <c r="I41" i="5" s="1"/>
  <c r="J41" i="5" s="1"/>
  <c r="F41" i="5"/>
  <c r="D42" i="5"/>
  <c r="I42" i="5" s="1"/>
  <c r="J42" i="5" s="1"/>
  <c r="F42" i="5"/>
  <c r="F43" i="5"/>
  <c r="K43" i="5"/>
  <c r="Q26" i="1" s="1"/>
  <c r="Q27" i="1" s="1"/>
  <c r="J13" i="1"/>
  <c r="Q13" i="1"/>
  <c r="J14" i="1"/>
  <c r="M14" i="1"/>
  <c r="N14" i="1" s="1"/>
  <c r="Q14" i="1"/>
  <c r="J17" i="1"/>
  <c r="K17" i="1"/>
  <c r="J18" i="1"/>
  <c r="K18" i="1"/>
  <c r="Q18" i="1"/>
  <c r="Q19" i="1"/>
  <c r="J21" i="1"/>
  <c r="K21" i="1"/>
  <c r="Q21" i="1"/>
  <c r="J22" i="1"/>
  <c r="K22" i="1"/>
  <c r="Q22" i="1"/>
  <c r="K25" i="1"/>
  <c r="K26" i="1"/>
  <c r="K29" i="1"/>
  <c r="Q29" i="1"/>
  <c r="K30" i="1"/>
  <c r="Q30" i="1"/>
  <c r="Q31" i="1"/>
  <c r="K33" i="1"/>
  <c r="K34" i="1"/>
  <c r="K37" i="1"/>
  <c r="M37" i="1"/>
  <c r="N37" i="1"/>
  <c r="P37" i="1"/>
  <c r="K38" i="1"/>
  <c r="P38" i="1"/>
  <c r="P39" i="1" s="1"/>
  <c r="M39" i="1"/>
  <c r="K41" i="1"/>
  <c r="M41" i="1"/>
  <c r="N41" i="1"/>
  <c r="Q41" i="1"/>
  <c r="K42" i="1"/>
  <c r="M42" i="1"/>
  <c r="N42" i="1" s="1"/>
  <c r="N43" i="1" s="1"/>
  <c r="M43" i="1"/>
  <c r="K45" i="1"/>
  <c r="P45" i="1"/>
  <c r="K49" i="1"/>
  <c r="P49" i="1"/>
  <c r="P51" i="1" s="1"/>
  <c r="K50" i="1"/>
  <c r="P50" i="1"/>
  <c r="K53" i="1"/>
  <c r="M53" i="1"/>
  <c r="P53" i="1"/>
  <c r="M54" i="1"/>
  <c r="N54" i="1"/>
  <c r="P54" i="1"/>
  <c r="P55" i="1"/>
  <c r="K57" i="1"/>
  <c r="M57" i="1"/>
  <c r="N57" i="1"/>
  <c r="P57" i="1"/>
  <c r="K58" i="1"/>
  <c r="P58" i="1"/>
  <c r="P59" i="1"/>
  <c r="M74" i="1"/>
  <c r="N75" i="1"/>
  <c r="N76" i="1"/>
  <c r="M77" i="1"/>
  <c r="N77" i="1"/>
  <c r="M79" i="1"/>
  <c r="N79" i="1" s="1"/>
  <c r="O79" i="1"/>
  <c r="P79" i="1"/>
  <c r="Q79" i="1"/>
  <c r="O83" i="1"/>
  <c r="P83" i="1"/>
  <c r="O85" i="1"/>
  <c r="P85" i="1" s="1"/>
  <c r="M89" i="1"/>
  <c r="N89" i="1"/>
  <c r="Q89" i="1"/>
  <c r="K90" i="1"/>
  <c r="M90" i="1"/>
  <c r="Q90" i="1"/>
  <c r="Q91" i="1" s="1"/>
  <c r="M93" i="1"/>
  <c r="N93" i="1"/>
  <c r="Q93" i="1"/>
  <c r="K94" i="1"/>
  <c r="Q94" i="1"/>
  <c r="Q95" i="1"/>
  <c r="N45" i="1" l="1"/>
  <c r="M23" i="1"/>
  <c r="N22" i="1"/>
  <c r="N23" i="1" s="1"/>
  <c r="J43" i="5"/>
  <c r="I28" i="7"/>
  <c r="J28" i="7" s="1"/>
  <c r="F39" i="7"/>
  <c r="J22" i="7"/>
  <c r="P33" i="1" s="1"/>
  <c r="I9" i="12"/>
  <c r="F22" i="12"/>
  <c r="F41" i="12" s="1"/>
  <c r="K46" i="1"/>
  <c r="J22" i="10"/>
  <c r="I26" i="10"/>
  <c r="J41" i="11"/>
  <c r="P46" i="1"/>
  <c r="P47" i="1" s="1"/>
  <c r="I40" i="19"/>
  <c r="I19" i="9"/>
  <c r="K76" i="1"/>
  <c r="L76" i="1" s="1"/>
  <c r="F25" i="3"/>
  <c r="F21" i="3"/>
  <c r="M46" i="1"/>
  <c r="N46" i="1" s="1"/>
  <c r="F41" i="11"/>
  <c r="Q23" i="1"/>
  <c r="M26" i="1"/>
  <c r="F45" i="5"/>
  <c r="Q15" i="1"/>
  <c r="I17" i="6"/>
  <c r="O29" i="1" s="1"/>
  <c r="J17" i="6"/>
  <c r="P29" i="1" s="1"/>
  <c r="I20" i="3"/>
  <c r="J20" i="3" s="1"/>
  <c r="F36" i="3"/>
  <c r="I36" i="3" s="1"/>
  <c r="J36" i="3" s="1"/>
  <c r="J26" i="7"/>
  <c r="F17" i="6"/>
  <c r="K28" i="10"/>
  <c r="Q42" i="1"/>
  <c r="Q43" i="1" s="1"/>
  <c r="I14" i="11"/>
  <c r="K14" i="11" s="1"/>
  <c r="I20" i="13"/>
  <c r="K20" i="13" s="1"/>
  <c r="I10" i="9"/>
  <c r="K75" i="1"/>
  <c r="L75" i="1" s="1"/>
  <c r="I12" i="17"/>
  <c r="J9" i="17"/>
  <c r="J12" i="17" s="1"/>
  <c r="K9" i="11"/>
  <c r="K22" i="11" s="1"/>
  <c r="Q45" i="1" s="1"/>
  <c r="N91" i="1"/>
  <c r="I9" i="5"/>
  <c r="J25" i="1"/>
  <c r="K9" i="14"/>
  <c r="K22" i="14" s="1"/>
  <c r="Q53" i="1" s="1"/>
  <c r="I22" i="14"/>
  <c r="O53" i="1" s="1"/>
  <c r="I43" i="5"/>
  <c r="F30" i="3"/>
  <c r="I30" i="3" s="1"/>
  <c r="J30" i="3" s="1"/>
  <c r="I14" i="3"/>
  <c r="J14" i="3" s="1"/>
  <c r="K22" i="15"/>
  <c r="Q57" i="1" s="1"/>
  <c r="M94" i="1"/>
  <c r="K45" i="5"/>
  <c r="I9" i="3"/>
  <c r="K26" i="11"/>
  <c r="K39" i="11" s="1"/>
  <c r="I39" i="11"/>
  <c r="I39" i="15"/>
  <c r="K26" i="15"/>
  <c r="K39" i="15" s="1"/>
  <c r="F39" i="13"/>
  <c r="F24" i="4"/>
  <c r="M21" i="1" s="1"/>
  <c r="N21" i="1" s="1"/>
  <c r="J15" i="10"/>
  <c r="P41" i="1" s="1"/>
  <c r="F41" i="15"/>
  <c r="M58" i="1"/>
  <c r="I40" i="20"/>
  <c r="J27" i="20"/>
  <c r="J40" i="20" s="1"/>
  <c r="I24" i="20"/>
  <c r="O93" i="1" s="1"/>
  <c r="J12" i="20"/>
  <c r="J24" i="20" s="1"/>
  <c r="P93" i="1" s="1"/>
  <c r="F45" i="4"/>
  <c r="N90" i="1"/>
  <c r="M91" i="1"/>
  <c r="M55" i="1"/>
  <c r="N53" i="1"/>
  <c r="N55" i="1" s="1"/>
  <c r="J21" i="6"/>
  <c r="J29" i="6" s="1"/>
  <c r="I29" i="6"/>
  <c r="K41" i="7"/>
  <c r="Q34" i="1"/>
  <c r="Q35" i="1" s="1"/>
  <c r="I22" i="7"/>
  <c r="O33" i="1" s="1"/>
  <c r="I15" i="10"/>
  <c r="O41" i="1" s="1"/>
  <c r="L41" i="1" s="1"/>
  <c r="K54" i="1"/>
  <c r="I27" i="14"/>
  <c r="K27" i="14" s="1"/>
  <c r="J27" i="19"/>
  <c r="J40" i="19" s="1"/>
  <c r="I16" i="13"/>
  <c r="K16" i="13" s="1"/>
  <c r="K22" i="13" s="1"/>
  <c r="Q49" i="1" s="1"/>
  <c r="I17" i="25"/>
  <c r="K17" i="25" s="1"/>
  <c r="K36" i="25" s="1"/>
  <c r="J26" i="1"/>
  <c r="I22" i="15"/>
  <c r="O57" i="1" s="1"/>
  <c r="F22" i="13"/>
  <c r="M49" i="1" s="1"/>
  <c r="J24" i="19"/>
  <c r="P89" i="1" s="1"/>
  <c r="F36" i="25"/>
  <c r="I37" i="4"/>
  <c r="J37" i="4" s="1"/>
  <c r="J28" i="4"/>
  <c r="I43" i="4"/>
  <c r="I16" i="4"/>
  <c r="J16" i="4" s="1"/>
  <c r="I13" i="4"/>
  <c r="J13" i="4" s="1"/>
  <c r="I11" i="11"/>
  <c r="K11" i="11" s="1"/>
  <c r="I39" i="14"/>
  <c r="K26" i="14"/>
  <c r="K39" i="14" s="1"/>
  <c r="I36" i="13"/>
  <c r="K36" i="13" s="1"/>
  <c r="I32" i="13"/>
  <c r="K32" i="13" s="1"/>
  <c r="I28" i="13"/>
  <c r="K28" i="13" s="1"/>
  <c r="F42" i="19"/>
  <c r="I21" i="4"/>
  <c r="J21" i="4" s="1"/>
  <c r="F31" i="3"/>
  <c r="I31" i="3" s="1"/>
  <c r="J31" i="3" s="1"/>
  <c r="J26" i="10"/>
  <c r="J9" i="16"/>
  <c r="J12" i="16" s="1"/>
  <c r="I34" i="13"/>
  <c r="K34" i="13" s="1"/>
  <c r="I30" i="13"/>
  <c r="K30" i="13" s="1"/>
  <c r="I26" i="13"/>
  <c r="K26" i="12"/>
  <c r="K39" i="12" s="1"/>
  <c r="K41" i="12" s="1"/>
  <c r="I24" i="19"/>
  <c r="O89" i="1" s="1"/>
  <c r="J9" i="24"/>
  <c r="J12" i="24" s="1"/>
  <c r="I27" i="2"/>
  <c r="H9" i="25"/>
  <c r="I9" i="25" s="1"/>
  <c r="I9" i="4"/>
  <c r="H21" i="25"/>
  <c r="I21" i="25" s="1"/>
  <c r="K21" i="25" s="1"/>
  <c r="H25" i="25"/>
  <c r="I25" i="25" s="1"/>
  <c r="K25" i="25" s="1"/>
  <c r="F22" i="2"/>
  <c r="I23" i="4"/>
  <c r="J23" i="4" s="1"/>
  <c r="I15" i="4"/>
  <c r="J15" i="4" s="1"/>
  <c r="I12" i="2"/>
  <c r="J12" i="2" s="1"/>
  <c r="I10" i="2"/>
  <c r="K41" i="14" l="1"/>
  <c r="Q54" i="1"/>
  <c r="Q55" i="1" s="1"/>
  <c r="K41" i="15"/>
  <c r="Q58" i="1"/>
  <c r="I41" i="15"/>
  <c r="O58" i="1"/>
  <c r="L58" i="1" s="1"/>
  <c r="L59" i="1" s="1"/>
  <c r="M17" i="1"/>
  <c r="N17" i="1" s="1"/>
  <c r="F39" i="3"/>
  <c r="L33" i="1"/>
  <c r="M29" i="1"/>
  <c r="F31" i="6"/>
  <c r="I25" i="3"/>
  <c r="F37" i="3"/>
  <c r="M18" i="1" s="1"/>
  <c r="N18" i="1" s="1"/>
  <c r="P26" i="1"/>
  <c r="P27" i="1" s="1"/>
  <c r="J28" i="10"/>
  <c r="P42" i="1"/>
  <c r="P43" i="1" s="1"/>
  <c r="O95" i="1"/>
  <c r="I41" i="14"/>
  <c r="O54" i="1"/>
  <c r="L54" i="1" s="1"/>
  <c r="L55" i="1" s="1"/>
  <c r="J9" i="3"/>
  <c r="J21" i="3" s="1"/>
  <c r="I21" i="3"/>
  <c r="O22" i="1"/>
  <c r="J9" i="4"/>
  <c r="J24" i="4" s="1"/>
  <c r="I24" i="4"/>
  <c r="O21" i="1" s="1"/>
  <c r="L21" i="1" s="1"/>
  <c r="J43" i="4"/>
  <c r="M95" i="1"/>
  <c r="M97" i="1" s="1"/>
  <c r="N94" i="1"/>
  <c r="N95" i="1" s="1"/>
  <c r="I39" i="7"/>
  <c r="J27" i="2"/>
  <c r="J38" i="2" s="1"/>
  <c r="I38" i="2"/>
  <c r="O14" i="1" s="1"/>
  <c r="L14" i="1" s="1"/>
  <c r="O30" i="1"/>
  <c r="L30" i="1" s="1"/>
  <c r="I31" i="6"/>
  <c r="K10" i="9"/>
  <c r="K15" i="9" s="1"/>
  <c r="I15" i="9"/>
  <c r="I42" i="19"/>
  <c r="O90" i="1"/>
  <c r="O91" i="1" s="1"/>
  <c r="J31" i="6"/>
  <c r="P30" i="1"/>
  <c r="K26" i="13"/>
  <c r="K39" i="13" s="1"/>
  <c r="I39" i="13"/>
  <c r="O55" i="1"/>
  <c r="J10" i="2"/>
  <c r="J22" i="2" s="1"/>
  <c r="I22" i="2"/>
  <c r="I36" i="25"/>
  <c r="H36" i="25" s="1"/>
  <c r="J9" i="25"/>
  <c r="J36" i="25" s="1"/>
  <c r="P95" i="1"/>
  <c r="F41" i="13"/>
  <c r="M50" i="1"/>
  <c r="N50" i="1" s="1"/>
  <c r="I24" i="5"/>
  <c r="O25" i="1" s="1"/>
  <c r="L25" i="1" s="1"/>
  <c r="J9" i="5"/>
  <c r="J24" i="5" s="1"/>
  <c r="P25" i="1" s="1"/>
  <c r="J39" i="7"/>
  <c r="N26" i="1"/>
  <c r="N27" i="1" s="1"/>
  <c r="M27" i="1"/>
  <c r="K19" i="9"/>
  <c r="K23" i="9" s="1"/>
  <c r="K25" i="9" s="1"/>
  <c r="I23" i="9"/>
  <c r="J42" i="20"/>
  <c r="P94" i="1"/>
  <c r="P91" i="1"/>
  <c r="O94" i="1"/>
  <c r="I42" i="20"/>
  <c r="O46" i="1"/>
  <c r="L46" i="1" s="1"/>
  <c r="P31" i="1"/>
  <c r="N47" i="1"/>
  <c r="Q59" i="1"/>
  <c r="J42" i="19"/>
  <c r="P90" i="1"/>
  <c r="J9" i="12"/>
  <c r="J22" i="12" s="1"/>
  <c r="J41" i="12" s="1"/>
  <c r="I22" i="12"/>
  <c r="F40" i="2"/>
  <c r="M13" i="1"/>
  <c r="I22" i="13"/>
  <c r="O49" i="1" s="1"/>
  <c r="N49" i="1"/>
  <c r="N51" i="1" s="1"/>
  <c r="M51" i="1"/>
  <c r="N58" i="1"/>
  <c r="N59" i="1" s="1"/>
  <c r="M59" i="1"/>
  <c r="K41" i="11"/>
  <c r="Q46" i="1"/>
  <c r="Q47" i="1" s="1"/>
  <c r="I45" i="5"/>
  <c r="O26" i="1"/>
  <c r="I22" i="11"/>
  <c r="O45" i="1" s="1"/>
  <c r="I28" i="10"/>
  <c r="O42" i="1"/>
  <c r="M34" i="1"/>
  <c r="F41" i="7"/>
  <c r="M47" i="1"/>
  <c r="I40" i="2" l="1"/>
  <c r="O13" i="1"/>
  <c r="O81" i="1"/>
  <c r="P81" i="1" s="1"/>
  <c r="P97" i="1" s="1"/>
  <c r="I41" i="12"/>
  <c r="I25" i="9"/>
  <c r="O76" i="1"/>
  <c r="I41" i="13"/>
  <c r="O50" i="1"/>
  <c r="L50" i="1" s="1"/>
  <c r="L51" i="1" s="1"/>
  <c r="L24" i="4"/>
  <c r="P21" i="1"/>
  <c r="O31" i="1"/>
  <c r="L22" i="1"/>
  <c r="O23" i="1"/>
  <c r="L45" i="1"/>
  <c r="L47" i="1" s="1"/>
  <c r="O47" i="1"/>
  <c r="I41" i="7"/>
  <c r="O34" i="1"/>
  <c r="O43" i="1"/>
  <c r="L42" i="1"/>
  <c r="L43" i="1" s="1"/>
  <c r="L23" i="1"/>
  <c r="I41" i="11"/>
  <c r="K41" i="13"/>
  <c r="Q50" i="1"/>
  <c r="Q51" i="1" s="1"/>
  <c r="M31" i="1"/>
  <c r="N29" i="1"/>
  <c r="N31" i="1" s="1"/>
  <c r="L29" i="1"/>
  <c r="L31" i="1" s="1"/>
  <c r="L38" i="2"/>
  <c r="P14" i="1"/>
  <c r="I45" i="4"/>
  <c r="Q62" i="1"/>
  <c r="O51" i="1"/>
  <c r="J45" i="5"/>
  <c r="M15" i="1"/>
  <c r="N13" i="1"/>
  <c r="M19" i="1"/>
  <c r="O37" i="1"/>
  <c r="L37" i="1" s="1"/>
  <c r="O38" i="1"/>
  <c r="O75" i="1"/>
  <c r="Q75" i="1" s="1"/>
  <c r="O74" i="1"/>
  <c r="Q74" i="1" s="1"/>
  <c r="O59" i="1"/>
  <c r="J41" i="7"/>
  <c r="P34" i="1"/>
  <c r="P35" i="1" s="1"/>
  <c r="P62" i="1" s="1"/>
  <c r="I39" i="3"/>
  <c r="O17" i="1"/>
  <c r="O27" i="1"/>
  <c r="L26" i="1"/>
  <c r="L27" i="1" s="1"/>
  <c r="J40" i="2"/>
  <c r="L40" i="2" s="1"/>
  <c r="P13" i="1"/>
  <c r="L22" i="2"/>
  <c r="P17" i="1"/>
  <c r="L21" i="3"/>
  <c r="N34" i="1"/>
  <c r="N35" i="1" s="1"/>
  <c r="N62" i="1" s="1"/>
  <c r="M35" i="1"/>
  <c r="M62" i="1" s="1"/>
  <c r="Q38" i="1"/>
  <c r="Q39" i="1" s="1"/>
  <c r="Q37" i="1"/>
  <c r="J45" i="4"/>
  <c r="L45" i="4" s="1"/>
  <c r="L43" i="4"/>
  <c r="P22" i="1"/>
  <c r="P23" i="1" s="1"/>
  <c r="I37" i="3"/>
  <c r="O18" i="1" s="1"/>
  <c r="L18" i="1" s="1"/>
  <c r="J25" i="3"/>
  <c r="J37" i="3" s="1"/>
  <c r="J39" i="3" s="1"/>
  <c r="L39" i="3" s="1"/>
  <c r="L37" i="3" l="1"/>
  <c r="P18" i="1"/>
  <c r="O39" i="1"/>
  <c r="L38" i="1"/>
  <c r="N15" i="1"/>
  <c r="N19" i="1"/>
  <c r="P15" i="1"/>
  <c r="Q76" i="1"/>
  <c r="Q77" i="1" s="1"/>
  <c r="Q97" i="1" s="1"/>
  <c r="O77" i="1"/>
  <c r="O97" i="1" s="1"/>
  <c r="L34" i="1"/>
  <c r="L35" i="1" s="1"/>
  <c r="O35" i="1"/>
  <c r="O62" i="1" s="1"/>
  <c r="O19" i="1"/>
  <c r="L17" i="1"/>
  <c r="L19" i="1" s="1"/>
  <c r="L39" i="1"/>
  <c r="L13" i="1"/>
  <c r="L15" i="1" s="1"/>
  <c r="O15" i="1"/>
  <c r="P19" i="1"/>
</calcChain>
</file>

<file path=xl/sharedStrings.xml><?xml version="1.0" encoding="utf-8"?>
<sst xmlns="http://schemas.openxmlformats.org/spreadsheetml/2006/main" count="1260" uniqueCount="165">
  <si>
    <t>ENRON TRANSPORTATION &amp; STORAGE</t>
  </si>
  <si>
    <t>FUEL HEDGING BOOK</t>
  </si>
  <si>
    <t>SUMMARY</t>
  </si>
  <si>
    <t>Related</t>
  </si>
  <si>
    <t>Company</t>
  </si>
  <si>
    <t>Contract</t>
  </si>
  <si>
    <t>Hedged</t>
  </si>
  <si>
    <t>Offsetting</t>
  </si>
  <si>
    <t>Hedge</t>
  </si>
  <si>
    <t>Avg.</t>
  </si>
  <si>
    <t>Spread</t>
  </si>
  <si>
    <t>Fuel</t>
  </si>
  <si>
    <t>Trans.</t>
  </si>
  <si>
    <t>Name</t>
  </si>
  <si>
    <t>Number</t>
  </si>
  <si>
    <t>Type</t>
  </si>
  <si>
    <t>Counter-</t>
  </si>
  <si>
    <t>Term</t>
  </si>
  <si>
    <t>Price</t>
  </si>
  <si>
    <t>Actual/</t>
  </si>
  <si>
    <t>Volume</t>
  </si>
  <si>
    <t>Dth/d</t>
  </si>
  <si>
    <t>Gains and (Losses)</t>
  </si>
  <si>
    <t>Party</t>
  </si>
  <si>
    <t>Futures</t>
  </si>
  <si>
    <t>(Short)</t>
  </si>
  <si>
    <t>Total</t>
  </si>
  <si>
    <t>Realized</t>
  </si>
  <si>
    <t>Unrealized</t>
  </si>
  <si>
    <t>Prices</t>
  </si>
  <si>
    <t>Long</t>
  </si>
  <si>
    <t>(4)</t>
  </si>
  <si>
    <t>TW</t>
  </si>
  <si>
    <t>Avista</t>
  </si>
  <si>
    <t>F</t>
  </si>
  <si>
    <t>Engage</t>
  </si>
  <si>
    <t>P</t>
  </si>
  <si>
    <t>Y</t>
  </si>
  <si>
    <t>Sempra</t>
  </si>
  <si>
    <t>RMTC</t>
  </si>
  <si>
    <t>NNG</t>
  </si>
  <si>
    <t>El Paso</t>
  </si>
  <si>
    <t>Base Gas Repurchase</t>
  </si>
  <si>
    <t>Short(-)</t>
  </si>
  <si>
    <t>Long(+)</t>
  </si>
  <si>
    <t>N</t>
  </si>
  <si>
    <t>Over-retention</t>
  </si>
  <si>
    <t>(4)Gain and Losses are a measurement of the effectiveness of meeting the stated hedge objective.</t>
  </si>
  <si>
    <t xml:space="preserve">                            $20,000,000-El Paso</t>
  </si>
  <si>
    <t>TRANSWESTERN PIPELINE COMPANY</t>
  </si>
  <si>
    <t>Avista_1</t>
  </si>
  <si>
    <t>DEAL EXPIRED</t>
  </si>
  <si>
    <t>Prod.</t>
  </si>
  <si>
    <t>Fixed</t>
  </si>
  <si>
    <t>Settled</t>
  </si>
  <si>
    <t>(Gains) and Losses</t>
  </si>
  <si>
    <t>Date</t>
  </si>
  <si>
    <t>Dth</t>
  </si>
  <si>
    <t>El Paso SJ</t>
  </si>
  <si>
    <t>TW Index</t>
  </si>
  <si>
    <t>Sempra_1</t>
  </si>
  <si>
    <t>Jun-1999</t>
  </si>
  <si>
    <t>Jul-1999</t>
  </si>
  <si>
    <t>Aug-1999</t>
  </si>
  <si>
    <t>Sep-1999</t>
  </si>
  <si>
    <t>Oct-1999</t>
  </si>
  <si>
    <t>Nov-1999</t>
  </si>
  <si>
    <t>Dec-1999</t>
  </si>
  <si>
    <t>Jan-2000</t>
  </si>
  <si>
    <t>Feb-2000</t>
  </si>
  <si>
    <t>Mar-2000</t>
  </si>
  <si>
    <t>Apr-2000</t>
  </si>
  <si>
    <t>May-2000</t>
  </si>
  <si>
    <t>Avista_2</t>
  </si>
  <si>
    <t>El Paso Prmn</t>
  </si>
  <si>
    <t>Sempra_2</t>
  </si>
  <si>
    <t>Sempra_2.1</t>
  </si>
  <si>
    <t>Risk Management &amp; Trading Corp._2</t>
  </si>
  <si>
    <t>NORTHERN NATURAL GAS COMPANY</t>
  </si>
  <si>
    <t>EL PASO ENERGY MARKETING COMPANY_6</t>
  </si>
  <si>
    <t>IF-DEMARC</t>
  </si>
  <si>
    <t>EL PASO</t>
  </si>
  <si>
    <t>06/98-05/99</t>
  </si>
  <si>
    <t>10/98-12/99</t>
  </si>
  <si>
    <t>05/99-12/99</t>
  </si>
  <si>
    <t>01/01-12/01</t>
  </si>
  <si>
    <t xml:space="preserve"> 06/02-10/02 (5)</t>
  </si>
  <si>
    <t>Over-rtnd</t>
  </si>
  <si>
    <t xml:space="preserve"> 06/99-05/00</t>
  </si>
  <si>
    <t>MEC</t>
  </si>
  <si>
    <t>IF-Ventura</t>
  </si>
  <si>
    <t>NGI-Chicago</t>
  </si>
  <si>
    <t>11/99-04/00</t>
  </si>
  <si>
    <t>Index less $.104</t>
  </si>
  <si>
    <t>Speculative Gains and (Losses)</t>
  </si>
  <si>
    <t>MID-AMERICAN ENERGY COMPANY-EXPIRED</t>
  </si>
  <si>
    <t>ENA</t>
  </si>
  <si>
    <t>Enron North America_9</t>
  </si>
  <si>
    <t>Enron North America_10</t>
  </si>
  <si>
    <t>ENA-Put Option</t>
  </si>
  <si>
    <t xml:space="preserve"> </t>
  </si>
  <si>
    <t>Enron North America_11</t>
  </si>
  <si>
    <t>Financial</t>
  </si>
  <si>
    <t>Physical</t>
  </si>
  <si>
    <t>See Note 1</t>
  </si>
  <si>
    <t>(3)Gain and Losses are a measurement of the effectiveness of meeting the stated hedge objective.</t>
  </si>
  <si>
    <t>(4)Margin call:  $   1,000,000-NNG</t>
  </si>
  <si>
    <t xml:space="preserve"> 06/02-10/02 (4)</t>
  </si>
  <si>
    <t>(3)</t>
  </si>
  <si>
    <t>Enron North America_12</t>
  </si>
  <si>
    <t>Enron North America_13</t>
  </si>
  <si>
    <t>01/00-12/00</t>
  </si>
  <si>
    <t>TransCanada</t>
  </si>
  <si>
    <t>NT6154.1</t>
  </si>
  <si>
    <t>Trade</t>
  </si>
  <si>
    <t>NV5358.1</t>
  </si>
  <si>
    <t>NORTHERN NATUAL GAS COMPANY</t>
  </si>
  <si>
    <t>El Paso Call Option</t>
  </si>
  <si>
    <t>ENA-Call Option</t>
  </si>
  <si>
    <t>El Paso Merchant Energy_18</t>
  </si>
  <si>
    <t>Enron North America_19</t>
  </si>
  <si>
    <t xml:space="preserve">El Paso </t>
  </si>
  <si>
    <t>Q06763.1</t>
  </si>
  <si>
    <t>OTHER TRADE</t>
  </si>
  <si>
    <t>Enron North America_20</t>
  </si>
  <si>
    <t>Strike</t>
  </si>
  <si>
    <t>Floating</t>
  </si>
  <si>
    <t>Q60886.1</t>
  </si>
  <si>
    <t>Deal #QA4309.1</t>
  </si>
  <si>
    <t>Enron North America</t>
  </si>
  <si>
    <t>NNG(Demarc)</t>
  </si>
  <si>
    <t>GD-Others-Midpoint</t>
  </si>
  <si>
    <t>Notional</t>
  </si>
  <si>
    <t>Quantity</t>
  </si>
  <si>
    <t>Deal #QA5217.1</t>
  </si>
  <si>
    <t>GD-Lou. Onshor S.-Midpoint</t>
  </si>
  <si>
    <t>Henry Hub</t>
  </si>
  <si>
    <t>QA4309.1</t>
  </si>
  <si>
    <t>11/18/00-11/30/00</t>
  </si>
  <si>
    <t>QA5217.1</t>
  </si>
  <si>
    <t>EL Paso Prmn</t>
  </si>
  <si>
    <t>Deal #Qo6763.1</t>
  </si>
  <si>
    <t>NNG DOES NOT MAKE PAYMENT TO ENA BECAUSE THE FLOATING PRICE IS LESS THAN THE STRIKE PRICE.</t>
  </si>
  <si>
    <t>Floating Price</t>
  </si>
  <si>
    <t>Deal #QO886.1</t>
  </si>
  <si>
    <t>El Paso Merchant Energy</t>
  </si>
  <si>
    <t>Deal #1009351</t>
  </si>
  <si>
    <t>Call Option</t>
  </si>
  <si>
    <t>EL PASO DOES NOT MAKE PAYMENT TO NNG  BECAUSE THE FLOATING PRICE IS LESS THAN THE STRIKE PRICE.</t>
  </si>
  <si>
    <t>Futures_113000</t>
  </si>
  <si>
    <t>futures_113000</t>
  </si>
  <si>
    <t>AS OF NOVEMBER 30, 2000</t>
  </si>
  <si>
    <t>Back End Swap</t>
  </si>
  <si>
    <t>11/00-10/02</t>
  </si>
  <si>
    <t>Risk Book</t>
  </si>
  <si>
    <t>Trading BOOK</t>
  </si>
  <si>
    <t>AECO + .94</t>
  </si>
  <si>
    <t>AECO + .90</t>
  </si>
  <si>
    <t>Receiving</t>
  </si>
  <si>
    <t>Paying</t>
  </si>
  <si>
    <t>Difference</t>
  </si>
  <si>
    <t>TC</t>
  </si>
  <si>
    <t>Mark to Mrkt</t>
  </si>
  <si>
    <t>Hedge Position Summary</t>
  </si>
  <si>
    <t>Note 1:  TW hedges are perfectly correlated.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</si>
</sst>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.0000_);_(&quot;$&quot;* \(#,##0.0000\);_(&quot;$&quot;* &quot;-&quot;??_);_(@_)"/>
    <numFmt numFmtId="167" formatCode="_(&quot;$&quot;* #,##0.000_);_(&quot;$&quot;* \(#,##0.000\);_(&quot;$&quot;* &quot;-&quot;??_);_(@_)"/>
    <numFmt numFmtId="169" formatCode="_(&quot;$&quot;* #,##0_);_(&quot;$&quot;* \(#,##0\);_(&quot;$&quot;* &quot;-&quot;??_);_(@_)"/>
    <numFmt numFmtId="178" formatCode="&quot;$&quot;#,##0.0000"/>
    <numFmt numFmtId="179" formatCode="mm/dd/yy"/>
    <numFmt numFmtId="180" formatCode="&quot;$&quot;#,##0.00000"/>
  </numFmts>
  <fonts count="12" x14ac:knownFonts="1">
    <font>
      <sz val="10"/>
      <name val="Arial"/>
    </font>
    <font>
      <b/>
      <i/>
      <sz val="10"/>
      <name val="Arial"/>
    </font>
    <font>
      <sz val="10"/>
      <name val="Arial"/>
    </font>
    <font>
      <b/>
      <i/>
      <sz val="12"/>
      <name val="Arial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i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Times New Roman"/>
      <family val="1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239">
    <xf numFmtId="0" fontId="0" fillId="0" borderId="0" xfId="0"/>
    <xf numFmtId="0" fontId="3" fillId="0" borderId="0" xfId="0" applyFont="1" applyAlignment="1">
      <alignment horizontal="centerContinuous"/>
    </xf>
    <xf numFmtId="0" fontId="3" fillId="0" borderId="0" xfId="0" applyFont="1"/>
    <xf numFmtId="0" fontId="4" fillId="0" borderId="0" xfId="0" applyFont="1" applyAlignment="1">
      <alignment horizontal="centerContinuous"/>
    </xf>
    <xf numFmtId="0" fontId="4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1" fillId="2" borderId="6" xfId="0" applyFont="1" applyFill="1" applyBorder="1" applyAlignment="1">
      <alignment horizontal="center"/>
    </xf>
    <xf numFmtId="17" fontId="0" fillId="0" borderId="3" xfId="0" applyNumberFormat="1" applyBorder="1"/>
    <xf numFmtId="0" fontId="0" fillId="0" borderId="7" xfId="0" applyBorder="1"/>
    <xf numFmtId="0" fontId="0" fillId="0" borderId="7" xfId="0" applyBorder="1" applyAlignment="1">
      <alignment horizontal="center"/>
    </xf>
    <xf numFmtId="44" fontId="0" fillId="0" borderId="7" xfId="2" applyFont="1" applyBorder="1"/>
    <xf numFmtId="164" fontId="0" fillId="0" borderId="7" xfId="1" applyNumberFormat="1" applyFont="1" applyBorder="1"/>
    <xf numFmtId="44" fontId="0" fillId="0" borderId="4" xfId="2" applyFont="1" applyBorder="1"/>
    <xf numFmtId="0" fontId="0" fillId="0" borderId="3" xfId="0" applyBorder="1"/>
    <xf numFmtId="164" fontId="1" fillId="0" borderId="8" xfId="0" applyNumberFormat="1" applyFont="1" applyBorder="1"/>
    <xf numFmtId="44" fontId="1" fillId="0" borderId="9" xfId="2" applyFont="1" applyBorder="1"/>
    <xf numFmtId="164" fontId="1" fillId="0" borderId="10" xfId="0" applyNumberFormat="1" applyFont="1" applyBorder="1"/>
    <xf numFmtId="44" fontId="1" fillId="0" borderId="10" xfId="2" applyFont="1" applyBorder="1"/>
    <xf numFmtId="0" fontId="0" fillId="0" borderId="5" xfId="0" applyBorder="1"/>
    <xf numFmtId="0" fontId="0" fillId="0" borderId="11" xfId="0" applyBorder="1"/>
    <xf numFmtId="44" fontId="0" fillId="0" borderId="12" xfId="2" applyFont="1" applyBorder="1"/>
    <xf numFmtId="44" fontId="0" fillId="0" borderId="0" xfId="2" applyFont="1"/>
    <xf numFmtId="0" fontId="5" fillId="0" borderId="0" xfId="0" applyFont="1"/>
    <xf numFmtId="44" fontId="5" fillId="0" borderId="0" xfId="2" applyFont="1"/>
    <xf numFmtId="17" fontId="0" fillId="0" borderId="7" xfId="0" applyNumberFormat="1" applyBorder="1"/>
    <xf numFmtId="165" fontId="0" fillId="0" borderId="7" xfId="2" applyNumberFormat="1" applyFont="1" applyBorder="1"/>
    <xf numFmtId="44" fontId="1" fillId="0" borderId="8" xfId="0" applyNumberFormat="1" applyFont="1" applyBorder="1"/>
    <xf numFmtId="44" fontId="1" fillId="0" borderId="10" xfId="0" applyNumberFormat="1" applyFont="1" applyBorder="1"/>
    <xf numFmtId="44" fontId="1" fillId="0" borderId="8" xfId="2" applyFont="1" applyBorder="1"/>
    <xf numFmtId="165" fontId="0" fillId="0" borderId="7" xfId="0" applyNumberFormat="1" applyBorder="1"/>
    <xf numFmtId="44" fontId="6" fillId="0" borderId="7" xfId="2" applyFont="1" applyBorder="1"/>
    <xf numFmtId="164" fontId="1" fillId="0" borderId="7" xfId="0" applyNumberFormat="1" applyFont="1" applyBorder="1"/>
    <xf numFmtId="0" fontId="0" fillId="0" borderId="4" xfId="0" applyBorder="1"/>
    <xf numFmtId="0" fontId="0" fillId="0" borderId="12" xfId="0" applyBorder="1"/>
    <xf numFmtId="44" fontId="0" fillId="0" borderId="4" xfId="0" applyNumberFormat="1" applyBorder="1"/>
    <xf numFmtId="44" fontId="4" fillId="0" borderId="0" xfId="2" applyFont="1"/>
    <xf numFmtId="44" fontId="0" fillId="0" borderId="0" xfId="0" applyNumberFormat="1"/>
    <xf numFmtId="44" fontId="3" fillId="0" borderId="0" xfId="2" applyFont="1" applyAlignment="1">
      <alignment horizontal="centerContinuous"/>
    </xf>
    <xf numFmtId="44" fontId="4" fillId="0" borderId="0" xfId="2" applyFont="1" applyAlignment="1">
      <alignment horizontal="centerContinuous"/>
    </xf>
    <xf numFmtId="0" fontId="1" fillId="2" borderId="6" xfId="0" applyFont="1" applyFill="1" applyBorder="1"/>
    <xf numFmtId="44" fontId="1" fillId="0" borderId="4" xfId="2" applyFont="1" applyBorder="1"/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165" fontId="1" fillId="2" borderId="6" xfId="0" applyNumberFormat="1" applyFont="1" applyFill="1" applyBorder="1" applyAlignment="1">
      <alignment horizontal="center"/>
    </xf>
    <xf numFmtId="44" fontId="1" fillId="0" borderId="7" xfId="0" applyNumberFormat="1" applyFont="1" applyBorder="1"/>
    <xf numFmtId="44" fontId="1" fillId="0" borderId="4" xfId="0" applyNumberFormat="1" applyFont="1" applyBorder="1"/>
    <xf numFmtId="44" fontId="1" fillId="0" borderId="7" xfId="2" applyFont="1" applyBorder="1"/>
    <xf numFmtId="0" fontId="1" fillId="2" borderId="14" xfId="0" applyFont="1" applyFill="1" applyBorder="1" applyAlignment="1">
      <alignment horizontal="centerContinuous"/>
    </xf>
    <xf numFmtId="0" fontId="1" fillId="3" borderId="14" xfId="0" applyFont="1" applyFill="1" applyBorder="1" applyAlignment="1">
      <alignment horizontal="centerContinuous"/>
    </xf>
    <xf numFmtId="0" fontId="1" fillId="3" borderId="15" xfId="0" applyFont="1" applyFill="1" applyBorder="1" applyAlignment="1">
      <alignment horizontal="centerContinuous"/>
    </xf>
    <xf numFmtId="0" fontId="1" fillId="2" borderId="6" xfId="0" quotePrefix="1" applyFont="1" applyFill="1" applyBorder="1" applyAlignment="1">
      <alignment horizontal="center"/>
    </xf>
    <xf numFmtId="0" fontId="1" fillId="2" borderId="12" xfId="0" quotePrefix="1" applyFont="1" applyFill="1" applyBorder="1" applyAlignment="1">
      <alignment horizontal="center"/>
    </xf>
    <xf numFmtId="44" fontId="0" fillId="0" borderId="7" xfId="2" applyFont="1" applyFill="1" applyBorder="1"/>
    <xf numFmtId="165" fontId="0" fillId="0" borderId="7" xfId="2" applyNumberFormat="1" applyFont="1" applyFill="1" applyBorder="1"/>
    <xf numFmtId="167" fontId="0" fillId="0" borderId="7" xfId="2" applyNumberFormat="1" applyFont="1" applyBorder="1"/>
    <xf numFmtId="17" fontId="0" fillId="0" borderId="3" xfId="0" quotePrefix="1" applyNumberFormat="1" applyBorder="1" applyAlignment="1">
      <alignment horizontal="right"/>
    </xf>
    <xf numFmtId="44" fontId="0" fillId="4" borderId="7" xfId="2" applyFont="1" applyFill="1" applyBorder="1"/>
    <xf numFmtId="164" fontId="0" fillId="0" borderId="11" xfId="1" applyNumberFormat="1" applyFont="1" applyBorder="1"/>
    <xf numFmtId="44" fontId="0" fillId="0" borderId="11" xfId="2" applyFont="1" applyBorder="1"/>
    <xf numFmtId="44" fontId="0" fillId="0" borderId="11" xfId="0" applyNumberFormat="1" applyBorder="1"/>
    <xf numFmtId="0" fontId="7" fillId="0" borderId="0" xfId="0" applyFont="1"/>
    <xf numFmtId="0" fontId="8" fillId="0" borderId="0" xfId="0" applyFont="1"/>
    <xf numFmtId="164" fontId="8" fillId="0" borderId="0" xfId="0" applyNumberFormat="1" applyFont="1"/>
    <xf numFmtId="0" fontId="7" fillId="3" borderId="1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Continuous"/>
    </xf>
    <xf numFmtId="0" fontId="7" fillId="3" borderId="2" xfId="0" applyFont="1" applyFill="1" applyBorder="1" applyAlignment="1">
      <alignment horizontal="centerContinuous"/>
    </xf>
    <xf numFmtId="0" fontId="7" fillId="3" borderId="9" xfId="0" applyFont="1" applyFill="1" applyBorder="1" applyAlignment="1">
      <alignment horizontal="centerContinuous"/>
    </xf>
    <xf numFmtId="0" fontId="7" fillId="0" borderId="0" xfId="0" applyFont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Continuous"/>
    </xf>
    <xf numFmtId="0" fontId="7" fillId="3" borderId="6" xfId="0" applyFont="1" applyFill="1" applyBorder="1" applyAlignment="1">
      <alignment horizontal="centerContinuous"/>
    </xf>
    <xf numFmtId="0" fontId="7" fillId="3" borderId="12" xfId="0" applyFont="1" applyFill="1" applyBorder="1" applyAlignment="1">
      <alignment horizontal="centerContinuous"/>
    </xf>
    <xf numFmtId="0" fontId="7" fillId="3" borderId="0" xfId="0" quotePrefix="1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2" borderId="6" xfId="0" quotePrefix="1" applyFont="1" applyFill="1" applyBorder="1" applyAlignment="1">
      <alignment horizontal="center"/>
    </xf>
    <xf numFmtId="0" fontId="7" fillId="2" borderId="12" xfId="0" quotePrefix="1" applyFont="1" applyFill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8" xfId="0" applyFont="1" applyBorder="1"/>
    <xf numFmtId="0" fontId="8" fillId="0" borderId="7" xfId="0" applyFont="1" applyBorder="1" applyAlignment="1">
      <alignment horizontal="center" wrapText="1"/>
    </xf>
    <xf numFmtId="165" fontId="8" fillId="0" borderId="8" xfId="0" applyNumberFormat="1" applyFont="1" applyBorder="1"/>
    <xf numFmtId="165" fontId="8" fillId="0" borderId="7" xfId="2" applyNumberFormat="1" applyFont="1" applyBorder="1"/>
    <xf numFmtId="164" fontId="8" fillId="0" borderId="8" xfId="1" applyNumberFormat="1" applyFont="1" applyBorder="1"/>
    <xf numFmtId="44" fontId="8" fillId="0" borderId="8" xfId="0" applyNumberFormat="1" applyFont="1" applyBorder="1"/>
    <xf numFmtId="44" fontId="8" fillId="0" borderId="4" xfId="0" applyNumberFormat="1" applyFont="1" applyBorder="1"/>
    <xf numFmtId="0" fontId="8" fillId="0" borderId="7" xfId="0" applyFont="1" applyBorder="1" applyAlignment="1">
      <alignment horizontal="center"/>
    </xf>
    <xf numFmtId="0" fontId="8" fillId="0" borderId="7" xfId="0" applyFont="1" applyBorder="1"/>
    <xf numFmtId="0" fontId="8" fillId="0" borderId="4" xfId="0" applyFont="1" applyBorder="1"/>
    <xf numFmtId="165" fontId="8" fillId="0" borderId="7" xfId="0" applyNumberFormat="1" applyFont="1" applyBorder="1"/>
    <xf numFmtId="165" fontId="8" fillId="0" borderId="3" xfId="2" applyNumberFormat="1" applyFont="1" applyBorder="1"/>
    <xf numFmtId="165" fontId="8" fillId="0" borderId="11" xfId="0" applyNumberFormat="1" applyFont="1" applyFill="1" applyBorder="1"/>
    <xf numFmtId="164" fontId="8" fillId="0" borderId="4" xfId="1" applyNumberFormat="1" applyFont="1" applyBorder="1"/>
    <xf numFmtId="164" fontId="8" fillId="0" borderId="7" xfId="1" applyNumberFormat="1" applyFont="1" applyBorder="1"/>
    <xf numFmtId="44" fontId="8" fillId="0" borderId="7" xfId="0" applyNumberFormat="1" applyFont="1" applyBorder="1"/>
    <xf numFmtId="164" fontId="7" fillId="0" borderId="8" xfId="1" applyNumberFormat="1" applyFont="1" applyBorder="1"/>
    <xf numFmtId="44" fontId="7" fillId="0" borderId="8" xfId="2" applyFont="1" applyBorder="1"/>
    <xf numFmtId="164" fontId="7" fillId="0" borderId="7" xfId="0" applyNumberFormat="1" applyFont="1" applyBorder="1"/>
    <xf numFmtId="164" fontId="7" fillId="0" borderId="8" xfId="0" applyNumberFormat="1" applyFont="1" applyBorder="1"/>
    <xf numFmtId="44" fontId="7" fillId="0" borderId="8" xfId="0" applyNumberFormat="1" applyFont="1" applyBorder="1"/>
    <xf numFmtId="164" fontId="8" fillId="0" borderId="11" xfId="1" applyNumberFormat="1" applyFont="1" applyBorder="1"/>
    <xf numFmtId="44" fontId="8" fillId="0" borderId="11" xfId="0" applyNumberFormat="1" applyFont="1" applyBorder="1"/>
    <xf numFmtId="44" fontId="8" fillId="0" borderId="12" xfId="0" applyNumberFormat="1" applyFont="1" applyBorder="1"/>
    <xf numFmtId="44" fontId="7" fillId="0" borderId="7" xfId="0" applyNumberFormat="1" applyFont="1" applyBorder="1"/>
    <xf numFmtId="44" fontId="7" fillId="0" borderId="4" xfId="0" applyNumberFormat="1" applyFont="1" applyBorder="1"/>
    <xf numFmtId="164" fontId="8" fillId="0" borderId="7" xfId="0" applyNumberFormat="1" applyFont="1" applyBorder="1"/>
    <xf numFmtId="164" fontId="8" fillId="0" borderId="11" xfId="0" applyNumberFormat="1" applyFont="1" applyBorder="1"/>
    <xf numFmtId="164" fontId="8" fillId="0" borderId="0" xfId="1" applyNumberFormat="1" applyFont="1"/>
    <xf numFmtId="44" fontId="8" fillId="0" borderId="7" xfId="2" applyFont="1" applyBorder="1"/>
    <xf numFmtId="164" fontId="7" fillId="0" borderId="10" xfId="1" applyNumberFormat="1" applyFont="1" applyBorder="1"/>
    <xf numFmtId="44" fontId="7" fillId="0" borderId="10" xfId="0" applyNumberFormat="1" applyFont="1" applyBorder="1"/>
    <xf numFmtId="0" fontId="8" fillId="0" borderId="11" xfId="0" applyFont="1" applyBorder="1" applyAlignment="1">
      <alignment horizontal="center"/>
    </xf>
    <xf numFmtId="0" fontId="8" fillId="0" borderId="11" xfId="0" applyFont="1" applyBorder="1"/>
    <xf numFmtId="0" fontId="8" fillId="0" borderId="12" xfId="0" applyFont="1" applyBorder="1"/>
    <xf numFmtId="0" fontId="8" fillId="0" borderId="0" xfId="0" applyFont="1" applyAlignment="1">
      <alignment horizontal="center"/>
    </xf>
    <xf numFmtId="164" fontId="7" fillId="3" borderId="0" xfId="1" applyNumberFormat="1" applyFont="1" applyFill="1" applyBorder="1" applyAlignment="1">
      <alignment horizontal="center"/>
    </xf>
    <xf numFmtId="165" fontId="8" fillId="0" borderId="11" xfId="0" applyNumberFormat="1" applyFont="1" applyBorder="1"/>
    <xf numFmtId="164" fontId="8" fillId="0" borderId="6" xfId="1" applyNumberFormat="1" applyFont="1" applyBorder="1"/>
    <xf numFmtId="44" fontId="8" fillId="0" borderId="11" xfId="2" applyFont="1" applyBorder="1"/>
    <xf numFmtId="44" fontId="9" fillId="0" borderId="7" xfId="0" applyNumberFormat="1" applyFont="1" applyBorder="1"/>
    <xf numFmtId="44" fontId="9" fillId="0" borderId="7" xfId="2" applyFont="1" applyBorder="1"/>
    <xf numFmtId="164" fontId="0" fillId="0" borderId="10" xfId="1" applyNumberFormat="1" applyFont="1" applyBorder="1"/>
    <xf numFmtId="44" fontId="0" fillId="0" borderId="10" xfId="2" applyFont="1" applyBorder="1"/>
    <xf numFmtId="165" fontId="0" fillId="0" borderId="13" xfId="2" applyNumberFormat="1" applyFont="1" applyBorder="1"/>
    <xf numFmtId="44" fontId="0" fillId="0" borderId="3" xfId="2" applyFont="1" applyBorder="1"/>
    <xf numFmtId="164" fontId="8" fillId="0" borderId="0" xfId="1" applyNumberFormat="1" applyFont="1" applyBorder="1"/>
    <xf numFmtId="164" fontId="10" fillId="0" borderId="0" xfId="0" applyNumberFormat="1" applyFont="1"/>
    <xf numFmtId="0" fontId="7" fillId="3" borderId="5" xfId="0" applyFont="1" applyFill="1" applyBorder="1" applyAlignment="1">
      <alignment horizontal="center"/>
    </xf>
    <xf numFmtId="44" fontId="0" fillId="0" borderId="12" xfId="0" applyNumberFormat="1" applyBorder="1"/>
    <xf numFmtId="0" fontId="7" fillId="2" borderId="0" xfId="0" quotePrefix="1" applyFont="1" applyFill="1" applyBorder="1" applyAlignment="1">
      <alignment horizontal="center"/>
    </xf>
    <xf numFmtId="0" fontId="7" fillId="2" borderId="4" xfId="0" quotePrefix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 wrapText="1"/>
    </xf>
    <xf numFmtId="0" fontId="8" fillId="0" borderId="3" xfId="0" applyFont="1" applyFill="1" applyBorder="1" applyAlignment="1">
      <alignment horizontal="center" wrapText="1" shrinkToFit="1"/>
    </xf>
    <xf numFmtId="164" fontId="8" fillId="0" borderId="3" xfId="1" applyNumberFormat="1" applyFont="1" applyFill="1" applyBorder="1" applyAlignment="1">
      <alignment horizontal="center"/>
    </xf>
    <xf numFmtId="164" fontId="7" fillId="0" borderId="3" xfId="1" applyNumberFormat="1" applyFont="1" applyFill="1" applyBorder="1" applyAlignment="1">
      <alignment horizontal="center"/>
    </xf>
    <xf numFmtId="44" fontId="8" fillId="0" borderId="3" xfId="0" quotePrefix="1" applyNumberFormat="1" applyFont="1" applyFill="1" applyBorder="1" applyAlignment="1">
      <alignment horizontal="center"/>
    </xf>
    <xf numFmtId="0" fontId="7" fillId="0" borderId="3" xfId="0" quotePrefix="1" applyFont="1" applyFill="1" applyBorder="1" applyAlignment="1">
      <alignment horizontal="center"/>
    </xf>
    <xf numFmtId="44" fontId="8" fillId="0" borderId="7" xfId="0" quotePrefix="1" applyNumberFormat="1" applyFont="1" applyFill="1" applyBorder="1" applyAlignment="1">
      <alignment horizontal="center"/>
    </xf>
    <xf numFmtId="44" fontId="8" fillId="0" borderId="3" xfId="2" applyFont="1" applyFill="1" applyBorder="1" applyAlignment="1">
      <alignment horizontal="center"/>
    </xf>
    <xf numFmtId="167" fontId="8" fillId="0" borderId="3" xfId="2" applyNumberFormat="1" applyFont="1" applyFill="1" applyBorder="1" applyAlignment="1">
      <alignment horizontal="center"/>
    </xf>
    <xf numFmtId="44" fontId="7" fillId="0" borderId="7" xfId="0" quotePrefix="1" applyNumberFormat="1" applyFont="1" applyFill="1" applyBorder="1" applyAlignment="1">
      <alignment horizontal="center"/>
    </xf>
    <xf numFmtId="164" fontId="7" fillId="0" borderId="0" xfId="0" applyNumberFormat="1" applyFont="1" applyBorder="1"/>
    <xf numFmtId="44" fontId="8" fillId="0" borderId="11" xfId="0" quotePrefix="1" applyNumberFormat="1" applyFont="1" applyFill="1" applyBorder="1" applyAlignment="1">
      <alignment horizontal="center"/>
    </xf>
    <xf numFmtId="164" fontId="8" fillId="0" borderId="11" xfId="1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/>
    <xf numFmtId="0" fontId="9" fillId="0" borderId="7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9" fillId="0" borderId="16" xfId="0" applyFont="1" applyBorder="1" applyAlignment="1">
      <alignment horizontal="center"/>
    </xf>
    <xf numFmtId="0" fontId="7" fillId="0" borderId="3" xfId="0" applyFont="1" applyFill="1" applyBorder="1" applyAlignment="1">
      <alignment horizontal="left"/>
    </xf>
    <xf numFmtId="165" fontId="0" fillId="0" borderId="0" xfId="0" applyNumberFormat="1"/>
    <xf numFmtId="178" fontId="0" fillId="0" borderId="7" xfId="0" applyNumberFormat="1" applyBorder="1"/>
    <xf numFmtId="44" fontId="9" fillId="0" borderId="0" xfId="0" applyNumberFormat="1" applyFont="1" applyBorder="1"/>
    <xf numFmtId="43" fontId="0" fillId="0" borderId="0" xfId="0" applyNumberFormat="1"/>
    <xf numFmtId="44" fontId="8" fillId="0" borderId="4" xfId="2" applyFont="1" applyBorder="1"/>
    <xf numFmtId="164" fontId="7" fillId="0" borderId="0" xfId="1" applyNumberFormat="1" applyFont="1" applyBorder="1"/>
    <xf numFmtId="44" fontId="7" fillId="0" borderId="0" xfId="0" applyNumberFormat="1" applyFont="1" applyBorder="1"/>
    <xf numFmtId="44" fontId="8" fillId="0" borderId="0" xfId="0" applyNumberFormat="1" applyFont="1" applyBorder="1"/>
    <xf numFmtId="164" fontId="7" fillId="0" borderId="4" xfId="1" applyNumberFormat="1" applyFont="1" applyBorder="1"/>
    <xf numFmtId="0" fontId="8" fillId="0" borderId="4" xfId="0" applyFont="1" applyBorder="1" applyAlignment="1">
      <alignment horizontal="center"/>
    </xf>
    <xf numFmtId="0" fontId="8" fillId="0" borderId="6" xfId="0" applyFont="1" applyBorder="1"/>
    <xf numFmtId="164" fontId="7" fillId="0" borderId="12" xfId="1" applyNumberFormat="1" applyFont="1" applyBorder="1"/>
    <xf numFmtId="14" fontId="8" fillId="0" borderId="7" xfId="0" applyNumberFormat="1" applyFont="1" applyBorder="1" applyAlignment="1">
      <alignment horizontal="center"/>
    </xf>
    <xf numFmtId="44" fontId="7" fillId="0" borderId="10" xfId="2" applyFont="1" applyBorder="1"/>
    <xf numFmtId="167" fontId="8" fillId="0" borderId="7" xfId="2" applyNumberFormat="1" applyFont="1" applyBorder="1"/>
    <xf numFmtId="169" fontId="7" fillId="0" borderId="7" xfId="2" applyNumberFormat="1" applyFont="1" applyBorder="1" applyAlignment="1">
      <alignment horizontal="center"/>
    </xf>
    <xf numFmtId="179" fontId="0" fillId="0" borderId="7" xfId="0" applyNumberFormat="1" applyBorder="1"/>
    <xf numFmtId="179" fontId="0" fillId="0" borderId="11" xfId="0" applyNumberFormat="1" applyBorder="1"/>
    <xf numFmtId="179" fontId="0" fillId="0" borderId="0" xfId="0" applyNumberFormat="1"/>
    <xf numFmtId="0" fontId="0" fillId="2" borderId="6" xfId="0" applyFill="1" applyBorder="1" applyAlignment="1">
      <alignment horizontal="center"/>
    </xf>
    <xf numFmtId="0" fontId="1" fillId="2" borderId="6" xfId="0" applyFont="1" applyFill="1" applyBorder="1" applyAlignment="1">
      <alignment horizontal="centerContinuous"/>
    </xf>
    <xf numFmtId="0" fontId="1" fillId="3" borderId="6" xfId="0" applyFont="1" applyFill="1" applyBorder="1" applyAlignment="1">
      <alignment horizontal="centerContinuous"/>
    </xf>
    <xf numFmtId="0" fontId="1" fillId="3" borderId="12" xfId="0" applyFont="1" applyFill="1" applyBorder="1" applyAlignment="1">
      <alignment horizontal="centerContinuous"/>
    </xf>
    <xf numFmtId="0" fontId="1" fillId="2" borderId="2" xfId="0" applyFont="1" applyFill="1" applyBorder="1" applyAlignment="1">
      <alignment horizontal="centerContinuous"/>
    </xf>
    <xf numFmtId="0" fontId="1" fillId="3" borderId="2" xfId="0" applyFont="1" applyFill="1" applyBorder="1" applyAlignment="1">
      <alignment horizontal="centerContinuous"/>
    </xf>
    <xf numFmtId="0" fontId="1" fillId="3" borderId="9" xfId="0" applyFont="1" applyFill="1" applyBorder="1" applyAlignment="1">
      <alignment horizontal="centerContinuous"/>
    </xf>
    <xf numFmtId="0" fontId="0" fillId="0" borderId="11" xfId="0" applyBorder="1" applyAlignment="1">
      <alignment horizontal="center"/>
    </xf>
    <xf numFmtId="165" fontId="0" fillId="0" borderId="11" xfId="2" applyNumberFormat="1" applyFont="1" applyBorder="1"/>
    <xf numFmtId="165" fontId="0" fillId="0" borderId="11" xfId="2" applyNumberFormat="1" applyFont="1" applyFill="1" applyBorder="1"/>
    <xf numFmtId="0" fontId="1" fillId="0" borderId="3" xfId="0" applyFont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6" xfId="0" applyBorder="1"/>
    <xf numFmtId="165" fontId="8" fillId="0" borderId="4" xfId="0" applyNumberFormat="1" applyFont="1" applyBorder="1"/>
    <xf numFmtId="164" fontId="8" fillId="0" borderId="0" xfId="0" applyNumberFormat="1" applyFont="1" applyBorder="1"/>
    <xf numFmtId="164" fontId="8" fillId="0" borderId="12" xfId="0" applyNumberFormat="1" applyFont="1" applyBorder="1"/>
    <xf numFmtId="164" fontId="1" fillId="0" borderId="3" xfId="0" applyNumberFormat="1" applyFont="1" applyBorder="1"/>
    <xf numFmtId="44" fontId="1" fillId="0" borderId="17" xfId="2" applyFont="1" applyBorder="1"/>
    <xf numFmtId="17" fontId="0" fillId="0" borderId="0" xfId="0" applyNumberFormat="1"/>
    <xf numFmtId="0" fontId="8" fillId="0" borderId="3" xfId="0" applyFont="1" applyFill="1" applyBorder="1" applyAlignment="1">
      <alignment horizontal="center" wrapText="1"/>
    </xf>
    <xf numFmtId="0" fontId="8" fillId="0" borderId="3" xfId="0" applyFont="1" applyFill="1" applyBorder="1" applyAlignment="1">
      <alignment horizontal="center"/>
    </xf>
    <xf numFmtId="44" fontId="7" fillId="0" borderId="3" xfId="0" applyNumberFormat="1" applyFont="1" applyFill="1" applyBorder="1" applyAlignment="1">
      <alignment horizontal="center"/>
    </xf>
    <xf numFmtId="180" fontId="3" fillId="0" borderId="0" xfId="0" applyNumberFormat="1" applyFont="1" applyAlignment="1">
      <alignment horizontal="centerContinuous"/>
    </xf>
    <xf numFmtId="180" fontId="4" fillId="0" borderId="0" xfId="0" applyNumberFormat="1" applyFont="1" applyAlignment="1">
      <alignment horizontal="centerContinuous"/>
    </xf>
    <xf numFmtId="180" fontId="0" fillId="0" borderId="0" xfId="0" applyNumberFormat="1"/>
    <xf numFmtId="180" fontId="1" fillId="2" borderId="2" xfId="0" applyNumberFormat="1" applyFont="1" applyFill="1" applyBorder="1" applyAlignment="1">
      <alignment horizontal="center"/>
    </xf>
    <xf numFmtId="180" fontId="1" fillId="2" borderId="0" xfId="0" applyNumberFormat="1" applyFont="1" applyFill="1" applyBorder="1" applyAlignment="1">
      <alignment horizontal="center"/>
    </xf>
    <xf numFmtId="0" fontId="11" fillId="2" borderId="6" xfId="0" applyFont="1" applyFill="1" applyBorder="1"/>
    <xf numFmtId="180" fontId="1" fillId="2" borderId="6" xfId="0" applyNumberFormat="1" applyFont="1" applyFill="1" applyBorder="1" applyAlignment="1">
      <alignment horizontal="center"/>
    </xf>
    <xf numFmtId="17" fontId="0" fillId="0" borderId="7" xfId="0" applyNumberFormat="1" applyFill="1" applyBorder="1"/>
    <xf numFmtId="0" fontId="0" fillId="0" borderId="7" xfId="0" applyFill="1" applyBorder="1"/>
    <xf numFmtId="0" fontId="0" fillId="0" borderId="7" xfId="0" applyFill="1" applyBorder="1" applyAlignment="1">
      <alignment horizontal="center"/>
    </xf>
    <xf numFmtId="165" fontId="2" fillId="0" borderId="7" xfId="2" applyNumberFormat="1" applyFont="1" applyFill="1" applyBorder="1"/>
    <xf numFmtId="164" fontId="2" fillId="0" borderId="7" xfId="1" applyNumberFormat="1" applyFill="1" applyBorder="1"/>
    <xf numFmtId="180" fontId="2" fillId="0" borderId="7" xfId="2" applyNumberFormat="1" applyFill="1" applyBorder="1"/>
    <xf numFmtId="44" fontId="2" fillId="0" borderId="7" xfId="2" applyFill="1" applyBorder="1"/>
    <xf numFmtId="44" fontId="0" fillId="0" borderId="4" xfId="0" applyNumberFormat="1" applyFill="1" applyBorder="1"/>
    <xf numFmtId="43" fontId="0" fillId="0" borderId="0" xfId="0" applyNumberFormat="1" applyFill="1"/>
    <xf numFmtId="0" fontId="0" fillId="0" borderId="0" xfId="0" applyFill="1"/>
    <xf numFmtId="180" fontId="2" fillId="0" borderId="7" xfId="2" applyNumberFormat="1" applyBorder="1"/>
    <xf numFmtId="44" fontId="2" fillId="0" borderId="7" xfId="2" applyBorder="1"/>
    <xf numFmtId="164" fontId="2" fillId="0" borderId="7" xfId="1" applyNumberFormat="1" applyBorder="1"/>
    <xf numFmtId="165" fontId="2" fillId="0" borderId="7" xfId="2" applyNumberFormat="1" applyBorder="1"/>
    <xf numFmtId="44" fontId="0" fillId="0" borderId="7" xfId="0" applyNumberFormat="1" applyBorder="1"/>
    <xf numFmtId="164" fontId="2" fillId="0" borderId="10" xfId="1" applyNumberFormat="1" applyBorder="1"/>
    <xf numFmtId="44" fontId="2" fillId="0" borderId="10" xfId="2" applyBorder="1"/>
    <xf numFmtId="180" fontId="0" fillId="0" borderId="11" xfId="0" applyNumberFormat="1" applyBorder="1"/>
    <xf numFmtId="44" fontId="7" fillId="0" borderId="11" xfId="0" applyNumberFormat="1" applyFont="1" applyBorder="1"/>
    <xf numFmtId="0" fontId="8" fillId="0" borderId="12" xfId="0" applyFont="1" applyBorder="1" applyAlignment="1">
      <alignment horizontal="center"/>
    </xf>
    <xf numFmtId="44" fontId="7" fillId="0" borderId="12" xfId="2" applyFont="1" applyBorder="1"/>
    <xf numFmtId="44" fontId="8" fillId="0" borderId="0" xfId="0" applyNumberFormat="1" applyFont="1"/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5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&amp;L_Curves/futu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&amp;L_Curves/ET&amp;Scurves(b)1127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&amp;L_Curves/futures_1130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ack%20end%20deal%2011300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&amp;L_Curves/futures_1031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paso SJ &amp; Prm"/>
      <sheetName val="Elpaso"/>
      <sheetName val="Aeco"/>
      <sheetName val="Empress"/>
      <sheetName val="Iroguois"/>
      <sheetName val="Dawn"/>
      <sheetName val="Niagara"/>
      <sheetName val="Emerson"/>
      <sheetName val="MEC-EXPIRED"/>
      <sheetName val="Sheet1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>
        <row r="23">
          <cell r="C23">
            <v>4.7850000000000001</v>
          </cell>
        </row>
        <row r="30">
          <cell r="C30">
            <v>4.0419999999999998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paso SJ &amp; Prm"/>
      <sheetName val="Elpaso"/>
      <sheetName val="Aeco"/>
      <sheetName val="Empress"/>
      <sheetName val="Iroquois"/>
      <sheetName val="Dawn"/>
      <sheetName val="Niagara"/>
      <sheetName val="Emerson"/>
      <sheetName val="MEC-EXPIRED"/>
    </sheetNames>
    <sheetDataSet>
      <sheetData sheetId="0">
        <row r="33">
          <cell r="F33">
            <v>6.6790000000000003</v>
          </cell>
        </row>
        <row r="34">
          <cell r="F34">
            <v>6.5030000000000001</v>
          </cell>
        </row>
        <row r="35">
          <cell r="F35">
            <v>5.8810000000000002</v>
          </cell>
        </row>
        <row r="36">
          <cell r="F36">
            <v>5.1449999999999996</v>
          </cell>
        </row>
        <row r="37">
          <cell r="F37">
            <v>4.8599999999999994</v>
          </cell>
        </row>
        <row r="38">
          <cell r="F38">
            <v>4.8450000000000006</v>
          </cell>
        </row>
        <row r="39">
          <cell r="F39">
            <v>4.8949999999999996</v>
          </cell>
        </row>
        <row r="40">
          <cell r="F40">
            <v>4.8849999999999998</v>
          </cell>
        </row>
        <row r="41">
          <cell r="F41">
            <v>4.8699999999999992</v>
          </cell>
        </row>
        <row r="42">
          <cell r="F42">
            <v>4.8099999999999996</v>
          </cell>
        </row>
        <row r="43">
          <cell r="F43">
            <v>4.875</v>
          </cell>
        </row>
        <row r="44">
          <cell r="F44">
            <v>4.95</v>
          </cell>
        </row>
      </sheetData>
      <sheetData sheetId="1">
        <row r="9">
          <cell r="F9">
            <v>4.1100000000000003</v>
          </cell>
        </row>
        <row r="10">
          <cell r="F10">
            <v>4.1100000000000003</v>
          </cell>
        </row>
        <row r="11">
          <cell r="F11">
            <v>4.1120000000000001</v>
          </cell>
        </row>
        <row r="12">
          <cell r="F12">
            <v>4.1070000000000002</v>
          </cell>
        </row>
        <row r="13">
          <cell r="F13">
            <v>4.1020000000000003</v>
          </cell>
        </row>
      </sheetData>
      <sheetData sheetId="2">
        <row r="11">
          <cell r="E11">
            <v>5.3696936031957003</v>
          </cell>
        </row>
        <row r="12">
          <cell r="E12">
            <v>6.2638590545095809</v>
          </cell>
        </row>
        <row r="13">
          <cell r="E13">
            <v>6.1291517242878903</v>
          </cell>
        </row>
        <row r="14">
          <cell r="E14">
            <v>5.5611276995712506</v>
          </cell>
        </row>
        <row r="15">
          <cell r="E15">
            <v>4.8825000000000003</v>
          </cell>
        </row>
        <row r="16">
          <cell r="E16">
            <v>4.6074999999999999</v>
          </cell>
        </row>
        <row r="17">
          <cell r="E17">
            <v>4.5725000000000007</v>
          </cell>
        </row>
        <row r="18">
          <cell r="E18">
            <v>4.5525000000000002</v>
          </cell>
        </row>
        <row r="19">
          <cell r="E19">
            <v>4.5325000000000006</v>
          </cell>
        </row>
        <row r="20">
          <cell r="E20">
            <v>4.5175000000000001</v>
          </cell>
        </row>
        <row r="21">
          <cell r="E21">
            <v>4.5075000000000003</v>
          </cell>
        </row>
        <row r="22">
          <cell r="E22">
            <v>4.7</v>
          </cell>
        </row>
        <row r="23">
          <cell r="E23">
            <v>4.7750000000000004</v>
          </cell>
        </row>
        <row r="24">
          <cell r="E24">
            <v>4.7850000000000001</v>
          </cell>
        </row>
        <row r="25">
          <cell r="E25">
            <v>4.5550000000000006</v>
          </cell>
        </row>
        <row r="26">
          <cell r="E26">
            <v>4.32</v>
          </cell>
        </row>
        <row r="27">
          <cell r="E27">
            <v>3.8874999999999997</v>
          </cell>
        </row>
        <row r="28">
          <cell r="E28">
            <v>3.8374999999999999</v>
          </cell>
        </row>
        <row r="29">
          <cell r="E29">
            <v>3.8175000000000003</v>
          </cell>
        </row>
        <row r="30">
          <cell r="E30">
            <v>3.8175000000000003</v>
          </cell>
        </row>
        <row r="31">
          <cell r="E31">
            <v>3.8195000000000001</v>
          </cell>
        </row>
        <row r="32">
          <cell r="E32">
            <v>3.8145000000000002</v>
          </cell>
        </row>
        <row r="33">
          <cell r="E33">
            <v>3.8095000000000003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>
        <row r="36">
          <cell r="F36">
            <v>62401635.288479991</v>
          </cell>
          <cell r="I36">
            <v>-1530952.7160402252</v>
          </cell>
          <cell r="J36">
            <v>-64767.093616499209</v>
          </cell>
          <cell r="K36">
            <v>-1466185.6224237259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paso SJ &amp; Prm"/>
      <sheetName val="Elpaso"/>
      <sheetName val="Aeco"/>
      <sheetName val="Empress"/>
      <sheetName val="Iroquois"/>
      <sheetName val="Dawn"/>
      <sheetName val="Niagara"/>
      <sheetName val="Emerson"/>
      <sheetName val="MEC-EXPIRED"/>
    </sheetNames>
    <sheetDataSet>
      <sheetData sheetId="0"/>
      <sheetData sheetId="1"/>
      <sheetData sheetId="2">
        <row r="11">
          <cell r="E11">
            <v>4.6867204370519806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3"/>
  <sheetViews>
    <sheetView tabSelected="1" workbookViewId="0">
      <selection sqref="A1:Q1"/>
    </sheetView>
  </sheetViews>
  <sheetFormatPr defaultColWidth="9.5703125" defaultRowHeight="11.25" x14ac:dyDescent="0.2"/>
  <cols>
    <col min="1" max="1" width="8" style="69" customWidth="1"/>
    <col min="2" max="2" width="9" style="69" bestFit="1" customWidth="1"/>
    <col min="3" max="3" width="11.5703125" style="69" bestFit="1" customWidth="1"/>
    <col min="4" max="4" width="8.42578125" style="124" bestFit="1" customWidth="1"/>
    <col min="5" max="5" width="11.7109375" style="69" bestFit="1" customWidth="1"/>
    <col min="6" max="6" width="7.42578125" style="69" bestFit="1" customWidth="1"/>
    <col min="7" max="7" width="11.28515625" style="69" bestFit="1" customWidth="1"/>
    <col min="8" max="8" width="13.5703125" style="69" bestFit="1" customWidth="1"/>
    <col min="9" max="9" width="9.42578125" style="69" customWidth="1"/>
    <col min="10" max="10" width="8.42578125" style="69" bestFit="1" customWidth="1"/>
    <col min="11" max="11" width="8.5703125" style="69" bestFit="1" customWidth="1"/>
    <col min="12" max="12" width="9.5703125" style="69" customWidth="1"/>
    <col min="13" max="13" width="13.140625" style="69" bestFit="1" customWidth="1"/>
    <col min="14" max="14" width="9.5703125" style="69" customWidth="1"/>
    <col min="15" max="15" width="14.28515625" style="69" bestFit="1" customWidth="1"/>
    <col min="16" max="17" width="13.42578125" style="69" bestFit="1" customWidth="1"/>
    <col min="18" max="16384" width="9.5703125" style="69"/>
  </cols>
  <sheetData>
    <row r="1" spans="1:17" s="68" customFormat="1" ht="10.5" x14ac:dyDescent="0.15">
      <c r="A1" s="236" t="s">
        <v>0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</row>
    <row r="2" spans="1:17" s="68" customFormat="1" ht="10.5" x14ac:dyDescent="0.15">
      <c r="A2" s="236" t="s">
        <v>154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</row>
    <row r="3" spans="1:17" s="68" customFormat="1" ht="10.5" x14ac:dyDescent="0.15">
      <c r="A3" s="236" t="s">
        <v>2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</row>
    <row r="5" spans="1:17" x14ac:dyDescent="0.2">
      <c r="A5" s="236" t="s">
        <v>151</v>
      </c>
      <c r="B5" s="236"/>
      <c r="C5" s="236"/>
      <c r="D5" s="236"/>
      <c r="E5" s="236"/>
      <c r="F5" s="236"/>
      <c r="G5" s="236"/>
      <c r="H5" s="236"/>
      <c r="I5" s="236"/>
      <c r="J5" s="236"/>
      <c r="K5" s="236"/>
      <c r="L5" s="236"/>
      <c r="M5" s="236"/>
      <c r="N5" s="236"/>
      <c r="O5" s="236"/>
      <c r="P5" s="236"/>
      <c r="Q5" s="236"/>
    </row>
    <row r="6" spans="1:17" x14ac:dyDescent="0.2">
      <c r="A6" s="76"/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</row>
    <row r="7" spans="1:17" x14ac:dyDescent="0.2">
      <c r="A7" s="236" t="s">
        <v>163</v>
      </c>
      <c r="B7" s="236"/>
      <c r="C7" s="236"/>
      <c r="D7" s="236"/>
      <c r="E7" s="236"/>
      <c r="F7" s="236"/>
      <c r="G7" s="236"/>
      <c r="H7" s="236"/>
      <c r="I7" s="236"/>
      <c r="J7" s="236"/>
      <c r="K7" s="236"/>
      <c r="L7" s="236"/>
      <c r="M7" s="236"/>
      <c r="N7" s="236"/>
      <c r="O7" s="236"/>
      <c r="P7" s="236"/>
      <c r="Q7" s="236"/>
    </row>
    <row r="8" spans="1:17" x14ac:dyDescent="0.2">
      <c r="A8" s="69" t="s">
        <v>100</v>
      </c>
      <c r="L8" s="70"/>
      <c r="N8" s="176"/>
    </row>
    <row r="9" spans="1:17" s="76" customFormat="1" ht="10.5" x14ac:dyDescent="0.15">
      <c r="A9" s="71" t="s">
        <v>3</v>
      </c>
      <c r="B9" s="72" t="s">
        <v>4</v>
      </c>
      <c r="C9" s="72" t="s">
        <v>5</v>
      </c>
      <c r="D9" s="72" t="s">
        <v>5</v>
      </c>
      <c r="E9" s="72" t="s">
        <v>5</v>
      </c>
      <c r="F9" s="72" t="s">
        <v>6</v>
      </c>
      <c r="G9" s="72" t="s">
        <v>7</v>
      </c>
      <c r="H9" s="72" t="s">
        <v>8</v>
      </c>
      <c r="I9" s="72" t="s">
        <v>114</v>
      </c>
      <c r="J9" s="72" t="s">
        <v>5</v>
      </c>
      <c r="K9" s="72" t="s">
        <v>9</v>
      </c>
      <c r="L9" s="72" t="s">
        <v>10</v>
      </c>
      <c r="M9" s="72" t="s">
        <v>5</v>
      </c>
      <c r="N9" s="78" t="s">
        <v>21</v>
      </c>
      <c r="O9" s="73"/>
      <c r="P9" s="74"/>
      <c r="Q9" s="75"/>
    </row>
    <row r="10" spans="1:17" s="76" customFormat="1" ht="10.5" x14ac:dyDescent="0.15">
      <c r="A10" s="77" t="s">
        <v>12</v>
      </c>
      <c r="B10" s="78" t="s">
        <v>13</v>
      </c>
      <c r="C10" s="78" t="s">
        <v>13</v>
      </c>
      <c r="D10" s="78" t="s">
        <v>14</v>
      </c>
      <c r="E10" s="78" t="s">
        <v>15</v>
      </c>
      <c r="F10" s="78"/>
      <c r="G10" s="78" t="s">
        <v>16</v>
      </c>
      <c r="H10" s="78" t="s">
        <v>17</v>
      </c>
      <c r="I10" s="78" t="s">
        <v>56</v>
      </c>
      <c r="J10" s="78" t="s">
        <v>18</v>
      </c>
      <c r="K10" s="78" t="s">
        <v>19</v>
      </c>
      <c r="L10" s="78"/>
      <c r="M10" s="78" t="s">
        <v>20</v>
      </c>
      <c r="N10" s="78"/>
      <c r="O10" s="79" t="s">
        <v>22</v>
      </c>
      <c r="P10" s="80"/>
      <c r="Q10" s="81"/>
    </row>
    <row r="11" spans="1:17" s="76" customFormat="1" ht="10.5" x14ac:dyDescent="0.15">
      <c r="A11" s="77"/>
      <c r="B11" s="78"/>
      <c r="C11" s="78"/>
      <c r="D11" s="78"/>
      <c r="E11" s="82"/>
      <c r="F11" s="78"/>
      <c r="G11" s="78" t="s">
        <v>23</v>
      </c>
      <c r="H11" s="78"/>
      <c r="I11" s="78"/>
      <c r="J11" s="78"/>
      <c r="K11" s="78" t="s">
        <v>24</v>
      </c>
      <c r="L11" s="78"/>
      <c r="M11" s="78" t="s">
        <v>25</v>
      </c>
      <c r="N11" s="78"/>
      <c r="O11" s="83" t="s">
        <v>26</v>
      </c>
      <c r="P11" s="83" t="s">
        <v>27</v>
      </c>
      <c r="Q11" s="84" t="s">
        <v>28</v>
      </c>
    </row>
    <row r="12" spans="1:17" s="76" customFormat="1" ht="10.5" x14ac:dyDescent="0.15">
      <c r="A12" s="137"/>
      <c r="B12" s="85"/>
      <c r="C12" s="85"/>
      <c r="D12" s="85"/>
      <c r="E12" s="85"/>
      <c r="F12" s="85"/>
      <c r="G12" s="85"/>
      <c r="H12" s="85"/>
      <c r="I12" s="85"/>
      <c r="J12" s="85"/>
      <c r="K12" s="85" t="s">
        <v>29</v>
      </c>
      <c r="L12" s="85"/>
      <c r="M12" s="85" t="s">
        <v>30</v>
      </c>
      <c r="N12" s="85"/>
      <c r="O12" s="86" t="s">
        <v>108</v>
      </c>
      <c r="P12" s="86" t="s">
        <v>108</v>
      </c>
      <c r="Q12" s="87" t="s">
        <v>108</v>
      </c>
    </row>
    <row r="13" spans="1:17" hidden="1" x14ac:dyDescent="0.2">
      <c r="A13" s="88">
        <v>1</v>
      </c>
      <c r="B13" s="88" t="s">
        <v>32</v>
      </c>
      <c r="C13" s="88" t="s">
        <v>33</v>
      </c>
      <c r="D13" s="88"/>
      <c r="E13" s="88" t="s">
        <v>34</v>
      </c>
      <c r="F13" s="89"/>
      <c r="G13" s="88" t="s">
        <v>35</v>
      </c>
      <c r="H13" s="90" t="s">
        <v>82</v>
      </c>
      <c r="I13" s="89"/>
      <c r="J13" s="91">
        <f>+Avista_1_Expired!D10</f>
        <v>2.2200000000000002</v>
      </c>
      <c r="K13" s="92">
        <f>(SUM(Avista_1_Expired!G10:G21)+SUM(Avista_1_Expired!H26:H37))/12</f>
        <v>1.7525000000000004</v>
      </c>
      <c r="L13" s="91">
        <f>-O13/M13</f>
        <v>-0.46602739726027415</v>
      </c>
      <c r="M13" s="93">
        <f>-Avista_1_Expired!F22</f>
        <v>-91250</v>
      </c>
      <c r="N13" s="93">
        <f>+M13/365</f>
        <v>-250</v>
      </c>
      <c r="O13" s="94">
        <f>-Avista_1_Expired!I22</f>
        <v>-42525.000000000015</v>
      </c>
      <c r="P13" s="95">
        <f>-Avista_1_Expired!J22</f>
        <v>-42525.000000000015</v>
      </c>
      <c r="Q13" s="95">
        <f>-Avista_1_Expired!K22</f>
        <v>0</v>
      </c>
    </row>
    <row r="14" spans="1:17" hidden="1" x14ac:dyDescent="0.2">
      <c r="A14" s="96">
        <v>1</v>
      </c>
      <c r="B14" s="96" t="s">
        <v>32</v>
      </c>
      <c r="C14" s="96" t="s">
        <v>35</v>
      </c>
      <c r="D14" s="96">
        <v>26125</v>
      </c>
      <c r="E14" s="96" t="s">
        <v>36</v>
      </c>
      <c r="F14" s="96" t="s">
        <v>37</v>
      </c>
      <c r="G14" s="96" t="s">
        <v>33</v>
      </c>
      <c r="H14" s="90" t="s">
        <v>82</v>
      </c>
      <c r="I14" s="97"/>
      <c r="J14" s="99">
        <f>+Avista_1_Expired!D26</f>
        <v>2.2200000000000002</v>
      </c>
      <c r="K14" s="100">
        <f>(SUM(Avista_1_Expired!G26:G37)+SUM(Avista_1_Expired!H26:H37))/12</f>
        <v>1.8191666666666668</v>
      </c>
      <c r="L14" s="101">
        <f>+O14/M14</f>
        <v>0.36873972602739735</v>
      </c>
      <c r="M14" s="102">
        <f>-Avista_1_Expired!F38</f>
        <v>91250</v>
      </c>
      <c r="N14" s="103">
        <f>+M14/365</f>
        <v>250</v>
      </c>
      <c r="O14" s="104">
        <f>-Avista_1_Expired!I38</f>
        <v>33647.500000000007</v>
      </c>
      <c r="P14" s="95">
        <f>-Avista_1_Expired!J38</f>
        <v>33647.500000000007</v>
      </c>
      <c r="Q14" s="95">
        <f>-Avista_1_Expired!K38</f>
        <v>0</v>
      </c>
    </row>
    <row r="15" spans="1:17" hidden="1" x14ac:dyDescent="0.2">
      <c r="A15" s="96"/>
      <c r="B15" s="96"/>
      <c r="C15" s="96"/>
      <c r="D15" s="96"/>
      <c r="E15" s="96"/>
      <c r="F15" s="96"/>
      <c r="G15" s="96"/>
      <c r="H15" s="97"/>
      <c r="I15" s="97"/>
      <c r="J15" s="99"/>
      <c r="K15" s="92"/>
      <c r="L15" s="99">
        <f>+L13+L14</f>
        <v>-9.7287671232876793E-2</v>
      </c>
      <c r="M15" s="105">
        <f>SUM(M13:M14)</f>
        <v>0</v>
      </c>
      <c r="N15" s="105">
        <f>SUM(N13:N14)</f>
        <v>0</v>
      </c>
      <c r="O15" s="106">
        <f>SUM(O13:O14)</f>
        <v>-8877.5000000000073</v>
      </c>
      <c r="P15" s="106">
        <f>SUM(P13:P14)</f>
        <v>-8877.5000000000073</v>
      </c>
      <c r="Q15" s="106">
        <f>SUM(Q13:Q14)</f>
        <v>0</v>
      </c>
    </row>
    <row r="16" spans="1:17" ht="9.9499999999999993" hidden="1" customHeight="1" x14ac:dyDescent="0.2">
      <c r="A16" s="96"/>
      <c r="B16" s="96"/>
      <c r="C16" s="96"/>
      <c r="D16" s="96"/>
      <c r="E16" s="96"/>
      <c r="F16" s="96"/>
      <c r="G16" s="96"/>
      <c r="H16" s="97"/>
      <c r="I16" s="97"/>
      <c r="J16" s="99"/>
      <c r="K16" s="92"/>
      <c r="L16" s="99"/>
      <c r="M16" s="103"/>
      <c r="N16" s="103"/>
      <c r="O16" s="104"/>
      <c r="P16" s="95"/>
      <c r="Q16" s="95"/>
    </row>
    <row r="17" spans="1:17" hidden="1" x14ac:dyDescent="0.2">
      <c r="A17" s="96">
        <v>1</v>
      </c>
      <c r="B17" s="96" t="s">
        <v>32</v>
      </c>
      <c r="C17" s="96" t="s">
        <v>38</v>
      </c>
      <c r="D17" s="96"/>
      <c r="E17" s="96" t="s">
        <v>34</v>
      </c>
      <c r="F17" s="96"/>
      <c r="G17" s="96" t="s">
        <v>35</v>
      </c>
      <c r="H17" s="90" t="s">
        <v>88</v>
      </c>
      <c r="I17" s="97"/>
      <c r="J17" s="99">
        <f>+Sempra_1_Expired!D9</f>
        <v>1.9450000000000001</v>
      </c>
      <c r="K17" s="100">
        <f>(SUM(Sempra_1_Expired!G9:H20)/12)</f>
        <v>2.3858333333333333</v>
      </c>
      <c r="L17" s="99">
        <f>-O17/M17</f>
        <v>0.43923497267759554</v>
      </c>
      <c r="M17" s="102">
        <f>-Sempra_1_Expired!F21</f>
        <v>-91500</v>
      </c>
      <c r="N17" s="103">
        <f>+M17/366</f>
        <v>-250</v>
      </c>
      <c r="O17" s="104">
        <f>-Sempra_1_Expired!I21</f>
        <v>40189.999999999993</v>
      </c>
      <c r="P17" s="95">
        <f>-Sempra_1_Expired!J21</f>
        <v>40189.999999999993</v>
      </c>
      <c r="Q17" s="95">
        <f>-Sempra_1_Expired!K21</f>
        <v>0</v>
      </c>
    </row>
    <row r="18" spans="1:17" hidden="1" x14ac:dyDescent="0.2">
      <c r="A18" s="96">
        <v>1</v>
      </c>
      <c r="B18" s="96" t="s">
        <v>32</v>
      </c>
      <c r="C18" s="96" t="s">
        <v>35</v>
      </c>
      <c r="D18" s="96">
        <v>26125</v>
      </c>
      <c r="E18" s="96" t="s">
        <v>36</v>
      </c>
      <c r="F18" s="96" t="s">
        <v>37</v>
      </c>
      <c r="G18" s="96" t="s">
        <v>38</v>
      </c>
      <c r="H18" s="90" t="s">
        <v>88</v>
      </c>
      <c r="I18" s="97"/>
      <c r="J18" s="99">
        <f>+Sempra_1_Expired!D25</f>
        <v>1.9450000000000001</v>
      </c>
      <c r="K18" s="92">
        <f>(SUM(Sempra_1_Expired!G25:H36)/12)</f>
        <v>2.4591666666666661</v>
      </c>
      <c r="L18" s="101">
        <f>+O18/M18</f>
        <v>-0.51554644808743155</v>
      </c>
      <c r="M18" s="103">
        <f>-Sempra_1_Expired!F37</f>
        <v>91500</v>
      </c>
      <c r="N18" s="103">
        <f>+M18/366</f>
        <v>250</v>
      </c>
      <c r="O18" s="104">
        <f>-Sempra_1_Expired!I37</f>
        <v>-47172.499999999985</v>
      </c>
      <c r="P18" s="95">
        <f>-Sempra_1_Expired!J37</f>
        <v>-47172.499999999985</v>
      </c>
      <c r="Q18" s="95">
        <f>-Sempra_1_Expired!K37</f>
        <v>0</v>
      </c>
    </row>
    <row r="19" spans="1:17" hidden="1" x14ac:dyDescent="0.2">
      <c r="A19" s="96"/>
      <c r="B19" s="96"/>
      <c r="C19" s="96"/>
      <c r="D19" s="96"/>
      <c r="E19" s="97"/>
      <c r="F19" s="97"/>
      <c r="G19" s="97"/>
      <c r="H19" s="97"/>
      <c r="I19" s="97"/>
      <c r="J19" s="97"/>
      <c r="K19" s="107"/>
      <c r="L19" s="99">
        <f>+L17+L18</f>
        <v>-7.6311475409836016E-2</v>
      </c>
      <c r="M19" s="108">
        <f>+M13+M14</f>
        <v>0</v>
      </c>
      <c r="N19" s="108">
        <f>+N13+N14</f>
        <v>0</v>
      </c>
      <c r="O19" s="109">
        <f>+O17+O18</f>
        <v>-6982.4999999999927</v>
      </c>
      <c r="P19" s="109">
        <f>+P17+P18</f>
        <v>-6982.4999999999927</v>
      </c>
      <c r="Q19" s="109">
        <f>+Q17+Q18</f>
        <v>0</v>
      </c>
    </row>
    <row r="20" spans="1:17" ht="9.9499999999999993" hidden="1" customHeight="1" x14ac:dyDescent="0.2">
      <c r="A20" s="96"/>
      <c r="B20" s="96"/>
      <c r="C20" s="97"/>
      <c r="D20" s="96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8"/>
      <c r="Q20" s="98"/>
    </row>
    <row r="21" spans="1:17" hidden="1" x14ac:dyDescent="0.2">
      <c r="A21" s="96">
        <v>2</v>
      </c>
      <c r="B21" s="96" t="s">
        <v>32</v>
      </c>
      <c r="C21" s="96" t="s">
        <v>33</v>
      </c>
      <c r="D21" s="96"/>
      <c r="E21" s="96" t="s">
        <v>34</v>
      </c>
      <c r="F21" s="97"/>
      <c r="G21" s="96" t="s">
        <v>87</v>
      </c>
      <c r="H21" s="90" t="s">
        <v>83</v>
      </c>
      <c r="I21" s="97"/>
      <c r="J21" s="92">
        <f>+Avista_2_Expired!D9</f>
        <v>2.0049999999999999</v>
      </c>
      <c r="K21" s="92">
        <f>(SUM(Avista_2_Expired!G9:G23)+SUM(Avista_2_Expired!H9:H23))/15</f>
        <v>2.0893333333333342</v>
      </c>
      <c r="L21" s="99">
        <f>-O21/M21</f>
        <v>8.5262582056892869E-2</v>
      </c>
      <c r="M21" s="103">
        <f>-Avista_2_Expired!F24</f>
        <v>1142500</v>
      </c>
      <c r="N21" s="103">
        <f>+M21/457</f>
        <v>2500</v>
      </c>
      <c r="O21" s="104">
        <f>-Avista_2_Expired!I24</f>
        <v>-97412.500000000102</v>
      </c>
      <c r="P21" s="95">
        <f>-Avista_2_Expired!J24</f>
        <v>-97412.500000000102</v>
      </c>
      <c r="Q21" s="95">
        <f>-Avista_2_Expired!K24</f>
        <v>0</v>
      </c>
    </row>
    <row r="22" spans="1:17" hidden="1" x14ac:dyDescent="0.2">
      <c r="A22" s="96">
        <v>2</v>
      </c>
      <c r="B22" s="96" t="s">
        <v>32</v>
      </c>
      <c r="C22" s="96" t="s">
        <v>87</v>
      </c>
      <c r="D22" s="96"/>
      <c r="E22" s="96" t="s">
        <v>36</v>
      </c>
      <c r="F22" s="96" t="s">
        <v>37</v>
      </c>
      <c r="G22" s="96" t="s">
        <v>33</v>
      </c>
      <c r="H22" s="90" t="s">
        <v>83</v>
      </c>
      <c r="I22" s="97"/>
      <c r="J22" s="92">
        <f>+Avista_2_Expired!D28</f>
        <v>2.0049999999999999</v>
      </c>
      <c r="K22" s="92">
        <f>(SUM(Avista_2_Expired!G28:G42)+SUM(Avista_2_Expired!H28:H42))/15</f>
        <v>2.036</v>
      </c>
      <c r="L22" s="101">
        <f>+O22/M22</f>
        <v>-3.2899343544857858E-2</v>
      </c>
      <c r="M22" s="103">
        <f>-Avista_2_Expired!F43</f>
        <v>-1142500</v>
      </c>
      <c r="N22" s="103">
        <f>+M22/457</f>
        <v>-2500</v>
      </c>
      <c r="O22" s="104">
        <f>-Avista_2_Expired!I43</f>
        <v>37587.500000000102</v>
      </c>
      <c r="P22" s="95">
        <f>-Avista_2_Expired!J43</f>
        <v>37587.500000000102</v>
      </c>
      <c r="Q22" s="95">
        <f>-Avista_2_Expired!K43</f>
        <v>0</v>
      </c>
    </row>
    <row r="23" spans="1:17" hidden="1" x14ac:dyDescent="0.2">
      <c r="A23" s="96"/>
      <c r="B23" s="96"/>
      <c r="C23" s="97"/>
      <c r="D23" s="96"/>
      <c r="E23" s="97"/>
      <c r="F23" s="97"/>
      <c r="G23" s="97"/>
      <c r="H23" s="97"/>
      <c r="I23" s="97"/>
      <c r="J23" s="97"/>
      <c r="K23" s="97"/>
      <c r="L23" s="99">
        <f>+L21+L22</f>
        <v>5.2363238512035011E-2</v>
      </c>
      <c r="M23" s="108">
        <f>+M22+M21</f>
        <v>0</v>
      </c>
      <c r="N23" s="108">
        <f>+N22+N21</f>
        <v>0</v>
      </c>
      <c r="O23" s="109">
        <f>+O22+O21</f>
        <v>-59825</v>
      </c>
      <c r="P23" s="109">
        <f>+P22+P21</f>
        <v>-59825</v>
      </c>
      <c r="Q23" s="109">
        <f>+Q22+Q21</f>
        <v>0</v>
      </c>
    </row>
    <row r="24" spans="1:17" ht="9.9499999999999993" hidden="1" customHeight="1" x14ac:dyDescent="0.2">
      <c r="A24" s="96"/>
      <c r="B24" s="96"/>
      <c r="C24" s="97"/>
      <c r="D24" s="96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8"/>
      <c r="Q24" s="98"/>
    </row>
    <row r="25" spans="1:17" hidden="1" x14ac:dyDescent="0.2">
      <c r="A25" s="96">
        <v>2</v>
      </c>
      <c r="B25" s="96" t="s">
        <v>32</v>
      </c>
      <c r="C25" s="96" t="s">
        <v>38</v>
      </c>
      <c r="D25" s="96"/>
      <c r="E25" s="96" t="s">
        <v>34</v>
      </c>
      <c r="F25" s="97"/>
      <c r="G25" s="96" t="s">
        <v>87</v>
      </c>
      <c r="H25" s="90" t="s">
        <v>83</v>
      </c>
      <c r="I25" s="97"/>
      <c r="J25" s="92">
        <f>+Sempra_2_Expired!D9</f>
        <v>2.1</v>
      </c>
      <c r="K25" s="92">
        <f>(SUM(Sempra_2_Expired!G9:G23)+SUM(Sempra_2_Expired!H9:H23))/15</f>
        <v>2.0893333333333342</v>
      </c>
      <c r="L25" s="99">
        <f>-O25/M25</f>
        <v>-9.7374179431073109E-3</v>
      </c>
      <c r="M25" s="103">
        <f>-Sempra_2_Expired!F24</f>
        <v>1142500</v>
      </c>
      <c r="N25" s="103">
        <f>+M25/457</f>
        <v>2500</v>
      </c>
      <c r="O25" s="104">
        <f>-Sempra_2_Expired!I24</f>
        <v>11125.000000000104</v>
      </c>
      <c r="P25" s="95">
        <f>-Sempra_2_Expired!J24</f>
        <v>11125.000000000104</v>
      </c>
      <c r="Q25" s="95">
        <f>-Sempra_2_Expired!K24</f>
        <v>0</v>
      </c>
    </row>
    <row r="26" spans="1:17" hidden="1" x14ac:dyDescent="0.2">
      <c r="A26" s="96">
        <v>2</v>
      </c>
      <c r="B26" s="96" t="s">
        <v>32</v>
      </c>
      <c r="C26" s="96" t="s">
        <v>87</v>
      </c>
      <c r="D26" s="96"/>
      <c r="E26" s="96" t="s">
        <v>36</v>
      </c>
      <c r="F26" s="96" t="s">
        <v>37</v>
      </c>
      <c r="G26" s="96" t="s">
        <v>38</v>
      </c>
      <c r="H26" s="90" t="s">
        <v>83</v>
      </c>
      <c r="I26" s="97"/>
      <c r="J26" s="92">
        <f>+Sempra_2_Expired!D28</f>
        <v>2.1</v>
      </c>
      <c r="K26" s="92">
        <f>(SUM(Sempra_2_Expired!G28:G42)+SUM(Sempra_2_Expired!H28:H42))/15</f>
        <v>2.036</v>
      </c>
      <c r="L26" s="101">
        <f>+O26/M26</f>
        <v>6.2100656455142372E-2</v>
      </c>
      <c r="M26" s="110">
        <f>-Sempra_2_Expired!F43</f>
        <v>-1142500</v>
      </c>
      <c r="N26" s="110">
        <f>+M26/457</f>
        <v>-2500</v>
      </c>
      <c r="O26" s="111">
        <f>-Sempra_2_Expired!I43</f>
        <v>-70950.00000000016</v>
      </c>
      <c r="P26" s="112">
        <f>-Sempra_2_Expired!J43</f>
        <v>-70950.00000000016</v>
      </c>
      <c r="Q26" s="112">
        <f>-Sempra_2_Expired!K43</f>
        <v>0</v>
      </c>
    </row>
    <row r="27" spans="1:17" hidden="1" x14ac:dyDescent="0.2">
      <c r="A27" s="96"/>
      <c r="B27" s="96"/>
      <c r="C27" s="96"/>
      <c r="D27" s="96"/>
      <c r="E27" s="96"/>
      <c r="F27" s="96"/>
      <c r="G27" s="96"/>
      <c r="H27" s="97"/>
      <c r="I27" s="97"/>
      <c r="J27" s="92"/>
      <c r="K27" s="92"/>
      <c r="L27" s="99">
        <f>+L25+L26</f>
        <v>5.236323851203506E-2</v>
      </c>
      <c r="M27" s="103">
        <f>+M26+M25</f>
        <v>0</v>
      </c>
      <c r="N27" s="103">
        <f>+N26+N25</f>
        <v>0</v>
      </c>
      <c r="O27" s="113">
        <f>+O26+O25</f>
        <v>-59825.000000000058</v>
      </c>
      <c r="P27" s="113">
        <f>+P26+P25</f>
        <v>-59825.000000000058</v>
      </c>
      <c r="Q27" s="113">
        <f>+Q26+Q25</f>
        <v>0</v>
      </c>
    </row>
    <row r="28" spans="1:17" ht="9.9499999999999993" hidden="1" customHeight="1" x14ac:dyDescent="0.2">
      <c r="A28" s="96"/>
      <c r="B28" s="96"/>
      <c r="C28" s="96"/>
      <c r="D28" s="96"/>
      <c r="E28" s="96"/>
      <c r="F28" s="96"/>
      <c r="G28" s="96"/>
      <c r="H28" s="97"/>
      <c r="I28" s="97"/>
      <c r="J28" s="92"/>
      <c r="K28" s="92"/>
      <c r="L28" s="92"/>
      <c r="M28" s="103"/>
      <c r="N28" s="103"/>
      <c r="O28" s="104"/>
      <c r="P28" s="95"/>
      <c r="Q28" s="95"/>
    </row>
    <row r="29" spans="1:17" hidden="1" x14ac:dyDescent="0.2">
      <c r="A29" s="96">
        <v>2</v>
      </c>
      <c r="B29" s="96" t="s">
        <v>32</v>
      </c>
      <c r="C29" s="96" t="s">
        <v>38</v>
      </c>
      <c r="D29" s="96"/>
      <c r="E29" s="96" t="s">
        <v>34</v>
      </c>
      <c r="F29" s="97"/>
      <c r="G29" s="96" t="s">
        <v>87</v>
      </c>
      <c r="H29" s="90" t="s">
        <v>84</v>
      </c>
      <c r="I29" s="97"/>
      <c r="J29" s="92">
        <v>2.0099999999999998</v>
      </c>
      <c r="K29" s="92">
        <f>(SUM(Sempra_2.1_Expired!G9:G16)+SUM(Sempra_2.1_Expired!H9:H19))/8</f>
        <v>2.3775000000000004</v>
      </c>
      <c r="L29" s="99">
        <f>-O29/M29</f>
        <v>0.36506122448979617</v>
      </c>
      <c r="M29" s="103">
        <f>-Sempra_2.1_Expired!F17</f>
        <v>2450000</v>
      </c>
      <c r="N29" s="103">
        <f>+M29/245</f>
        <v>10000</v>
      </c>
      <c r="O29" s="104">
        <f>-Sempra_2.1_Expired!I17</f>
        <v>-894400.00000000058</v>
      </c>
      <c r="P29" s="95">
        <f>-Sempra_2.1_Expired!J17</f>
        <v>-894400.00000000058</v>
      </c>
      <c r="Q29" s="95">
        <f>-Sempra_2.1_Expired!K17</f>
        <v>0</v>
      </c>
    </row>
    <row r="30" spans="1:17" hidden="1" x14ac:dyDescent="0.2">
      <c r="A30" s="96">
        <v>2</v>
      </c>
      <c r="B30" s="96" t="s">
        <v>32</v>
      </c>
      <c r="C30" s="96" t="s">
        <v>87</v>
      </c>
      <c r="D30" s="96"/>
      <c r="E30" s="96" t="s">
        <v>36</v>
      </c>
      <c r="F30" s="96" t="s">
        <v>37</v>
      </c>
      <c r="G30" s="96" t="s">
        <v>38</v>
      </c>
      <c r="H30" s="90" t="s">
        <v>84</v>
      </c>
      <c r="I30" s="97"/>
      <c r="J30" s="92">
        <v>2.0099999999999998</v>
      </c>
      <c r="K30" s="92">
        <f>(SUM(Sempra_2.1_Expired!G21:G28)+SUM(Sempra_2.1_Expired!H21:H28))/8</f>
        <v>2.2675000000000001</v>
      </c>
      <c r="L30" s="101">
        <f>+O30/M30</f>
        <v>-0.25832653061224503</v>
      </c>
      <c r="M30" s="103">
        <f>-Sempra_2.1_Expired!F29</f>
        <v>-2450000</v>
      </c>
      <c r="N30" s="103">
        <f>+M30/245</f>
        <v>-10000</v>
      </c>
      <c r="O30" s="104">
        <f>-Sempra_2.1_Expired!I29</f>
        <v>632900.00000000035</v>
      </c>
      <c r="P30" s="95">
        <f>-Sempra_2.1_Expired!J29</f>
        <v>632900.00000000035</v>
      </c>
      <c r="Q30" s="95">
        <f>-Sempra_2.1_Expired!K29</f>
        <v>0</v>
      </c>
    </row>
    <row r="31" spans="1:17" hidden="1" x14ac:dyDescent="0.2">
      <c r="A31" s="96"/>
      <c r="B31" s="96"/>
      <c r="C31" s="97"/>
      <c r="D31" s="96"/>
      <c r="E31" s="97"/>
      <c r="F31" s="97"/>
      <c r="G31" s="97"/>
      <c r="H31" s="97"/>
      <c r="I31" s="97"/>
      <c r="J31" s="97"/>
      <c r="K31" s="97"/>
      <c r="L31" s="99">
        <f t="shared" ref="L31:Q31" si="0">+L29+L30</f>
        <v>0.10673469387755113</v>
      </c>
      <c r="M31" s="108">
        <f t="shared" si="0"/>
        <v>0</v>
      </c>
      <c r="N31" s="108">
        <f t="shared" si="0"/>
        <v>0</v>
      </c>
      <c r="O31" s="109">
        <f t="shared" si="0"/>
        <v>-261500.00000000023</v>
      </c>
      <c r="P31" s="109">
        <f t="shared" si="0"/>
        <v>-261500.00000000023</v>
      </c>
      <c r="Q31" s="109">
        <f t="shared" si="0"/>
        <v>0</v>
      </c>
    </row>
    <row r="32" spans="1:17" ht="9.9499999999999993" hidden="1" customHeight="1" x14ac:dyDescent="0.2">
      <c r="A32" s="96"/>
      <c r="B32" s="96"/>
      <c r="C32" s="97"/>
      <c r="D32" s="96"/>
      <c r="E32" s="97"/>
      <c r="F32" s="97"/>
      <c r="G32" s="97"/>
      <c r="H32" s="97"/>
      <c r="I32" s="97"/>
      <c r="J32" s="97"/>
      <c r="K32" s="97"/>
      <c r="L32" s="97"/>
      <c r="M32" s="107"/>
      <c r="N32" s="107"/>
      <c r="O32" s="113"/>
      <c r="P32" s="114"/>
      <c r="Q32" s="114"/>
    </row>
    <row r="33" spans="1:17" x14ac:dyDescent="0.2">
      <c r="A33" s="96">
        <v>2</v>
      </c>
      <c r="B33" s="96" t="s">
        <v>32</v>
      </c>
      <c r="C33" s="96" t="s">
        <v>39</v>
      </c>
      <c r="D33" s="96"/>
      <c r="E33" s="96" t="s">
        <v>102</v>
      </c>
      <c r="F33" s="97"/>
      <c r="G33" s="96" t="s">
        <v>87</v>
      </c>
      <c r="H33" s="90" t="s">
        <v>111</v>
      </c>
      <c r="I33" s="96"/>
      <c r="J33" s="92">
        <v>2.3650000000000002</v>
      </c>
      <c r="K33" s="92">
        <f>(SUM(RMTC_2!G9:G20)+SUM(RMTC_2!H9:H20))/12</f>
        <v>3.7774999999999999</v>
      </c>
      <c r="L33" s="99">
        <f>-O33/M33</f>
        <v>1.4177868852459015</v>
      </c>
      <c r="M33" s="115">
        <f>-RMTC_2!F22</f>
        <v>5490000</v>
      </c>
      <c r="N33" s="115">
        <f>+M33/366</f>
        <v>15000</v>
      </c>
      <c r="O33" s="104">
        <f>-RMTC_2!I22</f>
        <v>-7783649.9999999991</v>
      </c>
      <c r="P33" s="95">
        <f>-RMTC_2!J22</f>
        <v>-5967824.9999999991</v>
      </c>
      <c r="Q33" s="95">
        <f>-RMTC_2!K22</f>
        <v>-1815824.9999999998</v>
      </c>
    </row>
    <row r="34" spans="1:17" x14ac:dyDescent="0.2">
      <c r="A34" s="96">
        <v>2</v>
      </c>
      <c r="B34" s="96" t="s">
        <v>32</v>
      </c>
      <c r="C34" s="96" t="s">
        <v>87</v>
      </c>
      <c r="D34" s="96"/>
      <c r="E34" s="96" t="s">
        <v>103</v>
      </c>
      <c r="F34" s="96" t="s">
        <v>37</v>
      </c>
      <c r="G34" s="96" t="s">
        <v>39</v>
      </c>
      <c r="H34" s="90" t="s">
        <v>111</v>
      </c>
      <c r="I34" s="96"/>
      <c r="J34" s="92">
        <v>2.3650000000000002</v>
      </c>
      <c r="K34" s="92">
        <f>(SUM(RMTC_2!G26:G37)+SUM(RMTC_2!H26:H37))/12</f>
        <v>3.7774999999999999</v>
      </c>
      <c r="L34" s="101">
        <f>+O34/M34</f>
        <v>-1.4177868852459015</v>
      </c>
      <c r="M34" s="116">
        <f>-RMTC_2!F39</f>
        <v>-5490000</v>
      </c>
      <c r="N34" s="116">
        <f>+M34/366</f>
        <v>-15000</v>
      </c>
      <c r="O34" s="111">
        <f>-RMTC_2!I39</f>
        <v>7783649.9999999991</v>
      </c>
      <c r="P34" s="112">
        <f>-RMTC_2!J39</f>
        <v>5967824.9999999991</v>
      </c>
      <c r="Q34" s="112">
        <f>-RMTC_2!K39</f>
        <v>1815824.9999999998</v>
      </c>
    </row>
    <row r="35" spans="1:17" x14ac:dyDescent="0.2">
      <c r="A35" s="96"/>
      <c r="B35" s="96"/>
      <c r="C35" s="97"/>
      <c r="D35" s="96"/>
      <c r="E35" s="97"/>
      <c r="F35" s="97"/>
      <c r="G35" s="97"/>
      <c r="H35" s="97"/>
      <c r="I35" s="96"/>
      <c r="J35" s="97"/>
      <c r="K35" s="97"/>
      <c r="L35" s="99">
        <f t="shared" ref="L35:Q35" si="1">+L33+L34</f>
        <v>0</v>
      </c>
      <c r="M35" s="107">
        <f t="shared" si="1"/>
        <v>0</v>
      </c>
      <c r="N35" s="107">
        <f t="shared" si="1"/>
        <v>0</v>
      </c>
      <c r="O35" s="113">
        <f t="shared" si="1"/>
        <v>0</v>
      </c>
      <c r="P35" s="113">
        <f t="shared" si="1"/>
        <v>0</v>
      </c>
      <c r="Q35" s="113">
        <f t="shared" si="1"/>
        <v>0</v>
      </c>
    </row>
    <row r="36" spans="1:17" ht="9.9499999999999993" customHeight="1" x14ac:dyDescent="0.2">
      <c r="A36" s="96"/>
      <c r="B36" s="96"/>
      <c r="C36" s="97"/>
      <c r="D36" s="96"/>
      <c r="E36" s="97"/>
      <c r="F36" s="97"/>
      <c r="G36" s="97"/>
      <c r="H36" s="97"/>
      <c r="I36" s="96"/>
      <c r="J36" s="97"/>
      <c r="K36" s="97"/>
      <c r="L36" s="97"/>
      <c r="M36" s="97"/>
      <c r="N36" s="97"/>
      <c r="O36" s="97"/>
      <c r="P36" s="97"/>
      <c r="Q36" s="97"/>
    </row>
    <row r="37" spans="1:17" ht="22.5" hidden="1" x14ac:dyDescent="0.2">
      <c r="A37" s="96">
        <v>6</v>
      </c>
      <c r="B37" s="96" t="s">
        <v>40</v>
      </c>
      <c r="C37" s="96" t="s">
        <v>41</v>
      </c>
      <c r="D37" s="96">
        <v>25834</v>
      </c>
      <c r="E37" s="96" t="s">
        <v>36</v>
      </c>
      <c r="F37" s="96" t="s">
        <v>37</v>
      </c>
      <c r="G37" s="90" t="s">
        <v>42</v>
      </c>
      <c r="H37" s="90" t="s">
        <v>86</v>
      </c>
      <c r="I37" s="96"/>
      <c r="J37" s="92">
        <v>2.3199999999999998</v>
      </c>
      <c r="K37" s="92">
        <f>SUM(Elpaso_6!G9:H13)/5</f>
        <v>4.1082000000000001</v>
      </c>
      <c r="L37" s="99">
        <f>O37/M37</f>
        <v>-0.80766666666666709</v>
      </c>
      <c r="M37" s="103">
        <f>-Elpaso_6!F15</f>
        <v>15000000</v>
      </c>
      <c r="N37" s="117">
        <f>+M37/153</f>
        <v>98039.215686274503</v>
      </c>
      <c r="O37" s="104">
        <f>-Elpaso_6!I15</f>
        <v>-12115000.000000006</v>
      </c>
      <c r="P37" s="118">
        <f>-Elpaso_6!J15</f>
        <v>0</v>
      </c>
      <c r="Q37" s="104">
        <f>-Elpaso_6!K15</f>
        <v>-12115000.000000006</v>
      </c>
    </row>
    <row r="38" spans="1:17" ht="22.5" hidden="1" x14ac:dyDescent="0.2">
      <c r="A38" s="96">
        <v>6</v>
      </c>
      <c r="B38" s="96" t="s">
        <v>40</v>
      </c>
      <c r="C38" s="96" t="s">
        <v>41</v>
      </c>
      <c r="D38" s="96"/>
      <c r="E38" s="96" t="s">
        <v>34</v>
      </c>
      <c r="F38" s="96" t="s">
        <v>37</v>
      </c>
      <c r="G38" s="90" t="s">
        <v>42</v>
      </c>
      <c r="H38" s="90" t="s">
        <v>86</v>
      </c>
      <c r="I38" s="96"/>
      <c r="J38" s="92">
        <v>2.3199999999999998</v>
      </c>
      <c r="K38" s="92">
        <f>SUM(Elpaso_6!G9:H13)/5</f>
        <v>4.1082000000000001</v>
      </c>
      <c r="L38" s="126">
        <f>O38/M38</f>
        <v>0.80766666666666709</v>
      </c>
      <c r="M38" s="110">
        <f>-Elpaso_6!F23</f>
        <v>15000000</v>
      </c>
      <c r="N38" s="127">
        <f>+M38/153</f>
        <v>98039.215686274503</v>
      </c>
      <c r="O38" s="111">
        <f>Elpaso_6!I15</f>
        <v>12115000.000000006</v>
      </c>
      <c r="P38" s="128">
        <f>-Elpaso_6!J26</f>
        <v>0</v>
      </c>
      <c r="Q38" s="111">
        <f>Elpaso_6!K15</f>
        <v>12115000.000000006</v>
      </c>
    </row>
    <row r="39" spans="1:17" hidden="1" x14ac:dyDescent="0.2">
      <c r="A39" s="96"/>
      <c r="B39" s="96"/>
      <c r="C39" s="96"/>
      <c r="D39" s="96"/>
      <c r="E39" s="96"/>
      <c r="F39" s="96"/>
      <c r="G39" s="90"/>
      <c r="H39" s="90"/>
      <c r="I39" s="96"/>
      <c r="J39" s="92"/>
      <c r="K39" s="92"/>
      <c r="L39" s="99">
        <f>+L37-L38</f>
        <v>-1.6153333333333342</v>
      </c>
      <c r="M39" s="103">
        <f>+M38+M37</f>
        <v>30000000</v>
      </c>
      <c r="N39" s="103">
        <f>+N38+N37</f>
        <v>196078.43137254901</v>
      </c>
      <c r="O39" s="129">
        <f>+O38+O37</f>
        <v>0</v>
      </c>
      <c r="P39" s="130">
        <f>+P38+P37</f>
        <v>0</v>
      </c>
      <c r="Q39" s="129">
        <f>+Q38+Q37</f>
        <v>0</v>
      </c>
    </row>
    <row r="40" spans="1:17" hidden="1" x14ac:dyDescent="0.2">
      <c r="A40" s="96"/>
      <c r="B40" s="96"/>
      <c r="C40" s="96"/>
      <c r="D40" s="96"/>
      <c r="E40" s="96"/>
      <c r="F40" s="96"/>
      <c r="G40" s="90"/>
      <c r="H40" s="90"/>
      <c r="I40" s="96"/>
      <c r="J40" s="92"/>
      <c r="K40" s="92"/>
      <c r="L40" s="99"/>
      <c r="M40" s="103"/>
      <c r="N40" s="135"/>
      <c r="O40" s="129"/>
      <c r="P40" s="130"/>
      <c r="Q40" s="129"/>
    </row>
    <row r="41" spans="1:17" hidden="1" x14ac:dyDescent="0.2">
      <c r="A41" s="96">
        <v>8</v>
      </c>
      <c r="B41" s="96" t="s">
        <v>40</v>
      </c>
      <c r="C41" s="96" t="s">
        <v>89</v>
      </c>
      <c r="D41" s="96">
        <v>105706</v>
      </c>
      <c r="E41" s="96" t="s">
        <v>36</v>
      </c>
      <c r="F41" s="96" t="s">
        <v>45</v>
      </c>
      <c r="G41" s="90"/>
      <c r="H41" s="90" t="s">
        <v>92</v>
      </c>
      <c r="I41" s="90"/>
      <c r="J41" s="92"/>
      <c r="K41" s="99">
        <f>SUM(MEC_8_Expired!H9:H14)/6</f>
        <v>0</v>
      </c>
      <c r="L41" s="99">
        <f>O41/M41</f>
        <v>2.5582608695652174</v>
      </c>
      <c r="M41" s="103">
        <f>-MEC_8_Expired!F15</f>
        <v>-230000</v>
      </c>
      <c r="N41" s="135">
        <f>+M41/182</f>
        <v>-1263.7362637362637</v>
      </c>
      <c r="O41" s="104">
        <f>-MEC_8_Expired!I15</f>
        <v>-588400</v>
      </c>
      <c r="P41" s="118">
        <f>-MEC_8_Expired!J15</f>
        <v>-588400</v>
      </c>
      <c r="Q41" s="104">
        <f>-MEC_8_Expired!K15</f>
        <v>0</v>
      </c>
    </row>
    <row r="42" spans="1:17" hidden="1" x14ac:dyDescent="0.2">
      <c r="A42" s="96">
        <v>8</v>
      </c>
      <c r="B42" s="96" t="s">
        <v>40</v>
      </c>
      <c r="C42" s="96" t="s">
        <v>89</v>
      </c>
      <c r="D42" s="96">
        <v>105706</v>
      </c>
      <c r="E42" s="96" t="s">
        <v>36</v>
      </c>
      <c r="F42" s="96" t="s">
        <v>45</v>
      </c>
      <c r="G42" s="90"/>
      <c r="H42" s="90" t="s">
        <v>92</v>
      </c>
      <c r="I42" s="90"/>
      <c r="J42" s="92"/>
      <c r="K42" s="92">
        <f>SUM(MEC_8_Expired!H20:H25)/6</f>
        <v>0</v>
      </c>
      <c r="L42" s="126">
        <f>O42/M42</f>
        <v>2.6397391304347826</v>
      </c>
      <c r="M42" s="110">
        <f>-MEC_8_Expired!F26</f>
        <v>230000</v>
      </c>
      <c r="N42" s="110">
        <f>+M42/182</f>
        <v>1263.7362637362637</v>
      </c>
      <c r="O42" s="111">
        <f>-MEC_8_Expired!I26</f>
        <v>607140</v>
      </c>
      <c r="P42" s="128">
        <f>-MEC_8_Expired!J26</f>
        <v>607140</v>
      </c>
      <c r="Q42" s="111">
        <f>-MEC_8_Expired!K26</f>
        <v>0</v>
      </c>
    </row>
    <row r="43" spans="1:17" hidden="1" x14ac:dyDescent="0.2">
      <c r="A43" s="96"/>
      <c r="B43" s="96"/>
      <c r="C43" s="96"/>
      <c r="D43" s="96"/>
      <c r="E43" s="96"/>
      <c r="F43" s="96"/>
      <c r="G43" s="90"/>
      <c r="H43" s="90"/>
      <c r="I43" s="90"/>
      <c r="J43" s="92"/>
      <c r="K43" s="92"/>
      <c r="L43" s="99">
        <f>+L41-L42</f>
        <v>-8.1478260869565222E-2</v>
      </c>
      <c r="M43" s="103">
        <f>+M42+M41</f>
        <v>0</v>
      </c>
      <c r="N43" s="103">
        <f>+N42+N41</f>
        <v>0</v>
      </c>
      <c r="O43" s="104">
        <f>+O42+O41</f>
        <v>18740</v>
      </c>
      <c r="P43" s="118">
        <f>+P42+P41</f>
        <v>18740</v>
      </c>
      <c r="Q43" s="104">
        <f>+Q42+Q41</f>
        <v>0</v>
      </c>
    </row>
    <row r="44" spans="1:17" hidden="1" x14ac:dyDescent="0.2">
      <c r="A44" s="96"/>
      <c r="B44" s="96"/>
      <c r="C44" s="96"/>
      <c r="D44" s="96"/>
      <c r="E44" s="96"/>
      <c r="F44" s="96"/>
      <c r="G44" s="90"/>
      <c r="H44" s="90"/>
      <c r="I44" s="90"/>
      <c r="J44" s="92"/>
      <c r="K44" s="92"/>
      <c r="L44" s="99"/>
      <c r="M44" s="103"/>
      <c r="N44" s="135"/>
      <c r="O44" s="104"/>
      <c r="P44" s="118"/>
      <c r="Q44" s="104"/>
    </row>
    <row r="45" spans="1:17" x14ac:dyDescent="0.2">
      <c r="A45" s="96">
        <v>9</v>
      </c>
      <c r="B45" s="96" t="s">
        <v>32</v>
      </c>
      <c r="C45" s="96" t="s">
        <v>96</v>
      </c>
      <c r="D45" s="96"/>
      <c r="E45" s="96" t="s">
        <v>102</v>
      </c>
      <c r="F45" s="97"/>
      <c r="G45" s="96" t="s">
        <v>87</v>
      </c>
      <c r="H45" s="90" t="s">
        <v>85</v>
      </c>
      <c r="I45" s="96"/>
      <c r="J45" s="92">
        <v>3.23</v>
      </c>
      <c r="K45" s="92">
        <f>(SUM(ENA_9!G9:G20)+SUM(ENA_9!H9:H20))/12</f>
        <v>5.2665000000000006</v>
      </c>
      <c r="L45" s="99">
        <f>-O45/M45</f>
        <v>2.0299835616438355</v>
      </c>
      <c r="M45" s="115">
        <f>-ENA_9!F22</f>
        <v>1825000</v>
      </c>
      <c r="N45" s="115">
        <f>+M45/365</f>
        <v>5000</v>
      </c>
      <c r="O45" s="104">
        <f>-ENA_9!I22</f>
        <v>-3704720</v>
      </c>
      <c r="P45" s="95">
        <f>-ENA_9!J22</f>
        <v>0</v>
      </c>
      <c r="Q45" s="95">
        <f>-ENA_9!K22</f>
        <v>-3704720</v>
      </c>
    </row>
    <row r="46" spans="1:17" x14ac:dyDescent="0.2">
      <c r="A46" s="96">
        <v>9</v>
      </c>
      <c r="B46" s="96" t="s">
        <v>32</v>
      </c>
      <c r="C46" s="96" t="s">
        <v>87</v>
      </c>
      <c r="D46" s="96"/>
      <c r="E46" s="96" t="s">
        <v>103</v>
      </c>
      <c r="F46" s="96" t="s">
        <v>37</v>
      </c>
      <c r="G46" s="96" t="s">
        <v>96</v>
      </c>
      <c r="H46" s="90" t="s">
        <v>85</v>
      </c>
      <c r="I46" s="96"/>
      <c r="J46" s="92">
        <v>3.23</v>
      </c>
      <c r="K46" s="92">
        <f>(SUM(ENA_9!G26:G37)+SUM(ENA_9!H26:H37))/12</f>
        <v>5.2665000000000006</v>
      </c>
      <c r="L46" s="101">
        <f>+O46/M46</f>
        <v>-2.0299835616438355</v>
      </c>
      <c r="M46" s="116">
        <f>-ENA_9!F39</f>
        <v>-1825000</v>
      </c>
      <c r="N46" s="116">
        <f>+M46/365</f>
        <v>-5000</v>
      </c>
      <c r="O46" s="111">
        <f>-ENA_9!I39</f>
        <v>3704720</v>
      </c>
      <c r="P46" s="112">
        <f>-ENA_9!J39</f>
        <v>0</v>
      </c>
      <c r="Q46" s="112">
        <f>-ENA_9!K39</f>
        <v>3704720</v>
      </c>
    </row>
    <row r="47" spans="1:17" x14ac:dyDescent="0.2">
      <c r="A47" s="96"/>
      <c r="B47" s="96"/>
      <c r="C47" s="97"/>
      <c r="D47" s="96"/>
      <c r="E47" s="97"/>
      <c r="F47" s="97"/>
      <c r="G47" s="97"/>
      <c r="H47" s="97"/>
      <c r="I47" s="96"/>
      <c r="J47" s="97"/>
      <c r="K47" s="97"/>
      <c r="L47" s="99">
        <f t="shared" ref="L47:Q47" si="2">+L45+L46</f>
        <v>0</v>
      </c>
      <c r="M47" s="107">
        <f t="shared" si="2"/>
        <v>0</v>
      </c>
      <c r="N47" s="107">
        <f t="shared" si="2"/>
        <v>0</v>
      </c>
      <c r="O47" s="113">
        <f t="shared" si="2"/>
        <v>0</v>
      </c>
      <c r="P47" s="113">
        <f t="shared" si="2"/>
        <v>0</v>
      </c>
      <c r="Q47" s="113">
        <f t="shared" si="2"/>
        <v>0</v>
      </c>
    </row>
    <row r="48" spans="1:17" x14ac:dyDescent="0.2">
      <c r="A48" s="96"/>
      <c r="B48" s="96"/>
      <c r="C48" s="97"/>
      <c r="D48" s="96"/>
      <c r="E48" s="97"/>
      <c r="F48" s="97"/>
      <c r="G48" s="97"/>
      <c r="H48" s="97"/>
      <c r="I48" s="96"/>
      <c r="J48" s="97"/>
      <c r="K48" s="97"/>
      <c r="L48" s="99"/>
      <c r="M48" s="107"/>
      <c r="N48" s="154"/>
      <c r="O48" s="113"/>
      <c r="P48" s="113"/>
      <c r="Q48" s="113"/>
    </row>
    <row r="49" spans="1:17" x14ac:dyDescent="0.2">
      <c r="A49" s="96">
        <v>11</v>
      </c>
      <c r="B49" s="96" t="s">
        <v>32</v>
      </c>
      <c r="C49" s="96" t="s">
        <v>96</v>
      </c>
      <c r="D49" s="96"/>
      <c r="E49" s="96" t="s">
        <v>102</v>
      </c>
      <c r="F49" s="97"/>
      <c r="G49" s="96" t="s">
        <v>87</v>
      </c>
      <c r="H49" s="90" t="s">
        <v>85</v>
      </c>
      <c r="I49" s="96"/>
      <c r="J49" s="92">
        <v>3.74</v>
      </c>
      <c r="K49" s="92">
        <f>(SUM(ENA_11!G9:G20)+SUM(ENA_11!H9:H20))/12</f>
        <v>5.2665000000000006</v>
      </c>
      <c r="L49" s="99">
        <v>0.1</v>
      </c>
      <c r="M49" s="115">
        <f>-ENA_11!F22</f>
        <v>1825000</v>
      </c>
      <c r="N49" s="115">
        <f>+M49/365</f>
        <v>5000</v>
      </c>
      <c r="O49" s="104">
        <f>-ENA_11!I22</f>
        <v>-2773970</v>
      </c>
      <c r="P49" s="95">
        <f>-ENA_11!J22</f>
        <v>0</v>
      </c>
      <c r="Q49" s="95">
        <f>-ENA_11!K22</f>
        <v>-2773970</v>
      </c>
    </row>
    <row r="50" spans="1:17" x14ac:dyDescent="0.2">
      <c r="A50" s="96">
        <v>11</v>
      </c>
      <c r="B50" s="96" t="s">
        <v>32</v>
      </c>
      <c r="C50" s="96" t="s">
        <v>87</v>
      </c>
      <c r="D50" s="96"/>
      <c r="E50" s="96" t="s">
        <v>103</v>
      </c>
      <c r="F50" s="96" t="s">
        <v>37</v>
      </c>
      <c r="G50" s="96" t="s">
        <v>96</v>
      </c>
      <c r="H50" s="90" t="s">
        <v>85</v>
      </c>
      <c r="I50" s="96"/>
      <c r="J50" s="92">
        <v>3.74</v>
      </c>
      <c r="K50" s="92">
        <f>(SUM(ENA_11!G26:G37)+SUM(ENA_11!H26:H37))/12</f>
        <v>5.2665000000000006</v>
      </c>
      <c r="L50" s="101">
        <f>+O50/M50</f>
        <v>-1.5199835616438355</v>
      </c>
      <c r="M50" s="116">
        <f>-ENA_11!F39</f>
        <v>-1825000</v>
      </c>
      <c r="N50" s="116">
        <f>+M50/365</f>
        <v>-5000</v>
      </c>
      <c r="O50" s="111">
        <f>-ENA_11!I39</f>
        <v>2773970</v>
      </c>
      <c r="P50" s="112">
        <f>-ENA_11!J39</f>
        <v>0</v>
      </c>
      <c r="Q50" s="112">
        <f>-ENA_11!K39</f>
        <v>2773970</v>
      </c>
    </row>
    <row r="51" spans="1:17" x14ac:dyDescent="0.2">
      <c r="A51" s="96"/>
      <c r="B51" s="96"/>
      <c r="C51" s="97"/>
      <c r="D51" s="96"/>
      <c r="E51" s="97"/>
      <c r="F51" s="97"/>
      <c r="G51" s="97"/>
      <c r="H51" s="97"/>
      <c r="I51" s="96"/>
      <c r="J51" s="97"/>
      <c r="K51" s="97"/>
      <c r="L51" s="99">
        <f t="shared" ref="L51:Q51" si="3">+L49+L50</f>
        <v>-1.4199835616438354</v>
      </c>
      <c r="M51" s="107">
        <f t="shared" si="3"/>
        <v>0</v>
      </c>
      <c r="N51" s="107">
        <f t="shared" si="3"/>
        <v>0</v>
      </c>
      <c r="O51" s="113">
        <f t="shared" si="3"/>
        <v>0</v>
      </c>
      <c r="P51" s="113">
        <f t="shared" si="3"/>
        <v>0</v>
      </c>
      <c r="Q51" s="113">
        <f t="shared" si="3"/>
        <v>0</v>
      </c>
    </row>
    <row r="52" spans="1:17" x14ac:dyDescent="0.2">
      <c r="A52" s="96"/>
      <c r="B52" s="96"/>
      <c r="C52" s="97"/>
      <c r="D52" s="96"/>
      <c r="E52" s="97"/>
      <c r="F52" s="97"/>
      <c r="G52" s="97"/>
      <c r="H52" s="97"/>
      <c r="I52" s="96"/>
      <c r="J52" s="97"/>
      <c r="K52" s="97"/>
      <c r="L52" s="99"/>
      <c r="M52" s="107"/>
      <c r="N52" s="154"/>
      <c r="O52" s="113"/>
      <c r="P52" s="113"/>
      <c r="Q52" s="113"/>
    </row>
    <row r="53" spans="1:17" x14ac:dyDescent="0.2">
      <c r="A53" s="96">
        <v>12</v>
      </c>
      <c r="B53" s="96" t="s">
        <v>32</v>
      </c>
      <c r="C53" s="96" t="s">
        <v>96</v>
      </c>
      <c r="D53" s="96" t="s">
        <v>113</v>
      </c>
      <c r="E53" s="96" t="s">
        <v>102</v>
      </c>
      <c r="F53" s="97"/>
      <c r="G53" s="96" t="s">
        <v>87</v>
      </c>
      <c r="H53" s="90" t="s">
        <v>85</v>
      </c>
      <c r="I53" s="178">
        <v>36740</v>
      </c>
      <c r="J53" s="92">
        <v>3.63</v>
      </c>
      <c r="K53" s="92">
        <f>(SUM(ENA_12!G26:G37)+SUM(ENA_12!H26:H37))/12</f>
        <v>5.2665000000000006</v>
      </c>
      <c r="L53" s="99">
        <v>0.1</v>
      </c>
      <c r="M53" s="115">
        <f>-ENA_12!F22</f>
        <v>1825000</v>
      </c>
      <c r="N53" s="115">
        <f>+M53/365</f>
        <v>5000</v>
      </c>
      <c r="O53" s="104">
        <f>-ENA_12!I22</f>
        <v>-2974720.0000000005</v>
      </c>
      <c r="P53" s="95">
        <f>-ENA_12!J22</f>
        <v>0</v>
      </c>
      <c r="Q53" s="95">
        <f>-ENA_12!K22</f>
        <v>-2974720.0000000005</v>
      </c>
    </row>
    <row r="54" spans="1:17" x14ac:dyDescent="0.2">
      <c r="A54" s="96">
        <v>12</v>
      </c>
      <c r="B54" s="96" t="s">
        <v>32</v>
      </c>
      <c r="C54" s="96" t="s">
        <v>87</v>
      </c>
      <c r="D54" s="96"/>
      <c r="E54" s="96" t="s">
        <v>103</v>
      </c>
      <c r="F54" s="96" t="s">
        <v>37</v>
      </c>
      <c r="G54" s="96" t="s">
        <v>96</v>
      </c>
      <c r="H54" s="90" t="s">
        <v>85</v>
      </c>
      <c r="I54" s="96"/>
      <c r="J54" s="92">
        <v>3.63</v>
      </c>
      <c r="K54" s="92">
        <f>(SUM(ENA_12!G26:G37)+SUM(ENA_12!H26:H37))/12</f>
        <v>5.2665000000000006</v>
      </c>
      <c r="L54" s="101">
        <f>+O54/M54</f>
        <v>-1.6299835616438358</v>
      </c>
      <c r="M54" s="116">
        <f>-ENA_12!F39</f>
        <v>-1825000</v>
      </c>
      <c r="N54" s="116">
        <f>+M54/365</f>
        <v>-5000</v>
      </c>
      <c r="O54" s="111">
        <f>-ENA_12!I39</f>
        <v>2974720.0000000005</v>
      </c>
      <c r="P54" s="112">
        <f>-ENA_12!J39</f>
        <v>0</v>
      </c>
      <c r="Q54" s="112">
        <f>-ENA_12!K39</f>
        <v>2974720.0000000005</v>
      </c>
    </row>
    <row r="55" spans="1:17" x14ac:dyDescent="0.2">
      <c r="A55" s="96"/>
      <c r="B55" s="96"/>
      <c r="C55" s="97"/>
      <c r="D55" s="96"/>
      <c r="E55" s="97"/>
      <c r="F55" s="97"/>
      <c r="G55" s="97"/>
      <c r="H55" s="97"/>
      <c r="I55" s="96"/>
      <c r="J55" s="97"/>
      <c r="K55" s="97"/>
      <c r="L55" s="99">
        <f t="shared" ref="L55:Q55" si="4">+L53+L54</f>
        <v>-1.5299835616438358</v>
      </c>
      <c r="M55" s="107">
        <f t="shared" si="4"/>
        <v>0</v>
      </c>
      <c r="N55" s="107">
        <f t="shared" si="4"/>
        <v>0</v>
      </c>
      <c r="O55" s="113">
        <f t="shared" si="4"/>
        <v>0</v>
      </c>
      <c r="P55" s="113">
        <f t="shared" si="4"/>
        <v>0</v>
      </c>
      <c r="Q55" s="113">
        <f t="shared" si="4"/>
        <v>0</v>
      </c>
    </row>
    <row r="56" spans="1:17" x14ac:dyDescent="0.2">
      <c r="A56" s="96"/>
      <c r="B56" s="96"/>
      <c r="C56" s="97"/>
      <c r="D56" s="96"/>
      <c r="E56" s="97"/>
      <c r="F56" s="97"/>
      <c r="G56" s="97"/>
      <c r="H56" s="97"/>
      <c r="I56" s="96"/>
      <c r="J56" s="97"/>
      <c r="K56" s="97"/>
      <c r="L56" s="99"/>
      <c r="M56" s="107"/>
      <c r="N56" s="154"/>
      <c r="O56" s="113"/>
      <c r="P56" s="113"/>
      <c r="Q56" s="113"/>
    </row>
    <row r="57" spans="1:17" x14ac:dyDescent="0.2">
      <c r="A57" s="96">
        <v>13</v>
      </c>
      <c r="B57" s="96" t="s">
        <v>32</v>
      </c>
      <c r="C57" s="96" t="s">
        <v>96</v>
      </c>
      <c r="D57" s="96" t="s">
        <v>115</v>
      </c>
      <c r="E57" s="96" t="s">
        <v>102</v>
      </c>
      <c r="F57" s="97"/>
      <c r="G57" s="96" t="s">
        <v>87</v>
      </c>
      <c r="H57" s="90" t="s">
        <v>85</v>
      </c>
      <c r="I57" s="178">
        <v>36754</v>
      </c>
      <c r="J57" s="92">
        <v>3.585</v>
      </c>
      <c r="K57" s="92">
        <f>(SUM(ENA_13!G26:G37)+SUM(ENA_13!H26:H37))/12</f>
        <v>5.2665000000000006</v>
      </c>
      <c r="L57" s="99">
        <v>0.1</v>
      </c>
      <c r="M57" s="115">
        <f>-ENA_13!F22</f>
        <v>1825000</v>
      </c>
      <c r="N57" s="115">
        <f>+M57/365</f>
        <v>5000</v>
      </c>
      <c r="O57" s="104">
        <f>-ENA_13!I22</f>
        <v>-3056845</v>
      </c>
      <c r="P57" s="95">
        <f>-ENA_13!J22</f>
        <v>0</v>
      </c>
      <c r="Q57" s="95">
        <f>-ENA_13!K22</f>
        <v>-3056845</v>
      </c>
    </row>
    <row r="58" spans="1:17" x14ac:dyDescent="0.2">
      <c r="A58" s="96">
        <v>13</v>
      </c>
      <c r="B58" s="96" t="s">
        <v>32</v>
      </c>
      <c r="C58" s="96" t="s">
        <v>87</v>
      </c>
      <c r="D58" s="96"/>
      <c r="E58" s="96" t="s">
        <v>103</v>
      </c>
      <c r="F58" s="96" t="s">
        <v>37</v>
      </c>
      <c r="G58" s="96" t="s">
        <v>96</v>
      </c>
      <c r="H58" s="90" t="s">
        <v>85</v>
      </c>
      <c r="I58" s="96"/>
      <c r="J58" s="92">
        <v>3.585</v>
      </c>
      <c r="K58" s="92">
        <f>(SUM(ENA_12!G26:G37)+SUM(ENA_12!H26:H37))/12</f>
        <v>5.2665000000000006</v>
      </c>
      <c r="L58" s="101">
        <f>+O58/M58</f>
        <v>-1.6749835616438356</v>
      </c>
      <c r="M58" s="116">
        <f>-ENA_13!F39</f>
        <v>-1825000</v>
      </c>
      <c r="N58" s="116">
        <f>+M58/365</f>
        <v>-5000</v>
      </c>
      <c r="O58" s="111">
        <f>-ENA_13!I39</f>
        <v>3056845</v>
      </c>
      <c r="P58" s="112">
        <f>-ENA_13!J39</f>
        <v>0</v>
      </c>
      <c r="Q58" s="112">
        <f>-ENA_13!K39</f>
        <v>3056845</v>
      </c>
    </row>
    <row r="59" spans="1:17" x14ac:dyDescent="0.2">
      <c r="A59" s="96"/>
      <c r="B59" s="96"/>
      <c r="C59" s="97"/>
      <c r="D59" s="96"/>
      <c r="E59" s="97"/>
      <c r="F59" s="97"/>
      <c r="G59" s="97"/>
      <c r="H59" s="97"/>
      <c r="I59" s="96"/>
      <c r="J59" s="97"/>
      <c r="K59" s="97"/>
      <c r="L59" s="99">
        <f t="shared" ref="L59:Q59" si="5">+L57+L58</f>
        <v>-1.5749835616438355</v>
      </c>
      <c r="M59" s="107">
        <f t="shared" si="5"/>
        <v>0</v>
      </c>
      <c r="N59" s="107">
        <f t="shared" si="5"/>
        <v>0</v>
      </c>
      <c r="O59" s="113">
        <f t="shared" si="5"/>
        <v>0</v>
      </c>
      <c r="P59" s="113">
        <f t="shared" si="5"/>
        <v>0</v>
      </c>
      <c r="Q59" s="113">
        <f t="shared" si="5"/>
        <v>0</v>
      </c>
    </row>
    <row r="60" spans="1:17" x14ac:dyDescent="0.2">
      <c r="A60" s="96"/>
      <c r="B60" s="96"/>
      <c r="C60" s="97"/>
      <c r="D60" s="96"/>
      <c r="E60" s="97"/>
      <c r="F60" s="97"/>
      <c r="G60" s="97"/>
      <c r="H60" s="97"/>
      <c r="I60" s="96"/>
      <c r="J60" s="97"/>
      <c r="K60" s="97"/>
      <c r="L60" s="99"/>
      <c r="M60" s="115"/>
      <c r="N60" s="154"/>
      <c r="O60" s="113"/>
      <c r="P60" s="113"/>
      <c r="Q60" s="113"/>
    </row>
    <row r="61" spans="1:17" x14ac:dyDescent="0.2">
      <c r="A61" s="96"/>
      <c r="B61" s="96"/>
      <c r="C61" s="97"/>
      <c r="D61" s="96"/>
      <c r="E61" s="97"/>
      <c r="F61" s="97"/>
      <c r="G61" s="97"/>
      <c r="H61" s="97"/>
      <c r="I61" s="96"/>
      <c r="J61" s="97"/>
      <c r="K61" s="97"/>
      <c r="L61" s="99"/>
      <c r="M61" s="107"/>
      <c r="N61" s="154"/>
      <c r="O61" s="113"/>
      <c r="P61" s="113"/>
      <c r="Q61" s="113"/>
    </row>
    <row r="62" spans="1:17" ht="12" thickBot="1" x14ac:dyDescent="0.25">
      <c r="A62" s="96"/>
      <c r="B62" s="96"/>
      <c r="C62" s="96"/>
      <c r="D62" s="96"/>
      <c r="E62" s="96"/>
      <c r="F62" s="96"/>
      <c r="G62" s="96"/>
      <c r="H62" s="96"/>
      <c r="I62" s="96"/>
      <c r="J62" s="159"/>
      <c r="K62" s="97"/>
      <c r="L62" s="97"/>
      <c r="M62" s="119">
        <f>+M59+M55+M51+M47+M35</f>
        <v>0</v>
      </c>
      <c r="N62" s="119">
        <f>+N59+N55+N51+N47+N35</f>
        <v>0</v>
      </c>
      <c r="O62" s="120">
        <f>+O59+O55+O51+O47+O35</f>
        <v>0</v>
      </c>
      <c r="P62" s="120">
        <f>+P59+P55+P51+P47+P35</f>
        <v>0</v>
      </c>
      <c r="Q62" s="120">
        <f>+Q59+Q55+Q51+Q47+Q35</f>
        <v>0</v>
      </c>
    </row>
    <row r="63" spans="1:17" ht="11.1" customHeight="1" thickTop="1" x14ac:dyDescent="0.2">
      <c r="A63" s="121"/>
      <c r="B63" s="121"/>
      <c r="C63" s="122"/>
      <c r="D63" s="121"/>
      <c r="E63" s="122"/>
      <c r="F63" s="122"/>
      <c r="G63" s="122"/>
      <c r="H63" s="122"/>
      <c r="I63" s="121"/>
      <c r="J63" s="122"/>
      <c r="K63" s="122"/>
      <c r="L63" s="122"/>
      <c r="M63" s="122"/>
      <c r="N63" s="122"/>
      <c r="O63" s="122"/>
      <c r="P63" s="123"/>
      <c r="Q63" s="164" t="s">
        <v>104</v>
      </c>
    </row>
    <row r="64" spans="1:17" ht="9" customHeight="1" x14ac:dyDescent="0.2">
      <c r="A64" s="157"/>
      <c r="B64" s="157"/>
      <c r="C64" s="158"/>
      <c r="D64" s="157"/>
      <c r="E64" s="158"/>
      <c r="F64" s="158"/>
      <c r="G64" s="158"/>
      <c r="H64" s="158"/>
      <c r="I64" s="157"/>
      <c r="J64" s="158"/>
      <c r="K64" s="158"/>
      <c r="L64" s="158"/>
      <c r="M64" s="158"/>
      <c r="N64" s="158"/>
      <c r="O64" s="158"/>
      <c r="P64" s="158"/>
      <c r="Q64" s="173"/>
    </row>
    <row r="65" spans="1:18" s="160" customFormat="1" x14ac:dyDescent="0.2">
      <c r="A65" s="161" t="s">
        <v>164</v>
      </c>
      <c r="B65" s="162"/>
      <c r="C65" s="163"/>
      <c r="D65" s="162"/>
      <c r="E65" s="163"/>
      <c r="F65" s="163"/>
      <c r="G65" s="163"/>
      <c r="H65" s="163"/>
      <c r="I65" s="162"/>
      <c r="J65" s="163"/>
      <c r="K65" s="163"/>
      <c r="L65" s="163"/>
      <c r="M65" s="163"/>
      <c r="N65" s="163"/>
      <c r="O65" s="163"/>
      <c r="P65" s="168"/>
      <c r="Q65" s="163"/>
    </row>
    <row r="66" spans="1:18" x14ac:dyDescent="0.2">
      <c r="A66" s="161"/>
      <c r="B66" s="157"/>
      <c r="C66" s="158"/>
      <c r="D66" s="157"/>
      <c r="E66" s="158"/>
      <c r="F66" s="158"/>
      <c r="G66" s="158"/>
      <c r="H66" s="158"/>
      <c r="I66" s="157"/>
      <c r="J66" s="158"/>
      <c r="K66" s="158"/>
      <c r="L66" s="158"/>
      <c r="M66" s="158"/>
      <c r="N66" s="158"/>
      <c r="O66" s="158"/>
      <c r="P66" s="158"/>
      <c r="Q66" s="158"/>
    </row>
    <row r="67" spans="1:18" s="68" customFormat="1" ht="10.5" x14ac:dyDescent="0.15">
      <c r="A67" s="236" t="s">
        <v>123</v>
      </c>
      <c r="B67" s="236"/>
      <c r="C67" s="236"/>
      <c r="D67" s="236"/>
      <c r="E67" s="236"/>
      <c r="F67" s="236"/>
      <c r="G67" s="236"/>
      <c r="H67" s="236"/>
      <c r="I67" s="236"/>
      <c r="J67" s="236"/>
      <c r="K67" s="236"/>
      <c r="L67" s="236"/>
      <c r="M67" s="236"/>
      <c r="N67" s="236"/>
      <c r="O67" s="236"/>
      <c r="P67" s="236"/>
      <c r="Q67" s="236"/>
    </row>
    <row r="68" spans="1:18" s="68" customFormat="1" ht="10.5" x14ac:dyDescent="0.15">
      <c r="A68" s="236" t="s">
        <v>2</v>
      </c>
      <c r="B68" s="236"/>
      <c r="C68" s="236"/>
      <c r="D68" s="236"/>
      <c r="E68" s="236"/>
      <c r="F68" s="236"/>
      <c r="G68" s="236"/>
      <c r="H68" s="236"/>
      <c r="I68" s="236"/>
      <c r="J68" s="236"/>
      <c r="K68" s="236"/>
      <c r="L68" s="236"/>
      <c r="M68" s="236"/>
      <c r="N68" s="236"/>
      <c r="O68" s="236"/>
      <c r="P68" s="236"/>
      <c r="Q68" s="236"/>
    </row>
    <row r="69" spans="1:18" x14ac:dyDescent="0.2">
      <c r="B69" s="124"/>
      <c r="N69" s="176"/>
    </row>
    <row r="70" spans="1:18" s="76" customFormat="1" ht="10.5" x14ac:dyDescent="0.15">
      <c r="A70" s="71" t="s">
        <v>3</v>
      </c>
      <c r="B70" s="72" t="s">
        <v>4</v>
      </c>
      <c r="C70" s="72" t="s">
        <v>5</v>
      </c>
      <c r="D70" s="72" t="s">
        <v>5</v>
      </c>
      <c r="E70" s="72" t="s">
        <v>5</v>
      </c>
      <c r="F70" s="72" t="s">
        <v>6</v>
      </c>
      <c r="G70" s="72" t="s">
        <v>7</v>
      </c>
      <c r="H70" s="72" t="s">
        <v>8</v>
      </c>
      <c r="I70" s="72" t="s">
        <v>114</v>
      </c>
      <c r="J70" s="72" t="s">
        <v>5</v>
      </c>
      <c r="K70" s="72" t="s">
        <v>9</v>
      </c>
      <c r="L70" s="72" t="s">
        <v>10</v>
      </c>
      <c r="M70" s="72" t="s">
        <v>5</v>
      </c>
      <c r="N70" s="78" t="s">
        <v>21</v>
      </c>
      <c r="O70" s="73"/>
      <c r="P70" s="74"/>
      <c r="Q70" s="75"/>
    </row>
    <row r="71" spans="1:18" s="76" customFormat="1" ht="10.5" x14ac:dyDescent="0.15">
      <c r="A71" s="77" t="s">
        <v>12</v>
      </c>
      <c r="B71" s="78" t="s">
        <v>13</v>
      </c>
      <c r="C71" s="78" t="s">
        <v>13</v>
      </c>
      <c r="D71" s="78" t="s">
        <v>14</v>
      </c>
      <c r="E71" s="78" t="s">
        <v>15</v>
      </c>
      <c r="F71" s="78"/>
      <c r="G71" s="78" t="s">
        <v>16</v>
      </c>
      <c r="H71" s="78" t="s">
        <v>17</v>
      </c>
      <c r="I71" s="78" t="s">
        <v>56</v>
      </c>
      <c r="J71" s="78" t="s">
        <v>18</v>
      </c>
      <c r="K71" s="78" t="s">
        <v>19</v>
      </c>
      <c r="L71" s="78"/>
      <c r="M71" s="78" t="s">
        <v>20</v>
      </c>
      <c r="N71" s="78"/>
      <c r="O71" s="79" t="s">
        <v>94</v>
      </c>
      <c r="P71" s="80"/>
      <c r="Q71" s="81"/>
    </row>
    <row r="72" spans="1:18" s="76" customFormat="1" ht="10.5" x14ac:dyDescent="0.15">
      <c r="A72" s="77"/>
      <c r="B72" s="78"/>
      <c r="C72" s="78"/>
      <c r="D72" s="78"/>
      <c r="E72" s="78"/>
      <c r="F72" s="78"/>
      <c r="G72" s="78" t="s">
        <v>23</v>
      </c>
      <c r="H72" s="78"/>
      <c r="I72" s="78"/>
      <c r="J72" s="78"/>
      <c r="K72" s="78" t="s">
        <v>24</v>
      </c>
      <c r="L72" s="78"/>
      <c r="M72" s="78" t="s">
        <v>43</v>
      </c>
      <c r="N72" s="78"/>
      <c r="O72" s="83" t="s">
        <v>26</v>
      </c>
      <c r="P72" s="83" t="s">
        <v>54</v>
      </c>
      <c r="Q72" s="84" t="s">
        <v>162</v>
      </c>
    </row>
    <row r="73" spans="1:18" s="76" customFormat="1" ht="10.5" x14ac:dyDescent="0.15">
      <c r="A73" s="77"/>
      <c r="B73" s="78"/>
      <c r="C73" s="78"/>
      <c r="D73" s="78"/>
      <c r="E73" s="78"/>
      <c r="F73" s="78"/>
      <c r="G73" s="78"/>
      <c r="H73" s="78"/>
      <c r="I73" s="78"/>
      <c r="J73" s="78"/>
      <c r="K73" s="78" t="s">
        <v>29</v>
      </c>
      <c r="L73" s="78"/>
      <c r="M73" s="78" t="s">
        <v>44</v>
      </c>
      <c r="N73" s="125"/>
      <c r="O73" s="139" t="s">
        <v>108</v>
      </c>
      <c r="P73" s="139" t="s">
        <v>108</v>
      </c>
      <c r="Q73" s="140" t="s">
        <v>108</v>
      </c>
    </row>
    <row r="74" spans="1:18" s="142" customFormat="1" ht="22.5" hidden="1" x14ac:dyDescent="0.2">
      <c r="A74" s="143">
        <v>6</v>
      </c>
      <c r="B74" s="143" t="s">
        <v>40</v>
      </c>
      <c r="C74" s="143" t="s">
        <v>41</v>
      </c>
      <c r="D74" s="143">
        <v>25834</v>
      </c>
      <c r="E74" s="143" t="s">
        <v>34</v>
      </c>
      <c r="F74" s="143" t="s">
        <v>45</v>
      </c>
      <c r="G74" s="144" t="s">
        <v>42</v>
      </c>
      <c r="H74" s="144" t="s">
        <v>86</v>
      </c>
      <c r="I74" s="141"/>
      <c r="J74" s="145" t="s">
        <v>93</v>
      </c>
      <c r="K74" s="141"/>
      <c r="L74" s="141"/>
      <c r="M74" s="146">
        <f>-Elpaso_6!F15</f>
        <v>15000000</v>
      </c>
      <c r="N74" s="147"/>
      <c r="O74" s="148">
        <f>-Elpaso_6!I15</f>
        <v>-12115000.000000006</v>
      </c>
      <c r="P74" s="149"/>
      <c r="Q74" s="150">
        <f>+O74</f>
        <v>-12115000.000000006</v>
      </c>
      <c r="R74" s="141"/>
    </row>
    <row r="75" spans="1:18" s="142" customFormat="1" ht="22.5" x14ac:dyDescent="0.2">
      <c r="A75" s="143">
        <v>6</v>
      </c>
      <c r="B75" s="143" t="s">
        <v>40</v>
      </c>
      <c r="C75" s="143" t="s">
        <v>96</v>
      </c>
      <c r="D75" s="143"/>
      <c r="E75" s="96" t="s">
        <v>102</v>
      </c>
      <c r="F75" s="143" t="s">
        <v>45</v>
      </c>
      <c r="G75" s="144" t="s">
        <v>42</v>
      </c>
      <c r="H75" s="144" t="s">
        <v>107</v>
      </c>
      <c r="I75" s="141"/>
      <c r="J75" s="151">
        <v>3.3</v>
      </c>
      <c r="K75" s="152">
        <f>SUM(Elpaso_6!G9:G13)+SUM(Elpaso_6!H9:H13)/5</f>
        <v>4.1082000000000001</v>
      </c>
      <c r="L75" s="152">
        <f>+J75-K75</f>
        <v>-0.80820000000000025</v>
      </c>
      <c r="M75" s="146">
        <v>15000000</v>
      </c>
      <c r="N75" s="146">
        <f>+M75/153</f>
        <v>98039.215686274503</v>
      </c>
      <c r="O75" s="148">
        <f>-Elpaso_6!I15</f>
        <v>-12115000.000000006</v>
      </c>
      <c r="P75" s="149"/>
      <c r="Q75" s="150">
        <f>+O75</f>
        <v>-12115000.000000006</v>
      </c>
      <c r="R75" s="165"/>
    </row>
    <row r="76" spans="1:18" s="142" customFormat="1" ht="22.5" x14ac:dyDescent="0.2">
      <c r="A76" s="143">
        <v>6</v>
      </c>
      <c r="B76" s="143" t="s">
        <v>40</v>
      </c>
      <c r="C76" s="143" t="s">
        <v>41</v>
      </c>
      <c r="D76" s="143"/>
      <c r="E76" s="96" t="s">
        <v>102</v>
      </c>
      <c r="F76" s="143" t="s">
        <v>45</v>
      </c>
      <c r="G76" s="144" t="s">
        <v>42</v>
      </c>
      <c r="H76" s="144" t="s">
        <v>107</v>
      </c>
      <c r="I76" s="141"/>
      <c r="J76" s="151">
        <v>2.3199999999999998</v>
      </c>
      <c r="K76" s="152">
        <f>SUM(Elpaso_6!G17:G21)+SUM(Elpaso_6!H17:H21)/5</f>
        <v>4.1082000000000001</v>
      </c>
      <c r="L76" s="152">
        <f>+J76-K76</f>
        <v>-1.7882000000000002</v>
      </c>
      <c r="M76" s="156">
        <v>-15000000</v>
      </c>
      <c r="N76" s="156">
        <f>+M76/153</f>
        <v>-98039.215686274503</v>
      </c>
      <c r="O76" s="155">
        <f>-Elpaso_6!I23</f>
        <v>26815000.000000007</v>
      </c>
      <c r="P76" s="149"/>
      <c r="Q76" s="155">
        <f>+O76</f>
        <v>26815000.000000007</v>
      </c>
      <c r="R76" s="141"/>
    </row>
    <row r="77" spans="1:18" s="142" customFormat="1" x14ac:dyDescent="0.2">
      <c r="A77" s="143"/>
      <c r="B77" s="143"/>
      <c r="C77" s="143"/>
      <c r="D77" s="143"/>
      <c r="E77" s="143"/>
      <c r="F77" s="143"/>
      <c r="G77" s="144"/>
      <c r="H77" s="144"/>
      <c r="I77" s="141"/>
      <c r="J77" s="151"/>
      <c r="K77" s="152"/>
      <c r="L77" s="152"/>
      <c r="M77" s="146">
        <f>+M75+M76</f>
        <v>0</v>
      </c>
      <c r="N77" s="146">
        <f>+M77/153</f>
        <v>0</v>
      </c>
      <c r="O77" s="148">
        <f>+O76+O75</f>
        <v>14700000.000000002</v>
      </c>
      <c r="P77" s="149"/>
      <c r="Q77" s="150">
        <f>+Q76+Q75</f>
        <v>14700000.000000002</v>
      </c>
      <c r="R77" s="141"/>
    </row>
    <row r="78" spans="1:18" s="142" customFormat="1" x14ac:dyDescent="0.2">
      <c r="A78" s="143"/>
      <c r="B78" s="143"/>
      <c r="C78" s="143"/>
      <c r="D78" s="143"/>
      <c r="E78" s="143"/>
      <c r="F78" s="143"/>
      <c r="G78" s="144"/>
      <c r="H78" s="144"/>
      <c r="I78" s="141"/>
      <c r="J78" s="151"/>
      <c r="K78" s="152"/>
      <c r="L78" s="152"/>
      <c r="M78" s="146"/>
      <c r="N78" s="146"/>
      <c r="O78" s="148"/>
      <c r="P78" s="149"/>
      <c r="Q78" s="153"/>
      <c r="R78" s="141"/>
    </row>
    <row r="79" spans="1:18" s="142" customFormat="1" ht="22.5" x14ac:dyDescent="0.2">
      <c r="A79" s="141"/>
      <c r="B79" s="143" t="s">
        <v>40</v>
      </c>
      <c r="C79" s="205" t="s">
        <v>112</v>
      </c>
      <c r="D79" s="141"/>
      <c r="E79" s="96" t="s">
        <v>102</v>
      </c>
      <c r="F79" s="143"/>
      <c r="G79" s="204" t="s">
        <v>152</v>
      </c>
      <c r="H79" s="205" t="s">
        <v>153</v>
      </c>
      <c r="I79" s="141"/>
      <c r="J79" s="151">
        <v>0.94</v>
      </c>
      <c r="K79" s="151">
        <v>0.9</v>
      </c>
      <c r="L79" s="151">
        <v>0.04</v>
      </c>
      <c r="M79" s="146">
        <f>+[4]Summary!$F$36</f>
        <v>62401635.288479991</v>
      </c>
      <c r="N79" s="146">
        <f>+M79/730</f>
        <v>85481.692175999982</v>
      </c>
      <c r="O79" s="148">
        <f>-[4]Summary!$I$36</f>
        <v>1530952.7160402252</v>
      </c>
      <c r="P79" s="148">
        <f>-[4]Summary!$J$36</f>
        <v>64767.093616499209</v>
      </c>
      <c r="Q79" s="150">
        <f>-[4]Summary!$K$36</f>
        <v>1466185.6224237259</v>
      </c>
      <c r="R79" s="206"/>
    </row>
    <row r="80" spans="1:18" x14ac:dyDescent="0.2">
      <c r="A80" s="96"/>
      <c r="B80" s="96"/>
      <c r="C80" s="96"/>
      <c r="D80" s="96"/>
      <c r="E80" s="96"/>
      <c r="F80" s="96"/>
      <c r="G80" s="97"/>
      <c r="H80" s="97"/>
      <c r="I80" s="96"/>
      <c r="J80" s="97"/>
      <c r="K80" s="97"/>
      <c r="L80" s="97"/>
      <c r="M80" s="103"/>
      <c r="N80" s="103"/>
      <c r="O80" s="118"/>
      <c r="P80" s="170"/>
      <c r="Q80" s="170"/>
    </row>
    <row r="81" spans="1:17" x14ac:dyDescent="0.2">
      <c r="A81" s="96">
        <v>10</v>
      </c>
      <c r="B81" s="96" t="s">
        <v>32</v>
      </c>
      <c r="C81" s="96" t="s">
        <v>99</v>
      </c>
      <c r="D81" s="96"/>
      <c r="E81" s="96" t="s">
        <v>102</v>
      </c>
      <c r="F81" s="97"/>
      <c r="G81" s="96" t="s">
        <v>87</v>
      </c>
      <c r="H81" s="90" t="s">
        <v>85</v>
      </c>
      <c r="I81" s="96"/>
      <c r="J81" s="92">
        <v>3</v>
      </c>
      <c r="K81" s="92"/>
      <c r="L81" s="99">
        <v>0.1</v>
      </c>
      <c r="M81" s="115"/>
      <c r="N81" s="115"/>
      <c r="O81" s="104">
        <f>-'ENA_10-Expired'!I22</f>
        <v>-182500</v>
      </c>
      <c r="P81" s="104">
        <f>+O81</f>
        <v>-182500</v>
      </c>
      <c r="Q81" s="104">
        <v>0</v>
      </c>
    </row>
    <row r="82" spans="1:17" x14ac:dyDescent="0.2">
      <c r="A82" s="96"/>
      <c r="B82" s="175"/>
      <c r="C82" s="175"/>
      <c r="D82" s="96"/>
      <c r="E82" s="175"/>
      <c r="F82" s="98"/>
      <c r="G82" s="175"/>
      <c r="H82" s="98"/>
      <c r="I82" s="158"/>
      <c r="J82" s="97"/>
      <c r="K82" s="98"/>
      <c r="L82" s="98"/>
      <c r="M82" s="174"/>
      <c r="N82" s="174"/>
      <c r="O82" s="95"/>
      <c r="P82" s="114"/>
      <c r="Q82" s="95"/>
    </row>
    <row r="83" spans="1:17" x14ac:dyDescent="0.2">
      <c r="A83" s="96">
        <v>18</v>
      </c>
      <c r="B83" s="96" t="s">
        <v>40</v>
      </c>
      <c r="C83" s="96" t="s">
        <v>121</v>
      </c>
      <c r="D83" s="96">
        <v>1009351</v>
      </c>
      <c r="E83" s="96" t="s">
        <v>102</v>
      </c>
      <c r="F83" s="97"/>
      <c r="G83" s="97"/>
      <c r="H83" s="178">
        <v>36857</v>
      </c>
      <c r="I83" s="178">
        <v>36797</v>
      </c>
      <c r="J83" s="118">
        <v>7.0000000000000007E-2</v>
      </c>
      <c r="K83" s="97"/>
      <c r="L83" s="99"/>
      <c r="M83" s="115">
        <v>155000</v>
      </c>
      <c r="N83" s="154"/>
      <c r="O83" s="104">
        <f>+M83*J83</f>
        <v>10850.000000000002</v>
      </c>
      <c r="P83" s="104">
        <f>+O83</f>
        <v>10850.000000000002</v>
      </c>
      <c r="Q83" s="104">
        <v>0</v>
      </c>
    </row>
    <row r="84" spans="1:17" x14ac:dyDescent="0.2">
      <c r="A84" s="96"/>
      <c r="B84" s="96"/>
      <c r="C84" s="97"/>
      <c r="D84" s="96"/>
      <c r="E84" s="97"/>
      <c r="F84" s="97"/>
      <c r="G84" s="97"/>
      <c r="H84" s="96"/>
      <c r="I84" s="96"/>
      <c r="J84" s="97"/>
      <c r="K84" s="97"/>
      <c r="L84" s="99"/>
      <c r="M84" s="107"/>
      <c r="N84" s="154"/>
      <c r="O84" s="113"/>
      <c r="P84" s="113"/>
      <c r="Q84" s="113"/>
    </row>
    <row r="85" spans="1:17" x14ac:dyDescent="0.2">
      <c r="A85" s="96">
        <v>19</v>
      </c>
      <c r="B85" s="96" t="s">
        <v>40</v>
      </c>
      <c r="C85" s="96" t="s">
        <v>96</v>
      </c>
      <c r="D85" s="96" t="s">
        <v>122</v>
      </c>
      <c r="E85" s="96" t="s">
        <v>102</v>
      </c>
      <c r="F85" s="97"/>
      <c r="G85" s="97"/>
      <c r="H85" s="178">
        <v>36857</v>
      </c>
      <c r="I85" s="178">
        <v>36790</v>
      </c>
      <c r="J85" s="118">
        <v>0.05</v>
      </c>
      <c r="K85" s="97"/>
      <c r="L85" s="99"/>
      <c r="M85" s="115">
        <v>-155000</v>
      </c>
      <c r="N85" s="154"/>
      <c r="O85" s="104">
        <f>+M85*J85</f>
        <v>-7750</v>
      </c>
      <c r="P85" s="104">
        <f>+O85</f>
        <v>-7750</v>
      </c>
      <c r="Q85" s="104">
        <v>0</v>
      </c>
    </row>
    <row r="86" spans="1:17" x14ac:dyDescent="0.2">
      <c r="A86" s="96"/>
      <c r="B86" s="96"/>
      <c r="C86" s="96"/>
      <c r="D86" s="96"/>
      <c r="E86" s="96"/>
      <c r="F86" s="97"/>
      <c r="G86" s="97"/>
      <c r="H86" s="178"/>
      <c r="I86" s="178"/>
      <c r="J86" s="118"/>
      <c r="K86" s="97"/>
      <c r="L86" s="99"/>
      <c r="M86" s="115"/>
      <c r="N86" s="154"/>
      <c r="O86" s="104"/>
      <c r="P86" s="114"/>
      <c r="Q86" s="95"/>
    </row>
    <row r="87" spans="1:17" x14ac:dyDescent="0.2">
      <c r="A87" s="96">
        <v>20</v>
      </c>
      <c r="B87" s="96" t="s">
        <v>40</v>
      </c>
      <c r="C87" s="96" t="s">
        <v>96</v>
      </c>
      <c r="D87" s="96" t="s">
        <v>127</v>
      </c>
      <c r="E87" s="96" t="s">
        <v>102</v>
      </c>
      <c r="F87" s="97"/>
      <c r="G87" s="97"/>
      <c r="H87" s="178">
        <v>36857</v>
      </c>
      <c r="I87" s="178">
        <v>36815</v>
      </c>
      <c r="J87" s="180">
        <v>0.77500000000000002</v>
      </c>
      <c r="K87" s="97"/>
      <c r="L87" s="99"/>
      <c r="M87" s="115">
        <v>-500000</v>
      </c>
      <c r="N87" s="154"/>
      <c r="O87" s="104">
        <v>-17500</v>
      </c>
      <c r="P87" s="95">
        <v>-17500</v>
      </c>
      <c r="Q87" s="95">
        <v>0</v>
      </c>
    </row>
    <row r="88" spans="1:17" x14ac:dyDescent="0.2">
      <c r="A88" s="96"/>
      <c r="B88" s="175"/>
      <c r="C88" s="175"/>
      <c r="D88" s="96"/>
      <c r="E88" s="175"/>
      <c r="F88" s="175"/>
      <c r="G88" s="98"/>
      <c r="I88" s="97"/>
      <c r="J88" s="96"/>
      <c r="K88" s="98"/>
      <c r="L88" s="98"/>
      <c r="M88" s="103"/>
      <c r="N88" s="102"/>
      <c r="O88" s="118"/>
      <c r="P88" s="170"/>
      <c r="Q88" s="170"/>
    </row>
    <row r="89" spans="1:17" x14ac:dyDescent="0.2">
      <c r="A89" s="96"/>
      <c r="B89" s="96" t="s">
        <v>40</v>
      </c>
      <c r="C89" s="96" t="s">
        <v>96</v>
      </c>
      <c r="D89" s="96" t="s">
        <v>137</v>
      </c>
      <c r="E89" s="96" t="s">
        <v>102</v>
      </c>
      <c r="F89" s="97"/>
      <c r="G89" s="96" t="s">
        <v>96</v>
      </c>
      <c r="H89" s="96" t="s">
        <v>138</v>
      </c>
      <c r="I89" s="178">
        <v>36846</v>
      </c>
      <c r="J89" s="180">
        <v>5.8849999999999998</v>
      </c>
      <c r="K89" s="97"/>
      <c r="L89" s="99"/>
      <c r="M89" s="115">
        <f>-'ENA #QA4309.1-Expired'!F24</f>
        <v>124995</v>
      </c>
      <c r="N89" s="199">
        <f>+M89/13</f>
        <v>9615</v>
      </c>
      <c r="O89" s="104">
        <f>-'ENA #QA4309.1-Expired'!I24</f>
        <v>679011.30000000016</v>
      </c>
      <c r="P89" s="104">
        <f>-'ENA #QA4309.1-Expired'!J24</f>
        <v>679011.30000000016</v>
      </c>
      <c r="Q89" s="104">
        <f>-'ENA #QA4309.1-Expired'!K24</f>
        <v>0</v>
      </c>
    </row>
    <row r="90" spans="1:17" x14ac:dyDescent="0.2">
      <c r="A90" s="96"/>
      <c r="B90" s="96" t="s">
        <v>96</v>
      </c>
      <c r="C90" s="96" t="s">
        <v>40</v>
      </c>
      <c r="D90" s="96" t="s">
        <v>137</v>
      </c>
      <c r="E90" s="96" t="s">
        <v>102</v>
      </c>
      <c r="F90" s="97"/>
      <c r="G90" s="96" t="s">
        <v>40</v>
      </c>
      <c r="H90" s="96" t="s">
        <v>138</v>
      </c>
      <c r="I90" s="178">
        <v>36846</v>
      </c>
      <c r="J90" s="97"/>
      <c r="K90" s="92">
        <f>SUM('ENA #QA4309.1-Expired'!G27:G39)/13</f>
        <v>6.081153846153847</v>
      </c>
      <c r="L90" s="99"/>
      <c r="M90" s="116">
        <f>-'ENA #QA4309.1-Expired'!F40</f>
        <v>-124995</v>
      </c>
      <c r="N90" s="200">
        <f>+M90/13</f>
        <v>-9615</v>
      </c>
      <c r="O90" s="111">
        <f>-'ENA #QA4309.1-Expired'!I40</f>
        <v>-702856.5</v>
      </c>
      <c r="P90" s="111">
        <f>-'ENA #QA4309.1-Expired'!J40</f>
        <v>-702856.5</v>
      </c>
      <c r="Q90" s="111">
        <f>-'ENA #QA4309.1-Expired'!K40</f>
        <v>0</v>
      </c>
    </row>
    <row r="91" spans="1:17" x14ac:dyDescent="0.2">
      <c r="A91" s="96"/>
      <c r="B91" s="96"/>
      <c r="C91" s="97"/>
      <c r="D91" s="96"/>
      <c r="E91" s="97"/>
      <c r="F91" s="97"/>
      <c r="G91" s="97"/>
      <c r="H91" s="96"/>
      <c r="I91" s="96"/>
      <c r="J91" s="97"/>
      <c r="K91" s="97"/>
      <c r="L91" s="99"/>
      <c r="M91" s="115">
        <f>+M89+M90</f>
        <v>0</v>
      </c>
      <c r="N91" s="154">
        <f>+N89+N90</f>
        <v>0</v>
      </c>
      <c r="O91" s="104">
        <f>+O89+O90</f>
        <v>-23845.199999999837</v>
      </c>
      <c r="P91" s="104">
        <f>+P89+P90</f>
        <v>-23845.199999999837</v>
      </c>
      <c r="Q91" s="113">
        <f>+Q89+Q90</f>
        <v>0</v>
      </c>
    </row>
    <row r="92" spans="1:17" x14ac:dyDescent="0.2">
      <c r="A92" s="96"/>
      <c r="B92" s="96"/>
      <c r="C92" s="97"/>
      <c r="D92" s="96"/>
      <c r="E92" s="97"/>
      <c r="F92" s="97"/>
      <c r="G92" s="97"/>
      <c r="H92" s="96"/>
      <c r="I92" s="96"/>
      <c r="J92" s="97"/>
      <c r="K92" s="97"/>
      <c r="L92" s="99"/>
      <c r="M92" s="115"/>
      <c r="N92" s="154"/>
      <c r="O92" s="113"/>
      <c r="P92" s="113"/>
      <c r="Q92" s="113"/>
    </row>
    <row r="93" spans="1:17" x14ac:dyDescent="0.2">
      <c r="A93" s="96"/>
      <c r="B93" s="96" t="s">
        <v>96</v>
      </c>
      <c r="C93" s="96" t="s">
        <v>40</v>
      </c>
      <c r="D93" s="96" t="s">
        <v>139</v>
      </c>
      <c r="E93" s="96" t="s">
        <v>102</v>
      </c>
      <c r="F93" s="97"/>
      <c r="G93" s="96" t="s">
        <v>40</v>
      </c>
      <c r="H93" s="96" t="s">
        <v>138</v>
      </c>
      <c r="I93" s="178">
        <v>36846</v>
      </c>
      <c r="J93" s="180">
        <v>5.8550000000000004</v>
      </c>
      <c r="K93" s="97"/>
      <c r="L93" s="99"/>
      <c r="M93" s="115">
        <f>-'ENA #QA5217.1-Expired'!F24</f>
        <v>-124995</v>
      </c>
      <c r="N93" s="199">
        <f>+M93/13</f>
        <v>-9615</v>
      </c>
      <c r="O93" s="104">
        <f>-'ENA #QA5217.1-Expired'!I24</f>
        <v>-731845.72499999986</v>
      </c>
      <c r="P93" s="104">
        <f>-'ENA #QA5217.1-Expired'!J24</f>
        <v>-731845.72499999986</v>
      </c>
      <c r="Q93" s="104">
        <f>-'ENA #QA5217.1-Expired'!K24</f>
        <v>0</v>
      </c>
    </row>
    <row r="94" spans="1:17" x14ac:dyDescent="0.2">
      <c r="A94" s="96"/>
      <c r="B94" s="96" t="s">
        <v>40</v>
      </c>
      <c r="C94" s="96" t="s">
        <v>96</v>
      </c>
      <c r="D94" s="96" t="s">
        <v>139</v>
      </c>
      <c r="E94" s="96" t="s">
        <v>102</v>
      </c>
      <c r="F94" s="97"/>
      <c r="G94" s="96" t="s">
        <v>96</v>
      </c>
      <c r="H94" s="96" t="s">
        <v>138</v>
      </c>
      <c r="I94" s="178">
        <v>36846</v>
      </c>
      <c r="J94" s="97"/>
      <c r="K94" s="92">
        <f>SUM('ENA #QA5217.1-Expired'!G27:G39)/13</f>
        <v>6.0903846153846155</v>
      </c>
      <c r="L94" s="99"/>
      <c r="M94" s="116">
        <f>-'ENA #QA5217.1-Expired'!F40</f>
        <v>124995</v>
      </c>
      <c r="N94" s="200">
        <f>+M94/13</f>
        <v>9615</v>
      </c>
      <c r="O94" s="111">
        <f>-'ENA #QA5217.1-Expired'!I40</f>
        <v>761267.625</v>
      </c>
      <c r="P94" s="111">
        <f>-'ENA #QA5217.1-Expired'!J40</f>
        <v>761267.625</v>
      </c>
      <c r="Q94" s="111">
        <f>-'ENA #QA5217.1-Expired'!K40</f>
        <v>0</v>
      </c>
    </row>
    <row r="95" spans="1:17" x14ac:dyDescent="0.2">
      <c r="A95" s="96"/>
      <c r="B95" s="96"/>
      <c r="C95" s="97"/>
      <c r="D95" s="96"/>
      <c r="E95" s="97"/>
      <c r="F95" s="97"/>
      <c r="G95" s="97"/>
      <c r="H95" s="96"/>
      <c r="I95" s="96"/>
      <c r="J95" s="97"/>
      <c r="K95" s="97"/>
      <c r="L95" s="99"/>
      <c r="M95" s="115">
        <f>+M93+M94</f>
        <v>0</v>
      </c>
      <c r="N95" s="154">
        <f>+N93+N94</f>
        <v>0</v>
      </c>
      <c r="O95" s="104">
        <f>+O93+O94</f>
        <v>29421.90000000014</v>
      </c>
      <c r="P95" s="104">
        <f>+P93+P94</f>
        <v>29421.90000000014</v>
      </c>
      <c r="Q95" s="113">
        <f>+Q93+Q94</f>
        <v>0</v>
      </c>
    </row>
    <row r="96" spans="1:17" x14ac:dyDescent="0.2">
      <c r="A96" s="96"/>
      <c r="B96" s="175"/>
      <c r="C96" s="175"/>
      <c r="D96" s="96"/>
      <c r="E96" s="98"/>
      <c r="F96" s="98"/>
      <c r="G96" s="98"/>
      <c r="H96" s="98"/>
      <c r="I96" s="157"/>
      <c r="J96" s="97"/>
      <c r="K96" s="98"/>
      <c r="L96" s="198"/>
      <c r="M96" s="181"/>
      <c r="N96" s="154"/>
      <c r="O96" s="113"/>
      <c r="P96" s="113"/>
      <c r="Q96" s="232"/>
    </row>
    <row r="97" spans="1:17" ht="12" thickBot="1" x14ac:dyDescent="0.25">
      <c r="A97" s="96"/>
      <c r="B97" s="175"/>
      <c r="C97" s="175"/>
      <c r="D97" s="96"/>
      <c r="E97" s="175"/>
      <c r="F97" s="98"/>
      <c r="G97" s="175"/>
      <c r="H97" s="98"/>
      <c r="I97" s="158"/>
      <c r="J97" s="97"/>
      <c r="K97" s="98"/>
      <c r="L97" s="98"/>
      <c r="M97" s="119">
        <f>+M95+M91+M87+M85+M83+M79+M77</f>
        <v>61901635.288479991</v>
      </c>
      <c r="N97" s="174"/>
      <c r="O97" s="179">
        <f>+O95+O91+O87+O85+O83+O81+O79+O77</f>
        <v>16039629.416040227</v>
      </c>
      <c r="P97" s="179">
        <f>+P95+P91+P87+P85+P83+P81+P79+P77</f>
        <v>-126556.20638350048</v>
      </c>
      <c r="Q97" s="179">
        <f>+Q95+Q91+Q87+Q85+Q83+Q81+Q79+Q77</f>
        <v>16166185.622423727</v>
      </c>
    </row>
    <row r="98" spans="1:17" ht="12" thickTop="1" x14ac:dyDescent="0.2">
      <c r="A98" s="121"/>
      <c r="B98" s="233"/>
      <c r="C98" s="233"/>
      <c r="D98" s="121"/>
      <c r="E98" s="233"/>
      <c r="F98" s="123"/>
      <c r="G98" s="233"/>
      <c r="H98" s="123"/>
      <c r="I98" s="176"/>
      <c r="J98" s="122"/>
      <c r="K98" s="123"/>
      <c r="L98" s="123"/>
      <c r="M98" s="177"/>
      <c r="N98" s="177"/>
      <c r="O98" s="234"/>
      <c r="P98" s="234"/>
      <c r="Q98" s="234"/>
    </row>
    <row r="99" spans="1:17" x14ac:dyDescent="0.2">
      <c r="A99" s="158"/>
      <c r="B99" s="158"/>
      <c r="C99" s="158"/>
      <c r="D99" s="157"/>
      <c r="E99" s="158"/>
      <c r="F99" s="158"/>
      <c r="G99" s="158"/>
      <c r="H99" s="158"/>
      <c r="I99" s="158"/>
      <c r="J99" s="158"/>
      <c r="K99" s="158"/>
      <c r="L99" s="158"/>
      <c r="M99" s="171"/>
      <c r="N99" s="171"/>
      <c r="O99" s="172"/>
      <c r="P99" s="172"/>
      <c r="Q99" s="172"/>
    </row>
    <row r="100" spans="1:17" ht="12" customHeight="1" x14ac:dyDescent="0.2">
      <c r="M100" s="136"/>
    </row>
    <row r="101" spans="1:17" x14ac:dyDescent="0.2">
      <c r="A101" s="29" t="s">
        <v>105</v>
      </c>
      <c r="Q101" s="235"/>
    </row>
    <row r="102" spans="1:17" x14ac:dyDescent="0.2">
      <c r="A102" s="29" t="s">
        <v>106</v>
      </c>
      <c r="B102" s="29"/>
      <c r="C102" s="29"/>
    </row>
    <row r="103" spans="1:17" x14ac:dyDescent="0.2">
      <c r="A103" s="29" t="s">
        <v>48</v>
      </c>
      <c r="B103" s="29"/>
      <c r="C103" s="29"/>
    </row>
  </sheetData>
  <mergeCells count="7">
    <mergeCell ref="A67:Q67"/>
    <mergeCell ref="A68:Q68"/>
    <mergeCell ref="A1:Q1"/>
    <mergeCell ref="A2:Q2"/>
    <mergeCell ref="A3:Q3"/>
    <mergeCell ref="A5:Q5"/>
    <mergeCell ref="A7:Q7"/>
  </mergeCells>
  <printOptions horizontalCentered="1" verticalCentered="1"/>
  <pageMargins left="0.25" right="0.25" top="0.18" bottom="0.35" header="0.5" footer="0.22"/>
  <pageSetup scale="66" orientation="landscape" horizontalDpi="300" verticalDpi="300" r:id="rId1"/>
  <headerFooter alignWithMargins="0">
    <oddFooter xml:space="preserve">&amp;L&amp;"Arial,Italic"&amp;8&amp;D&amp;T&amp;R&amp;"Arial,Italic"&amp;8G:/Common/TW Fuel Hedge/Fixed2_Summary
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workbookViewId="0">
      <selection sqref="A1:IV65536"/>
    </sheetView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0.7109375" customWidth="1"/>
    <col min="9" max="9" width="15" customWidth="1"/>
    <col min="10" max="10" width="13.42578125" customWidth="1"/>
    <col min="11" max="11" width="15" customWidth="1"/>
  </cols>
  <sheetData>
    <row r="1" spans="1:11" s="2" customFormat="1" ht="15" x14ac:dyDescent="0.2">
      <c r="A1" s="1" t="s">
        <v>78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129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237" t="s">
        <v>134</v>
      </c>
      <c r="B4" s="237"/>
      <c r="C4" s="237"/>
      <c r="D4" s="237"/>
      <c r="E4" s="237"/>
      <c r="F4" s="237"/>
      <c r="G4" s="237"/>
      <c r="H4" s="237"/>
      <c r="I4" s="237"/>
      <c r="J4" s="237"/>
      <c r="K4" s="237"/>
    </row>
    <row r="5" spans="1:11" x14ac:dyDescent="0.2">
      <c r="A5" s="197"/>
      <c r="B5" s="197"/>
      <c r="C5" s="197"/>
    </row>
    <row r="6" spans="1:11" s="7" customFormat="1" x14ac:dyDescent="0.2">
      <c r="A6" s="8" t="s">
        <v>52</v>
      </c>
      <c r="B6" s="9" t="s">
        <v>5</v>
      </c>
      <c r="C6" s="9" t="s">
        <v>5</v>
      </c>
      <c r="D6" s="6" t="s">
        <v>40</v>
      </c>
      <c r="E6" s="6"/>
      <c r="F6" s="6" t="s">
        <v>132</v>
      </c>
      <c r="G6" s="6" t="s">
        <v>96</v>
      </c>
      <c r="H6" s="6"/>
      <c r="I6" s="189" t="s">
        <v>55</v>
      </c>
      <c r="J6" s="190"/>
      <c r="K6" s="191"/>
    </row>
    <row r="7" spans="1:11" s="7" customFormat="1" x14ac:dyDescent="0.2">
      <c r="A7" s="8" t="s">
        <v>56</v>
      </c>
      <c r="B7" s="9" t="s">
        <v>14</v>
      </c>
      <c r="C7" s="9" t="s">
        <v>13</v>
      </c>
      <c r="D7" s="9" t="s">
        <v>53</v>
      </c>
      <c r="E7" s="9"/>
      <c r="F7" s="9" t="s">
        <v>133</v>
      </c>
      <c r="G7" s="9" t="s">
        <v>126</v>
      </c>
      <c r="H7" s="9"/>
      <c r="I7" s="186" t="s">
        <v>55</v>
      </c>
      <c r="J7" s="187"/>
      <c r="K7" s="188"/>
    </row>
    <row r="8" spans="1:11" s="7" customFormat="1" x14ac:dyDescent="0.2">
      <c r="A8" s="196"/>
      <c r="B8" s="196"/>
      <c r="C8" s="196"/>
      <c r="D8" s="9" t="s">
        <v>18</v>
      </c>
      <c r="E8" s="9"/>
      <c r="F8" s="9"/>
      <c r="G8" s="9" t="s">
        <v>18</v>
      </c>
      <c r="H8" s="9"/>
      <c r="I8" s="9" t="s">
        <v>26</v>
      </c>
      <c r="J8" s="9" t="s">
        <v>27</v>
      </c>
      <c r="K8" s="10" t="s">
        <v>28</v>
      </c>
    </row>
    <row r="9" spans="1:11" s="7" customFormat="1" x14ac:dyDescent="0.2">
      <c r="A9" s="8"/>
      <c r="B9" s="9"/>
      <c r="C9" s="9"/>
      <c r="D9" s="9"/>
      <c r="E9" s="9"/>
      <c r="F9" s="9"/>
      <c r="G9" s="9" t="s">
        <v>135</v>
      </c>
      <c r="H9" s="9"/>
      <c r="I9" s="9"/>
      <c r="J9" s="9"/>
      <c r="K9" s="10"/>
    </row>
    <row r="10" spans="1:11" x14ac:dyDescent="0.2">
      <c r="A10" s="11"/>
      <c r="B10" s="12"/>
      <c r="C10" s="12"/>
      <c r="D10" s="185"/>
      <c r="E10" s="12"/>
      <c r="F10" s="12"/>
      <c r="G10" s="51" t="s">
        <v>136</v>
      </c>
      <c r="H10" s="13" t="s">
        <v>10</v>
      </c>
      <c r="I10" s="58" t="s">
        <v>31</v>
      </c>
      <c r="J10" s="58" t="s">
        <v>31</v>
      </c>
      <c r="K10" s="59" t="s">
        <v>31</v>
      </c>
    </row>
    <row r="11" spans="1:11" x14ac:dyDescent="0.2">
      <c r="A11" s="182">
        <v>36848</v>
      </c>
      <c r="B11" s="15"/>
      <c r="C11" s="16" t="s">
        <v>96</v>
      </c>
      <c r="D11" s="32">
        <v>5.8550000000000004</v>
      </c>
      <c r="E11" s="15"/>
      <c r="F11" s="18">
        <v>9615</v>
      </c>
      <c r="G11" s="32"/>
      <c r="H11" s="32"/>
      <c r="I11" s="17">
        <f>+D11*F11</f>
        <v>56295.825000000004</v>
      </c>
      <c r="J11" s="41">
        <f>+I11</f>
        <v>56295.825000000004</v>
      </c>
      <c r="K11" s="41"/>
    </row>
    <row r="12" spans="1:11" x14ac:dyDescent="0.2">
      <c r="A12" s="182">
        <f>+A11+1</f>
        <v>36849</v>
      </c>
      <c r="B12" s="15"/>
      <c r="C12" s="16" t="s">
        <v>96</v>
      </c>
      <c r="D12" s="32">
        <v>5.8550000000000004</v>
      </c>
      <c r="E12" s="15"/>
      <c r="F12" s="18">
        <v>9615</v>
      </c>
      <c r="G12" s="32"/>
      <c r="H12" s="32"/>
      <c r="I12" s="17">
        <f t="shared" ref="I12:I23" si="0">+D12*F12</f>
        <v>56295.825000000004</v>
      </c>
      <c r="J12" s="41">
        <f t="shared" ref="J12:J23" si="1">+I12</f>
        <v>56295.825000000004</v>
      </c>
      <c r="K12" s="41"/>
    </row>
    <row r="13" spans="1:11" x14ac:dyDescent="0.2">
      <c r="A13" s="182">
        <f t="shared" ref="A13:A23" si="2">+A12+1</f>
        <v>36850</v>
      </c>
      <c r="B13" s="15"/>
      <c r="C13" s="16" t="s">
        <v>96</v>
      </c>
      <c r="D13" s="32">
        <v>5.8550000000000004</v>
      </c>
      <c r="E13" s="15"/>
      <c r="F13" s="18">
        <v>9615</v>
      </c>
      <c r="G13" s="32"/>
      <c r="H13" s="32"/>
      <c r="I13" s="17">
        <f t="shared" si="0"/>
        <v>56295.825000000004</v>
      </c>
      <c r="J13" s="41">
        <f t="shared" si="1"/>
        <v>56295.825000000004</v>
      </c>
      <c r="K13" s="41"/>
    </row>
    <row r="14" spans="1:11" x14ac:dyDescent="0.2">
      <c r="A14" s="182">
        <f t="shared" si="2"/>
        <v>36851</v>
      </c>
      <c r="B14" s="15"/>
      <c r="C14" s="16" t="s">
        <v>96</v>
      </c>
      <c r="D14" s="32">
        <v>5.8550000000000004</v>
      </c>
      <c r="E14" s="15"/>
      <c r="F14" s="18">
        <v>9615</v>
      </c>
      <c r="G14" s="32"/>
      <c r="H14" s="32"/>
      <c r="I14" s="17">
        <f t="shared" si="0"/>
        <v>56295.825000000004</v>
      </c>
      <c r="J14" s="41">
        <f t="shared" si="1"/>
        <v>56295.825000000004</v>
      </c>
      <c r="K14" s="41"/>
    </row>
    <row r="15" spans="1:11" x14ac:dyDescent="0.2">
      <c r="A15" s="182">
        <f t="shared" si="2"/>
        <v>36852</v>
      </c>
      <c r="B15" s="15"/>
      <c r="C15" s="16" t="s">
        <v>96</v>
      </c>
      <c r="D15" s="32">
        <v>5.8550000000000004</v>
      </c>
      <c r="E15" s="15"/>
      <c r="F15" s="18">
        <v>9615</v>
      </c>
      <c r="G15" s="32"/>
      <c r="H15" s="32"/>
      <c r="I15" s="17">
        <f t="shared" si="0"/>
        <v>56295.825000000004</v>
      </c>
      <c r="J15" s="41">
        <f t="shared" si="1"/>
        <v>56295.825000000004</v>
      </c>
      <c r="K15" s="41"/>
    </row>
    <row r="16" spans="1:11" x14ac:dyDescent="0.2">
      <c r="A16" s="182">
        <f t="shared" si="2"/>
        <v>36853</v>
      </c>
      <c r="B16" s="15"/>
      <c r="C16" s="16" t="s">
        <v>96</v>
      </c>
      <c r="D16" s="32">
        <v>5.8550000000000004</v>
      </c>
      <c r="E16" s="15"/>
      <c r="F16" s="18">
        <v>9615</v>
      </c>
      <c r="G16" s="32"/>
      <c r="H16" s="32"/>
      <c r="I16" s="17">
        <f t="shared" si="0"/>
        <v>56295.825000000004</v>
      </c>
      <c r="J16" s="41">
        <f t="shared" si="1"/>
        <v>56295.825000000004</v>
      </c>
      <c r="K16" s="41"/>
    </row>
    <row r="17" spans="1:11" x14ac:dyDescent="0.2">
      <c r="A17" s="182">
        <f t="shared" si="2"/>
        <v>36854</v>
      </c>
      <c r="B17" s="15"/>
      <c r="C17" s="16" t="s">
        <v>96</v>
      </c>
      <c r="D17" s="32">
        <v>5.8550000000000004</v>
      </c>
      <c r="E17" s="15"/>
      <c r="F17" s="18">
        <v>9615</v>
      </c>
      <c r="G17" s="32"/>
      <c r="H17" s="32"/>
      <c r="I17" s="17">
        <f t="shared" si="0"/>
        <v>56295.825000000004</v>
      </c>
      <c r="J17" s="41">
        <f t="shared" si="1"/>
        <v>56295.825000000004</v>
      </c>
      <c r="K17" s="41"/>
    </row>
    <row r="18" spans="1:11" x14ac:dyDescent="0.2">
      <c r="A18" s="182">
        <f>+A17+1</f>
        <v>36855</v>
      </c>
      <c r="B18" s="15"/>
      <c r="C18" s="16" t="s">
        <v>96</v>
      </c>
      <c r="D18" s="32">
        <v>5.8550000000000004</v>
      </c>
      <c r="E18" s="15"/>
      <c r="F18" s="18">
        <v>9615</v>
      </c>
      <c r="G18" s="32"/>
      <c r="H18" s="32"/>
      <c r="I18" s="17">
        <f t="shared" si="0"/>
        <v>56295.825000000004</v>
      </c>
      <c r="J18" s="41">
        <f t="shared" si="1"/>
        <v>56295.825000000004</v>
      </c>
      <c r="K18" s="41"/>
    </row>
    <row r="19" spans="1:11" x14ac:dyDescent="0.2">
      <c r="A19" s="182">
        <f t="shared" si="2"/>
        <v>36856</v>
      </c>
      <c r="B19" s="15"/>
      <c r="C19" s="16" t="s">
        <v>96</v>
      </c>
      <c r="D19" s="32">
        <v>5.8550000000000004</v>
      </c>
      <c r="E19" s="15"/>
      <c r="F19" s="18">
        <v>9615</v>
      </c>
      <c r="G19" s="32"/>
      <c r="H19" s="32"/>
      <c r="I19" s="17">
        <f t="shared" si="0"/>
        <v>56295.825000000004</v>
      </c>
      <c r="J19" s="41">
        <f t="shared" si="1"/>
        <v>56295.825000000004</v>
      </c>
      <c r="K19" s="41"/>
    </row>
    <row r="20" spans="1:11" x14ac:dyDescent="0.2">
      <c r="A20" s="182">
        <f t="shared" si="2"/>
        <v>36857</v>
      </c>
      <c r="B20" s="15"/>
      <c r="C20" s="16" t="s">
        <v>96</v>
      </c>
      <c r="D20" s="32">
        <v>5.8550000000000004</v>
      </c>
      <c r="E20" s="15"/>
      <c r="F20" s="18">
        <v>9615</v>
      </c>
      <c r="G20" s="32"/>
      <c r="H20" s="32"/>
      <c r="I20" s="17">
        <f t="shared" si="0"/>
        <v>56295.825000000004</v>
      </c>
      <c r="J20" s="41">
        <f t="shared" si="1"/>
        <v>56295.825000000004</v>
      </c>
      <c r="K20" s="41"/>
    </row>
    <row r="21" spans="1:11" x14ac:dyDescent="0.2">
      <c r="A21" s="182">
        <f t="shared" si="2"/>
        <v>36858</v>
      </c>
      <c r="B21" s="15"/>
      <c r="C21" s="16" t="s">
        <v>96</v>
      </c>
      <c r="D21" s="32">
        <v>5.8550000000000004</v>
      </c>
      <c r="E21" s="15"/>
      <c r="F21" s="18">
        <v>9615</v>
      </c>
      <c r="G21" s="32"/>
      <c r="H21" s="32"/>
      <c r="I21" s="17">
        <f t="shared" si="0"/>
        <v>56295.825000000004</v>
      </c>
      <c r="J21" s="41">
        <f t="shared" si="1"/>
        <v>56295.825000000004</v>
      </c>
      <c r="K21" s="41"/>
    </row>
    <row r="22" spans="1:11" x14ac:dyDescent="0.2">
      <c r="A22" s="182">
        <f>+A21+1</f>
        <v>36859</v>
      </c>
      <c r="B22" s="15"/>
      <c r="C22" s="16" t="s">
        <v>96</v>
      </c>
      <c r="D22" s="32">
        <v>5.8550000000000004</v>
      </c>
      <c r="E22" s="15"/>
      <c r="F22" s="18">
        <v>9615</v>
      </c>
      <c r="G22" s="32"/>
      <c r="H22" s="32"/>
      <c r="I22" s="17">
        <f t="shared" si="0"/>
        <v>56295.825000000004</v>
      </c>
      <c r="J22" s="41">
        <f t="shared" si="1"/>
        <v>56295.825000000004</v>
      </c>
      <c r="K22" s="41"/>
    </row>
    <row r="23" spans="1:11" x14ac:dyDescent="0.2">
      <c r="A23" s="182">
        <f t="shared" si="2"/>
        <v>36860</v>
      </c>
      <c r="B23" s="15"/>
      <c r="C23" s="16" t="s">
        <v>96</v>
      </c>
      <c r="D23" s="32">
        <v>5.8550000000000004</v>
      </c>
      <c r="E23" s="15"/>
      <c r="F23" s="18">
        <v>9615</v>
      </c>
      <c r="G23" s="15"/>
      <c r="H23" s="32"/>
      <c r="I23" s="17">
        <f t="shared" si="0"/>
        <v>56295.825000000004</v>
      </c>
      <c r="J23" s="41">
        <f t="shared" si="1"/>
        <v>56295.825000000004</v>
      </c>
      <c r="K23" s="41"/>
    </row>
    <row r="24" spans="1:11" x14ac:dyDescent="0.2">
      <c r="A24" s="182"/>
      <c r="B24" s="15"/>
      <c r="C24" s="15"/>
      <c r="D24" s="15"/>
      <c r="E24" s="15"/>
      <c r="F24" s="21">
        <f>SUM(F11:F23)</f>
        <v>124995</v>
      </c>
      <c r="G24" s="15"/>
      <c r="H24" s="15"/>
      <c r="I24" s="35">
        <f>SUM(I11:I23)</f>
        <v>731845.72499999986</v>
      </c>
      <c r="J24" s="35">
        <f>SUM(J11:J23)</f>
        <v>731845.72499999986</v>
      </c>
      <c r="K24" s="35">
        <f>SUM(K11:K23)</f>
        <v>0</v>
      </c>
    </row>
    <row r="25" spans="1:11" x14ac:dyDescent="0.2">
      <c r="A25" s="182"/>
      <c r="B25" s="15"/>
      <c r="C25" s="15"/>
      <c r="D25" s="15"/>
      <c r="E25" s="15"/>
      <c r="F25" s="38"/>
      <c r="G25" s="15"/>
      <c r="H25" s="15"/>
      <c r="I25" s="54"/>
      <c r="J25" s="47"/>
      <c r="K25" s="47"/>
    </row>
    <row r="26" spans="1:11" x14ac:dyDescent="0.2">
      <c r="A26" s="182"/>
      <c r="B26" s="15"/>
      <c r="C26" s="15"/>
      <c r="D26" s="15"/>
      <c r="E26" s="15"/>
      <c r="F26" s="201"/>
      <c r="G26" s="20"/>
      <c r="H26" s="15"/>
      <c r="I26" s="47"/>
      <c r="J26" s="47"/>
      <c r="K26" s="47"/>
    </row>
    <row r="27" spans="1:11" x14ac:dyDescent="0.2">
      <c r="A27" s="182">
        <v>36848</v>
      </c>
      <c r="B27" s="15"/>
      <c r="C27" s="16" t="s">
        <v>40</v>
      </c>
      <c r="D27" s="32"/>
      <c r="E27" s="15"/>
      <c r="F27" s="18">
        <v>-9615</v>
      </c>
      <c r="G27" s="32">
        <v>5.6349999999999998</v>
      </c>
      <c r="H27" s="32"/>
      <c r="I27" s="17">
        <f>+G27*F27</f>
        <v>-54180.525000000001</v>
      </c>
      <c r="J27" s="41">
        <f>+I27</f>
        <v>-54180.525000000001</v>
      </c>
      <c r="K27" s="41"/>
    </row>
    <row r="28" spans="1:11" x14ac:dyDescent="0.2">
      <c r="A28" s="182">
        <f t="shared" ref="A28:A39" si="3">+A27+1</f>
        <v>36849</v>
      </c>
      <c r="B28" s="15"/>
      <c r="C28" s="16" t="s">
        <v>40</v>
      </c>
      <c r="D28" s="32"/>
      <c r="E28" s="15"/>
      <c r="F28" s="18">
        <v>-9615</v>
      </c>
      <c r="G28" s="32">
        <v>5.6349999999999998</v>
      </c>
      <c r="H28" s="32"/>
      <c r="I28" s="17">
        <f t="shared" ref="I28:I39" si="4">+G28*F28</f>
        <v>-54180.525000000001</v>
      </c>
      <c r="J28" s="41">
        <f t="shared" ref="J28:J39" si="5">+I28</f>
        <v>-54180.525000000001</v>
      </c>
      <c r="K28" s="41"/>
    </row>
    <row r="29" spans="1:11" x14ac:dyDescent="0.2">
      <c r="A29" s="182">
        <f t="shared" si="3"/>
        <v>36850</v>
      </c>
      <c r="B29" s="15"/>
      <c r="C29" s="16" t="s">
        <v>40</v>
      </c>
      <c r="D29" s="32"/>
      <c r="E29" s="15"/>
      <c r="F29" s="18">
        <v>-9615</v>
      </c>
      <c r="G29" s="32">
        <v>5.6349999999999998</v>
      </c>
      <c r="H29" s="32"/>
      <c r="I29" s="17">
        <f t="shared" si="4"/>
        <v>-54180.525000000001</v>
      </c>
      <c r="J29" s="41">
        <f t="shared" si="5"/>
        <v>-54180.525000000001</v>
      </c>
      <c r="K29" s="41"/>
    </row>
    <row r="30" spans="1:11" x14ac:dyDescent="0.2">
      <c r="A30" s="182">
        <f t="shared" si="3"/>
        <v>36851</v>
      </c>
      <c r="B30" s="15"/>
      <c r="C30" s="16" t="s">
        <v>40</v>
      </c>
      <c r="D30" s="32"/>
      <c r="E30" s="15"/>
      <c r="F30" s="18">
        <v>-9615</v>
      </c>
      <c r="G30" s="32">
        <v>6.2350000000000003</v>
      </c>
      <c r="H30" s="32"/>
      <c r="I30" s="17">
        <f t="shared" si="4"/>
        <v>-59949.525000000001</v>
      </c>
      <c r="J30" s="41">
        <f t="shared" si="5"/>
        <v>-59949.525000000001</v>
      </c>
      <c r="K30" s="41"/>
    </row>
    <row r="31" spans="1:11" x14ac:dyDescent="0.2">
      <c r="A31" s="182">
        <f t="shared" si="3"/>
        <v>36852</v>
      </c>
      <c r="B31" s="15"/>
      <c r="C31" s="16" t="s">
        <v>40</v>
      </c>
      <c r="D31" s="32"/>
      <c r="E31" s="15"/>
      <c r="F31" s="18">
        <v>-9615</v>
      </c>
      <c r="G31" s="32">
        <v>6.34</v>
      </c>
      <c r="H31" s="32"/>
      <c r="I31" s="17">
        <f t="shared" si="4"/>
        <v>-60959.1</v>
      </c>
      <c r="J31" s="41">
        <f t="shared" si="5"/>
        <v>-60959.1</v>
      </c>
      <c r="K31" s="41"/>
    </row>
    <row r="32" spans="1:11" x14ac:dyDescent="0.2">
      <c r="A32" s="182">
        <f t="shared" si="3"/>
        <v>36853</v>
      </c>
      <c r="B32" s="15"/>
      <c r="C32" s="16" t="s">
        <v>40</v>
      </c>
      <c r="D32" s="32"/>
      <c r="E32" s="15"/>
      <c r="F32" s="18">
        <v>-9615</v>
      </c>
      <c r="G32" s="32">
        <v>6.3150000000000004</v>
      </c>
      <c r="H32" s="32"/>
      <c r="I32" s="17">
        <f t="shared" si="4"/>
        <v>-60718.725000000006</v>
      </c>
      <c r="J32" s="41">
        <f t="shared" si="5"/>
        <v>-60718.725000000006</v>
      </c>
      <c r="K32" s="41"/>
    </row>
    <row r="33" spans="1:11" x14ac:dyDescent="0.2">
      <c r="A33" s="182">
        <f t="shared" si="3"/>
        <v>36854</v>
      </c>
      <c r="B33" s="15"/>
      <c r="C33" s="16" t="s">
        <v>40</v>
      </c>
      <c r="D33" s="32"/>
      <c r="E33" s="15"/>
      <c r="F33" s="18">
        <v>-9615</v>
      </c>
      <c r="G33" s="32">
        <v>6.3150000000000004</v>
      </c>
      <c r="H33" s="32"/>
      <c r="I33" s="17">
        <f t="shared" si="4"/>
        <v>-60718.725000000006</v>
      </c>
      <c r="J33" s="41">
        <f t="shared" si="5"/>
        <v>-60718.725000000006</v>
      </c>
      <c r="K33" s="41"/>
    </row>
    <row r="34" spans="1:11" x14ac:dyDescent="0.2">
      <c r="A34" s="182">
        <f t="shared" si="3"/>
        <v>36855</v>
      </c>
      <c r="B34" s="15"/>
      <c r="C34" s="16" t="s">
        <v>40</v>
      </c>
      <c r="D34" s="32"/>
      <c r="E34" s="15"/>
      <c r="F34" s="18">
        <v>-9615</v>
      </c>
      <c r="G34" s="32">
        <v>6.3150000000000004</v>
      </c>
      <c r="H34" s="32"/>
      <c r="I34" s="17">
        <f t="shared" si="4"/>
        <v>-60718.725000000006</v>
      </c>
      <c r="J34" s="41">
        <f t="shared" si="5"/>
        <v>-60718.725000000006</v>
      </c>
      <c r="K34" s="41"/>
    </row>
    <row r="35" spans="1:11" x14ac:dyDescent="0.2">
      <c r="A35" s="182">
        <f t="shared" si="3"/>
        <v>36856</v>
      </c>
      <c r="B35" s="15"/>
      <c r="C35" s="16" t="s">
        <v>40</v>
      </c>
      <c r="D35" s="32"/>
      <c r="E35" s="15"/>
      <c r="F35" s="18">
        <v>-9615</v>
      </c>
      <c r="G35" s="32">
        <v>6.3150000000000004</v>
      </c>
      <c r="H35" s="32"/>
      <c r="I35" s="17">
        <f t="shared" si="4"/>
        <v>-60718.725000000006</v>
      </c>
      <c r="J35" s="41">
        <f t="shared" si="5"/>
        <v>-60718.725000000006</v>
      </c>
      <c r="K35" s="41"/>
    </row>
    <row r="36" spans="1:11" x14ac:dyDescent="0.2">
      <c r="A36" s="182">
        <f t="shared" si="3"/>
        <v>36857</v>
      </c>
      <c r="B36" s="15"/>
      <c r="C36" s="16" t="s">
        <v>40</v>
      </c>
      <c r="D36" s="32"/>
      <c r="E36" s="15"/>
      <c r="F36" s="18">
        <v>-9615</v>
      </c>
      <c r="G36" s="32">
        <v>6.3150000000000004</v>
      </c>
      <c r="H36" s="32"/>
      <c r="I36" s="17">
        <f t="shared" si="4"/>
        <v>-60718.725000000006</v>
      </c>
      <c r="J36" s="41">
        <f t="shared" si="5"/>
        <v>-60718.725000000006</v>
      </c>
      <c r="K36" s="41"/>
    </row>
    <row r="37" spans="1:11" x14ac:dyDescent="0.2">
      <c r="A37" s="182">
        <f t="shared" si="3"/>
        <v>36858</v>
      </c>
      <c r="B37" s="15"/>
      <c r="C37" s="16" t="s">
        <v>40</v>
      </c>
      <c r="D37" s="32"/>
      <c r="E37" s="15"/>
      <c r="F37" s="18">
        <v>-9615</v>
      </c>
      <c r="G37" s="32">
        <v>6.2450000000000001</v>
      </c>
      <c r="H37" s="32"/>
      <c r="I37" s="17">
        <f t="shared" si="4"/>
        <v>-60045.675000000003</v>
      </c>
      <c r="J37" s="41">
        <f t="shared" si="5"/>
        <v>-60045.675000000003</v>
      </c>
      <c r="K37" s="41"/>
    </row>
    <row r="38" spans="1:11" x14ac:dyDescent="0.2">
      <c r="A38" s="182">
        <f t="shared" si="3"/>
        <v>36859</v>
      </c>
      <c r="B38" s="15"/>
      <c r="C38" s="16" t="s">
        <v>40</v>
      </c>
      <c r="D38" s="32"/>
      <c r="E38" s="15"/>
      <c r="F38" s="18">
        <v>-9615</v>
      </c>
      <c r="G38" s="32">
        <v>5.9249999999999998</v>
      </c>
      <c r="H38" s="32"/>
      <c r="I38" s="17">
        <f t="shared" si="4"/>
        <v>-56968.875</v>
      </c>
      <c r="J38" s="41">
        <f t="shared" si="5"/>
        <v>-56968.875</v>
      </c>
      <c r="K38" s="41"/>
    </row>
    <row r="39" spans="1:11" x14ac:dyDescent="0.2">
      <c r="A39" s="182">
        <f t="shared" si="3"/>
        <v>36860</v>
      </c>
      <c r="B39" s="15"/>
      <c r="C39" s="16" t="s">
        <v>40</v>
      </c>
      <c r="D39" s="32"/>
      <c r="E39" s="15"/>
      <c r="F39" s="18">
        <v>-9615</v>
      </c>
      <c r="G39" s="61">
        <v>5.95</v>
      </c>
      <c r="H39" s="32"/>
      <c r="I39" s="17">
        <f t="shared" si="4"/>
        <v>-57209.25</v>
      </c>
      <c r="J39" s="41">
        <f t="shared" si="5"/>
        <v>-57209.25</v>
      </c>
      <c r="K39" s="41"/>
    </row>
    <row r="40" spans="1:11" x14ac:dyDescent="0.2">
      <c r="A40" s="182"/>
      <c r="B40" s="15"/>
      <c r="C40" s="15"/>
      <c r="D40" s="15"/>
      <c r="E40" s="15"/>
      <c r="F40" s="21">
        <f>SUM(F27:F39)</f>
        <v>-124995</v>
      </c>
      <c r="G40" s="15"/>
      <c r="H40" s="15"/>
      <c r="I40" s="35">
        <f>SUM(I27:I39)</f>
        <v>-761267.625</v>
      </c>
      <c r="J40" s="35">
        <f>SUM(J27:J39)</f>
        <v>-761267.625</v>
      </c>
      <c r="K40" s="35">
        <f>SUM(K27:K39)</f>
        <v>0</v>
      </c>
    </row>
    <row r="41" spans="1:11" x14ac:dyDescent="0.2">
      <c r="A41" s="182"/>
      <c r="B41" s="15"/>
      <c r="C41" s="15"/>
      <c r="D41" s="15"/>
      <c r="E41" s="15"/>
      <c r="F41" s="201"/>
      <c r="G41" s="20"/>
      <c r="H41" s="15"/>
      <c r="I41" s="47"/>
      <c r="J41" s="47"/>
      <c r="K41" s="47"/>
    </row>
    <row r="42" spans="1:11" ht="13.5" thickBot="1" x14ac:dyDescent="0.25">
      <c r="A42" s="182"/>
      <c r="B42" s="15"/>
      <c r="C42" s="15"/>
      <c r="D42" s="15"/>
      <c r="E42" s="15"/>
      <c r="F42" s="23">
        <f>+F40+F24</f>
        <v>0</v>
      </c>
      <c r="G42" s="20"/>
      <c r="H42" s="15"/>
      <c r="I42" s="24">
        <f>+I40+I24</f>
        <v>-29421.90000000014</v>
      </c>
      <c r="J42" s="202">
        <f>+J40+J24</f>
        <v>-29421.90000000014</v>
      </c>
      <c r="K42" s="202">
        <f>+K40+K24</f>
        <v>0</v>
      </c>
    </row>
    <row r="43" spans="1:11" ht="13.5" thickTop="1" x14ac:dyDescent="0.2">
      <c r="A43" s="182"/>
      <c r="B43" s="15"/>
      <c r="C43" s="15"/>
      <c r="D43" s="15"/>
      <c r="E43" s="15"/>
      <c r="F43" s="201"/>
      <c r="G43" s="20"/>
      <c r="H43" s="15"/>
      <c r="I43" s="47"/>
      <c r="J43" s="47"/>
      <c r="K43" s="47"/>
    </row>
    <row r="44" spans="1:11" x14ac:dyDescent="0.2">
      <c r="A44" s="182"/>
      <c r="B44" s="15"/>
      <c r="C44" s="15"/>
      <c r="D44" s="15"/>
      <c r="E44" s="15"/>
      <c r="F44" s="201"/>
      <c r="G44" s="20"/>
      <c r="H44" s="15"/>
      <c r="I44" s="47"/>
      <c r="J44" s="47"/>
      <c r="K44" s="47"/>
    </row>
    <row r="45" spans="1:11" x14ac:dyDescent="0.2">
      <c r="A45" s="182"/>
      <c r="B45" s="15"/>
      <c r="C45" s="15"/>
      <c r="D45" s="15"/>
      <c r="E45" s="15"/>
      <c r="F45" s="201"/>
      <c r="G45" s="20"/>
      <c r="H45" s="15"/>
      <c r="I45" s="47"/>
      <c r="J45" s="47"/>
      <c r="K45" s="47"/>
    </row>
    <row r="46" spans="1:11" x14ac:dyDescent="0.2">
      <c r="A46" s="182"/>
      <c r="B46" s="15"/>
      <c r="C46" s="15"/>
      <c r="D46" s="15"/>
      <c r="E46" s="15"/>
      <c r="F46" s="20"/>
      <c r="G46" s="195"/>
      <c r="H46" s="36"/>
      <c r="I46" s="39"/>
      <c r="J46" s="39"/>
      <c r="K46" s="39"/>
    </row>
    <row r="47" spans="1:11" x14ac:dyDescent="0.2">
      <c r="A47" s="182"/>
      <c r="B47" s="15"/>
      <c r="C47" s="16"/>
      <c r="D47" s="32"/>
      <c r="E47" s="15"/>
      <c r="F47" s="18"/>
      <c r="G47" s="61"/>
      <c r="H47" s="32"/>
      <c r="I47" s="17"/>
      <c r="J47" s="41"/>
      <c r="K47" s="41"/>
    </row>
    <row r="48" spans="1:11" x14ac:dyDescent="0.2">
      <c r="A48" s="183"/>
      <c r="B48" s="26"/>
      <c r="C48" s="192"/>
      <c r="D48" s="193"/>
      <c r="E48" s="26"/>
      <c r="F48" s="65"/>
      <c r="G48" s="194"/>
      <c r="H48" s="193"/>
      <c r="I48" s="66"/>
      <c r="J48" s="138"/>
      <c r="K48" s="138"/>
    </row>
    <row r="49" spans="1:1" x14ac:dyDescent="0.2">
      <c r="A49" s="184"/>
    </row>
    <row r="50" spans="1:1" x14ac:dyDescent="0.2">
      <c r="A50" s="184"/>
    </row>
    <row r="51" spans="1:1" x14ac:dyDescent="0.2">
      <c r="A51" s="184"/>
    </row>
    <row r="52" spans="1:1" x14ac:dyDescent="0.2">
      <c r="A52" s="184"/>
    </row>
    <row r="53" spans="1:1" x14ac:dyDescent="0.2">
      <c r="A53" s="184"/>
    </row>
    <row r="54" spans="1:1" x14ac:dyDescent="0.2">
      <c r="A54" s="184"/>
    </row>
    <row r="55" spans="1:1" x14ac:dyDescent="0.2">
      <c r="A55" s="184"/>
    </row>
    <row r="56" spans="1:1" x14ac:dyDescent="0.2">
      <c r="A56" s="184"/>
    </row>
    <row r="57" spans="1:1" x14ac:dyDescent="0.2">
      <c r="A57" s="184"/>
    </row>
    <row r="58" spans="1:1" x14ac:dyDescent="0.2">
      <c r="A58" s="184"/>
    </row>
    <row r="59" spans="1:1" x14ac:dyDescent="0.2">
      <c r="A59" s="184"/>
    </row>
    <row r="60" spans="1:1" x14ac:dyDescent="0.2">
      <c r="A60" s="184"/>
    </row>
    <row r="61" spans="1:1" x14ac:dyDescent="0.2">
      <c r="A61" s="184"/>
    </row>
    <row r="62" spans="1:1" x14ac:dyDescent="0.2">
      <c r="A62" s="184"/>
    </row>
    <row r="63" spans="1:1" x14ac:dyDescent="0.2">
      <c r="A63" s="184"/>
    </row>
    <row r="64" spans="1:1" x14ac:dyDescent="0.2">
      <c r="A64" s="184"/>
    </row>
    <row r="65" spans="1:1" x14ac:dyDescent="0.2">
      <c r="A65" s="184"/>
    </row>
    <row r="66" spans="1:1" x14ac:dyDescent="0.2">
      <c r="A66" s="184"/>
    </row>
    <row r="67" spans="1:1" x14ac:dyDescent="0.2">
      <c r="A67" s="184"/>
    </row>
    <row r="68" spans="1:1" x14ac:dyDescent="0.2">
      <c r="A68" s="184"/>
    </row>
    <row r="69" spans="1:1" x14ac:dyDescent="0.2">
      <c r="A69" s="184"/>
    </row>
    <row r="70" spans="1:1" x14ac:dyDescent="0.2">
      <c r="A70" s="184"/>
    </row>
    <row r="71" spans="1:1" x14ac:dyDescent="0.2">
      <c r="A71" s="184"/>
    </row>
    <row r="72" spans="1:1" x14ac:dyDescent="0.2">
      <c r="A72" s="184"/>
    </row>
    <row r="73" spans="1:1" x14ac:dyDescent="0.2">
      <c r="A73" s="184"/>
    </row>
    <row r="74" spans="1:1" x14ac:dyDescent="0.2">
      <c r="A74" s="184"/>
    </row>
    <row r="75" spans="1:1" x14ac:dyDescent="0.2">
      <c r="A75" s="184"/>
    </row>
    <row r="76" spans="1:1" x14ac:dyDescent="0.2">
      <c r="A76" s="184"/>
    </row>
    <row r="77" spans="1:1" x14ac:dyDescent="0.2">
      <c r="A77" s="184"/>
    </row>
    <row r="78" spans="1:1" x14ac:dyDescent="0.2">
      <c r="A78" s="184"/>
    </row>
    <row r="79" spans="1:1" x14ac:dyDescent="0.2">
      <c r="A79" s="184"/>
    </row>
    <row r="80" spans="1:1" x14ac:dyDescent="0.2">
      <c r="A80" s="184"/>
    </row>
    <row r="81" spans="1:1" x14ac:dyDescent="0.2">
      <c r="A81" s="184"/>
    </row>
    <row r="82" spans="1:1" x14ac:dyDescent="0.2">
      <c r="A82" s="184"/>
    </row>
    <row r="83" spans="1:1" x14ac:dyDescent="0.2">
      <c r="A83" s="184"/>
    </row>
    <row r="84" spans="1:1" x14ac:dyDescent="0.2">
      <c r="A84" s="184"/>
    </row>
    <row r="85" spans="1:1" x14ac:dyDescent="0.2">
      <c r="A85" s="184"/>
    </row>
    <row r="86" spans="1:1" x14ac:dyDescent="0.2">
      <c r="A86" s="184"/>
    </row>
    <row r="87" spans="1:1" x14ac:dyDescent="0.2">
      <c r="A87" s="184"/>
    </row>
    <row r="88" spans="1:1" x14ac:dyDescent="0.2">
      <c r="A88" s="184"/>
    </row>
    <row r="89" spans="1:1" x14ac:dyDescent="0.2">
      <c r="A89" s="184"/>
    </row>
    <row r="90" spans="1:1" x14ac:dyDescent="0.2">
      <c r="A90" s="184"/>
    </row>
    <row r="91" spans="1:1" x14ac:dyDescent="0.2">
      <c r="A91" s="184"/>
    </row>
    <row r="92" spans="1:1" x14ac:dyDescent="0.2">
      <c r="A92" s="184"/>
    </row>
    <row r="93" spans="1:1" x14ac:dyDescent="0.2">
      <c r="A93" s="184"/>
    </row>
    <row r="94" spans="1:1" x14ac:dyDescent="0.2">
      <c r="A94" s="184"/>
    </row>
    <row r="95" spans="1:1" x14ac:dyDescent="0.2">
      <c r="A95" s="184"/>
    </row>
    <row r="96" spans="1:1" x14ac:dyDescent="0.2">
      <c r="A96" s="184"/>
    </row>
    <row r="97" spans="1:1" x14ac:dyDescent="0.2">
      <c r="A97" s="184"/>
    </row>
    <row r="98" spans="1:1" x14ac:dyDescent="0.2">
      <c r="A98" s="184"/>
    </row>
    <row r="99" spans="1:1" x14ac:dyDescent="0.2">
      <c r="A99" s="184"/>
    </row>
    <row r="100" spans="1:1" x14ac:dyDescent="0.2">
      <c r="A100" s="184"/>
    </row>
    <row r="101" spans="1:1" x14ac:dyDescent="0.2">
      <c r="A101" s="184"/>
    </row>
    <row r="102" spans="1:1" x14ac:dyDescent="0.2">
      <c r="A102" s="184"/>
    </row>
    <row r="103" spans="1:1" x14ac:dyDescent="0.2">
      <c r="A103" s="184"/>
    </row>
    <row r="104" spans="1:1" x14ac:dyDescent="0.2">
      <c r="A104" s="184"/>
    </row>
    <row r="105" spans="1:1" x14ac:dyDescent="0.2">
      <c r="A105" s="184"/>
    </row>
    <row r="106" spans="1:1" x14ac:dyDescent="0.2">
      <c r="A106" s="184"/>
    </row>
    <row r="107" spans="1:1" x14ac:dyDescent="0.2">
      <c r="A107" s="184"/>
    </row>
    <row r="108" spans="1:1" x14ac:dyDescent="0.2">
      <c r="A108" s="184"/>
    </row>
    <row r="109" spans="1:1" x14ac:dyDescent="0.2">
      <c r="A109" s="184"/>
    </row>
    <row r="110" spans="1:1" x14ac:dyDescent="0.2">
      <c r="A110" s="184"/>
    </row>
    <row r="111" spans="1:1" x14ac:dyDescent="0.2">
      <c r="A111" s="184"/>
    </row>
    <row r="112" spans="1:1" x14ac:dyDescent="0.2">
      <c r="A112" s="184"/>
    </row>
    <row r="113" spans="1:1" x14ac:dyDescent="0.2">
      <c r="A113" s="184"/>
    </row>
    <row r="114" spans="1:1" x14ac:dyDescent="0.2">
      <c r="A114" s="184"/>
    </row>
    <row r="115" spans="1:1" x14ac:dyDescent="0.2">
      <c r="A115" s="184"/>
    </row>
    <row r="116" spans="1:1" x14ac:dyDescent="0.2">
      <c r="A116" s="184"/>
    </row>
    <row r="117" spans="1:1" x14ac:dyDescent="0.2">
      <c r="A117" s="184"/>
    </row>
    <row r="118" spans="1:1" x14ac:dyDescent="0.2">
      <c r="A118" s="184"/>
    </row>
    <row r="119" spans="1:1" x14ac:dyDescent="0.2">
      <c r="A119" s="184"/>
    </row>
    <row r="120" spans="1:1" x14ac:dyDescent="0.2">
      <c r="A120" s="184"/>
    </row>
  </sheetData>
  <mergeCells count="1">
    <mergeCell ref="A4:K4"/>
  </mergeCells>
  <pageMargins left="0.75" right="0.75" top="1" bottom="1" header="0.5" footer="0.5"/>
  <pageSetup scale="75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1"/>
  <sheetViews>
    <sheetView workbookViewId="0">
      <selection activeCell="A18" sqref="A18"/>
    </sheetView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0.7109375" customWidth="1"/>
    <col min="9" max="9" width="15" customWidth="1"/>
    <col min="10" max="10" width="13.42578125" customWidth="1"/>
    <col min="11" max="11" width="15" customWidth="1"/>
  </cols>
  <sheetData>
    <row r="1" spans="1:11" s="2" customFormat="1" ht="15" x14ac:dyDescent="0.2">
      <c r="A1" s="1" t="s">
        <v>78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145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237" t="s">
        <v>146</v>
      </c>
      <c r="B4" s="237"/>
      <c r="C4" s="237"/>
      <c r="D4" s="237"/>
      <c r="E4" s="237"/>
      <c r="F4" s="237"/>
      <c r="G4" s="237"/>
      <c r="H4" s="237"/>
      <c r="I4" s="237"/>
      <c r="J4" s="237"/>
      <c r="K4" s="237"/>
    </row>
    <row r="6" spans="1:11" s="7" customFormat="1" x14ac:dyDescent="0.2">
      <c r="A6" s="5" t="s">
        <v>52</v>
      </c>
      <c r="B6" s="6" t="s">
        <v>5</v>
      </c>
      <c r="C6" s="6" t="s">
        <v>5</v>
      </c>
      <c r="D6" s="6" t="s">
        <v>125</v>
      </c>
      <c r="E6" s="6"/>
      <c r="F6" s="6" t="s">
        <v>11</v>
      </c>
      <c r="G6" s="6" t="s">
        <v>126</v>
      </c>
      <c r="H6" s="6" t="s">
        <v>24</v>
      </c>
      <c r="I6" s="55" t="s">
        <v>55</v>
      </c>
      <c r="J6" s="56"/>
      <c r="K6" s="57"/>
    </row>
    <row r="7" spans="1:11" s="7" customFormat="1" x14ac:dyDescent="0.2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">
      <c r="A8" s="11"/>
      <c r="B8" s="12"/>
      <c r="C8" s="12"/>
      <c r="D8" s="12"/>
      <c r="E8" s="12"/>
      <c r="F8" s="12"/>
      <c r="G8" s="51"/>
      <c r="H8" s="13"/>
      <c r="I8" s="58" t="s">
        <v>31</v>
      </c>
      <c r="J8" s="58" t="s">
        <v>31</v>
      </c>
      <c r="K8" s="59" t="s">
        <v>31</v>
      </c>
    </row>
    <row r="9" spans="1:11" x14ac:dyDescent="0.2">
      <c r="A9" s="31">
        <v>36831</v>
      </c>
      <c r="B9" s="15"/>
      <c r="C9" s="16" t="s">
        <v>41</v>
      </c>
      <c r="D9" s="32">
        <v>1</v>
      </c>
      <c r="E9" s="15"/>
      <c r="F9" s="18">
        <v>155000</v>
      </c>
      <c r="G9" s="32">
        <f>+[2]Curves!$C$23-[2]Curves!$C$30</f>
        <v>0.74300000000000033</v>
      </c>
      <c r="H9" s="32"/>
      <c r="I9" s="17">
        <f>(-G9+D9)*F9</f>
        <v>39834.999999999949</v>
      </c>
      <c r="J9" s="41">
        <f>+I9</f>
        <v>39834.999999999949</v>
      </c>
      <c r="K9" s="41"/>
    </row>
    <row r="10" spans="1:11" x14ac:dyDescent="0.2">
      <c r="A10" s="31"/>
      <c r="B10" s="15"/>
      <c r="C10" s="16" t="s">
        <v>147</v>
      </c>
      <c r="D10" s="32"/>
      <c r="E10" s="15"/>
      <c r="F10" s="18"/>
      <c r="G10" s="15"/>
      <c r="H10" s="32"/>
      <c r="I10" s="17"/>
      <c r="J10" s="41"/>
      <c r="K10" s="41"/>
    </row>
    <row r="11" spans="1:11" x14ac:dyDescent="0.2">
      <c r="A11" s="31"/>
      <c r="B11" s="15"/>
      <c r="C11" s="16"/>
      <c r="D11" s="32"/>
      <c r="E11" s="15"/>
      <c r="F11" s="18"/>
      <c r="G11" s="15"/>
      <c r="H11" s="32"/>
      <c r="I11" s="17"/>
      <c r="J11" s="41"/>
      <c r="K11" s="41"/>
    </row>
    <row r="12" spans="1:11" ht="13.5" thickBot="1" x14ac:dyDescent="0.25">
      <c r="A12" s="15"/>
      <c r="B12" s="15"/>
      <c r="C12" s="15"/>
      <c r="D12" s="15"/>
      <c r="E12" s="15"/>
      <c r="F12" s="23">
        <f>SUM(F9:F11)</f>
        <v>155000</v>
      </c>
      <c r="G12" s="15"/>
      <c r="H12" s="167"/>
      <c r="I12" s="24">
        <f>SUM(I9:I11)</f>
        <v>39834.999999999949</v>
      </c>
      <c r="J12" s="24">
        <f>SUM(J9:J11)</f>
        <v>39834.999999999949</v>
      </c>
      <c r="K12" s="24">
        <f>SUM(K9:K11)</f>
        <v>0</v>
      </c>
    </row>
    <row r="13" spans="1:11" ht="13.5" thickTop="1" x14ac:dyDescent="0.2">
      <c r="A13" s="15"/>
      <c r="B13" s="15"/>
      <c r="C13" s="15"/>
      <c r="D13" s="15"/>
      <c r="E13" s="15"/>
      <c r="F13" s="38"/>
      <c r="G13" s="15"/>
      <c r="H13" s="15"/>
      <c r="I13" s="54"/>
      <c r="J13" s="47"/>
      <c r="K13" s="47"/>
    </row>
    <row r="14" spans="1:11" x14ac:dyDescent="0.2">
      <c r="A14" s="15"/>
      <c r="B14" s="15"/>
      <c r="C14" s="15"/>
      <c r="D14" s="32"/>
      <c r="E14" s="15"/>
      <c r="F14" s="15"/>
      <c r="G14" s="49"/>
      <c r="H14" s="36"/>
      <c r="I14" s="15"/>
      <c r="J14" s="39"/>
      <c r="K14" s="39"/>
    </row>
    <row r="15" spans="1:11" x14ac:dyDescent="0.2">
      <c r="A15" s="26"/>
      <c r="B15" s="26"/>
      <c r="C15" s="26"/>
      <c r="D15" s="26"/>
      <c r="E15" s="26"/>
      <c r="F15" s="26"/>
      <c r="G15" s="26"/>
      <c r="H15" s="26"/>
      <c r="I15" s="26"/>
      <c r="J15" s="40"/>
      <c r="K15" s="40"/>
    </row>
    <row r="17" spans="1:3" x14ac:dyDescent="0.2">
      <c r="A17" s="29" t="s">
        <v>148</v>
      </c>
    </row>
    <row r="19" spans="1:3" x14ac:dyDescent="0.2">
      <c r="A19" s="203">
        <v>37226</v>
      </c>
      <c r="B19">
        <v>4.7850000000000001</v>
      </c>
    </row>
    <row r="20" spans="1:3" x14ac:dyDescent="0.2">
      <c r="A20" s="203">
        <v>37438</v>
      </c>
      <c r="B20" s="197">
        <v>4.0419999999999998</v>
      </c>
    </row>
    <row r="21" spans="1:3" x14ac:dyDescent="0.2">
      <c r="A21" s="203"/>
      <c r="B21">
        <f>+B19-B20</f>
        <v>0.74300000000000033</v>
      </c>
      <c r="C21" t="s">
        <v>143</v>
      </c>
    </row>
  </sheetData>
  <mergeCells count="1">
    <mergeCell ref="A4:K4"/>
  </mergeCells>
  <pageMargins left="0.75" right="0.75" top="1" bottom="1" header="0.5" footer="0.5"/>
  <pageSetup scale="97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7"/>
  <sheetViews>
    <sheetView workbookViewId="0">
      <selection sqref="A1:IV65536"/>
    </sheetView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0.7109375" customWidth="1"/>
    <col min="9" max="9" width="15" customWidth="1"/>
    <col min="10" max="10" width="13.42578125" customWidth="1"/>
    <col min="11" max="11" width="15" customWidth="1"/>
  </cols>
  <sheetData>
    <row r="1" spans="1:11" s="2" customFormat="1" ht="15" x14ac:dyDescent="0.2">
      <c r="A1" s="1" t="s">
        <v>78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120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24</v>
      </c>
      <c r="I6" s="55" t="s">
        <v>55</v>
      </c>
      <c r="J6" s="56"/>
      <c r="K6" s="57"/>
    </row>
    <row r="7" spans="1:11" s="7" customFormat="1" x14ac:dyDescent="0.2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">
      <c r="A8" s="11"/>
      <c r="B8" s="12"/>
      <c r="C8" s="12"/>
      <c r="D8" s="12"/>
      <c r="E8" s="12"/>
      <c r="F8" s="12"/>
      <c r="G8" s="51"/>
      <c r="H8" s="13"/>
      <c r="I8" s="58" t="s">
        <v>31</v>
      </c>
      <c r="J8" s="58" t="s">
        <v>31</v>
      </c>
      <c r="K8" s="59" t="s">
        <v>31</v>
      </c>
    </row>
    <row r="9" spans="1:11" x14ac:dyDescent="0.2">
      <c r="A9" s="31">
        <v>36831</v>
      </c>
      <c r="B9" s="15"/>
      <c r="C9" s="16" t="s">
        <v>118</v>
      </c>
      <c r="D9" s="32">
        <v>0.05</v>
      </c>
      <c r="E9" s="15"/>
      <c r="F9" s="18">
        <v>155000</v>
      </c>
      <c r="G9" s="32"/>
      <c r="H9" s="32"/>
      <c r="I9" s="17">
        <f>-F9*D9</f>
        <v>-7750</v>
      </c>
      <c r="J9" s="41">
        <f>+I9</f>
        <v>-7750</v>
      </c>
      <c r="K9" s="41"/>
    </row>
    <row r="10" spans="1:11" x14ac:dyDescent="0.2">
      <c r="A10" s="31"/>
      <c r="B10" s="15"/>
      <c r="C10" s="16"/>
      <c r="D10" s="32"/>
      <c r="E10" s="15"/>
      <c r="F10" s="18"/>
      <c r="G10" s="15"/>
      <c r="H10" s="32"/>
      <c r="I10" s="17"/>
      <c r="J10" s="41"/>
      <c r="K10" s="41"/>
    </row>
    <row r="11" spans="1:11" x14ac:dyDescent="0.2">
      <c r="A11" s="31"/>
      <c r="B11" s="15"/>
      <c r="C11" s="16"/>
      <c r="D11" s="32"/>
      <c r="E11" s="15"/>
      <c r="F11" s="18"/>
      <c r="G11" s="15"/>
      <c r="H11" s="32"/>
      <c r="I11" s="17"/>
      <c r="J11" s="41"/>
      <c r="K11" s="41"/>
    </row>
    <row r="12" spans="1:11" ht="13.5" thickBot="1" x14ac:dyDescent="0.25">
      <c r="A12" s="15"/>
      <c r="B12" s="15"/>
      <c r="C12" s="15"/>
      <c r="D12" s="15"/>
      <c r="E12" s="15"/>
      <c r="F12" s="23">
        <f>SUM(F9:F11)</f>
        <v>155000</v>
      </c>
      <c r="G12" s="15"/>
      <c r="H12" s="167"/>
      <c r="I12" s="24">
        <f>SUM(I9:I11)</f>
        <v>-7750</v>
      </c>
      <c r="J12" s="24">
        <f>SUM(J9:J11)</f>
        <v>-7750</v>
      </c>
      <c r="K12" s="24">
        <f>SUM(K9:K11)</f>
        <v>0</v>
      </c>
    </row>
    <row r="13" spans="1:11" ht="13.5" thickTop="1" x14ac:dyDescent="0.2">
      <c r="A13" s="15"/>
      <c r="B13" s="15"/>
      <c r="C13" s="15"/>
      <c r="D13" s="15"/>
      <c r="E13" s="15"/>
      <c r="F13" s="38"/>
      <c r="G13" s="15"/>
      <c r="H13" s="15"/>
      <c r="I13" s="54"/>
      <c r="J13" s="47"/>
      <c r="K13" s="47"/>
    </row>
    <row r="14" spans="1:11" x14ac:dyDescent="0.2">
      <c r="A14" s="15"/>
      <c r="B14" s="15"/>
      <c r="C14" s="15"/>
      <c r="D14" s="32"/>
      <c r="E14" s="15"/>
      <c r="F14" s="15"/>
      <c r="G14" s="49"/>
      <c r="H14" s="36"/>
      <c r="I14" s="15"/>
      <c r="J14" s="39"/>
      <c r="K14" s="39"/>
    </row>
    <row r="15" spans="1:11" x14ac:dyDescent="0.2">
      <c r="A15" s="26"/>
      <c r="B15" s="26"/>
      <c r="C15" s="26"/>
      <c r="D15" s="26"/>
      <c r="E15" s="26"/>
      <c r="F15" s="26"/>
      <c r="G15" s="26"/>
      <c r="H15" s="26"/>
      <c r="I15" s="26"/>
      <c r="J15" s="40"/>
      <c r="K15" s="40"/>
    </row>
    <row r="17" spans="1:1" x14ac:dyDescent="0.2">
      <c r="A17" s="29" t="s">
        <v>47</v>
      </c>
    </row>
  </sheetData>
  <pageMargins left="0.75" right="0.75" top="1" bottom="1" header="0.5" footer="0.5"/>
  <pageSetup scale="97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7"/>
  <sheetViews>
    <sheetView workbookViewId="0">
      <selection activeCell="C18" sqref="C18"/>
    </sheetView>
  </sheetViews>
  <sheetFormatPr defaultRowHeight="12.75" x14ac:dyDescent="0.2"/>
  <cols>
    <col min="1" max="2" width="10.7109375" customWidth="1"/>
    <col min="3" max="3" width="17.28515625" bestFit="1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0.7109375" customWidth="1"/>
    <col min="9" max="9" width="15" customWidth="1"/>
    <col min="10" max="10" width="13.42578125" customWidth="1"/>
    <col min="11" max="11" width="15" customWidth="1"/>
  </cols>
  <sheetData>
    <row r="1" spans="1:11" s="2" customFormat="1" ht="15" x14ac:dyDescent="0.2">
      <c r="A1" s="1" t="s">
        <v>116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119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24</v>
      </c>
      <c r="I6" s="55" t="s">
        <v>55</v>
      </c>
      <c r="J6" s="56"/>
      <c r="K6" s="57"/>
    </row>
    <row r="7" spans="1:11" s="7" customFormat="1" x14ac:dyDescent="0.2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">
      <c r="A8" s="11"/>
      <c r="B8" s="12"/>
      <c r="C8" s="12"/>
      <c r="D8" s="12"/>
      <c r="E8" s="12"/>
      <c r="F8" s="12"/>
      <c r="G8" s="51"/>
      <c r="H8" s="13"/>
      <c r="I8" s="58" t="s">
        <v>31</v>
      </c>
      <c r="J8" s="58" t="s">
        <v>31</v>
      </c>
      <c r="K8" s="59" t="s">
        <v>31</v>
      </c>
    </row>
    <row r="9" spans="1:11" x14ac:dyDescent="0.2">
      <c r="A9" s="31">
        <v>36831</v>
      </c>
      <c r="B9" s="15"/>
      <c r="C9" s="16" t="s">
        <v>117</v>
      </c>
      <c r="D9" s="32">
        <v>7.0000000000000007E-2</v>
      </c>
      <c r="E9" s="15"/>
      <c r="F9" s="18">
        <f>-5000*31</f>
        <v>-155000</v>
      </c>
      <c r="G9" s="32"/>
      <c r="H9" s="32"/>
      <c r="I9" s="17">
        <f>-F9*D9</f>
        <v>10850.000000000002</v>
      </c>
      <c r="J9" s="41">
        <f>+I9</f>
        <v>10850.000000000002</v>
      </c>
      <c r="K9" s="41"/>
    </row>
    <row r="10" spans="1:11" x14ac:dyDescent="0.2">
      <c r="A10" s="31"/>
      <c r="B10" s="15"/>
      <c r="C10" s="16"/>
      <c r="D10" s="32"/>
      <c r="E10" s="15"/>
      <c r="F10" s="18"/>
      <c r="G10" s="32"/>
      <c r="H10" s="32"/>
      <c r="I10" s="17"/>
      <c r="J10" s="41"/>
      <c r="K10" s="41"/>
    </row>
    <row r="11" spans="1:11" x14ac:dyDescent="0.2">
      <c r="A11" s="31"/>
      <c r="B11" s="15"/>
      <c r="C11" s="16"/>
      <c r="D11" s="32"/>
      <c r="E11" s="15"/>
      <c r="F11" s="18"/>
      <c r="H11" s="32"/>
      <c r="I11" s="17"/>
      <c r="J11" s="39"/>
      <c r="K11" s="41"/>
    </row>
    <row r="12" spans="1:11" ht="13.5" thickBot="1" x14ac:dyDescent="0.25">
      <c r="A12" s="15"/>
      <c r="B12" s="15"/>
      <c r="C12" s="15"/>
      <c r="D12" s="15"/>
      <c r="E12" s="15"/>
      <c r="F12" s="23">
        <f>SUM(F9:F10)</f>
        <v>-155000</v>
      </c>
      <c r="G12" s="15"/>
      <c r="H12" s="167"/>
      <c r="I12" s="24">
        <f>SUM(I9:I10)</f>
        <v>10850.000000000002</v>
      </c>
      <c r="J12" s="24">
        <f>SUM(J9:J10)</f>
        <v>10850.000000000002</v>
      </c>
      <c r="K12" s="24">
        <f>SUM(K9:K10)</f>
        <v>0</v>
      </c>
    </row>
    <row r="13" spans="1:11" ht="13.5" thickTop="1" x14ac:dyDescent="0.2">
      <c r="A13" s="15"/>
      <c r="B13" s="15"/>
      <c r="C13" s="15"/>
      <c r="D13" s="15"/>
      <c r="E13" s="15"/>
      <c r="F13" s="38"/>
      <c r="G13" s="15"/>
      <c r="H13" s="15"/>
      <c r="I13" s="54"/>
      <c r="J13" s="47"/>
      <c r="K13" s="47"/>
    </row>
    <row r="14" spans="1:11" x14ac:dyDescent="0.2">
      <c r="A14" s="15"/>
      <c r="B14" s="15"/>
      <c r="C14" s="15"/>
      <c r="D14" s="15"/>
      <c r="E14" s="15"/>
      <c r="F14" s="15"/>
      <c r="G14" s="15"/>
      <c r="H14" s="15"/>
      <c r="I14" s="15"/>
      <c r="J14" s="39"/>
      <c r="K14" s="39"/>
    </row>
    <row r="15" spans="1:11" x14ac:dyDescent="0.2">
      <c r="A15" s="26"/>
      <c r="B15" s="26"/>
      <c r="C15" s="26"/>
      <c r="D15" s="26"/>
      <c r="E15" s="26"/>
      <c r="F15" s="26"/>
      <c r="G15" s="26"/>
      <c r="H15" s="26"/>
      <c r="I15" s="26"/>
      <c r="J15" s="40"/>
      <c r="K15" s="40"/>
    </row>
    <row r="17" spans="1:1" x14ac:dyDescent="0.2">
      <c r="A17" s="29" t="s">
        <v>47</v>
      </c>
    </row>
  </sheetData>
  <pageMargins left="0.75" right="0.75" top="1" bottom="1" header="0.5" footer="0.5"/>
  <pageSetup scale="94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1"/>
  <sheetViews>
    <sheetView workbookViewId="0">
      <selection sqref="A1:IV65536"/>
    </sheetView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0.7109375" customWidth="1"/>
    <col min="9" max="9" width="15" customWidth="1"/>
    <col min="10" max="10" width="13.42578125" customWidth="1"/>
    <col min="11" max="11" width="15" customWidth="1"/>
  </cols>
  <sheetData>
    <row r="1" spans="1:11" s="2" customFormat="1" ht="15" x14ac:dyDescent="0.2">
      <c r="A1" s="1" t="s">
        <v>78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124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237" t="s">
        <v>144</v>
      </c>
      <c r="B4" s="237"/>
      <c r="C4" s="237"/>
      <c r="D4" s="237"/>
      <c r="E4" s="237"/>
      <c r="F4" s="237"/>
      <c r="G4" s="237"/>
      <c r="H4" s="237"/>
      <c r="I4" s="237"/>
      <c r="J4" s="237"/>
      <c r="K4" s="237"/>
    </row>
    <row r="6" spans="1:11" s="7" customFormat="1" x14ac:dyDescent="0.2">
      <c r="A6" s="5" t="s">
        <v>52</v>
      </c>
      <c r="B6" s="6" t="s">
        <v>5</v>
      </c>
      <c r="C6" s="6" t="s">
        <v>5</v>
      </c>
      <c r="D6" s="6" t="s">
        <v>125</v>
      </c>
      <c r="E6" s="6"/>
      <c r="F6" s="6" t="s">
        <v>11</v>
      </c>
      <c r="G6" s="6" t="s">
        <v>126</v>
      </c>
      <c r="H6" s="6" t="s">
        <v>24</v>
      </c>
      <c r="I6" s="55" t="s">
        <v>55</v>
      </c>
      <c r="J6" s="56"/>
      <c r="K6" s="57"/>
    </row>
    <row r="7" spans="1:11" s="7" customFormat="1" x14ac:dyDescent="0.2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">
      <c r="A8" s="11"/>
      <c r="B8" s="12"/>
      <c r="C8" s="12"/>
      <c r="D8" s="12"/>
      <c r="E8" s="12"/>
      <c r="F8" s="12"/>
      <c r="G8" s="51"/>
      <c r="H8" s="13"/>
      <c r="I8" s="58" t="s">
        <v>31</v>
      </c>
      <c r="J8" s="58" t="s">
        <v>31</v>
      </c>
      <c r="K8" s="59" t="s">
        <v>31</v>
      </c>
    </row>
    <row r="9" spans="1:11" x14ac:dyDescent="0.2">
      <c r="A9" s="31">
        <v>36831</v>
      </c>
      <c r="B9" s="15"/>
      <c r="C9" s="16" t="s">
        <v>118</v>
      </c>
      <c r="D9" s="32">
        <v>0.77500000000000002</v>
      </c>
      <c r="E9" s="15"/>
      <c r="F9" s="18">
        <v>500000</v>
      </c>
      <c r="G9" s="32">
        <f>+[2]Curves!$C$23-[2]Curves!$C$30</f>
        <v>0.74300000000000033</v>
      </c>
      <c r="H9" s="32"/>
      <c r="I9" s="17">
        <f>(-G9+D9)*F9</f>
        <v>15999.999999999847</v>
      </c>
      <c r="J9" s="41">
        <f>+I9</f>
        <v>15999.999999999847</v>
      </c>
      <c r="K9" s="41"/>
    </row>
    <row r="10" spans="1:11" x14ac:dyDescent="0.2">
      <c r="A10" s="31"/>
      <c r="B10" s="15"/>
      <c r="C10" s="16"/>
      <c r="D10" s="32"/>
      <c r="E10" s="15"/>
      <c r="F10" s="18"/>
      <c r="G10" s="15"/>
      <c r="H10" s="32"/>
      <c r="I10" s="17"/>
      <c r="J10" s="41"/>
      <c r="K10" s="41"/>
    </row>
    <row r="11" spans="1:11" x14ac:dyDescent="0.2">
      <c r="A11" s="31"/>
      <c r="B11" s="15"/>
      <c r="C11" s="16"/>
      <c r="D11" s="32"/>
      <c r="E11" s="15"/>
      <c r="F11" s="18"/>
      <c r="G11" s="15"/>
      <c r="H11" s="32"/>
      <c r="I11" s="17"/>
      <c r="J11" s="41"/>
      <c r="K11" s="41"/>
    </row>
    <row r="12" spans="1:11" ht="13.5" thickBot="1" x14ac:dyDescent="0.25">
      <c r="A12" s="15"/>
      <c r="B12" s="15"/>
      <c r="C12" s="15"/>
      <c r="D12" s="15"/>
      <c r="E12" s="15"/>
      <c r="F12" s="23">
        <f>SUM(F9:F11)</f>
        <v>500000</v>
      </c>
      <c r="G12" s="15"/>
      <c r="H12" s="167"/>
      <c r="I12" s="24">
        <f>SUM(I9:I11)</f>
        <v>15999.999999999847</v>
      </c>
      <c r="J12" s="24">
        <f>SUM(J9:J11)</f>
        <v>15999.999999999847</v>
      </c>
      <c r="K12" s="24">
        <f>SUM(K9:K11)</f>
        <v>0</v>
      </c>
    </row>
    <row r="13" spans="1:11" ht="13.5" thickTop="1" x14ac:dyDescent="0.2">
      <c r="A13" s="15"/>
      <c r="B13" s="15"/>
      <c r="C13" s="15"/>
      <c r="D13" s="15"/>
      <c r="E13" s="15"/>
      <c r="F13" s="38"/>
      <c r="G13" s="15"/>
      <c r="H13" s="15"/>
      <c r="I13" s="54"/>
      <c r="J13" s="47"/>
      <c r="K13" s="47"/>
    </row>
    <row r="14" spans="1:11" x14ac:dyDescent="0.2">
      <c r="A14" s="15"/>
      <c r="B14" s="15"/>
      <c r="C14" s="15"/>
      <c r="D14" s="32"/>
      <c r="E14" s="15"/>
      <c r="F14" s="15"/>
      <c r="G14" s="49"/>
      <c r="H14" s="36"/>
      <c r="I14" s="15"/>
      <c r="J14" s="39"/>
      <c r="K14" s="39"/>
    </row>
    <row r="15" spans="1:11" x14ac:dyDescent="0.2">
      <c r="A15" s="26"/>
      <c r="B15" s="26"/>
      <c r="C15" s="26"/>
      <c r="D15" s="26"/>
      <c r="E15" s="26"/>
      <c r="F15" s="26"/>
      <c r="G15" s="26"/>
      <c r="H15" s="26"/>
      <c r="I15" s="26"/>
      <c r="J15" s="40"/>
      <c r="K15" s="40"/>
    </row>
    <row r="17" spans="1:3" x14ac:dyDescent="0.2">
      <c r="A17" s="29" t="s">
        <v>142</v>
      </c>
    </row>
    <row r="19" spans="1:3" x14ac:dyDescent="0.2">
      <c r="A19" s="203">
        <v>37226</v>
      </c>
      <c r="B19">
        <v>4.7850000000000001</v>
      </c>
    </row>
    <row r="20" spans="1:3" x14ac:dyDescent="0.2">
      <c r="A20" s="203">
        <v>37438</v>
      </c>
      <c r="B20" s="197">
        <v>4.0419999999999998</v>
      </c>
    </row>
    <row r="21" spans="1:3" x14ac:dyDescent="0.2">
      <c r="A21" s="203"/>
      <c r="B21">
        <f>+B19-B20</f>
        <v>0.74300000000000033</v>
      </c>
      <c r="C21" t="s">
        <v>143</v>
      </c>
    </row>
  </sheetData>
  <mergeCells count="1">
    <mergeCell ref="A4:K4"/>
  </mergeCells>
  <pageMargins left="0.75" right="0.75" top="1" bottom="1" header="0.5" footer="0.5"/>
  <pageSetup scale="97" orientation="landscape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1"/>
  <sheetViews>
    <sheetView workbookViewId="0">
      <selection activeCell="A17" sqref="A17:IV17"/>
    </sheetView>
  </sheetViews>
  <sheetFormatPr defaultRowHeight="12.75" x14ac:dyDescent="0.2"/>
  <cols>
    <col min="1" max="2" width="10.7109375" customWidth="1"/>
    <col min="3" max="3" width="14.5703125" bestFit="1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0.7109375" customWidth="1"/>
    <col min="9" max="9" width="15" customWidth="1"/>
    <col min="10" max="10" width="13.42578125" customWidth="1"/>
    <col min="11" max="11" width="15" customWidth="1"/>
  </cols>
  <sheetData>
    <row r="1" spans="1:11" s="2" customFormat="1" ht="15" x14ac:dyDescent="0.2">
      <c r="A1" s="1" t="s">
        <v>78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124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237" t="s">
        <v>141</v>
      </c>
      <c r="B4" s="237"/>
      <c r="C4" s="237"/>
      <c r="D4" s="237"/>
      <c r="E4" s="237"/>
      <c r="F4" s="237"/>
      <c r="G4" s="237"/>
      <c r="H4" s="237"/>
      <c r="I4" s="237"/>
      <c r="J4" s="237"/>
      <c r="K4" s="237"/>
    </row>
    <row r="6" spans="1:11" s="7" customFormat="1" x14ac:dyDescent="0.2">
      <c r="A6" s="5" t="s">
        <v>52</v>
      </c>
      <c r="B6" s="6" t="s">
        <v>5</v>
      </c>
      <c r="C6" s="6" t="s">
        <v>5</v>
      </c>
      <c r="D6" s="6" t="s">
        <v>125</v>
      </c>
      <c r="E6" s="6"/>
      <c r="F6" s="6" t="s">
        <v>11</v>
      </c>
      <c r="G6" s="6" t="s">
        <v>126</v>
      </c>
      <c r="H6" s="6" t="s">
        <v>24</v>
      </c>
      <c r="I6" s="55" t="s">
        <v>55</v>
      </c>
      <c r="J6" s="56"/>
      <c r="K6" s="57"/>
    </row>
    <row r="7" spans="1:11" s="7" customFormat="1" x14ac:dyDescent="0.2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">
      <c r="A8" s="11"/>
      <c r="B8" s="12"/>
      <c r="C8" s="12"/>
      <c r="D8" s="12"/>
      <c r="E8" s="12"/>
      <c r="F8" s="12"/>
      <c r="G8" s="51"/>
      <c r="H8" s="13"/>
      <c r="I8" s="58" t="s">
        <v>31</v>
      </c>
      <c r="J8" s="58" t="s">
        <v>31</v>
      </c>
      <c r="K8" s="59" t="s">
        <v>31</v>
      </c>
    </row>
    <row r="9" spans="1:11" x14ac:dyDescent="0.2">
      <c r="A9" s="31">
        <v>36831</v>
      </c>
      <c r="B9" s="15"/>
      <c r="C9" s="16" t="s">
        <v>118</v>
      </c>
      <c r="D9" s="32">
        <v>1</v>
      </c>
      <c r="E9" s="15"/>
      <c r="F9" s="18">
        <v>155000</v>
      </c>
      <c r="G9" s="32">
        <f>+[2]Curves!$C$23-[2]Curves!$C$30</f>
        <v>0.74300000000000033</v>
      </c>
      <c r="H9" s="32">
        <f>+G9-D9</f>
        <v>-0.25699999999999967</v>
      </c>
      <c r="I9" s="17"/>
      <c r="J9" s="41">
        <f>+I9</f>
        <v>0</v>
      </c>
      <c r="K9" s="41"/>
    </row>
    <row r="10" spans="1:11" x14ac:dyDescent="0.2">
      <c r="A10" s="31"/>
      <c r="B10" s="15"/>
      <c r="C10" s="16"/>
      <c r="D10" s="32"/>
      <c r="E10" s="15"/>
      <c r="F10" s="18"/>
      <c r="G10" s="15"/>
      <c r="H10" s="32"/>
      <c r="I10" s="17"/>
      <c r="J10" s="41"/>
      <c r="K10" s="41"/>
    </row>
    <row r="11" spans="1:11" x14ac:dyDescent="0.2">
      <c r="A11" s="31"/>
      <c r="B11" s="15"/>
      <c r="C11" s="16"/>
      <c r="D11" s="32"/>
      <c r="E11" s="15"/>
      <c r="F11" s="18"/>
      <c r="G11" s="15"/>
      <c r="H11" s="32"/>
      <c r="I11" s="17"/>
      <c r="J11" s="41"/>
      <c r="K11" s="41"/>
    </row>
    <row r="12" spans="1:11" ht="13.5" thickBot="1" x14ac:dyDescent="0.25">
      <c r="A12" s="15"/>
      <c r="B12" s="15"/>
      <c r="C12" s="15"/>
      <c r="D12" s="15"/>
      <c r="E12" s="15"/>
      <c r="F12" s="23">
        <f>SUM(F9:F11)</f>
        <v>155000</v>
      </c>
      <c r="G12" s="15"/>
      <c r="H12" s="167"/>
      <c r="I12" s="24">
        <f>SUM(I9:I11)</f>
        <v>0</v>
      </c>
      <c r="J12" s="24">
        <f>SUM(J9:J11)</f>
        <v>0</v>
      </c>
      <c r="K12" s="24">
        <f>SUM(K9:K11)</f>
        <v>0</v>
      </c>
    </row>
    <row r="13" spans="1:11" ht="13.5" thickTop="1" x14ac:dyDescent="0.2">
      <c r="A13" s="15"/>
      <c r="B13" s="15"/>
      <c r="C13" s="15"/>
      <c r="D13" s="15"/>
      <c r="E13" s="15"/>
      <c r="F13" s="38"/>
      <c r="G13" s="15"/>
      <c r="H13" s="15"/>
      <c r="I13" s="54"/>
      <c r="J13" s="47"/>
      <c r="K13" s="47"/>
    </row>
    <row r="14" spans="1:11" x14ac:dyDescent="0.2">
      <c r="A14" s="15"/>
      <c r="B14" s="15"/>
      <c r="C14" s="15"/>
      <c r="D14" s="32"/>
      <c r="E14" s="15"/>
      <c r="F14" s="15"/>
      <c r="G14" s="49"/>
      <c r="H14" s="36"/>
      <c r="I14" s="15"/>
      <c r="J14" s="39"/>
      <c r="K14" s="39"/>
    </row>
    <row r="15" spans="1:11" x14ac:dyDescent="0.2">
      <c r="A15" s="26"/>
      <c r="B15" s="26"/>
      <c r="C15" s="26"/>
      <c r="D15" s="26"/>
      <c r="E15" s="26"/>
      <c r="F15" s="26"/>
      <c r="G15" s="26"/>
      <c r="H15" s="26"/>
      <c r="I15" s="26"/>
      <c r="J15" s="40"/>
      <c r="K15" s="40"/>
    </row>
    <row r="17" spans="1:3" x14ac:dyDescent="0.2">
      <c r="A17" s="29" t="s">
        <v>142</v>
      </c>
    </row>
    <row r="19" spans="1:3" x14ac:dyDescent="0.2">
      <c r="A19" s="203">
        <v>37226</v>
      </c>
      <c r="B19">
        <v>4.7850000000000001</v>
      </c>
    </row>
    <row r="20" spans="1:3" x14ac:dyDescent="0.2">
      <c r="A20" s="203">
        <v>37438</v>
      </c>
      <c r="B20" s="197">
        <v>4.0419999999999998</v>
      </c>
    </row>
    <row r="21" spans="1:3" x14ac:dyDescent="0.2">
      <c r="A21" s="203"/>
      <c r="B21">
        <f>+B19-B20</f>
        <v>0.74300000000000033</v>
      </c>
      <c r="C21" t="s">
        <v>143</v>
      </c>
    </row>
  </sheetData>
  <mergeCells count="1">
    <mergeCell ref="A4:K4"/>
  </mergeCells>
  <pageMargins left="0.75" right="0.75" top="1" bottom="1" header="0.5" footer="0.5"/>
  <pageSetup scale="96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workbookViewId="0">
      <selection activeCell="F23" sqref="F23"/>
    </sheetView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0.7109375" customWidth="1"/>
    <col min="9" max="9" width="15" customWidth="1"/>
    <col min="10" max="10" width="13.42578125" customWidth="1"/>
    <col min="11" max="11" width="15" customWidth="1"/>
  </cols>
  <sheetData>
    <row r="1" spans="1:11" s="2" customFormat="1" ht="15" x14ac:dyDescent="0.2">
      <c r="A1" s="1" t="s">
        <v>49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98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24</v>
      </c>
      <c r="I6" s="55" t="s">
        <v>55</v>
      </c>
      <c r="J6" s="56"/>
      <c r="K6" s="57"/>
    </row>
    <row r="7" spans="1:11" s="7" customFormat="1" x14ac:dyDescent="0.2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">
      <c r="A8" s="11"/>
      <c r="B8" s="12"/>
      <c r="C8" s="12"/>
      <c r="D8" s="12"/>
      <c r="E8" s="12"/>
      <c r="F8" s="12"/>
      <c r="G8" s="51" t="s">
        <v>74</v>
      </c>
      <c r="H8" s="13"/>
      <c r="I8" s="58" t="s">
        <v>31</v>
      </c>
      <c r="J8" s="58" t="s">
        <v>31</v>
      </c>
      <c r="K8" s="59" t="s">
        <v>31</v>
      </c>
    </row>
    <row r="9" spans="1:11" x14ac:dyDescent="0.2">
      <c r="A9" s="31">
        <v>36892</v>
      </c>
      <c r="B9" s="15"/>
      <c r="C9" s="16" t="s">
        <v>99</v>
      </c>
      <c r="D9" s="32">
        <v>0.1</v>
      </c>
      <c r="E9" s="15"/>
      <c r="F9" s="18">
        <f>-5000*31</f>
        <v>-155000</v>
      </c>
      <c r="G9" s="32"/>
      <c r="H9" s="32"/>
      <c r="I9" s="17">
        <f>-F9*D9</f>
        <v>15500</v>
      </c>
      <c r="J9" s="41">
        <f>+I9</f>
        <v>15500</v>
      </c>
      <c r="K9" s="41"/>
    </row>
    <row r="10" spans="1:11" x14ac:dyDescent="0.2">
      <c r="A10" s="31">
        <v>36923</v>
      </c>
      <c r="B10" s="15"/>
      <c r="C10" s="16" t="s">
        <v>99</v>
      </c>
      <c r="D10" s="32">
        <v>0.1</v>
      </c>
      <c r="E10" s="15"/>
      <c r="F10" s="18">
        <f>-5000*28</f>
        <v>-140000</v>
      </c>
      <c r="G10" s="32"/>
      <c r="H10" s="32"/>
      <c r="I10" s="17">
        <f t="shared" ref="I10:I20" si="0">-F10*D10</f>
        <v>14000</v>
      </c>
      <c r="J10" s="41">
        <f t="shared" ref="J10:J20" si="1">+I10</f>
        <v>14000</v>
      </c>
      <c r="K10" s="41"/>
    </row>
    <row r="11" spans="1:11" x14ac:dyDescent="0.2">
      <c r="A11" s="31">
        <v>36951</v>
      </c>
      <c r="B11" s="15"/>
      <c r="C11" s="16" t="s">
        <v>99</v>
      </c>
      <c r="D11" s="32">
        <v>0.1</v>
      </c>
      <c r="E11" s="15"/>
      <c r="F11" s="18">
        <f>-5000*31</f>
        <v>-155000</v>
      </c>
      <c r="G11" s="32"/>
      <c r="H11" s="32"/>
      <c r="I11" s="17">
        <f t="shared" si="0"/>
        <v>15500</v>
      </c>
      <c r="J11" s="41">
        <f t="shared" si="1"/>
        <v>15500</v>
      </c>
      <c r="K11" s="41"/>
    </row>
    <row r="12" spans="1:11" x14ac:dyDescent="0.2">
      <c r="A12" s="31">
        <v>36982</v>
      </c>
      <c r="B12" s="15"/>
      <c r="C12" s="16" t="s">
        <v>99</v>
      </c>
      <c r="D12" s="32">
        <v>0.1</v>
      </c>
      <c r="E12" s="15"/>
      <c r="F12" s="18">
        <f>-5000*30</f>
        <v>-150000</v>
      </c>
      <c r="G12" s="32"/>
      <c r="H12" s="32"/>
      <c r="I12" s="17">
        <f t="shared" si="0"/>
        <v>15000</v>
      </c>
      <c r="J12" s="41">
        <f t="shared" si="1"/>
        <v>15000</v>
      </c>
      <c r="K12" s="41"/>
    </row>
    <row r="13" spans="1:11" x14ac:dyDescent="0.2">
      <c r="A13" s="31">
        <v>37012</v>
      </c>
      <c r="B13" s="15"/>
      <c r="C13" s="16" t="s">
        <v>99</v>
      </c>
      <c r="D13" s="32">
        <v>0.1</v>
      </c>
      <c r="E13" s="15"/>
      <c r="F13" s="18">
        <f>-5000*31</f>
        <v>-155000</v>
      </c>
      <c r="G13" s="15"/>
      <c r="H13" s="32"/>
      <c r="I13" s="17">
        <f t="shared" si="0"/>
        <v>15500</v>
      </c>
      <c r="J13" s="41">
        <f t="shared" si="1"/>
        <v>15500</v>
      </c>
      <c r="K13" s="41"/>
    </row>
    <row r="14" spans="1:11" x14ac:dyDescent="0.2">
      <c r="A14" s="31">
        <v>37043</v>
      </c>
      <c r="B14" s="15"/>
      <c r="C14" s="16" t="s">
        <v>99</v>
      </c>
      <c r="D14" s="32">
        <v>0.1</v>
      </c>
      <c r="E14" s="15"/>
      <c r="F14" s="18">
        <f>-5000*30</f>
        <v>-150000</v>
      </c>
      <c r="G14" s="15"/>
      <c r="H14" s="32"/>
      <c r="I14" s="17">
        <f t="shared" si="0"/>
        <v>15000</v>
      </c>
      <c r="J14" s="41">
        <f t="shared" si="1"/>
        <v>15000</v>
      </c>
      <c r="K14" s="41"/>
    </row>
    <row r="15" spans="1:11" x14ac:dyDescent="0.2">
      <c r="A15" s="31">
        <v>37073</v>
      </c>
      <c r="B15" s="15"/>
      <c r="C15" s="16" t="s">
        <v>99</v>
      </c>
      <c r="D15" s="32">
        <v>0.1</v>
      </c>
      <c r="E15" s="15"/>
      <c r="F15" s="18">
        <f>-5000*31</f>
        <v>-155000</v>
      </c>
      <c r="G15" s="15"/>
      <c r="H15" s="32"/>
      <c r="I15" s="17">
        <f t="shared" si="0"/>
        <v>15500</v>
      </c>
      <c r="J15" s="41">
        <f t="shared" si="1"/>
        <v>15500</v>
      </c>
      <c r="K15" s="41"/>
    </row>
    <row r="16" spans="1:11" x14ac:dyDescent="0.2">
      <c r="A16" s="31">
        <v>37104</v>
      </c>
      <c r="B16" s="15"/>
      <c r="C16" s="16" t="s">
        <v>99</v>
      </c>
      <c r="D16" s="32">
        <v>0.1</v>
      </c>
      <c r="E16" s="15"/>
      <c r="F16" s="18">
        <f>-5000*31</f>
        <v>-155000</v>
      </c>
      <c r="G16" s="15"/>
      <c r="H16" s="32"/>
      <c r="I16" s="17">
        <f t="shared" si="0"/>
        <v>15500</v>
      </c>
      <c r="J16" s="41">
        <f t="shared" si="1"/>
        <v>15500</v>
      </c>
      <c r="K16" s="41"/>
    </row>
    <row r="17" spans="1:11" x14ac:dyDescent="0.2">
      <c r="A17" s="31">
        <v>37135</v>
      </c>
      <c r="B17" s="15"/>
      <c r="C17" s="16" t="s">
        <v>99</v>
      </c>
      <c r="D17" s="32">
        <v>0.1</v>
      </c>
      <c r="E17" s="15"/>
      <c r="F17" s="18">
        <f>-5000*30</f>
        <v>-150000</v>
      </c>
      <c r="G17" s="15"/>
      <c r="H17" s="32"/>
      <c r="I17" s="17">
        <f t="shared" si="0"/>
        <v>15000</v>
      </c>
      <c r="J17" s="41">
        <f t="shared" si="1"/>
        <v>15000</v>
      </c>
      <c r="K17" s="41"/>
    </row>
    <row r="18" spans="1:11" x14ac:dyDescent="0.2">
      <c r="A18" s="31">
        <v>37165</v>
      </c>
      <c r="B18" s="15"/>
      <c r="C18" s="16" t="s">
        <v>99</v>
      </c>
      <c r="D18" s="32">
        <v>0.1</v>
      </c>
      <c r="E18" s="15"/>
      <c r="F18" s="18">
        <f>-5000*31</f>
        <v>-155000</v>
      </c>
      <c r="G18" s="15"/>
      <c r="H18" s="32"/>
      <c r="I18" s="17">
        <f t="shared" si="0"/>
        <v>15500</v>
      </c>
      <c r="J18" s="41">
        <f t="shared" si="1"/>
        <v>15500</v>
      </c>
      <c r="K18" s="41"/>
    </row>
    <row r="19" spans="1:11" x14ac:dyDescent="0.2">
      <c r="A19" s="31">
        <v>37196</v>
      </c>
      <c r="B19" s="15"/>
      <c r="C19" s="16" t="s">
        <v>99</v>
      </c>
      <c r="D19" s="32">
        <v>0.1</v>
      </c>
      <c r="E19" s="15"/>
      <c r="F19" s="18">
        <f>-5000*30</f>
        <v>-150000</v>
      </c>
      <c r="G19" s="15"/>
      <c r="H19" s="32"/>
      <c r="I19" s="17">
        <f t="shared" si="0"/>
        <v>15000</v>
      </c>
      <c r="J19" s="41">
        <f t="shared" si="1"/>
        <v>15000</v>
      </c>
      <c r="K19" s="41"/>
    </row>
    <row r="20" spans="1:11" x14ac:dyDescent="0.2">
      <c r="A20" s="31">
        <v>37226</v>
      </c>
      <c r="B20" s="15"/>
      <c r="C20" s="16" t="s">
        <v>99</v>
      </c>
      <c r="D20" s="32">
        <v>0.1</v>
      </c>
      <c r="E20" s="15"/>
      <c r="F20" s="18">
        <f>-5000*31</f>
        <v>-155000</v>
      </c>
      <c r="G20" s="15"/>
      <c r="H20" s="32"/>
      <c r="I20" s="17">
        <f t="shared" si="0"/>
        <v>15500</v>
      </c>
      <c r="J20" s="41">
        <f t="shared" si="1"/>
        <v>15500</v>
      </c>
      <c r="K20" s="41"/>
    </row>
    <row r="21" spans="1:11" x14ac:dyDescent="0.2">
      <c r="A21" s="31"/>
      <c r="B21" s="15"/>
      <c r="C21" s="16"/>
      <c r="D21" s="32"/>
      <c r="E21" s="15"/>
      <c r="F21" s="18"/>
      <c r="H21" s="32"/>
      <c r="I21" s="17"/>
      <c r="J21" s="39"/>
      <c r="K21" s="41"/>
    </row>
    <row r="22" spans="1:11" x14ac:dyDescent="0.2">
      <c r="A22" s="15"/>
      <c r="B22" s="15"/>
      <c r="C22" s="15"/>
      <c r="D22" s="15"/>
      <c r="E22" s="15"/>
      <c r="F22" s="21">
        <f>SUM(F9:F20)</f>
        <v>-1825000</v>
      </c>
      <c r="G22" s="15"/>
      <c r="H22" s="167"/>
      <c r="I22" s="35">
        <f>SUM(I9:I20)</f>
        <v>182500</v>
      </c>
      <c r="J22" s="35">
        <f>SUM(J9:J20)</f>
        <v>182500</v>
      </c>
      <c r="K22" s="35">
        <f>SUM(K9:K20)</f>
        <v>0</v>
      </c>
    </row>
    <row r="23" spans="1:11" x14ac:dyDescent="0.2">
      <c r="A23" s="15"/>
      <c r="B23" s="15"/>
      <c r="C23" s="15"/>
      <c r="D23" s="15"/>
      <c r="E23" s="15"/>
      <c r="F23" s="38"/>
      <c r="G23" s="15"/>
      <c r="H23" s="15"/>
      <c r="I23" s="54"/>
      <c r="J23" s="47"/>
      <c r="K23" s="47"/>
    </row>
    <row r="24" spans="1:11" x14ac:dyDescent="0.2">
      <c r="A24" s="15"/>
      <c r="B24" s="15"/>
      <c r="C24" s="15"/>
      <c r="D24" s="15"/>
      <c r="E24" s="15"/>
      <c r="F24" s="15"/>
      <c r="G24" s="50" t="s">
        <v>59</v>
      </c>
      <c r="H24" s="36"/>
      <c r="I24" s="15"/>
      <c r="J24" s="39"/>
      <c r="K24" s="39"/>
    </row>
    <row r="25" spans="1:11" x14ac:dyDescent="0.2">
      <c r="A25" s="15"/>
      <c r="B25" s="15"/>
      <c r="C25" s="15"/>
      <c r="D25" s="32"/>
      <c r="E25" s="15"/>
      <c r="F25" s="15"/>
      <c r="G25" s="49"/>
      <c r="H25" s="36"/>
      <c r="I25" s="15"/>
      <c r="J25" s="39"/>
      <c r="K25" s="39"/>
    </row>
    <row r="26" spans="1:11" x14ac:dyDescent="0.2">
      <c r="A26" s="31">
        <v>36892</v>
      </c>
      <c r="B26" s="15"/>
      <c r="C26" s="16" t="s">
        <v>46</v>
      </c>
      <c r="D26" s="32">
        <v>3</v>
      </c>
      <c r="E26" s="15"/>
      <c r="F26" s="18">
        <f>5000*31</f>
        <v>155000</v>
      </c>
      <c r="G26" s="32"/>
      <c r="H26" s="32" t="e">
        <f>+#REF!</f>
        <v>#REF!</v>
      </c>
      <c r="I26" s="17" t="e">
        <f>(+D26-H26)*F26</f>
        <v>#REF!</v>
      </c>
      <c r="J26" s="41"/>
      <c r="K26" s="41" t="e">
        <f t="shared" ref="K26:K37" si="2">+I26</f>
        <v>#REF!</v>
      </c>
    </row>
    <row r="27" spans="1:11" x14ac:dyDescent="0.2">
      <c r="A27" s="31">
        <v>36923</v>
      </c>
      <c r="B27" s="15"/>
      <c r="C27" s="16" t="s">
        <v>46</v>
      </c>
      <c r="D27" s="32">
        <v>3</v>
      </c>
      <c r="E27" s="15"/>
      <c r="F27" s="18">
        <f>5000*28</f>
        <v>140000</v>
      </c>
      <c r="G27" s="61"/>
      <c r="H27" s="32" t="e">
        <f>+#REF!</f>
        <v>#REF!</v>
      </c>
      <c r="I27" s="17" t="e">
        <f t="shared" ref="I27:I37" si="3">(+D27-H27)*F27</f>
        <v>#REF!</v>
      </c>
      <c r="J27" s="41"/>
      <c r="K27" s="41" t="e">
        <f t="shared" si="2"/>
        <v>#REF!</v>
      </c>
    </row>
    <row r="28" spans="1:11" x14ac:dyDescent="0.2">
      <c r="A28" s="31">
        <v>36951</v>
      </c>
      <c r="B28" s="15"/>
      <c r="C28" s="16" t="s">
        <v>46</v>
      </c>
      <c r="D28" s="32">
        <v>3</v>
      </c>
      <c r="E28" s="15"/>
      <c r="F28" s="18">
        <f>5000*31</f>
        <v>155000</v>
      </c>
      <c r="G28" s="61"/>
      <c r="H28" s="32" t="e">
        <f>+#REF!</f>
        <v>#REF!</v>
      </c>
      <c r="I28" s="17" t="e">
        <f t="shared" si="3"/>
        <v>#REF!</v>
      </c>
      <c r="J28" s="41"/>
      <c r="K28" s="41" t="e">
        <f t="shared" si="2"/>
        <v>#REF!</v>
      </c>
    </row>
    <row r="29" spans="1:11" x14ac:dyDescent="0.2">
      <c r="A29" s="31">
        <v>36982</v>
      </c>
      <c r="B29" s="15"/>
      <c r="C29" s="16" t="s">
        <v>46</v>
      </c>
      <c r="D29" s="32">
        <v>3</v>
      </c>
      <c r="E29" s="15"/>
      <c r="F29" s="18">
        <f>5000*30</f>
        <v>150000</v>
      </c>
      <c r="G29" s="61"/>
      <c r="H29" s="32" t="e">
        <f>+#REF!</f>
        <v>#REF!</v>
      </c>
      <c r="I29" s="17" t="e">
        <f t="shared" si="3"/>
        <v>#REF!</v>
      </c>
      <c r="J29" s="41"/>
      <c r="K29" s="41" t="e">
        <f t="shared" si="2"/>
        <v>#REF!</v>
      </c>
    </row>
    <row r="30" spans="1:11" x14ac:dyDescent="0.2">
      <c r="A30" s="31">
        <v>37012</v>
      </c>
      <c r="B30" s="15"/>
      <c r="C30" s="16" t="s">
        <v>46</v>
      </c>
      <c r="D30" s="32">
        <v>3</v>
      </c>
      <c r="E30" s="15"/>
      <c r="F30" s="18">
        <f>5000*31</f>
        <v>155000</v>
      </c>
      <c r="G30" s="15"/>
      <c r="H30" s="32" t="e">
        <f>+#REF!</f>
        <v>#REF!</v>
      </c>
      <c r="I30" s="17" t="e">
        <f t="shared" si="3"/>
        <v>#REF!</v>
      </c>
      <c r="J30" s="39"/>
      <c r="K30" s="41" t="e">
        <f t="shared" si="2"/>
        <v>#REF!</v>
      </c>
    </row>
    <row r="31" spans="1:11" x14ac:dyDescent="0.2">
      <c r="A31" s="31">
        <v>37043</v>
      </c>
      <c r="B31" s="15"/>
      <c r="C31" s="16" t="s">
        <v>46</v>
      </c>
      <c r="D31" s="32">
        <v>3</v>
      </c>
      <c r="E31" s="15"/>
      <c r="F31" s="18">
        <f>5000*30</f>
        <v>150000</v>
      </c>
      <c r="G31" s="15"/>
      <c r="H31" s="32" t="e">
        <f>+#REF!</f>
        <v>#REF!</v>
      </c>
      <c r="I31" s="17" t="e">
        <f t="shared" si="3"/>
        <v>#REF!</v>
      </c>
      <c r="J31" s="39"/>
      <c r="K31" s="41" t="e">
        <f t="shared" si="2"/>
        <v>#REF!</v>
      </c>
    </row>
    <row r="32" spans="1:11" x14ac:dyDescent="0.2">
      <c r="A32" s="31">
        <v>37073</v>
      </c>
      <c r="B32" s="15"/>
      <c r="C32" s="16" t="s">
        <v>46</v>
      </c>
      <c r="D32" s="32">
        <v>3</v>
      </c>
      <c r="E32" s="15"/>
      <c r="F32" s="18">
        <f>5000*31</f>
        <v>155000</v>
      </c>
      <c r="G32" s="15"/>
      <c r="H32" s="32" t="e">
        <f>+#REF!</f>
        <v>#REF!</v>
      </c>
      <c r="I32" s="17" t="e">
        <f t="shared" si="3"/>
        <v>#REF!</v>
      </c>
      <c r="J32" s="39"/>
      <c r="K32" s="41" t="e">
        <f t="shared" si="2"/>
        <v>#REF!</v>
      </c>
    </row>
    <row r="33" spans="1:11" x14ac:dyDescent="0.2">
      <c r="A33" s="31">
        <v>37104</v>
      </c>
      <c r="B33" s="15"/>
      <c r="C33" s="16" t="s">
        <v>46</v>
      </c>
      <c r="D33" s="32">
        <v>3</v>
      </c>
      <c r="E33" s="15"/>
      <c r="F33" s="18">
        <f>5000*31</f>
        <v>155000</v>
      </c>
      <c r="G33" s="15"/>
      <c r="H33" s="32" t="e">
        <f>+#REF!</f>
        <v>#REF!</v>
      </c>
      <c r="I33" s="17" t="e">
        <f t="shared" si="3"/>
        <v>#REF!</v>
      </c>
      <c r="J33" s="39"/>
      <c r="K33" s="41" t="e">
        <f t="shared" si="2"/>
        <v>#REF!</v>
      </c>
    </row>
    <row r="34" spans="1:11" x14ac:dyDescent="0.2">
      <c r="A34" s="31">
        <v>37135</v>
      </c>
      <c r="B34" s="15"/>
      <c r="C34" s="16" t="s">
        <v>46</v>
      </c>
      <c r="D34" s="32">
        <v>3</v>
      </c>
      <c r="E34" s="15"/>
      <c r="F34" s="18">
        <f>5000*30</f>
        <v>150000</v>
      </c>
      <c r="G34" s="15"/>
      <c r="H34" s="32" t="e">
        <f>+#REF!</f>
        <v>#REF!</v>
      </c>
      <c r="I34" s="17" t="e">
        <f t="shared" si="3"/>
        <v>#REF!</v>
      </c>
      <c r="J34" s="39"/>
      <c r="K34" s="41" t="e">
        <f t="shared" si="2"/>
        <v>#REF!</v>
      </c>
    </row>
    <row r="35" spans="1:11" x14ac:dyDescent="0.2">
      <c r="A35" s="31">
        <v>37165</v>
      </c>
      <c r="B35" s="15"/>
      <c r="C35" s="16" t="s">
        <v>46</v>
      </c>
      <c r="D35" s="32">
        <v>3</v>
      </c>
      <c r="E35" s="15"/>
      <c r="F35" s="18">
        <f>5000*31</f>
        <v>155000</v>
      </c>
      <c r="G35" s="15"/>
      <c r="H35" s="32" t="e">
        <f>+#REF!</f>
        <v>#REF!</v>
      </c>
      <c r="I35" s="17" t="e">
        <f t="shared" si="3"/>
        <v>#REF!</v>
      </c>
      <c r="J35" s="39"/>
      <c r="K35" s="41" t="e">
        <f t="shared" si="2"/>
        <v>#REF!</v>
      </c>
    </row>
    <row r="36" spans="1:11" x14ac:dyDescent="0.2">
      <c r="A36" s="31">
        <v>37196</v>
      </c>
      <c r="B36" s="15"/>
      <c r="C36" s="16" t="s">
        <v>46</v>
      </c>
      <c r="D36" s="32">
        <v>3</v>
      </c>
      <c r="E36" s="15"/>
      <c r="F36" s="18">
        <f>5000*30</f>
        <v>150000</v>
      </c>
      <c r="G36" s="15"/>
      <c r="H36" s="32" t="e">
        <f>+#REF!</f>
        <v>#REF!</v>
      </c>
      <c r="I36" s="17" t="e">
        <f t="shared" si="3"/>
        <v>#REF!</v>
      </c>
      <c r="J36" s="39"/>
      <c r="K36" s="41" t="e">
        <f t="shared" si="2"/>
        <v>#REF!</v>
      </c>
    </row>
    <row r="37" spans="1:11" x14ac:dyDescent="0.2">
      <c r="A37" s="31">
        <v>37226</v>
      </c>
      <c r="B37" s="15"/>
      <c r="C37" s="16" t="s">
        <v>46</v>
      </c>
      <c r="D37" s="32">
        <v>3</v>
      </c>
      <c r="E37" s="15"/>
      <c r="F37" s="18">
        <f>5000*31</f>
        <v>155000</v>
      </c>
      <c r="G37" s="15"/>
      <c r="H37" s="32" t="e">
        <f>+#REF!</f>
        <v>#REF!</v>
      </c>
      <c r="I37" s="17" t="e">
        <f t="shared" si="3"/>
        <v>#REF!</v>
      </c>
      <c r="J37" s="39"/>
      <c r="K37" s="41" t="e">
        <f t="shared" si="2"/>
        <v>#REF!</v>
      </c>
    </row>
    <row r="38" spans="1:11" x14ac:dyDescent="0.2">
      <c r="A38" s="31"/>
      <c r="B38" s="15"/>
      <c r="C38" s="16"/>
      <c r="D38" s="32"/>
      <c r="E38" s="15"/>
      <c r="F38" s="18"/>
      <c r="G38" s="15"/>
      <c r="H38" s="32"/>
      <c r="I38" s="37"/>
      <c r="J38" s="39"/>
      <c r="K38" s="41"/>
    </row>
    <row r="39" spans="1:11" x14ac:dyDescent="0.2">
      <c r="A39" s="15"/>
      <c r="B39" s="15"/>
      <c r="C39" s="15"/>
      <c r="D39" s="15"/>
      <c r="E39" s="15"/>
      <c r="F39" s="21">
        <f>SUM(F26:F38)</f>
        <v>1825000</v>
      </c>
      <c r="G39" s="15"/>
      <c r="H39" s="15"/>
      <c r="I39" s="33" t="e">
        <f>SUM(I26:I38)</f>
        <v>#REF!</v>
      </c>
      <c r="J39" s="33">
        <f>SUM(J26:J38)</f>
        <v>0</v>
      </c>
      <c r="K39" s="33" t="e">
        <f>SUM(K26:K38)</f>
        <v>#REF!</v>
      </c>
    </row>
    <row r="40" spans="1:11" x14ac:dyDescent="0.2">
      <c r="A40" s="15"/>
      <c r="B40" s="15"/>
      <c r="C40" s="15"/>
      <c r="D40" s="15"/>
      <c r="E40" s="15"/>
      <c r="F40" s="15"/>
      <c r="G40" s="15"/>
      <c r="H40" s="15"/>
      <c r="I40" s="15"/>
      <c r="J40" s="39"/>
      <c r="K40" s="39"/>
    </row>
    <row r="41" spans="1:11" ht="13.5" thickBot="1" x14ac:dyDescent="0.25">
      <c r="A41" s="15"/>
      <c r="B41" s="15"/>
      <c r="C41" s="15"/>
      <c r="D41" s="15"/>
      <c r="E41" s="15"/>
      <c r="F41" s="23">
        <f>+F39+F22</f>
        <v>0</v>
      </c>
      <c r="G41" s="15"/>
      <c r="H41" s="15"/>
      <c r="I41" s="34" t="e">
        <f>+I39+I22</f>
        <v>#REF!</v>
      </c>
      <c r="J41" s="34">
        <f>+J39+J22</f>
        <v>182500</v>
      </c>
      <c r="K41" s="34" t="e">
        <f>+K39+K22</f>
        <v>#REF!</v>
      </c>
    </row>
    <row r="42" spans="1:11" ht="13.5" thickTop="1" x14ac:dyDescent="0.2">
      <c r="A42" s="26"/>
      <c r="B42" s="26"/>
      <c r="C42" s="26"/>
      <c r="D42" s="26"/>
      <c r="E42" s="26"/>
      <c r="F42" s="26"/>
      <c r="G42" s="26"/>
      <c r="H42" s="26"/>
      <c r="I42" s="26"/>
      <c r="J42" s="40"/>
      <c r="K42" s="40"/>
    </row>
    <row r="44" spans="1:11" x14ac:dyDescent="0.2">
      <c r="A44" s="29" t="s">
        <v>47</v>
      </c>
    </row>
  </sheetData>
  <pageMargins left="0.75" right="0.75" top="1" bottom="1" header="0.5" footer="0.5"/>
  <pageSetup scale="83" orientation="landscape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32"/>
  <sheetViews>
    <sheetView topLeftCell="B7" workbookViewId="0">
      <selection activeCell="G28" sqref="G28"/>
    </sheetView>
  </sheetViews>
  <sheetFormatPr defaultRowHeight="12.75" x14ac:dyDescent="0.2"/>
  <cols>
    <col min="1" max="4" width="10.7109375" customWidth="1"/>
    <col min="5" max="5" width="10.7109375" hidden="1" customWidth="1"/>
    <col min="6" max="8" width="10.7109375" customWidth="1"/>
    <col min="9" max="9" width="13.7109375" customWidth="1"/>
    <col min="10" max="10" width="12.140625" style="28" customWidth="1"/>
    <col min="11" max="11" width="13.7109375" style="28" customWidth="1"/>
  </cols>
  <sheetData>
    <row r="1" spans="1:11" s="2" customFormat="1" ht="15" x14ac:dyDescent="0.2">
      <c r="A1" s="1" t="s">
        <v>49</v>
      </c>
      <c r="B1" s="1"/>
      <c r="C1" s="1"/>
      <c r="D1" s="1"/>
      <c r="E1" s="1"/>
      <c r="F1" s="1"/>
      <c r="G1" s="1"/>
      <c r="H1" s="1"/>
      <c r="I1" s="1"/>
      <c r="J1" s="44"/>
      <c r="K1" s="44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44"/>
      <c r="K2" s="44"/>
    </row>
    <row r="3" spans="1:11" s="4" customFormat="1" ht="15.75" x14ac:dyDescent="0.25">
      <c r="A3" s="1" t="s">
        <v>60</v>
      </c>
      <c r="B3" s="1"/>
      <c r="C3" s="1"/>
      <c r="D3" s="1"/>
      <c r="E3" s="1"/>
      <c r="F3" s="1"/>
      <c r="G3" s="1"/>
      <c r="H3" s="1"/>
      <c r="I3" s="1"/>
      <c r="J3" s="44"/>
      <c r="K3" s="44"/>
    </row>
    <row r="4" spans="1:11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  <c r="J4" s="42"/>
      <c r="K4" s="42"/>
    </row>
    <row r="6" spans="1:11" s="7" customFormat="1" x14ac:dyDescent="0.2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24</v>
      </c>
      <c r="I6" s="55" t="s">
        <v>55</v>
      </c>
      <c r="J6" s="56"/>
      <c r="K6" s="57"/>
    </row>
    <row r="7" spans="1:11" s="7" customFormat="1" x14ac:dyDescent="0.2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">
      <c r="A8" s="11"/>
      <c r="B8" s="12"/>
      <c r="C8" s="12"/>
      <c r="D8" s="12"/>
      <c r="E8" s="12"/>
      <c r="F8" s="12"/>
      <c r="G8" s="46" t="s">
        <v>58</v>
      </c>
      <c r="H8" s="13"/>
      <c r="I8" s="58" t="s">
        <v>31</v>
      </c>
      <c r="J8" s="58" t="s">
        <v>31</v>
      </c>
      <c r="K8" s="59" t="s">
        <v>31</v>
      </c>
    </row>
    <row r="9" spans="1:11" x14ac:dyDescent="0.2">
      <c r="A9" s="63" t="s">
        <v>61</v>
      </c>
      <c r="B9" s="15"/>
      <c r="C9" s="16"/>
      <c r="D9" s="62">
        <v>1.9450000000000001</v>
      </c>
      <c r="E9" s="17"/>
      <c r="F9" s="18">
        <f>250*30</f>
        <v>7500</v>
      </c>
      <c r="G9" s="62">
        <v>1.96</v>
      </c>
      <c r="H9" s="62"/>
      <c r="I9" s="19">
        <f t="shared" ref="I9:I20" si="0">SUM(D9-G9)*F9</f>
        <v>-112.49999999999926</v>
      </c>
      <c r="J9" s="19">
        <f t="shared" ref="J9:J20" si="1">+I9</f>
        <v>-112.49999999999926</v>
      </c>
      <c r="K9" s="19"/>
    </row>
    <row r="10" spans="1:11" x14ac:dyDescent="0.2">
      <c r="A10" s="63" t="s">
        <v>62</v>
      </c>
      <c r="B10" s="15"/>
      <c r="C10" s="16"/>
      <c r="D10" s="62">
        <v>1.9450000000000001</v>
      </c>
      <c r="E10" s="17"/>
      <c r="F10" s="18">
        <f>250*31</f>
        <v>7750</v>
      </c>
      <c r="G10" s="62">
        <v>2.0499999999999998</v>
      </c>
      <c r="H10" s="62"/>
      <c r="I10" s="19">
        <f t="shared" si="0"/>
        <v>-813.74999999999818</v>
      </c>
      <c r="J10" s="19">
        <f t="shared" si="1"/>
        <v>-813.74999999999818</v>
      </c>
      <c r="K10" s="19"/>
    </row>
    <row r="11" spans="1:11" x14ac:dyDescent="0.2">
      <c r="A11" s="63" t="s">
        <v>63</v>
      </c>
      <c r="B11" s="15"/>
      <c r="C11" s="16"/>
      <c r="D11" s="62">
        <v>1.9450000000000001</v>
      </c>
      <c r="E11" s="17"/>
      <c r="F11" s="18">
        <f>250*31</f>
        <v>7750</v>
      </c>
      <c r="G11" s="62">
        <v>2.2599999999999998</v>
      </c>
      <c r="H11" s="32"/>
      <c r="I11" s="19">
        <f t="shared" si="0"/>
        <v>-2441.2499999999977</v>
      </c>
      <c r="J11" s="19">
        <f t="shared" si="1"/>
        <v>-2441.2499999999977</v>
      </c>
      <c r="K11" s="19"/>
    </row>
    <row r="12" spans="1:11" x14ac:dyDescent="0.2">
      <c r="A12" s="63" t="s">
        <v>64</v>
      </c>
      <c r="B12" s="15"/>
      <c r="C12" s="16"/>
      <c r="D12" s="62">
        <v>1.9450000000000001</v>
      </c>
      <c r="E12" s="17"/>
      <c r="F12" s="18">
        <f>250*30</f>
        <v>7500</v>
      </c>
      <c r="G12" s="62">
        <v>2.63</v>
      </c>
      <c r="H12" s="32"/>
      <c r="I12" s="19">
        <f t="shared" si="0"/>
        <v>-5137.4999999999991</v>
      </c>
      <c r="J12" s="19">
        <f t="shared" si="1"/>
        <v>-5137.4999999999991</v>
      </c>
      <c r="K12" s="19"/>
    </row>
    <row r="13" spans="1:11" x14ac:dyDescent="0.2">
      <c r="A13" s="63" t="s">
        <v>65</v>
      </c>
      <c r="B13" s="15"/>
      <c r="C13" s="16"/>
      <c r="D13" s="62">
        <v>1.9450000000000001</v>
      </c>
      <c r="E13" s="17"/>
      <c r="F13" s="18">
        <f>250*31</f>
        <v>7750</v>
      </c>
      <c r="G13" s="32">
        <v>2.37</v>
      </c>
      <c r="H13" s="32"/>
      <c r="I13" s="19">
        <f t="shared" si="0"/>
        <v>-3293.7500000000005</v>
      </c>
      <c r="J13" s="19">
        <f t="shared" si="1"/>
        <v>-3293.7500000000005</v>
      </c>
      <c r="K13" s="19"/>
    </row>
    <row r="14" spans="1:11" x14ac:dyDescent="0.2">
      <c r="A14" s="63" t="s">
        <v>66</v>
      </c>
      <c r="B14" s="15"/>
      <c r="C14" s="16"/>
      <c r="D14" s="62">
        <v>1.9450000000000001</v>
      </c>
      <c r="E14" s="17"/>
      <c r="F14" s="18">
        <f>250*30</f>
        <v>7500</v>
      </c>
      <c r="G14" s="32">
        <v>2.84</v>
      </c>
      <c r="H14" s="32"/>
      <c r="I14" s="19">
        <f t="shared" si="0"/>
        <v>-6712.4999999999982</v>
      </c>
      <c r="J14" s="19">
        <f t="shared" si="1"/>
        <v>-6712.4999999999982</v>
      </c>
      <c r="K14" s="19"/>
    </row>
    <row r="15" spans="1:11" x14ac:dyDescent="0.2">
      <c r="A15" s="63" t="s">
        <v>67</v>
      </c>
      <c r="B15" s="15"/>
      <c r="C15" s="16"/>
      <c r="D15" s="62">
        <v>1.9450000000000001</v>
      </c>
      <c r="E15" s="17"/>
      <c r="F15" s="18">
        <f>250*31</f>
        <v>7750</v>
      </c>
      <c r="G15" s="32">
        <v>2.08</v>
      </c>
      <c r="H15" s="32"/>
      <c r="I15" s="19">
        <f t="shared" si="0"/>
        <v>-1046.25</v>
      </c>
      <c r="J15" s="19">
        <f t="shared" si="1"/>
        <v>-1046.25</v>
      </c>
      <c r="K15" s="19"/>
    </row>
    <row r="16" spans="1:11" x14ac:dyDescent="0.2">
      <c r="A16" s="63" t="s">
        <v>68</v>
      </c>
      <c r="B16" s="15"/>
      <c r="C16" s="16"/>
      <c r="D16" s="62">
        <v>1.9450000000000001</v>
      </c>
      <c r="E16" s="17"/>
      <c r="F16" s="18">
        <f>250*31</f>
        <v>7750</v>
      </c>
      <c r="G16" s="32">
        <v>2.1800000000000002</v>
      </c>
      <c r="H16" s="32"/>
      <c r="I16" s="19">
        <f t="shared" si="0"/>
        <v>-1821.2500000000007</v>
      </c>
      <c r="J16" s="19">
        <f t="shared" si="1"/>
        <v>-1821.2500000000007</v>
      </c>
      <c r="K16" s="19"/>
    </row>
    <row r="17" spans="1:12" x14ac:dyDescent="0.2">
      <c r="A17" s="63" t="s">
        <v>69</v>
      </c>
      <c r="B17" s="15"/>
      <c r="C17" s="16"/>
      <c r="D17" s="62">
        <v>1.9450000000000001</v>
      </c>
      <c r="E17" s="17"/>
      <c r="F17" s="18">
        <f>250*29</f>
        <v>7250</v>
      </c>
      <c r="G17" s="32">
        <v>2.36</v>
      </c>
      <c r="H17" s="32"/>
      <c r="I17" s="19">
        <f t="shared" si="0"/>
        <v>-3008.7499999999986</v>
      </c>
      <c r="J17" s="19">
        <f t="shared" si="1"/>
        <v>-3008.7499999999986</v>
      </c>
      <c r="K17" s="19"/>
    </row>
    <row r="18" spans="1:12" x14ac:dyDescent="0.2">
      <c r="A18" s="63" t="s">
        <v>70</v>
      </c>
      <c r="B18" s="15"/>
      <c r="C18" s="16"/>
      <c r="D18" s="62">
        <v>1.9450000000000001</v>
      </c>
      <c r="E18" s="17"/>
      <c r="F18" s="18">
        <f>250*31</f>
        <v>7750</v>
      </c>
      <c r="G18" s="32">
        <v>2.37</v>
      </c>
      <c r="H18" s="32"/>
      <c r="I18" s="19">
        <f t="shared" si="0"/>
        <v>-3293.7500000000005</v>
      </c>
      <c r="J18" s="19">
        <f t="shared" si="1"/>
        <v>-3293.7500000000005</v>
      </c>
      <c r="K18" s="19"/>
    </row>
    <row r="19" spans="1:12" x14ac:dyDescent="0.2">
      <c r="A19" s="63" t="s">
        <v>71</v>
      </c>
      <c r="B19" s="15"/>
      <c r="C19" s="16"/>
      <c r="D19" s="62">
        <v>1.9450000000000001</v>
      </c>
      <c r="E19" s="17"/>
      <c r="F19" s="18">
        <f>250*30</f>
        <v>7500</v>
      </c>
      <c r="G19" s="32">
        <v>2.75</v>
      </c>
      <c r="H19" s="32"/>
      <c r="I19" s="19">
        <f t="shared" si="0"/>
        <v>-6037.4999999999991</v>
      </c>
      <c r="J19" s="19">
        <f t="shared" si="1"/>
        <v>-6037.4999999999991</v>
      </c>
      <c r="K19" s="19"/>
    </row>
    <row r="20" spans="1:12" x14ac:dyDescent="0.2">
      <c r="A20" s="63" t="s">
        <v>72</v>
      </c>
      <c r="B20" s="15"/>
      <c r="C20" s="16"/>
      <c r="D20" s="62">
        <v>1.9450000000000001</v>
      </c>
      <c r="E20" s="17"/>
      <c r="F20" s="18">
        <f>250*31</f>
        <v>7750</v>
      </c>
      <c r="G20" s="32">
        <v>2.78</v>
      </c>
      <c r="H20" s="32"/>
      <c r="I20" s="19">
        <f t="shared" si="0"/>
        <v>-6471.2499999999982</v>
      </c>
      <c r="J20" s="19">
        <f t="shared" si="1"/>
        <v>-6471.2499999999982</v>
      </c>
      <c r="K20" s="19"/>
    </row>
    <row r="21" spans="1:12" x14ac:dyDescent="0.2">
      <c r="A21" s="20"/>
      <c r="B21" s="15"/>
      <c r="C21" s="15"/>
      <c r="D21" s="15"/>
      <c r="E21" s="15"/>
      <c r="F21" s="21">
        <f>SUM(F9:F20)</f>
        <v>91500</v>
      </c>
      <c r="G21" s="15"/>
      <c r="H21" s="15"/>
      <c r="I21" s="22">
        <f>SUM(I9:I20)</f>
        <v>-40189.999999999993</v>
      </c>
      <c r="J21" s="22">
        <f>SUM(J9:J20)</f>
        <v>-40189.999999999993</v>
      </c>
      <c r="K21" s="22">
        <f>SUM(K9:K20)</f>
        <v>0</v>
      </c>
      <c r="L21" s="43">
        <f>+J21+K21-I21</f>
        <v>0</v>
      </c>
    </row>
    <row r="22" spans="1:12" x14ac:dyDescent="0.2">
      <c r="A22" s="20"/>
      <c r="B22" s="15"/>
      <c r="C22" s="15"/>
      <c r="D22" s="15"/>
      <c r="E22" s="15"/>
      <c r="F22" s="38"/>
      <c r="G22" s="15"/>
      <c r="H22" s="15"/>
      <c r="I22" s="47"/>
      <c r="J22" s="47"/>
      <c r="K22" s="47"/>
      <c r="L22" s="43"/>
    </row>
    <row r="23" spans="1:12" x14ac:dyDescent="0.2">
      <c r="A23" s="20"/>
      <c r="B23" s="15"/>
      <c r="C23" s="15"/>
      <c r="D23" s="15"/>
      <c r="E23" s="15"/>
      <c r="F23" s="15"/>
      <c r="G23" s="50" t="s">
        <v>59</v>
      </c>
      <c r="H23" s="15"/>
      <c r="I23" s="19"/>
      <c r="J23" s="19"/>
      <c r="K23" s="19"/>
    </row>
    <row r="24" spans="1:12" x14ac:dyDescent="0.2">
      <c r="A24" s="20"/>
      <c r="B24" s="15"/>
      <c r="C24" s="15"/>
      <c r="D24" s="15"/>
      <c r="E24" s="15"/>
      <c r="F24" s="15"/>
      <c r="G24" s="48"/>
      <c r="H24" s="15"/>
      <c r="I24" s="19"/>
      <c r="J24" s="19"/>
      <c r="K24" s="19"/>
    </row>
    <row r="25" spans="1:12" x14ac:dyDescent="0.2">
      <c r="A25" s="63" t="s">
        <v>61</v>
      </c>
      <c r="B25" s="16">
        <f>26125</f>
        <v>26125</v>
      </c>
      <c r="C25" s="16" t="s">
        <v>35</v>
      </c>
      <c r="D25" s="62">
        <v>1.9450000000000001</v>
      </c>
      <c r="E25" s="18">
        <f>-8600*30</f>
        <v>-258000</v>
      </c>
      <c r="F25" s="18">
        <f>-F9</f>
        <v>-7500</v>
      </c>
      <c r="G25" s="62">
        <v>2.0699999999999998</v>
      </c>
      <c r="H25" s="62"/>
      <c r="I25" s="19">
        <f t="shared" ref="I25:I36" si="2">SUM(D25-G25)*F25</f>
        <v>937.49999999999829</v>
      </c>
      <c r="J25" s="19">
        <f t="shared" ref="J25:J36" si="3">+I25</f>
        <v>937.49999999999829</v>
      </c>
      <c r="K25" s="19"/>
    </row>
    <row r="26" spans="1:12" x14ac:dyDescent="0.2">
      <c r="A26" s="63" t="s">
        <v>62</v>
      </c>
      <c r="B26" s="16">
        <f>26125</f>
        <v>26125</v>
      </c>
      <c r="C26" s="16" t="s">
        <v>35</v>
      </c>
      <c r="D26" s="62">
        <v>1.9450000000000001</v>
      </c>
      <c r="E26" s="18">
        <f>-8600*31</f>
        <v>-266600</v>
      </c>
      <c r="F26" s="18">
        <f t="shared" ref="F26:F36" si="4">-F10</f>
        <v>-7750</v>
      </c>
      <c r="G26" s="62">
        <v>2.11</v>
      </c>
      <c r="H26" s="62"/>
      <c r="I26" s="19">
        <f t="shared" si="2"/>
        <v>1278.7499999999986</v>
      </c>
      <c r="J26" s="19">
        <f t="shared" si="3"/>
        <v>1278.7499999999986</v>
      </c>
      <c r="K26" s="19"/>
    </row>
    <row r="27" spans="1:12" x14ac:dyDescent="0.2">
      <c r="A27" s="63" t="s">
        <v>63</v>
      </c>
      <c r="B27" s="16">
        <f>26125</f>
        <v>26125</v>
      </c>
      <c r="C27" s="16" t="s">
        <v>35</v>
      </c>
      <c r="D27" s="62">
        <v>1.9450000000000001</v>
      </c>
      <c r="E27" s="18">
        <f>-8600*31</f>
        <v>-266600</v>
      </c>
      <c r="F27" s="18">
        <f t="shared" si="4"/>
        <v>-7750</v>
      </c>
      <c r="G27" s="62">
        <v>2.5099999999999998</v>
      </c>
      <c r="H27" s="32"/>
      <c r="I27" s="19">
        <f t="shared" si="2"/>
        <v>4378.7499999999982</v>
      </c>
      <c r="J27" s="19">
        <f t="shared" si="3"/>
        <v>4378.7499999999982</v>
      </c>
      <c r="K27" s="19"/>
    </row>
    <row r="28" spans="1:12" x14ac:dyDescent="0.2">
      <c r="A28" s="63" t="s">
        <v>64</v>
      </c>
      <c r="B28" s="16">
        <f>26125</f>
        <v>26125</v>
      </c>
      <c r="C28" s="16" t="s">
        <v>35</v>
      </c>
      <c r="D28" s="62">
        <v>1.9450000000000001</v>
      </c>
      <c r="E28" s="18">
        <f>-8600*30</f>
        <v>-258000</v>
      </c>
      <c r="F28" s="18">
        <f t="shared" si="4"/>
        <v>-7500</v>
      </c>
      <c r="G28" s="62">
        <v>2.36</v>
      </c>
      <c r="H28" s="32"/>
      <c r="I28" s="19">
        <f t="shared" si="2"/>
        <v>3112.4999999999986</v>
      </c>
      <c r="J28" s="19">
        <f t="shared" si="3"/>
        <v>3112.4999999999986</v>
      </c>
      <c r="K28" s="19"/>
    </row>
    <row r="29" spans="1:12" x14ac:dyDescent="0.2">
      <c r="A29" s="63" t="s">
        <v>65</v>
      </c>
      <c r="B29" s="16">
        <f>26125</f>
        <v>26125</v>
      </c>
      <c r="C29" s="16" t="s">
        <v>35</v>
      </c>
      <c r="D29" s="62">
        <v>1.9450000000000001</v>
      </c>
      <c r="E29" s="18">
        <f>-8600*31</f>
        <v>-266600</v>
      </c>
      <c r="F29" s="18">
        <f t="shared" si="4"/>
        <v>-7750</v>
      </c>
      <c r="G29" s="62">
        <v>2.62</v>
      </c>
      <c r="H29" s="32"/>
      <c r="I29" s="19">
        <f t="shared" si="2"/>
        <v>5231.25</v>
      </c>
      <c r="J29" s="19">
        <f t="shared" si="3"/>
        <v>5231.25</v>
      </c>
      <c r="K29" s="19"/>
    </row>
    <row r="30" spans="1:12" x14ac:dyDescent="0.2">
      <c r="A30" s="63" t="s">
        <v>66</v>
      </c>
      <c r="B30" s="16">
        <f>26125</f>
        <v>26125</v>
      </c>
      <c r="C30" s="16" t="s">
        <v>35</v>
      </c>
      <c r="D30" s="62">
        <v>1.9450000000000001</v>
      </c>
      <c r="E30" s="18">
        <f>-8600*30</f>
        <v>-258000</v>
      </c>
      <c r="F30" s="18">
        <f t="shared" si="4"/>
        <v>-7500</v>
      </c>
      <c r="G30" s="62">
        <v>2.17</v>
      </c>
      <c r="H30" s="32"/>
      <c r="I30" s="19">
        <f t="shared" si="2"/>
        <v>1687.4999999999991</v>
      </c>
      <c r="J30" s="19">
        <f t="shared" si="3"/>
        <v>1687.4999999999991</v>
      </c>
      <c r="K30" s="19"/>
    </row>
    <row r="31" spans="1:12" x14ac:dyDescent="0.2">
      <c r="A31" s="63" t="s">
        <v>67</v>
      </c>
      <c r="B31" s="16">
        <f>26125</f>
        <v>26125</v>
      </c>
      <c r="C31" s="16" t="s">
        <v>35</v>
      </c>
      <c r="D31" s="62">
        <v>1.9450000000000001</v>
      </c>
      <c r="E31" s="18">
        <f>-8600*31</f>
        <v>-266600</v>
      </c>
      <c r="F31" s="18">
        <f t="shared" si="4"/>
        <v>-7750</v>
      </c>
      <c r="G31" s="62">
        <v>2.2400000000000002</v>
      </c>
      <c r="H31" s="32"/>
      <c r="I31" s="19">
        <f t="shared" si="2"/>
        <v>2286.2500000000014</v>
      </c>
      <c r="J31" s="19">
        <f t="shared" si="3"/>
        <v>2286.2500000000014</v>
      </c>
      <c r="K31" s="19"/>
    </row>
    <row r="32" spans="1:12" x14ac:dyDescent="0.2">
      <c r="A32" s="63" t="s">
        <v>68</v>
      </c>
      <c r="B32" s="16">
        <f>26125</f>
        <v>26125</v>
      </c>
      <c r="C32" s="16" t="s">
        <v>35</v>
      </c>
      <c r="D32" s="62">
        <v>1.9450000000000001</v>
      </c>
      <c r="E32" s="18">
        <f>-8600*31</f>
        <v>-266600</v>
      </c>
      <c r="F32" s="18">
        <f t="shared" si="4"/>
        <v>-7750</v>
      </c>
      <c r="G32" s="62">
        <v>2.2599999999999998</v>
      </c>
      <c r="H32" s="32"/>
      <c r="I32" s="19">
        <f t="shared" si="2"/>
        <v>2441.2499999999977</v>
      </c>
      <c r="J32" s="19">
        <f t="shared" si="3"/>
        <v>2441.2499999999977</v>
      </c>
      <c r="K32" s="19"/>
    </row>
    <row r="33" spans="1:12" x14ac:dyDescent="0.2">
      <c r="A33" s="63" t="s">
        <v>69</v>
      </c>
      <c r="B33" s="16">
        <f>26125</f>
        <v>26125</v>
      </c>
      <c r="C33" s="16" t="s">
        <v>35</v>
      </c>
      <c r="D33" s="62">
        <v>1.9450000000000001</v>
      </c>
      <c r="E33" s="18">
        <f>-8600*28</f>
        <v>-240800</v>
      </c>
      <c r="F33" s="18">
        <f t="shared" si="4"/>
        <v>-7250</v>
      </c>
      <c r="G33" s="32">
        <v>2.4300000000000002</v>
      </c>
      <c r="H33" s="32"/>
      <c r="I33" s="19">
        <f t="shared" si="2"/>
        <v>3516.2500000000009</v>
      </c>
      <c r="J33" s="19">
        <f t="shared" si="3"/>
        <v>3516.2500000000009</v>
      </c>
      <c r="K33" s="19"/>
    </row>
    <row r="34" spans="1:12" x14ac:dyDescent="0.2">
      <c r="A34" s="63" t="s">
        <v>70</v>
      </c>
      <c r="B34" s="16">
        <f>26125</f>
        <v>26125</v>
      </c>
      <c r="C34" s="16" t="s">
        <v>35</v>
      </c>
      <c r="D34" s="62">
        <v>1.9450000000000001</v>
      </c>
      <c r="E34" s="18">
        <f>-8600*31</f>
        <v>-266600</v>
      </c>
      <c r="F34" s="18">
        <f t="shared" si="4"/>
        <v>-7750</v>
      </c>
      <c r="G34" s="32">
        <v>2.64</v>
      </c>
      <c r="H34" s="32"/>
      <c r="I34" s="19">
        <f t="shared" si="2"/>
        <v>5386.2500000000009</v>
      </c>
      <c r="J34" s="19">
        <f t="shared" si="3"/>
        <v>5386.2500000000009</v>
      </c>
      <c r="K34" s="19"/>
    </row>
    <row r="35" spans="1:12" x14ac:dyDescent="0.2">
      <c r="A35" s="63" t="s">
        <v>71</v>
      </c>
      <c r="B35" s="16">
        <f>26125</f>
        <v>26125</v>
      </c>
      <c r="C35" s="16" t="s">
        <v>35</v>
      </c>
      <c r="D35" s="62">
        <v>1.9450000000000001</v>
      </c>
      <c r="E35" s="18">
        <f>-8600*30</f>
        <v>-258000</v>
      </c>
      <c r="F35" s="18">
        <f t="shared" si="4"/>
        <v>-7500</v>
      </c>
      <c r="G35" s="32">
        <v>2.79</v>
      </c>
      <c r="H35" s="32"/>
      <c r="I35" s="19">
        <f t="shared" si="2"/>
        <v>6337.5</v>
      </c>
      <c r="J35" s="19">
        <f t="shared" si="3"/>
        <v>6337.5</v>
      </c>
      <c r="K35" s="19"/>
    </row>
    <row r="36" spans="1:12" x14ac:dyDescent="0.2">
      <c r="A36" s="63" t="s">
        <v>72</v>
      </c>
      <c r="B36" s="16">
        <f>26125</f>
        <v>26125</v>
      </c>
      <c r="C36" s="16" t="s">
        <v>35</v>
      </c>
      <c r="D36" s="62">
        <v>1.9450000000000001</v>
      </c>
      <c r="E36" s="18">
        <f>-8600*31</f>
        <v>-266600</v>
      </c>
      <c r="F36" s="18">
        <f t="shared" si="4"/>
        <v>-7750</v>
      </c>
      <c r="G36" s="17">
        <v>3.31</v>
      </c>
      <c r="H36" s="32"/>
      <c r="I36" s="19">
        <f t="shared" si="2"/>
        <v>10578.75</v>
      </c>
      <c r="J36" s="19">
        <f t="shared" si="3"/>
        <v>10578.75</v>
      </c>
      <c r="K36" s="19"/>
    </row>
    <row r="37" spans="1:12" x14ac:dyDescent="0.2">
      <c r="A37" s="20"/>
      <c r="B37" s="15"/>
      <c r="C37" s="15"/>
      <c r="D37" s="15"/>
      <c r="E37" s="15"/>
      <c r="F37" s="21">
        <f>SUM(F25:F36)</f>
        <v>-91500</v>
      </c>
      <c r="G37" s="15"/>
      <c r="H37" s="62"/>
      <c r="I37" s="22">
        <f>SUM(I25:I36)</f>
        <v>47172.499999999985</v>
      </c>
      <c r="J37" s="22">
        <f>SUM(J25:J36)</f>
        <v>47172.499999999985</v>
      </c>
      <c r="K37" s="22">
        <f>SUM(K25:K36)</f>
        <v>0</v>
      </c>
      <c r="L37" s="43">
        <f>+J37+K37-I37</f>
        <v>0</v>
      </c>
    </row>
    <row r="38" spans="1:12" x14ac:dyDescent="0.2">
      <c r="A38" s="20"/>
      <c r="B38" s="15"/>
      <c r="C38" s="15"/>
      <c r="D38" s="15"/>
      <c r="E38" s="15"/>
      <c r="F38" s="15"/>
      <c r="G38" s="15"/>
      <c r="H38" s="15"/>
      <c r="I38" s="19"/>
      <c r="J38" s="19"/>
      <c r="K38" s="19"/>
    </row>
    <row r="39" spans="1:12" ht="13.5" thickBot="1" x14ac:dyDescent="0.25">
      <c r="A39" s="20"/>
      <c r="B39" s="15"/>
      <c r="C39" s="15"/>
      <c r="D39" s="15"/>
      <c r="E39" s="15"/>
      <c r="F39" s="23">
        <f>+F21+F37</f>
        <v>0</v>
      </c>
      <c r="G39" s="15"/>
      <c r="H39" s="15"/>
      <c r="I39" s="24">
        <f>+I21+I37</f>
        <v>6982.4999999999927</v>
      </c>
      <c r="J39" s="24">
        <f>+J21+J37</f>
        <v>6982.4999999999927</v>
      </c>
      <c r="K39" s="24">
        <f>+K21+K37</f>
        <v>0</v>
      </c>
      <c r="L39" s="43">
        <f>+J39+K39-I39</f>
        <v>0</v>
      </c>
    </row>
    <row r="40" spans="1:12" ht="13.5" thickTop="1" x14ac:dyDescent="0.2">
      <c r="A40" s="25"/>
      <c r="B40" s="26"/>
      <c r="C40" s="26"/>
      <c r="D40" s="26"/>
      <c r="E40" s="26"/>
      <c r="F40" s="26"/>
      <c r="G40" s="26"/>
      <c r="H40" s="26"/>
      <c r="I40" s="27"/>
      <c r="J40" s="27"/>
      <c r="K40" s="27"/>
    </row>
    <row r="41" spans="1:12" x14ac:dyDescent="0.2">
      <c r="I41" s="28"/>
    </row>
    <row r="42" spans="1:12" x14ac:dyDescent="0.2">
      <c r="A42" s="29" t="s">
        <v>47</v>
      </c>
      <c r="J42"/>
      <c r="K42"/>
    </row>
    <row r="43" spans="1:12" s="29" customFormat="1" ht="11.25" x14ac:dyDescent="0.2">
      <c r="I43" s="30"/>
      <c r="J43" s="30"/>
      <c r="K43" s="30"/>
    </row>
    <row r="44" spans="1:12" x14ac:dyDescent="0.2">
      <c r="I44" s="28"/>
    </row>
    <row r="45" spans="1:12" x14ac:dyDescent="0.2">
      <c r="I45" s="28"/>
    </row>
    <row r="46" spans="1:12" x14ac:dyDescent="0.2">
      <c r="I46" s="28"/>
    </row>
    <row r="47" spans="1:12" x14ac:dyDescent="0.2">
      <c r="I47" s="28"/>
    </row>
    <row r="48" spans="1:12" x14ac:dyDescent="0.2">
      <c r="I48" s="28"/>
    </row>
    <row r="49" spans="9:9" x14ac:dyDescent="0.2">
      <c r="I49" s="28"/>
    </row>
    <row r="50" spans="9:9" x14ac:dyDescent="0.2">
      <c r="I50" s="28"/>
    </row>
    <row r="51" spans="9:9" x14ac:dyDescent="0.2">
      <c r="I51" s="28"/>
    </row>
    <row r="52" spans="9:9" x14ac:dyDescent="0.2">
      <c r="I52" s="28"/>
    </row>
    <row r="53" spans="9:9" x14ac:dyDescent="0.2">
      <c r="I53" s="28"/>
    </row>
    <row r="54" spans="9:9" x14ac:dyDescent="0.2">
      <c r="I54" s="28"/>
    </row>
    <row r="55" spans="9:9" x14ac:dyDescent="0.2">
      <c r="I55" s="28"/>
    </row>
    <row r="56" spans="9:9" x14ac:dyDescent="0.2">
      <c r="I56" s="28"/>
    </row>
    <row r="57" spans="9:9" x14ac:dyDescent="0.2">
      <c r="I57" s="28"/>
    </row>
    <row r="58" spans="9:9" x14ac:dyDescent="0.2">
      <c r="I58" s="28"/>
    </row>
    <row r="59" spans="9:9" x14ac:dyDescent="0.2">
      <c r="I59" s="28"/>
    </row>
    <row r="60" spans="9:9" x14ac:dyDescent="0.2">
      <c r="I60" s="28"/>
    </row>
    <row r="61" spans="9:9" x14ac:dyDescent="0.2">
      <c r="I61" s="28"/>
    </row>
    <row r="62" spans="9:9" x14ac:dyDescent="0.2">
      <c r="I62" s="28"/>
    </row>
    <row r="63" spans="9:9" x14ac:dyDescent="0.2">
      <c r="I63" s="28"/>
    </row>
    <row r="64" spans="9:9" x14ac:dyDescent="0.2">
      <c r="I64" s="28"/>
    </row>
    <row r="65" spans="9:9" x14ac:dyDescent="0.2">
      <c r="I65" s="28"/>
    </row>
    <row r="66" spans="9:9" x14ac:dyDescent="0.2">
      <c r="I66" s="28"/>
    </row>
    <row r="67" spans="9:9" x14ac:dyDescent="0.2">
      <c r="I67" s="28"/>
    </row>
    <row r="68" spans="9:9" x14ac:dyDescent="0.2">
      <c r="I68" s="28"/>
    </row>
    <row r="69" spans="9:9" x14ac:dyDescent="0.2">
      <c r="I69" s="28"/>
    </row>
    <row r="70" spans="9:9" x14ac:dyDescent="0.2">
      <c r="I70" s="28"/>
    </row>
    <row r="71" spans="9:9" x14ac:dyDescent="0.2">
      <c r="I71" s="28"/>
    </row>
    <row r="72" spans="9:9" x14ac:dyDescent="0.2">
      <c r="I72" s="28"/>
    </row>
    <row r="73" spans="9:9" x14ac:dyDescent="0.2">
      <c r="I73" s="28"/>
    </row>
    <row r="74" spans="9:9" x14ac:dyDescent="0.2">
      <c r="I74" s="28"/>
    </row>
    <row r="75" spans="9:9" x14ac:dyDescent="0.2">
      <c r="I75" s="28"/>
    </row>
    <row r="76" spans="9:9" x14ac:dyDescent="0.2">
      <c r="I76" s="28"/>
    </row>
    <row r="77" spans="9:9" x14ac:dyDescent="0.2">
      <c r="I77" s="28"/>
    </row>
    <row r="78" spans="9:9" x14ac:dyDescent="0.2">
      <c r="I78" s="28"/>
    </row>
    <row r="79" spans="9:9" x14ac:dyDescent="0.2">
      <c r="I79" s="28"/>
    </row>
    <row r="80" spans="9:9" x14ac:dyDescent="0.2">
      <c r="I80" s="28"/>
    </row>
    <row r="81" spans="9:9" x14ac:dyDescent="0.2">
      <c r="I81" s="28"/>
    </row>
    <row r="82" spans="9:9" x14ac:dyDescent="0.2">
      <c r="I82" s="28"/>
    </row>
    <row r="83" spans="9:9" x14ac:dyDescent="0.2">
      <c r="I83" s="28"/>
    </row>
    <row r="84" spans="9:9" x14ac:dyDescent="0.2">
      <c r="I84" s="28"/>
    </row>
    <row r="85" spans="9:9" x14ac:dyDescent="0.2">
      <c r="I85" s="28"/>
    </row>
    <row r="86" spans="9:9" x14ac:dyDescent="0.2">
      <c r="I86" s="28"/>
    </row>
    <row r="87" spans="9:9" x14ac:dyDescent="0.2">
      <c r="I87" s="28"/>
    </row>
    <row r="88" spans="9:9" x14ac:dyDescent="0.2">
      <c r="I88" s="28"/>
    </row>
    <row r="89" spans="9:9" x14ac:dyDescent="0.2">
      <c r="I89" s="28"/>
    </row>
    <row r="90" spans="9:9" x14ac:dyDescent="0.2">
      <c r="I90" s="28"/>
    </row>
    <row r="91" spans="9:9" x14ac:dyDescent="0.2">
      <c r="I91" s="28"/>
    </row>
    <row r="92" spans="9:9" x14ac:dyDescent="0.2">
      <c r="I92" s="28"/>
    </row>
    <row r="93" spans="9:9" x14ac:dyDescent="0.2">
      <c r="I93" s="28"/>
    </row>
    <row r="94" spans="9:9" x14ac:dyDescent="0.2">
      <c r="I94" s="28"/>
    </row>
    <row r="95" spans="9:9" x14ac:dyDescent="0.2">
      <c r="I95" s="28"/>
    </row>
    <row r="96" spans="9:9" x14ac:dyDescent="0.2">
      <c r="I96" s="28"/>
    </row>
    <row r="97" spans="9:9" x14ac:dyDescent="0.2">
      <c r="I97" s="28"/>
    </row>
    <row r="98" spans="9:9" x14ac:dyDescent="0.2">
      <c r="I98" s="28"/>
    </row>
    <row r="99" spans="9:9" x14ac:dyDescent="0.2">
      <c r="I99" s="28"/>
    </row>
    <row r="100" spans="9:9" x14ac:dyDescent="0.2">
      <c r="I100" s="28"/>
    </row>
    <row r="101" spans="9:9" x14ac:dyDescent="0.2">
      <c r="I101" s="28"/>
    </row>
    <row r="102" spans="9:9" x14ac:dyDescent="0.2">
      <c r="I102" s="28"/>
    </row>
    <row r="103" spans="9:9" x14ac:dyDescent="0.2">
      <c r="I103" s="28"/>
    </row>
    <row r="104" spans="9:9" x14ac:dyDescent="0.2">
      <c r="I104" s="28"/>
    </row>
    <row r="105" spans="9:9" x14ac:dyDescent="0.2">
      <c r="I105" s="28"/>
    </row>
    <row r="106" spans="9:9" x14ac:dyDescent="0.2">
      <c r="I106" s="28"/>
    </row>
    <row r="107" spans="9:9" x14ac:dyDescent="0.2">
      <c r="I107" s="28"/>
    </row>
    <row r="108" spans="9:9" x14ac:dyDescent="0.2">
      <c r="I108" s="28"/>
    </row>
    <row r="109" spans="9:9" x14ac:dyDescent="0.2">
      <c r="I109" s="28"/>
    </row>
    <row r="110" spans="9:9" x14ac:dyDescent="0.2">
      <c r="I110" s="28"/>
    </row>
    <row r="111" spans="9:9" x14ac:dyDescent="0.2">
      <c r="I111" s="28"/>
    </row>
    <row r="112" spans="9:9" x14ac:dyDescent="0.2">
      <c r="I112" s="28"/>
    </row>
    <row r="113" spans="9:9" x14ac:dyDescent="0.2">
      <c r="I113" s="28"/>
    </row>
    <row r="114" spans="9:9" x14ac:dyDescent="0.2">
      <c r="I114" s="28"/>
    </row>
    <row r="115" spans="9:9" x14ac:dyDescent="0.2">
      <c r="I115" s="28"/>
    </row>
    <row r="116" spans="9:9" x14ac:dyDescent="0.2">
      <c r="I116" s="28"/>
    </row>
    <row r="117" spans="9:9" x14ac:dyDescent="0.2">
      <c r="I117" s="28"/>
    </row>
    <row r="118" spans="9:9" x14ac:dyDescent="0.2">
      <c r="I118" s="28"/>
    </row>
    <row r="119" spans="9:9" x14ac:dyDescent="0.2">
      <c r="I119" s="28"/>
    </row>
    <row r="120" spans="9:9" x14ac:dyDescent="0.2">
      <c r="I120" s="28"/>
    </row>
    <row r="121" spans="9:9" x14ac:dyDescent="0.2">
      <c r="I121" s="28"/>
    </row>
    <row r="122" spans="9:9" x14ac:dyDescent="0.2">
      <c r="I122" s="28"/>
    </row>
    <row r="123" spans="9:9" x14ac:dyDescent="0.2">
      <c r="I123" s="28"/>
    </row>
    <row r="124" spans="9:9" x14ac:dyDescent="0.2">
      <c r="I124" s="28"/>
    </row>
    <row r="125" spans="9:9" x14ac:dyDescent="0.2">
      <c r="I125" s="28"/>
    </row>
    <row r="126" spans="9:9" x14ac:dyDescent="0.2">
      <c r="I126" s="28"/>
    </row>
    <row r="127" spans="9:9" x14ac:dyDescent="0.2">
      <c r="I127" s="28"/>
    </row>
    <row r="128" spans="9:9" x14ac:dyDescent="0.2">
      <c r="I128" s="28"/>
    </row>
    <row r="129" spans="9:9" x14ac:dyDescent="0.2">
      <c r="I129" s="28"/>
    </row>
    <row r="130" spans="9:9" x14ac:dyDescent="0.2">
      <c r="I130" s="28"/>
    </row>
    <row r="131" spans="9:9" x14ac:dyDescent="0.2">
      <c r="I131" s="28"/>
    </row>
    <row r="132" spans="9:9" x14ac:dyDescent="0.2">
      <c r="I132" s="28"/>
    </row>
  </sheetData>
  <printOptions horizontalCentered="1" verticalCentered="1"/>
  <pageMargins left="0.75" right="0.75" top="1" bottom="1" header="0.5" footer="0.5"/>
  <pageSetup scale="83" orientation="landscape" horizontalDpi="300" verticalDpi="300" r:id="rId1"/>
  <headerFooter alignWithMargins="0">
    <oddFooter xml:space="preserve">&amp;L&amp;"Arial,Italic"&amp;8&amp;D&amp;T&amp;R&amp;"Arial,Italic"&amp;8G:/Common/TW Fuel Hedge/Fixed2_?
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1"/>
  <sheetViews>
    <sheetView workbookViewId="0">
      <selection activeCell="A4" sqref="A4"/>
    </sheetView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2.5703125" bestFit="1" customWidth="1"/>
    <col min="9" max="9" width="14.42578125" customWidth="1"/>
    <col min="10" max="10" width="13.42578125" customWidth="1"/>
    <col min="11" max="11" width="14.42578125" customWidth="1"/>
  </cols>
  <sheetData>
    <row r="1" spans="1:11" s="2" customFormat="1" ht="15" x14ac:dyDescent="0.2">
      <c r="A1" s="1" t="s">
        <v>78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237" t="s">
        <v>95</v>
      </c>
      <c r="B3" s="237"/>
      <c r="C3" s="237"/>
      <c r="D3" s="237"/>
      <c r="E3" s="237"/>
      <c r="F3" s="237"/>
      <c r="G3" s="237"/>
      <c r="H3" s="237"/>
      <c r="I3" s="237"/>
      <c r="J3" s="237"/>
      <c r="K3" s="237"/>
    </row>
    <row r="4" spans="1:11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20</v>
      </c>
      <c r="G6" s="6" t="s">
        <v>54</v>
      </c>
      <c r="H6" s="6" t="s">
        <v>24</v>
      </c>
      <c r="I6" s="55" t="s">
        <v>55</v>
      </c>
      <c r="J6" s="56"/>
      <c r="K6" s="57"/>
    </row>
    <row r="7" spans="1:11" s="7" customFormat="1" x14ac:dyDescent="0.2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">
      <c r="A8" s="11"/>
      <c r="B8" s="12"/>
      <c r="C8" s="12"/>
      <c r="D8" s="12"/>
      <c r="E8" s="12"/>
      <c r="F8" s="12"/>
      <c r="G8" s="51" t="s">
        <v>90</v>
      </c>
      <c r="H8" s="51" t="s">
        <v>90</v>
      </c>
      <c r="I8" s="58" t="s">
        <v>31</v>
      </c>
      <c r="J8" s="58" t="s">
        <v>31</v>
      </c>
      <c r="K8" s="59" t="s">
        <v>31</v>
      </c>
    </row>
    <row r="9" spans="1:11" x14ac:dyDescent="0.2">
      <c r="A9" s="31">
        <v>36465</v>
      </c>
      <c r="B9" s="15">
        <v>105706</v>
      </c>
      <c r="C9" s="16" t="s">
        <v>89</v>
      </c>
      <c r="D9" s="32"/>
      <c r="E9" s="15"/>
      <c r="F9" s="18">
        <v>40000</v>
      </c>
      <c r="G9" s="32">
        <v>3.04</v>
      </c>
      <c r="H9" s="32"/>
      <c r="I9" s="17">
        <f t="shared" ref="I9:I14" si="0">+G9*F9</f>
        <v>121600</v>
      </c>
      <c r="J9" s="41">
        <f t="shared" ref="J9:J14" si="1">+I9</f>
        <v>121600</v>
      </c>
      <c r="K9" s="41"/>
    </row>
    <row r="10" spans="1:11" x14ac:dyDescent="0.2">
      <c r="A10" s="31">
        <v>36495</v>
      </c>
      <c r="B10" s="15">
        <v>105706</v>
      </c>
      <c r="C10" s="16" t="s">
        <v>89</v>
      </c>
      <c r="D10" s="32"/>
      <c r="E10" s="15"/>
      <c r="F10" s="18">
        <v>40000</v>
      </c>
      <c r="G10" s="32">
        <v>2.11</v>
      </c>
      <c r="H10" s="32"/>
      <c r="I10" s="17">
        <f t="shared" si="0"/>
        <v>84400</v>
      </c>
      <c r="J10" s="41">
        <f t="shared" si="1"/>
        <v>84400</v>
      </c>
      <c r="K10" s="41"/>
    </row>
    <row r="11" spans="1:11" x14ac:dyDescent="0.2">
      <c r="A11" s="31">
        <v>36526</v>
      </c>
      <c r="B11" s="15">
        <v>105706</v>
      </c>
      <c r="C11" s="16" t="s">
        <v>89</v>
      </c>
      <c r="D11" s="32"/>
      <c r="E11" s="15"/>
      <c r="F11" s="18">
        <v>40000</v>
      </c>
      <c r="G11" s="32">
        <v>2.33</v>
      </c>
      <c r="H11" s="32"/>
      <c r="I11" s="17">
        <f t="shared" si="0"/>
        <v>93200</v>
      </c>
      <c r="J11" s="41">
        <f t="shared" si="1"/>
        <v>93200</v>
      </c>
      <c r="K11" s="41"/>
    </row>
    <row r="12" spans="1:11" x14ac:dyDescent="0.2">
      <c r="A12" s="31">
        <v>36557</v>
      </c>
      <c r="B12" s="15">
        <v>105706</v>
      </c>
      <c r="C12" s="16" t="s">
        <v>89</v>
      </c>
      <c r="D12" s="32"/>
      <c r="E12" s="15"/>
      <c r="F12" s="18">
        <v>40000</v>
      </c>
      <c r="G12" s="32">
        <v>2.58</v>
      </c>
      <c r="H12" s="32"/>
      <c r="I12" s="17">
        <f t="shared" si="0"/>
        <v>103200</v>
      </c>
      <c r="J12" s="41">
        <f t="shared" si="1"/>
        <v>103200</v>
      </c>
      <c r="K12" s="41"/>
    </row>
    <row r="13" spans="1:11" x14ac:dyDescent="0.2">
      <c r="A13" s="31">
        <v>36586</v>
      </c>
      <c r="B13" s="15">
        <v>105706</v>
      </c>
      <c r="C13" s="16" t="s">
        <v>89</v>
      </c>
      <c r="D13" s="32"/>
      <c r="E13" s="15"/>
      <c r="F13" s="18">
        <v>40000</v>
      </c>
      <c r="G13" s="32">
        <v>2.5499999999999998</v>
      </c>
      <c r="H13" s="32"/>
      <c r="I13" s="17">
        <f t="shared" si="0"/>
        <v>102000</v>
      </c>
      <c r="J13" s="41">
        <f t="shared" si="1"/>
        <v>102000</v>
      </c>
      <c r="K13" s="41"/>
    </row>
    <row r="14" spans="1:11" x14ac:dyDescent="0.2">
      <c r="A14" s="31">
        <v>36617</v>
      </c>
      <c r="B14" s="15">
        <v>105706</v>
      </c>
      <c r="C14" s="16" t="s">
        <v>89</v>
      </c>
      <c r="D14" s="32"/>
      <c r="E14" s="15"/>
      <c r="F14" s="65">
        <v>30000</v>
      </c>
      <c r="G14" s="32">
        <v>2.8</v>
      </c>
      <c r="H14" s="32"/>
      <c r="I14" s="66">
        <f t="shared" si="0"/>
        <v>84000</v>
      </c>
      <c r="J14" s="138">
        <f t="shared" si="1"/>
        <v>84000</v>
      </c>
      <c r="K14" s="67"/>
    </row>
    <row r="15" spans="1:11" x14ac:dyDescent="0.2">
      <c r="A15" s="31"/>
      <c r="B15" s="15"/>
      <c r="C15" s="16"/>
      <c r="D15" s="32"/>
      <c r="E15" s="15"/>
      <c r="F15" s="18">
        <f>SUM(F9:F14)</f>
        <v>230000</v>
      </c>
      <c r="G15" s="15"/>
      <c r="H15" s="32"/>
      <c r="I15" s="17">
        <f>SUM(I9:I14)</f>
        <v>588400</v>
      </c>
      <c r="J15" s="17">
        <f>SUM(J9:J14)</f>
        <v>588400</v>
      </c>
      <c r="K15" s="17">
        <f>SUM(K9:K14)</f>
        <v>0</v>
      </c>
    </row>
    <row r="16" spans="1:11" x14ac:dyDescent="0.2">
      <c r="A16" s="31"/>
      <c r="B16" s="15"/>
      <c r="C16" s="16"/>
      <c r="D16" s="32"/>
      <c r="E16" s="15"/>
      <c r="G16" s="15"/>
      <c r="H16" s="32"/>
      <c r="I16" s="17"/>
      <c r="J16" s="17"/>
      <c r="K16" s="17"/>
    </row>
    <row r="17" spans="1:12" x14ac:dyDescent="0.2">
      <c r="A17" s="31"/>
      <c r="B17" s="15"/>
      <c r="C17" s="16"/>
      <c r="D17" s="32"/>
      <c r="E17" s="15"/>
      <c r="G17" s="15"/>
      <c r="H17" s="32"/>
      <c r="I17" s="17"/>
      <c r="J17" s="19"/>
      <c r="K17" s="19"/>
    </row>
    <row r="18" spans="1:12" x14ac:dyDescent="0.2">
      <c r="A18" s="31"/>
      <c r="B18" s="15"/>
      <c r="C18" s="16"/>
      <c r="D18" s="32"/>
      <c r="E18" s="15"/>
      <c r="F18" s="18"/>
      <c r="G18" s="15"/>
      <c r="H18" s="133" t="s">
        <v>91</v>
      </c>
      <c r="I18" s="17"/>
      <c r="J18" s="39"/>
      <c r="K18" s="19"/>
    </row>
    <row r="19" spans="1:12" x14ac:dyDescent="0.2">
      <c r="A19" s="31"/>
      <c r="B19" s="15"/>
      <c r="C19" s="16"/>
      <c r="D19" s="32"/>
      <c r="E19" s="15"/>
      <c r="F19" s="18"/>
      <c r="G19" s="15"/>
      <c r="H19" s="32"/>
      <c r="I19" s="17"/>
      <c r="J19" s="39"/>
      <c r="K19" s="19"/>
    </row>
    <row r="20" spans="1:12" x14ac:dyDescent="0.2">
      <c r="A20" s="31">
        <v>36465</v>
      </c>
      <c r="B20" s="15">
        <v>105706</v>
      </c>
      <c r="C20" s="16" t="s">
        <v>89</v>
      </c>
      <c r="D20" s="32"/>
      <c r="E20" s="15"/>
      <c r="F20" s="18">
        <v>-40000</v>
      </c>
      <c r="G20" s="32">
        <v>3.1309999999999998</v>
      </c>
      <c r="H20" s="32"/>
      <c r="I20" s="17">
        <f t="shared" ref="I20:I25" si="2">+G20*F20</f>
        <v>-125239.99999999999</v>
      </c>
      <c r="J20" s="41">
        <f t="shared" ref="J20:J25" si="3">+I20</f>
        <v>-125239.99999999999</v>
      </c>
      <c r="K20" s="41"/>
    </row>
    <row r="21" spans="1:12" x14ac:dyDescent="0.2">
      <c r="A21" s="31">
        <v>36495</v>
      </c>
      <c r="B21" s="15">
        <v>105706</v>
      </c>
      <c r="C21" s="16" t="s">
        <v>89</v>
      </c>
      <c r="D21" s="32"/>
      <c r="E21" s="15"/>
      <c r="F21" s="18">
        <v>-40000</v>
      </c>
      <c r="G21" s="32">
        <v>2.2000000000000002</v>
      </c>
      <c r="H21" s="32"/>
      <c r="I21" s="17">
        <f t="shared" si="2"/>
        <v>-88000</v>
      </c>
      <c r="J21" s="41">
        <f t="shared" si="3"/>
        <v>-88000</v>
      </c>
      <c r="K21" s="41"/>
    </row>
    <row r="22" spans="1:12" x14ac:dyDescent="0.2">
      <c r="A22" s="31">
        <v>36526</v>
      </c>
      <c r="B22" s="15">
        <v>105706</v>
      </c>
      <c r="C22" s="16" t="s">
        <v>89</v>
      </c>
      <c r="D22" s="32"/>
      <c r="E22" s="15"/>
      <c r="F22" s="18">
        <v>-40000</v>
      </c>
      <c r="G22" s="32">
        <v>2.44</v>
      </c>
      <c r="H22" s="32"/>
      <c r="I22" s="17">
        <f t="shared" si="2"/>
        <v>-97600</v>
      </c>
      <c r="J22" s="41">
        <f t="shared" si="3"/>
        <v>-97600</v>
      </c>
      <c r="K22" s="41"/>
    </row>
    <row r="23" spans="1:12" x14ac:dyDescent="0.2">
      <c r="A23" s="31">
        <v>36557</v>
      </c>
      <c r="B23" s="15">
        <v>105706</v>
      </c>
      <c r="C23" s="16" t="s">
        <v>89</v>
      </c>
      <c r="D23" s="32"/>
      <c r="E23" s="15"/>
      <c r="F23" s="18">
        <v>-40000</v>
      </c>
      <c r="G23" s="32">
        <v>2.68</v>
      </c>
      <c r="H23" s="32"/>
      <c r="I23" s="17">
        <f t="shared" si="2"/>
        <v>-107200</v>
      </c>
      <c r="J23" s="41">
        <f t="shared" si="3"/>
        <v>-107200</v>
      </c>
      <c r="K23" s="41"/>
    </row>
    <row r="24" spans="1:12" x14ac:dyDescent="0.2">
      <c r="A24" s="31">
        <v>36586</v>
      </c>
      <c r="B24" s="15">
        <v>105706</v>
      </c>
      <c r="C24" s="16" t="s">
        <v>89</v>
      </c>
      <c r="D24" s="32"/>
      <c r="E24" s="15"/>
      <c r="F24" s="18">
        <v>-40000</v>
      </c>
      <c r="G24" s="32">
        <v>2.5299999999999998</v>
      </c>
      <c r="H24" s="32"/>
      <c r="I24" s="17">
        <f t="shared" si="2"/>
        <v>-101199.99999999999</v>
      </c>
      <c r="J24" s="41">
        <f t="shared" si="3"/>
        <v>-101199.99999999999</v>
      </c>
      <c r="K24" s="41"/>
    </row>
    <row r="25" spans="1:12" x14ac:dyDescent="0.2">
      <c r="A25" s="31">
        <v>36617</v>
      </c>
      <c r="B25" s="15">
        <v>105706</v>
      </c>
      <c r="C25" s="16" t="s">
        <v>89</v>
      </c>
      <c r="D25" s="32"/>
      <c r="E25" s="15"/>
      <c r="F25" s="65">
        <v>-30000</v>
      </c>
      <c r="G25" s="32">
        <v>2.93</v>
      </c>
      <c r="H25" s="32"/>
      <c r="I25" s="66">
        <f t="shared" si="2"/>
        <v>-87900</v>
      </c>
      <c r="J25" s="138">
        <f t="shared" si="3"/>
        <v>-87900</v>
      </c>
      <c r="K25" s="67"/>
    </row>
    <row r="26" spans="1:12" x14ac:dyDescent="0.2">
      <c r="A26" s="31"/>
      <c r="B26" s="15"/>
      <c r="C26" s="16"/>
      <c r="D26" s="32"/>
      <c r="E26" s="15"/>
      <c r="F26" s="18">
        <f>SUM(F20:F25)</f>
        <v>-230000</v>
      </c>
      <c r="G26" s="15"/>
      <c r="H26" s="32"/>
      <c r="I26" s="134">
        <f>SUM(I20:I25)</f>
        <v>-607140</v>
      </c>
      <c r="J26" s="134">
        <f>SUM(J20:J25)</f>
        <v>-607140</v>
      </c>
      <c r="K26" s="134">
        <f>SUM(K20:K25)</f>
        <v>0</v>
      </c>
      <c r="L26" s="20"/>
    </row>
    <row r="27" spans="1:12" x14ac:dyDescent="0.2">
      <c r="A27" s="31"/>
      <c r="B27" s="15"/>
      <c r="C27" s="16"/>
      <c r="D27" s="32"/>
      <c r="E27" s="15"/>
      <c r="F27" s="18"/>
      <c r="G27" s="15"/>
      <c r="H27" s="32"/>
      <c r="I27" s="17"/>
      <c r="J27" s="39"/>
      <c r="K27" s="19"/>
    </row>
    <row r="28" spans="1:12" ht="13.5" thickBot="1" x14ac:dyDescent="0.25">
      <c r="A28" s="31"/>
      <c r="B28" s="15"/>
      <c r="C28" s="16"/>
      <c r="D28" s="32"/>
      <c r="E28" s="15"/>
      <c r="F28" s="131">
        <f>+F26+F15</f>
        <v>0</v>
      </c>
      <c r="G28" s="15"/>
      <c r="H28" s="32"/>
      <c r="I28" s="132">
        <f>+I26+I15</f>
        <v>-18740</v>
      </c>
      <c r="J28" s="132">
        <f>+J26+J15</f>
        <v>-18740</v>
      </c>
      <c r="K28" s="132">
        <f>+K26+K15</f>
        <v>0</v>
      </c>
    </row>
    <row r="29" spans="1:12" ht="13.5" thickTop="1" x14ac:dyDescent="0.2">
      <c r="A29" s="26"/>
      <c r="B29" s="26"/>
      <c r="C29" s="26"/>
      <c r="D29" s="26"/>
      <c r="E29" s="26"/>
      <c r="F29" s="26"/>
      <c r="G29" s="26"/>
      <c r="H29" s="26"/>
      <c r="I29" s="26"/>
      <c r="J29" s="40"/>
      <c r="K29" s="40"/>
    </row>
    <row r="31" spans="1:12" x14ac:dyDescent="0.2">
      <c r="A31" s="29" t="s">
        <v>47</v>
      </c>
    </row>
  </sheetData>
  <mergeCells count="1">
    <mergeCell ref="A3:K3"/>
  </mergeCells>
  <pageMargins left="0.75" right="0.75" top="1" bottom="1" header="0.5" footer="0.5"/>
  <pageSetup scale="90" orientation="landscape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33"/>
  <sheetViews>
    <sheetView topLeftCell="A3" workbookViewId="0">
      <selection activeCell="A4" sqref="A4:IV4"/>
    </sheetView>
  </sheetViews>
  <sheetFormatPr defaultRowHeight="12.75" x14ac:dyDescent="0.2"/>
  <cols>
    <col min="1" max="4" width="10.7109375" customWidth="1"/>
    <col min="5" max="5" width="10.7109375" hidden="1" customWidth="1"/>
    <col min="6" max="8" width="10.7109375" customWidth="1"/>
    <col min="9" max="9" width="13.7109375" customWidth="1"/>
    <col min="10" max="10" width="12.140625" style="28" customWidth="1"/>
    <col min="11" max="11" width="13.7109375" style="28" customWidth="1"/>
  </cols>
  <sheetData>
    <row r="1" spans="1:11" s="2" customFormat="1" ht="15" x14ac:dyDescent="0.2">
      <c r="A1" s="1" t="s">
        <v>49</v>
      </c>
      <c r="B1" s="1"/>
      <c r="C1" s="1"/>
      <c r="D1" s="1"/>
      <c r="E1" s="1"/>
      <c r="F1" s="1"/>
      <c r="G1" s="1"/>
      <c r="H1" s="1"/>
      <c r="I1" s="1"/>
      <c r="J1" s="44"/>
      <c r="K1" s="44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44"/>
      <c r="K2" s="44"/>
    </row>
    <row r="3" spans="1:11" s="4" customFormat="1" ht="15.75" x14ac:dyDescent="0.25">
      <c r="A3" s="1" t="s">
        <v>50</v>
      </c>
      <c r="B3" s="1"/>
      <c r="C3" s="1"/>
      <c r="D3" s="1"/>
      <c r="E3" s="1"/>
      <c r="F3" s="1"/>
      <c r="G3" s="1"/>
      <c r="H3" s="1"/>
      <c r="I3" s="1"/>
      <c r="J3" s="44"/>
      <c r="K3" s="44"/>
    </row>
    <row r="4" spans="1:11" s="4" customFormat="1" ht="15.75" x14ac:dyDescent="0.25">
      <c r="A4" s="1" t="s">
        <v>51</v>
      </c>
      <c r="B4" s="1"/>
      <c r="C4" s="1"/>
      <c r="D4" s="1"/>
      <c r="E4" s="1"/>
      <c r="F4" s="1"/>
      <c r="G4" s="1"/>
      <c r="H4" s="1"/>
      <c r="I4" s="1"/>
      <c r="J4" s="44"/>
      <c r="K4" s="44"/>
    </row>
    <row r="5" spans="1:11" s="4" customFormat="1" ht="15.75" x14ac:dyDescent="0.25">
      <c r="A5" s="3"/>
      <c r="B5" s="3"/>
      <c r="C5" s="3"/>
      <c r="D5" s="3"/>
      <c r="E5" s="3"/>
      <c r="F5" s="3"/>
      <c r="G5" s="3"/>
      <c r="H5" s="3"/>
      <c r="I5" s="3"/>
      <c r="J5" s="42"/>
      <c r="K5" s="42"/>
    </row>
    <row r="7" spans="1:11" s="7" customFormat="1" x14ac:dyDescent="0.2">
      <c r="A7" s="5" t="s">
        <v>52</v>
      </c>
      <c r="B7" s="6" t="s">
        <v>5</v>
      </c>
      <c r="C7" s="6" t="s">
        <v>5</v>
      </c>
      <c r="D7" s="6" t="s">
        <v>53</v>
      </c>
      <c r="E7" s="6"/>
      <c r="F7" s="6" t="s">
        <v>11</v>
      </c>
      <c r="G7" s="6" t="s">
        <v>54</v>
      </c>
      <c r="H7" s="6" t="s">
        <v>24</v>
      </c>
      <c r="I7" s="55" t="s">
        <v>55</v>
      </c>
      <c r="J7" s="56"/>
      <c r="K7" s="57"/>
    </row>
    <row r="8" spans="1:11" s="7" customFormat="1" x14ac:dyDescent="0.2">
      <c r="A8" s="8" t="s">
        <v>56</v>
      </c>
      <c r="B8" s="9" t="s">
        <v>14</v>
      </c>
      <c r="C8" s="9" t="s">
        <v>13</v>
      </c>
      <c r="D8" s="9" t="s">
        <v>18</v>
      </c>
      <c r="E8" s="9"/>
      <c r="F8" s="9" t="s">
        <v>57</v>
      </c>
      <c r="G8" s="9" t="s">
        <v>18</v>
      </c>
      <c r="H8" s="9" t="s">
        <v>18</v>
      </c>
      <c r="I8" s="9" t="s">
        <v>26</v>
      </c>
      <c r="J8" s="9" t="s">
        <v>27</v>
      </c>
      <c r="K8" s="10" t="s">
        <v>28</v>
      </c>
    </row>
    <row r="9" spans="1:11" x14ac:dyDescent="0.2">
      <c r="A9" s="11"/>
      <c r="B9" s="12"/>
      <c r="C9" s="12"/>
      <c r="D9" s="12"/>
      <c r="E9" s="12"/>
      <c r="F9" s="12"/>
      <c r="G9" s="46" t="s">
        <v>58</v>
      </c>
      <c r="H9" s="13"/>
      <c r="I9" s="58" t="s">
        <v>31</v>
      </c>
      <c r="J9" s="58" t="s">
        <v>31</v>
      </c>
      <c r="K9" s="59" t="s">
        <v>31</v>
      </c>
    </row>
    <row r="10" spans="1:11" x14ac:dyDescent="0.2">
      <c r="A10" s="14">
        <v>35947</v>
      </c>
      <c r="B10" s="15"/>
      <c r="C10" s="16" t="s">
        <v>33</v>
      </c>
      <c r="D10" s="17">
        <f>2.22</f>
        <v>2.2200000000000002</v>
      </c>
      <c r="E10" s="17"/>
      <c r="F10" s="18">
        <f>250*30</f>
        <v>7500</v>
      </c>
      <c r="G10" s="17">
        <f>1.82</f>
        <v>1.82</v>
      </c>
      <c r="H10" s="17"/>
      <c r="I10" s="19">
        <f>SUM(D10-G10)*F10</f>
        <v>3000.0000000000009</v>
      </c>
      <c r="J10" s="19">
        <f t="shared" ref="J10:J21" si="0">+I10</f>
        <v>3000.0000000000009</v>
      </c>
      <c r="K10" s="19"/>
    </row>
    <row r="11" spans="1:11" x14ac:dyDescent="0.2">
      <c r="A11" s="14">
        <v>35977</v>
      </c>
      <c r="B11" s="15"/>
      <c r="C11" s="16" t="s">
        <v>33</v>
      </c>
      <c r="D11" s="17">
        <f t="shared" ref="D11:D21" si="1">2.22</f>
        <v>2.2200000000000002</v>
      </c>
      <c r="E11" s="17"/>
      <c r="F11" s="18">
        <f>250*31</f>
        <v>7750</v>
      </c>
      <c r="G11" s="17">
        <f>1.86</f>
        <v>1.86</v>
      </c>
      <c r="H11" s="17"/>
      <c r="I11" s="19">
        <f t="shared" ref="I11:I21" si="2">SUM(D11-G11)*F11</f>
        <v>2790.0000000000009</v>
      </c>
      <c r="J11" s="19">
        <f t="shared" si="0"/>
        <v>2790.0000000000009</v>
      </c>
      <c r="K11" s="19"/>
    </row>
    <row r="12" spans="1:11" x14ac:dyDescent="0.2">
      <c r="A12" s="14">
        <v>36008</v>
      </c>
      <c r="B12" s="15"/>
      <c r="C12" s="16" t="s">
        <v>33</v>
      </c>
      <c r="D12" s="17">
        <f t="shared" si="1"/>
        <v>2.2200000000000002</v>
      </c>
      <c r="E12" s="17"/>
      <c r="F12" s="18">
        <f>250*31</f>
        <v>7750</v>
      </c>
      <c r="G12" s="17">
        <f>1.81</f>
        <v>1.81</v>
      </c>
      <c r="H12" s="17"/>
      <c r="I12" s="19">
        <f t="shared" si="2"/>
        <v>3177.5000000000009</v>
      </c>
      <c r="J12" s="19">
        <f t="shared" si="0"/>
        <v>3177.5000000000009</v>
      </c>
      <c r="K12" s="19"/>
    </row>
    <row r="13" spans="1:11" x14ac:dyDescent="0.2">
      <c r="A13" s="14">
        <v>36039</v>
      </c>
      <c r="B13" s="15"/>
      <c r="C13" s="16" t="s">
        <v>33</v>
      </c>
      <c r="D13" s="17">
        <f t="shared" si="1"/>
        <v>2.2200000000000002</v>
      </c>
      <c r="E13" s="17"/>
      <c r="F13" s="18">
        <f>250*30</f>
        <v>7500</v>
      </c>
      <c r="G13" s="17">
        <f>1.55</f>
        <v>1.55</v>
      </c>
      <c r="H13" s="17"/>
      <c r="I13" s="19">
        <f t="shared" si="2"/>
        <v>5025.0000000000009</v>
      </c>
      <c r="J13" s="19">
        <f t="shared" si="0"/>
        <v>5025.0000000000009</v>
      </c>
      <c r="K13" s="19"/>
    </row>
    <row r="14" spans="1:11" x14ac:dyDescent="0.2">
      <c r="A14" s="14">
        <v>36069</v>
      </c>
      <c r="B14" s="15"/>
      <c r="C14" s="16" t="s">
        <v>33</v>
      </c>
      <c r="D14" s="17">
        <f t="shared" si="1"/>
        <v>2.2200000000000002</v>
      </c>
      <c r="E14" s="17"/>
      <c r="F14" s="18">
        <f>250*31</f>
        <v>7750</v>
      </c>
      <c r="G14" s="17">
        <f>1.67</f>
        <v>1.67</v>
      </c>
      <c r="H14" s="17"/>
      <c r="I14" s="19">
        <f t="shared" si="2"/>
        <v>4262.5000000000018</v>
      </c>
      <c r="J14" s="19">
        <f t="shared" si="0"/>
        <v>4262.5000000000018</v>
      </c>
      <c r="K14" s="19"/>
    </row>
    <row r="15" spans="1:11" x14ac:dyDescent="0.2">
      <c r="A15" s="14">
        <v>36100</v>
      </c>
      <c r="B15" s="15"/>
      <c r="C15" s="16" t="s">
        <v>33</v>
      </c>
      <c r="D15" s="17">
        <f t="shared" si="1"/>
        <v>2.2200000000000002</v>
      </c>
      <c r="E15" s="17"/>
      <c r="F15" s="18">
        <f>250*30</f>
        <v>7500</v>
      </c>
      <c r="G15" s="17">
        <v>1.88</v>
      </c>
      <c r="H15" s="17"/>
      <c r="I15" s="19">
        <f t="shared" si="2"/>
        <v>2550.0000000000023</v>
      </c>
      <c r="J15" s="19">
        <f t="shared" si="0"/>
        <v>2550.0000000000023</v>
      </c>
      <c r="K15" s="19"/>
    </row>
    <row r="16" spans="1:11" x14ac:dyDescent="0.2">
      <c r="A16" s="14">
        <v>36130</v>
      </c>
      <c r="B16" s="15"/>
      <c r="C16" s="16" t="s">
        <v>33</v>
      </c>
      <c r="D16" s="17">
        <f t="shared" si="1"/>
        <v>2.2200000000000002</v>
      </c>
      <c r="E16" s="17"/>
      <c r="F16" s="18">
        <f>250*31</f>
        <v>7750</v>
      </c>
      <c r="G16" s="17">
        <v>1.96</v>
      </c>
      <c r="H16" s="17"/>
      <c r="I16" s="19">
        <f t="shared" si="2"/>
        <v>2015.0000000000018</v>
      </c>
      <c r="J16" s="19">
        <f t="shared" si="0"/>
        <v>2015.0000000000018</v>
      </c>
      <c r="K16" s="19"/>
    </row>
    <row r="17" spans="1:12" x14ac:dyDescent="0.2">
      <c r="A17" s="14">
        <v>36161</v>
      </c>
      <c r="B17" s="15"/>
      <c r="C17" s="16" t="s">
        <v>33</v>
      </c>
      <c r="D17" s="17">
        <f t="shared" si="1"/>
        <v>2.2200000000000002</v>
      </c>
      <c r="E17" s="17"/>
      <c r="F17" s="18">
        <f>250*31</f>
        <v>7750</v>
      </c>
      <c r="G17" s="17">
        <v>1.72</v>
      </c>
      <c r="H17" s="17"/>
      <c r="I17" s="19">
        <f t="shared" si="2"/>
        <v>3875.0000000000018</v>
      </c>
      <c r="J17" s="19">
        <f t="shared" si="0"/>
        <v>3875.0000000000018</v>
      </c>
      <c r="K17" s="19"/>
    </row>
    <row r="18" spans="1:12" x14ac:dyDescent="0.2">
      <c r="A18" s="14">
        <v>36192</v>
      </c>
      <c r="B18" s="15"/>
      <c r="C18" s="16" t="s">
        <v>33</v>
      </c>
      <c r="D18" s="17">
        <f t="shared" si="1"/>
        <v>2.2200000000000002</v>
      </c>
      <c r="E18" s="17"/>
      <c r="F18" s="18">
        <f>250*28</f>
        <v>7000</v>
      </c>
      <c r="G18" s="17">
        <v>1.63</v>
      </c>
      <c r="H18" s="17"/>
      <c r="I18" s="19">
        <f t="shared" si="2"/>
        <v>4130.0000000000018</v>
      </c>
      <c r="J18" s="19">
        <f t="shared" si="0"/>
        <v>4130.0000000000018</v>
      </c>
      <c r="K18" s="19"/>
    </row>
    <row r="19" spans="1:12" x14ac:dyDescent="0.2">
      <c r="A19" s="14">
        <v>36220</v>
      </c>
      <c r="B19" s="15"/>
      <c r="C19" s="16" t="s">
        <v>33</v>
      </c>
      <c r="D19" s="17">
        <f t="shared" si="1"/>
        <v>2.2200000000000002</v>
      </c>
      <c r="E19" s="17"/>
      <c r="F19" s="18">
        <f>250*31</f>
        <v>7750</v>
      </c>
      <c r="G19" s="17">
        <v>1.51</v>
      </c>
      <c r="H19" s="17"/>
      <c r="I19" s="19">
        <f t="shared" si="2"/>
        <v>5502.5000000000018</v>
      </c>
      <c r="J19" s="19">
        <f t="shared" si="0"/>
        <v>5502.5000000000018</v>
      </c>
      <c r="K19" s="19"/>
    </row>
    <row r="20" spans="1:12" x14ac:dyDescent="0.2">
      <c r="A20" s="14">
        <v>36251</v>
      </c>
      <c r="B20" s="15"/>
      <c r="C20" s="16" t="s">
        <v>33</v>
      </c>
      <c r="D20" s="17">
        <f t="shared" si="1"/>
        <v>2.2200000000000002</v>
      </c>
      <c r="E20" s="17"/>
      <c r="F20" s="18">
        <f>250*30</f>
        <v>7500</v>
      </c>
      <c r="G20" s="17">
        <v>1.59</v>
      </c>
      <c r="H20" s="17"/>
      <c r="I20" s="19">
        <f t="shared" si="2"/>
        <v>4725.0000000000009</v>
      </c>
      <c r="J20" s="19">
        <f t="shared" si="0"/>
        <v>4725.0000000000009</v>
      </c>
      <c r="K20" s="19"/>
    </row>
    <row r="21" spans="1:12" x14ac:dyDescent="0.2">
      <c r="A21" s="14">
        <v>36281</v>
      </c>
      <c r="B21" s="15"/>
      <c r="C21" s="16" t="s">
        <v>33</v>
      </c>
      <c r="D21" s="17">
        <f t="shared" si="1"/>
        <v>2.2200000000000002</v>
      </c>
      <c r="E21" s="17"/>
      <c r="F21" s="18">
        <f>250*31</f>
        <v>7750</v>
      </c>
      <c r="G21" s="17">
        <v>2.0299999999999998</v>
      </c>
      <c r="H21" s="17"/>
      <c r="I21" s="19">
        <f t="shared" si="2"/>
        <v>1472.500000000003</v>
      </c>
      <c r="J21" s="19">
        <f t="shared" si="0"/>
        <v>1472.500000000003</v>
      </c>
      <c r="K21" s="19"/>
    </row>
    <row r="22" spans="1:12" x14ac:dyDescent="0.2">
      <c r="A22" s="20"/>
      <c r="B22" s="15"/>
      <c r="C22" s="15"/>
      <c r="D22" s="15"/>
      <c r="E22" s="15"/>
      <c r="F22" s="21">
        <f>SUM(F10:F21)</f>
        <v>91250</v>
      </c>
      <c r="G22" s="15"/>
      <c r="H22" s="15"/>
      <c r="I22" s="22">
        <f>SUM(I10:I21)</f>
        <v>42525.000000000015</v>
      </c>
      <c r="J22" s="22">
        <f>SUM(J10:J21)</f>
        <v>42525.000000000015</v>
      </c>
      <c r="K22" s="22">
        <f>SUM(K10:K21)</f>
        <v>0</v>
      </c>
      <c r="L22" s="43">
        <f>+J22+K22-I22</f>
        <v>0</v>
      </c>
    </row>
    <row r="23" spans="1:12" x14ac:dyDescent="0.2">
      <c r="A23" s="20"/>
      <c r="B23" s="15"/>
      <c r="C23" s="15"/>
      <c r="D23" s="15"/>
      <c r="E23" s="15"/>
      <c r="F23" s="38"/>
      <c r="G23" s="15"/>
      <c r="H23" s="15"/>
      <c r="I23" s="47"/>
      <c r="J23" s="47"/>
      <c r="K23" s="47"/>
      <c r="L23" s="43"/>
    </row>
    <row r="24" spans="1:12" x14ac:dyDescent="0.2">
      <c r="A24" s="20"/>
      <c r="B24" s="15"/>
      <c r="C24" s="15"/>
      <c r="D24" s="15"/>
      <c r="E24" s="15"/>
      <c r="F24" s="15"/>
      <c r="G24" s="50" t="s">
        <v>59</v>
      </c>
      <c r="H24" s="15"/>
      <c r="I24" s="19"/>
      <c r="J24" s="19"/>
      <c r="K24" s="19"/>
    </row>
    <row r="25" spans="1:12" x14ac:dyDescent="0.2">
      <c r="A25" s="20"/>
      <c r="B25" s="15"/>
      <c r="C25" s="15"/>
      <c r="D25" s="15"/>
      <c r="E25" s="15"/>
      <c r="F25" s="15"/>
      <c r="G25" s="48"/>
      <c r="H25" s="15"/>
      <c r="I25" s="19"/>
      <c r="J25" s="19"/>
      <c r="K25" s="19"/>
    </row>
    <row r="26" spans="1:12" x14ac:dyDescent="0.2">
      <c r="A26" s="14">
        <v>35947</v>
      </c>
      <c r="B26" s="16">
        <f>26125</f>
        <v>26125</v>
      </c>
      <c r="C26" s="16" t="s">
        <v>35</v>
      </c>
      <c r="D26" s="17">
        <f t="shared" ref="D26:D37" si="3">2.22</f>
        <v>2.2200000000000002</v>
      </c>
      <c r="E26" s="18">
        <f>-8600*30</f>
        <v>-258000</v>
      </c>
      <c r="F26" s="18">
        <v>-7500</v>
      </c>
      <c r="G26" s="17">
        <f>1.84</f>
        <v>1.84</v>
      </c>
      <c r="H26" s="17"/>
      <c r="K26" s="19"/>
    </row>
    <row r="27" spans="1:12" x14ac:dyDescent="0.2">
      <c r="A27" s="14">
        <v>35977</v>
      </c>
      <c r="B27" s="16">
        <f>26125</f>
        <v>26125</v>
      </c>
      <c r="C27" s="16" t="s">
        <v>35</v>
      </c>
      <c r="D27" s="17">
        <f t="shared" si="3"/>
        <v>2.2200000000000002</v>
      </c>
      <c r="E27" s="18">
        <f>-8600*31</f>
        <v>-266600</v>
      </c>
      <c r="F27" s="18">
        <v>-7750</v>
      </c>
      <c r="G27" s="17">
        <f>2.02</f>
        <v>2.02</v>
      </c>
      <c r="H27" s="17"/>
      <c r="I27" s="19">
        <f t="shared" ref="I27:I37" si="4">SUM(D27-G27)*F27</f>
        <v>-1550.0000000000014</v>
      </c>
      <c r="J27" s="19">
        <f t="shared" ref="J27:J37" si="5">+I27</f>
        <v>-1550.0000000000014</v>
      </c>
      <c r="K27" s="19"/>
    </row>
    <row r="28" spans="1:12" x14ac:dyDescent="0.2">
      <c r="A28" s="14">
        <v>36008</v>
      </c>
      <c r="B28" s="16">
        <f>26125</f>
        <v>26125</v>
      </c>
      <c r="C28" s="16" t="s">
        <v>35</v>
      </c>
      <c r="D28" s="17">
        <f t="shared" si="3"/>
        <v>2.2200000000000002</v>
      </c>
      <c r="E28" s="18">
        <f>-8600*31</f>
        <v>-266600</v>
      </c>
      <c r="F28" s="18">
        <v>-7750</v>
      </c>
      <c r="G28" s="17">
        <f>1.75</f>
        <v>1.75</v>
      </c>
      <c r="H28" s="17"/>
      <c r="I28" s="19">
        <f t="shared" si="4"/>
        <v>-3642.5000000000014</v>
      </c>
      <c r="J28" s="19">
        <f t="shared" si="5"/>
        <v>-3642.5000000000014</v>
      </c>
      <c r="K28" s="19"/>
    </row>
    <row r="29" spans="1:12" x14ac:dyDescent="0.2">
      <c r="A29" s="14">
        <v>36039</v>
      </c>
      <c r="B29" s="16">
        <f>26125</f>
        <v>26125</v>
      </c>
      <c r="C29" s="16" t="s">
        <v>35</v>
      </c>
      <c r="D29" s="17">
        <f t="shared" si="3"/>
        <v>2.2200000000000002</v>
      </c>
      <c r="E29" s="18">
        <f>-8600*30</f>
        <v>-258000</v>
      </c>
      <c r="F29" s="18">
        <v>-7500</v>
      </c>
      <c r="G29" s="17">
        <f>1.76</f>
        <v>1.76</v>
      </c>
      <c r="H29" s="17"/>
      <c r="I29" s="19">
        <f t="shared" si="4"/>
        <v>-3450.0000000000014</v>
      </c>
      <c r="J29" s="19">
        <f t="shared" si="5"/>
        <v>-3450.0000000000014</v>
      </c>
      <c r="K29" s="19"/>
    </row>
    <row r="30" spans="1:12" x14ac:dyDescent="0.2">
      <c r="A30" s="14">
        <v>36069</v>
      </c>
      <c r="B30" s="16">
        <f>26125</f>
        <v>26125</v>
      </c>
      <c r="C30" s="16" t="s">
        <v>35</v>
      </c>
      <c r="D30" s="17">
        <f t="shared" si="3"/>
        <v>2.2200000000000002</v>
      </c>
      <c r="E30" s="18">
        <f>-8600*31</f>
        <v>-266600</v>
      </c>
      <c r="F30" s="18">
        <v>-7750</v>
      </c>
      <c r="G30" s="17">
        <v>1.78</v>
      </c>
      <c r="H30" s="17"/>
      <c r="I30" s="19">
        <f t="shared" si="4"/>
        <v>-3410.0000000000014</v>
      </c>
      <c r="J30" s="19">
        <f t="shared" si="5"/>
        <v>-3410.0000000000014</v>
      </c>
      <c r="K30" s="19"/>
    </row>
    <row r="31" spans="1:12" x14ac:dyDescent="0.2">
      <c r="A31" s="14">
        <v>36100</v>
      </c>
      <c r="B31" s="16">
        <f>26125</f>
        <v>26125</v>
      </c>
      <c r="C31" s="16" t="s">
        <v>35</v>
      </c>
      <c r="D31" s="17">
        <f t="shared" si="3"/>
        <v>2.2200000000000002</v>
      </c>
      <c r="E31" s="18">
        <f>-8600*30</f>
        <v>-258000</v>
      </c>
      <c r="F31" s="18">
        <v>-7500</v>
      </c>
      <c r="G31" s="17">
        <v>1.99</v>
      </c>
      <c r="H31" s="60"/>
      <c r="I31" s="19">
        <f t="shared" si="4"/>
        <v>-1725.0000000000016</v>
      </c>
      <c r="J31" s="19">
        <f t="shared" si="5"/>
        <v>-1725.0000000000016</v>
      </c>
      <c r="K31" s="19"/>
    </row>
    <row r="32" spans="1:12" x14ac:dyDescent="0.2">
      <c r="A32" s="14">
        <v>36130</v>
      </c>
      <c r="B32" s="16">
        <f>26125</f>
        <v>26125</v>
      </c>
      <c r="C32" s="16" t="s">
        <v>35</v>
      </c>
      <c r="D32" s="17">
        <f t="shared" si="3"/>
        <v>2.2200000000000002</v>
      </c>
      <c r="E32" s="18">
        <f>-8600*31</f>
        <v>-266600</v>
      </c>
      <c r="F32" s="18">
        <v>-7750</v>
      </c>
      <c r="G32" s="17">
        <v>1.74</v>
      </c>
      <c r="H32" s="60"/>
      <c r="I32" s="19">
        <f t="shared" si="4"/>
        <v>-3720.0000000000014</v>
      </c>
      <c r="J32" s="19">
        <f t="shared" si="5"/>
        <v>-3720.0000000000014</v>
      </c>
      <c r="K32" s="19"/>
    </row>
    <row r="33" spans="1:12" x14ac:dyDescent="0.2">
      <c r="A33" s="14">
        <v>36161</v>
      </c>
      <c r="B33" s="16">
        <f>26125</f>
        <v>26125</v>
      </c>
      <c r="C33" s="16" t="s">
        <v>35</v>
      </c>
      <c r="D33" s="17">
        <f t="shared" si="3"/>
        <v>2.2200000000000002</v>
      </c>
      <c r="E33" s="18">
        <f>-8600*31</f>
        <v>-266600</v>
      </c>
      <c r="F33" s="18">
        <v>-7750</v>
      </c>
      <c r="G33" s="60">
        <v>1.73</v>
      </c>
      <c r="H33" s="60"/>
      <c r="I33" s="19">
        <f t="shared" si="4"/>
        <v>-3797.5000000000018</v>
      </c>
      <c r="J33" s="19">
        <f t="shared" si="5"/>
        <v>-3797.5000000000018</v>
      </c>
      <c r="K33" s="19"/>
    </row>
    <row r="34" spans="1:12" x14ac:dyDescent="0.2">
      <c r="A34" s="14">
        <v>36192</v>
      </c>
      <c r="B34" s="16">
        <f>26125</f>
        <v>26125</v>
      </c>
      <c r="C34" s="16" t="s">
        <v>35</v>
      </c>
      <c r="D34" s="17">
        <f t="shared" si="3"/>
        <v>2.2200000000000002</v>
      </c>
      <c r="E34" s="18">
        <f>-8600*28</f>
        <v>-240800</v>
      </c>
      <c r="F34" s="18">
        <v>-7000</v>
      </c>
      <c r="G34" s="60">
        <v>1.63</v>
      </c>
      <c r="H34" s="60"/>
      <c r="I34" s="19">
        <f t="shared" si="4"/>
        <v>-4130.0000000000018</v>
      </c>
      <c r="J34" s="19">
        <f t="shared" si="5"/>
        <v>-4130.0000000000018</v>
      </c>
      <c r="K34" s="19"/>
    </row>
    <row r="35" spans="1:12" x14ac:dyDescent="0.2">
      <c r="A35" s="14">
        <v>36220</v>
      </c>
      <c r="B35" s="16">
        <f>26125</f>
        <v>26125</v>
      </c>
      <c r="C35" s="16" t="s">
        <v>35</v>
      </c>
      <c r="D35" s="17">
        <f t="shared" si="3"/>
        <v>2.2200000000000002</v>
      </c>
      <c r="E35" s="18">
        <f>-8600*31</f>
        <v>-266600</v>
      </c>
      <c r="F35" s="18">
        <v>-7750</v>
      </c>
      <c r="G35" s="60">
        <v>1.59</v>
      </c>
      <c r="H35" s="60"/>
      <c r="I35" s="19">
        <f t="shared" si="4"/>
        <v>-4882.5000000000009</v>
      </c>
      <c r="J35" s="19">
        <f t="shared" si="5"/>
        <v>-4882.5000000000009</v>
      </c>
      <c r="K35" s="19"/>
    </row>
    <row r="36" spans="1:12" x14ac:dyDescent="0.2">
      <c r="A36" s="14">
        <v>36251</v>
      </c>
      <c r="B36" s="16">
        <f>26125</f>
        <v>26125</v>
      </c>
      <c r="C36" s="16" t="s">
        <v>35</v>
      </c>
      <c r="D36" s="17">
        <f t="shared" si="3"/>
        <v>2.2200000000000002</v>
      </c>
      <c r="E36" s="18">
        <f>-8600*30</f>
        <v>-258000</v>
      </c>
      <c r="F36" s="18">
        <v>-7500</v>
      </c>
      <c r="G36" s="64">
        <v>1.94</v>
      </c>
      <c r="H36" s="64"/>
      <c r="I36" s="19">
        <f t="shared" si="4"/>
        <v>-2100.0000000000018</v>
      </c>
      <c r="J36" s="19">
        <f t="shared" si="5"/>
        <v>-2100.0000000000018</v>
      </c>
      <c r="K36" s="19"/>
    </row>
    <row r="37" spans="1:12" x14ac:dyDescent="0.2">
      <c r="A37" s="14">
        <v>36281</v>
      </c>
      <c r="B37" s="16">
        <f>26125</f>
        <v>26125</v>
      </c>
      <c r="C37" s="16" t="s">
        <v>35</v>
      </c>
      <c r="D37" s="17">
        <f t="shared" si="3"/>
        <v>2.2200000000000002</v>
      </c>
      <c r="E37" s="18">
        <f>-8600*31</f>
        <v>-266600</v>
      </c>
      <c r="F37" s="18">
        <v>-7750</v>
      </c>
      <c r="G37" s="17">
        <v>2.06</v>
      </c>
      <c r="H37" s="60"/>
      <c r="I37" s="19">
        <f t="shared" si="4"/>
        <v>-1240.0000000000011</v>
      </c>
      <c r="J37" s="19">
        <f t="shared" si="5"/>
        <v>-1240.0000000000011</v>
      </c>
      <c r="K37" s="19"/>
    </row>
    <row r="38" spans="1:12" x14ac:dyDescent="0.2">
      <c r="A38" s="20"/>
      <c r="B38" s="15"/>
      <c r="C38" s="15"/>
      <c r="D38" s="15"/>
      <c r="E38" s="15"/>
      <c r="F38" s="21">
        <f>SUM(F26:F37)</f>
        <v>-91250</v>
      </c>
      <c r="G38" s="15"/>
      <c r="H38" s="15"/>
      <c r="I38" s="22">
        <f>SUM(I27:I37)</f>
        <v>-33647.500000000007</v>
      </c>
      <c r="J38" s="22">
        <f>SUM(J27:J37)</f>
        <v>-33647.500000000007</v>
      </c>
      <c r="K38" s="22">
        <f>SUM(K27:K37)</f>
        <v>0</v>
      </c>
      <c r="L38" s="43">
        <f>+J38+K38-I38</f>
        <v>0</v>
      </c>
    </row>
    <row r="39" spans="1:12" x14ac:dyDescent="0.2">
      <c r="A39" s="20"/>
      <c r="B39" s="15"/>
      <c r="C39" s="15"/>
      <c r="D39" s="15"/>
      <c r="E39" s="15"/>
      <c r="F39" s="15"/>
      <c r="G39" s="15"/>
      <c r="H39" s="15"/>
      <c r="I39" s="19"/>
      <c r="J39" s="19"/>
      <c r="K39" s="19"/>
    </row>
    <row r="40" spans="1:12" ht="13.5" thickBot="1" x14ac:dyDescent="0.25">
      <c r="A40" s="20"/>
      <c r="B40" s="15"/>
      <c r="C40" s="15"/>
      <c r="D40" s="15"/>
      <c r="E40" s="15"/>
      <c r="F40" s="23">
        <f>+F22+F38</f>
        <v>0</v>
      </c>
      <c r="G40" s="15"/>
      <c r="H40" s="15"/>
      <c r="I40" s="24">
        <f>+I22+I38</f>
        <v>8877.5000000000073</v>
      </c>
      <c r="J40" s="24">
        <f>+J22+J38</f>
        <v>8877.5000000000073</v>
      </c>
      <c r="K40" s="24">
        <f>+K22+K38</f>
        <v>0</v>
      </c>
      <c r="L40" s="43">
        <f>+J40+K40-I40</f>
        <v>0</v>
      </c>
    </row>
    <row r="41" spans="1:12" ht="13.5" thickTop="1" x14ac:dyDescent="0.2">
      <c r="A41" s="25"/>
      <c r="B41" s="26"/>
      <c r="C41" s="26"/>
      <c r="D41" s="26"/>
      <c r="E41" s="26"/>
      <c r="F41" s="26"/>
      <c r="G41" s="26"/>
      <c r="H41" s="26"/>
      <c r="I41" s="27"/>
      <c r="J41" s="27"/>
      <c r="K41" s="27"/>
    </row>
    <row r="42" spans="1:12" x14ac:dyDescent="0.2">
      <c r="I42" s="28"/>
    </row>
    <row r="43" spans="1:12" x14ac:dyDescent="0.2">
      <c r="A43" s="29" t="s">
        <v>47</v>
      </c>
      <c r="J43"/>
      <c r="K43"/>
    </row>
    <row r="44" spans="1:12" s="29" customFormat="1" ht="11.25" x14ac:dyDescent="0.2">
      <c r="I44" s="30"/>
      <c r="J44" s="30"/>
      <c r="K44" s="30"/>
    </row>
    <row r="45" spans="1:12" x14ac:dyDescent="0.2">
      <c r="I45" s="28"/>
    </row>
    <row r="46" spans="1:12" x14ac:dyDescent="0.2">
      <c r="I46" s="28"/>
    </row>
    <row r="47" spans="1:12" x14ac:dyDescent="0.2">
      <c r="I47" s="28"/>
    </row>
    <row r="48" spans="1:12" x14ac:dyDescent="0.2">
      <c r="I48" s="28"/>
    </row>
    <row r="49" spans="9:9" x14ac:dyDescent="0.2">
      <c r="I49" s="28"/>
    </row>
    <row r="50" spans="9:9" x14ac:dyDescent="0.2">
      <c r="I50" s="28"/>
    </row>
    <row r="51" spans="9:9" x14ac:dyDescent="0.2">
      <c r="I51" s="28"/>
    </row>
    <row r="52" spans="9:9" x14ac:dyDescent="0.2">
      <c r="I52" s="28"/>
    </row>
    <row r="53" spans="9:9" x14ac:dyDescent="0.2">
      <c r="I53" s="28"/>
    </row>
    <row r="54" spans="9:9" x14ac:dyDescent="0.2">
      <c r="I54" s="28"/>
    </row>
    <row r="55" spans="9:9" x14ac:dyDescent="0.2">
      <c r="I55" s="28"/>
    </row>
    <row r="56" spans="9:9" x14ac:dyDescent="0.2">
      <c r="I56" s="28"/>
    </row>
    <row r="57" spans="9:9" x14ac:dyDescent="0.2">
      <c r="I57" s="28"/>
    </row>
    <row r="58" spans="9:9" x14ac:dyDescent="0.2">
      <c r="I58" s="28"/>
    </row>
    <row r="59" spans="9:9" x14ac:dyDescent="0.2">
      <c r="I59" s="28"/>
    </row>
    <row r="60" spans="9:9" x14ac:dyDescent="0.2">
      <c r="I60" s="28"/>
    </row>
    <row r="61" spans="9:9" x14ac:dyDescent="0.2">
      <c r="I61" s="28"/>
    </row>
    <row r="62" spans="9:9" x14ac:dyDescent="0.2">
      <c r="I62" s="28"/>
    </row>
    <row r="63" spans="9:9" x14ac:dyDescent="0.2">
      <c r="I63" s="28"/>
    </row>
    <row r="64" spans="9:9" x14ac:dyDescent="0.2">
      <c r="I64" s="28"/>
    </row>
    <row r="65" spans="9:9" x14ac:dyDescent="0.2">
      <c r="I65" s="28"/>
    </row>
    <row r="66" spans="9:9" x14ac:dyDescent="0.2">
      <c r="I66" s="28"/>
    </row>
    <row r="67" spans="9:9" x14ac:dyDescent="0.2">
      <c r="I67" s="28"/>
    </row>
    <row r="68" spans="9:9" x14ac:dyDescent="0.2">
      <c r="I68" s="28"/>
    </row>
    <row r="69" spans="9:9" x14ac:dyDescent="0.2">
      <c r="I69" s="28"/>
    </row>
    <row r="70" spans="9:9" x14ac:dyDescent="0.2">
      <c r="I70" s="28"/>
    </row>
    <row r="71" spans="9:9" x14ac:dyDescent="0.2">
      <c r="I71" s="28"/>
    </row>
    <row r="72" spans="9:9" x14ac:dyDescent="0.2">
      <c r="I72" s="28"/>
    </row>
    <row r="73" spans="9:9" x14ac:dyDescent="0.2">
      <c r="I73" s="28"/>
    </row>
    <row r="74" spans="9:9" x14ac:dyDescent="0.2">
      <c r="I74" s="28"/>
    </row>
    <row r="75" spans="9:9" x14ac:dyDescent="0.2">
      <c r="I75" s="28"/>
    </row>
    <row r="76" spans="9:9" x14ac:dyDescent="0.2">
      <c r="I76" s="28"/>
    </row>
    <row r="77" spans="9:9" x14ac:dyDescent="0.2">
      <c r="I77" s="28"/>
    </row>
    <row r="78" spans="9:9" x14ac:dyDescent="0.2">
      <c r="I78" s="28"/>
    </row>
    <row r="79" spans="9:9" x14ac:dyDescent="0.2">
      <c r="I79" s="28"/>
    </row>
    <row r="80" spans="9:9" x14ac:dyDescent="0.2">
      <c r="I80" s="28"/>
    </row>
    <row r="81" spans="9:9" x14ac:dyDescent="0.2">
      <c r="I81" s="28"/>
    </row>
    <row r="82" spans="9:9" x14ac:dyDescent="0.2">
      <c r="I82" s="28"/>
    </row>
    <row r="83" spans="9:9" x14ac:dyDescent="0.2">
      <c r="I83" s="28"/>
    </row>
    <row r="84" spans="9:9" x14ac:dyDescent="0.2">
      <c r="I84" s="28"/>
    </row>
    <row r="85" spans="9:9" x14ac:dyDescent="0.2">
      <c r="I85" s="28"/>
    </row>
    <row r="86" spans="9:9" x14ac:dyDescent="0.2">
      <c r="I86" s="28"/>
    </row>
    <row r="87" spans="9:9" x14ac:dyDescent="0.2">
      <c r="I87" s="28"/>
    </row>
    <row r="88" spans="9:9" x14ac:dyDescent="0.2">
      <c r="I88" s="28"/>
    </row>
    <row r="89" spans="9:9" x14ac:dyDescent="0.2">
      <c r="I89" s="28"/>
    </row>
    <row r="90" spans="9:9" x14ac:dyDescent="0.2">
      <c r="I90" s="28"/>
    </row>
    <row r="91" spans="9:9" x14ac:dyDescent="0.2">
      <c r="I91" s="28"/>
    </row>
    <row r="92" spans="9:9" x14ac:dyDescent="0.2">
      <c r="I92" s="28"/>
    </row>
    <row r="93" spans="9:9" x14ac:dyDescent="0.2">
      <c r="I93" s="28"/>
    </row>
    <row r="94" spans="9:9" x14ac:dyDescent="0.2">
      <c r="I94" s="28"/>
    </row>
    <row r="95" spans="9:9" x14ac:dyDescent="0.2">
      <c r="I95" s="28"/>
    </row>
    <row r="96" spans="9:9" x14ac:dyDescent="0.2">
      <c r="I96" s="28"/>
    </row>
    <row r="97" spans="9:9" x14ac:dyDescent="0.2">
      <c r="I97" s="28"/>
    </row>
    <row r="98" spans="9:9" x14ac:dyDescent="0.2">
      <c r="I98" s="28"/>
    </row>
    <row r="99" spans="9:9" x14ac:dyDescent="0.2">
      <c r="I99" s="28"/>
    </row>
    <row r="100" spans="9:9" x14ac:dyDescent="0.2">
      <c r="I100" s="28"/>
    </row>
    <row r="101" spans="9:9" x14ac:dyDescent="0.2">
      <c r="I101" s="28"/>
    </row>
    <row r="102" spans="9:9" x14ac:dyDescent="0.2">
      <c r="I102" s="28"/>
    </row>
    <row r="103" spans="9:9" x14ac:dyDescent="0.2">
      <c r="I103" s="28"/>
    </row>
    <row r="104" spans="9:9" x14ac:dyDescent="0.2">
      <c r="I104" s="28"/>
    </row>
    <row r="105" spans="9:9" x14ac:dyDescent="0.2">
      <c r="I105" s="28"/>
    </row>
    <row r="106" spans="9:9" x14ac:dyDescent="0.2">
      <c r="I106" s="28"/>
    </row>
    <row r="107" spans="9:9" x14ac:dyDescent="0.2">
      <c r="I107" s="28"/>
    </row>
    <row r="108" spans="9:9" x14ac:dyDescent="0.2">
      <c r="I108" s="28"/>
    </row>
    <row r="109" spans="9:9" x14ac:dyDescent="0.2">
      <c r="I109" s="28"/>
    </row>
    <row r="110" spans="9:9" x14ac:dyDescent="0.2">
      <c r="I110" s="28"/>
    </row>
    <row r="111" spans="9:9" x14ac:dyDescent="0.2">
      <c r="I111" s="28"/>
    </row>
    <row r="112" spans="9:9" x14ac:dyDescent="0.2">
      <c r="I112" s="28"/>
    </row>
    <row r="113" spans="9:9" x14ac:dyDescent="0.2">
      <c r="I113" s="28"/>
    </row>
    <row r="114" spans="9:9" x14ac:dyDescent="0.2">
      <c r="I114" s="28"/>
    </row>
    <row r="115" spans="9:9" x14ac:dyDescent="0.2">
      <c r="I115" s="28"/>
    </row>
    <row r="116" spans="9:9" x14ac:dyDescent="0.2">
      <c r="I116" s="28"/>
    </row>
    <row r="117" spans="9:9" x14ac:dyDescent="0.2">
      <c r="I117" s="28"/>
    </row>
    <row r="118" spans="9:9" x14ac:dyDescent="0.2">
      <c r="I118" s="28"/>
    </row>
    <row r="119" spans="9:9" x14ac:dyDescent="0.2">
      <c r="I119" s="28"/>
    </row>
    <row r="120" spans="9:9" x14ac:dyDescent="0.2">
      <c r="I120" s="28"/>
    </row>
    <row r="121" spans="9:9" x14ac:dyDescent="0.2">
      <c r="I121" s="28"/>
    </row>
    <row r="122" spans="9:9" x14ac:dyDescent="0.2">
      <c r="I122" s="28"/>
    </row>
    <row r="123" spans="9:9" x14ac:dyDescent="0.2">
      <c r="I123" s="28"/>
    </row>
    <row r="124" spans="9:9" x14ac:dyDescent="0.2">
      <c r="I124" s="28"/>
    </row>
    <row r="125" spans="9:9" x14ac:dyDescent="0.2">
      <c r="I125" s="28"/>
    </row>
    <row r="126" spans="9:9" x14ac:dyDescent="0.2">
      <c r="I126" s="28"/>
    </row>
    <row r="127" spans="9:9" x14ac:dyDescent="0.2">
      <c r="I127" s="28"/>
    </row>
    <row r="128" spans="9:9" x14ac:dyDescent="0.2">
      <c r="I128" s="28"/>
    </row>
    <row r="129" spans="9:9" x14ac:dyDescent="0.2">
      <c r="I129" s="28"/>
    </row>
    <row r="130" spans="9:9" x14ac:dyDescent="0.2">
      <c r="I130" s="28"/>
    </row>
    <row r="131" spans="9:9" x14ac:dyDescent="0.2">
      <c r="I131" s="28"/>
    </row>
    <row r="132" spans="9:9" x14ac:dyDescent="0.2">
      <c r="I132" s="28"/>
    </row>
    <row r="133" spans="9:9" x14ac:dyDescent="0.2">
      <c r="I133" s="28"/>
    </row>
  </sheetData>
  <printOptions horizontalCentered="1" verticalCentered="1"/>
  <pageMargins left="0.75" right="0.75" top="1" bottom="1" header="0.5" footer="0.5"/>
  <pageSetup scale="88" orientation="landscape" horizontalDpi="300" verticalDpi="300" r:id="rId1"/>
  <headerFooter alignWithMargins="0">
    <oddFooter xml:space="preserve">&amp;L&amp;"Arial,Italic"&amp;8&amp;D&amp;T&amp;R&amp;"Arial,Italic"&amp;8G:/Common/Tw Fuel Hedge/Fixed2_Avista_1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5"/>
  <sheetViews>
    <sheetView workbookViewId="0">
      <selection activeCell="H7" sqref="H7"/>
    </sheetView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4.5703125" bestFit="1" customWidth="1"/>
    <col min="9" max="11" width="15" bestFit="1" customWidth="1"/>
  </cols>
  <sheetData>
    <row r="1" spans="1:11" s="2" customFormat="1" ht="15" x14ac:dyDescent="0.2">
      <c r="A1" s="1" t="s">
        <v>49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77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149</v>
      </c>
      <c r="I6" s="55" t="s">
        <v>55</v>
      </c>
      <c r="J6" s="56"/>
      <c r="K6" s="57"/>
    </row>
    <row r="7" spans="1:11" s="7" customFormat="1" x14ac:dyDescent="0.2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">
      <c r="A8" s="11"/>
      <c r="B8" s="12"/>
      <c r="C8" s="12"/>
      <c r="D8" s="12"/>
      <c r="E8" s="12"/>
      <c r="F8" s="12"/>
      <c r="G8" s="51" t="s">
        <v>74</v>
      </c>
      <c r="H8" s="13"/>
      <c r="I8" s="58" t="s">
        <v>31</v>
      </c>
      <c r="J8" s="58" t="s">
        <v>31</v>
      </c>
      <c r="K8" s="59" t="s">
        <v>31</v>
      </c>
    </row>
    <row r="9" spans="1:11" x14ac:dyDescent="0.2">
      <c r="A9" s="31">
        <v>36526</v>
      </c>
      <c r="B9" s="15"/>
      <c r="C9" s="16" t="s">
        <v>39</v>
      </c>
      <c r="D9" s="32">
        <v>2.3650000000000002</v>
      </c>
      <c r="E9" s="15"/>
      <c r="F9" s="18">
        <f>-15000*31</f>
        <v>-465000</v>
      </c>
      <c r="G9" s="32">
        <v>2.19</v>
      </c>
      <c r="H9" s="32"/>
      <c r="I9" s="17">
        <f t="shared" ref="I9:I19" si="0">(+D9-G9)*F9</f>
        <v>-81375.000000000131</v>
      </c>
      <c r="J9" s="41">
        <f t="shared" ref="J9:J19" si="1">+I9</f>
        <v>-81375.000000000131</v>
      </c>
      <c r="K9" s="41"/>
    </row>
    <row r="10" spans="1:11" x14ac:dyDescent="0.2">
      <c r="A10" s="31">
        <v>36557</v>
      </c>
      <c r="B10" s="15"/>
      <c r="C10" s="16" t="s">
        <v>39</v>
      </c>
      <c r="D10" s="32">
        <v>2.3650000000000002</v>
      </c>
      <c r="E10" s="15"/>
      <c r="F10" s="18">
        <f>-15000*29</f>
        <v>-435000</v>
      </c>
      <c r="G10" s="32">
        <v>2.41</v>
      </c>
      <c r="H10" s="32"/>
      <c r="I10" s="17">
        <f t="shared" si="0"/>
        <v>19574.999999999971</v>
      </c>
      <c r="J10" s="41">
        <f t="shared" si="1"/>
        <v>19574.999999999971</v>
      </c>
      <c r="K10" s="41"/>
    </row>
    <row r="11" spans="1:11" x14ac:dyDescent="0.2">
      <c r="A11" s="31">
        <v>36586</v>
      </c>
      <c r="B11" s="15"/>
      <c r="C11" s="16" t="s">
        <v>39</v>
      </c>
      <c r="D11" s="32">
        <v>2.3650000000000002</v>
      </c>
      <c r="E11" s="15"/>
      <c r="F11" s="18">
        <f t="shared" ref="F11:F20" si="2">-15000*31</f>
        <v>-465000</v>
      </c>
      <c r="G11" s="32">
        <v>2.41</v>
      </c>
      <c r="H11" s="32"/>
      <c r="I11" s="17">
        <f t="shared" si="0"/>
        <v>20924.999999999967</v>
      </c>
      <c r="J11" s="41">
        <f t="shared" si="1"/>
        <v>20924.999999999967</v>
      </c>
      <c r="K11" s="41"/>
    </row>
    <row r="12" spans="1:11" x14ac:dyDescent="0.2">
      <c r="A12" s="31">
        <v>36617</v>
      </c>
      <c r="B12" s="15"/>
      <c r="C12" s="16" t="s">
        <v>39</v>
      </c>
      <c r="D12" s="32">
        <v>2.3650000000000002</v>
      </c>
      <c r="E12" s="15"/>
      <c r="F12" s="18">
        <f>-15000*30</f>
        <v>-450000</v>
      </c>
      <c r="G12" s="32">
        <v>2.79</v>
      </c>
      <c r="H12" s="32"/>
      <c r="I12" s="17">
        <f t="shared" si="0"/>
        <v>191249.99999999991</v>
      </c>
      <c r="J12" s="41">
        <f t="shared" si="1"/>
        <v>191249.99999999991</v>
      </c>
      <c r="K12" s="41"/>
    </row>
    <row r="13" spans="1:11" x14ac:dyDescent="0.2">
      <c r="A13" s="31">
        <v>36647</v>
      </c>
      <c r="B13" s="15"/>
      <c r="C13" s="16" t="s">
        <v>39</v>
      </c>
      <c r="D13" s="32">
        <v>2.3650000000000002</v>
      </c>
      <c r="E13" s="15"/>
      <c r="F13" s="18">
        <f t="shared" si="2"/>
        <v>-465000</v>
      </c>
      <c r="G13" s="32">
        <v>2.87</v>
      </c>
      <c r="H13" s="32"/>
      <c r="I13" s="17">
        <f t="shared" si="0"/>
        <v>234824.99999999994</v>
      </c>
      <c r="J13" s="41">
        <f t="shared" si="1"/>
        <v>234824.99999999994</v>
      </c>
      <c r="K13" s="41"/>
    </row>
    <row r="14" spans="1:11" x14ac:dyDescent="0.2">
      <c r="A14" s="31">
        <v>36678</v>
      </c>
      <c r="B14" s="15"/>
      <c r="C14" s="16" t="s">
        <v>39</v>
      </c>
      <c r="D14" s="32">
        <v>2.3650000000000002</v>
      </c>
      <c r="E14" s="15"/>
      <c r="F14" s="18">
        <f>-15000*30</f>
        <v>-450000</v>
      </c>
      <c r="G14" s="32">
        <v>4.0999999999999996</v>
      </c>
      <c r="H14" s="32"/>
      <c r="I14" s="17">
        <f t="shared" si="0"/>
        <v>780749.99999999977</v>
      </c>
      <c r="J14" s="41">
        <f t="shared" si="1"/>
        <v>780749.99999999977</v>
      </c>
      <c r="K14" s="41"/>
    </row>
    <row r="15" spans="1:11" x14ac:dyDescent="0.2">
      <c r="A15" s="31">
        <v>36708</v>
      </c>
      <c r="B15" s="15"/>
      <c r="C15" s="16" t="s">
        <v>39</v>
      </c>
      <c r="D15" s="32">
        <v>2.3650000000000002</v>
      </c>
      <c r="E15" s="15"/>
      <c r="F15" s="18">
        <f t="shared" si="2"/>
        <v>-465000</v>
      </c>
      <c r="G15" s="32">
        <v>4.3499999999999996</v>
      </c>
      <c r="H15" s="32"/>
      <c r="I15" s="17">
        <f t="shared" si="0"/>
        <v>923024.99999999977</v>
      </c>
      <c r="J15" s="41">
        <f t="shared" si="1"/>
        <v>923024.99999999977</v>
      </c>
      <c r="K15" s="41"/>
    </row>
    <row r="16" spans="1:11" x14ac:dyDescent="0.2">
      <c r="A16" s="31">
        <v>36739</v>
      </c>
      <c r="B16" s="15"/>
      <c r="C16" s="16" t="s">
        <v>39</v>
      </c>
      <c r="D16" s="32">
        <v>2.3650000000000002</v>
      </c>
      <c r="E16" s="15"/>
      <c r="F16" s="18">
        <f t="shared" si="2"/>
        <v>-465000</v>
      </c>
      <c r="G16" s="32">
        <v>3.77</v>
      </c>
      <c r="H16" s="32"/>
      <c r="I16" s="17">
        <f t="shared" si="0"/>
        <v>653324.99999999988</v>
      </c>
      <c r="J16" s="41">
        <f t="shared" si="1"/>
        <v>653324.99999999988</v>
      </c>
      <c r="K16" s="41"/>
    </row>
    <row r="17" spans="1:11" x14ac:dyDescent="0.2">
      <c r="A17" s="31">
        <v>36770</v>
      </c>
      <c r="B17" s="15"/>
      <c r="C17" s="16" t="s">
        <v>39</v>
      </c>
      <c r="D17" s="32">
        <v>2.3650000000000002</v>
      </c>
      <c r="E17" s="15"/>
      <c r="F17" s="18">
        <f>-15000*30</f>
        <v>-450000</v>
      </c>
      <c r="G17" s="32">
        <v>4.5</v>
      </c>
      <c r="H17" s="32"/>
      <c r="I17" s="17">
        <f t="shared" si="0"/>
        <v>960749.99999999988</v>
      </c>
      <c r="J17" s="41">
        <f t="shared" si="1"/>
        <v>960749.99999999988</v>
      </c>
      <c r="K17" s="41"/>
    </row>
    <row r="18" spans="1:11" x14ac:dyDescent="0.2">
      <c r="A18" s="31">
        <v>36800</v>
      </c>
      <c r="B18" s="15"/>
      <c r="C18" s="16" t="s">
        <v>39</v>
      </c>
      <c r="D18" s="32">
        <v>2.3650000000000002</v>
      </c>
      <c r="E18" s="15"/>
      <c r="F18" s="18">
        <f t="shared" si="2"/>
        <v>-465000</v>
      </c>
      <c r="G18" s="32">
        <v>5.15</v>
      </c>
      <c r="H18" s="32"/>
      <c r="I18" s="17">
        <f t="shared" si="0"/>
        <v>1295025</v>
      </c>
      <c r="J18" s="41">
        <f t="shared" si="1"/>
        <v>1295025</v>
      </c>
      <c r="K18" s="41"/>
    </row>
    <row r="19" spans="1:11" x14ac:dyDescent="0.2">
      <c r="A19" s="31">
        <v>36831</v>
      </c>
      <c r="B19" s="15"/>
      <c r="C19" s="16" t="s">
        <v>39</v>
      </c>
      <c r="D19" s="32">
        <v>2.3650000000000002</v>
      </c>
      <c r="E19" s="15"/>
      <c r="F19" s="18">
        <f>-15000*30</f>
        <v>-450000</v>
      </c>
      <c r="G19" s="32">
        <v>4.5199999999999996</v>
      </c>
      <c r="H19" s="32"/>
      <c r="I19" s="17">
        <f t="shared" si="0"/>
        <v>969749.99999999977</v>
      </c>
      <c r="J19" s="41">
        <f t="shared" si="1"/>
        <v>969749.99999999977</v>
      </c>
      <c r="K19" s="41"/>
    </row>
    <row r="20" spans="1:11" x14ac:dyDescent="0.2">
      <c r="A20" s="31">
        <v>36861</v>
      </c>
      <c r="B20" s="15"/>
      <c r="C20" s="16" t="s">
        <v>39</v>
      </c>
      <c r="D20" s="32">
        <v>2.3650000000000002</v>
      </c>
      <c r="E20" s="15"/>
      <c r="F20" s="18">
        <f t="shared" si="2"/>
        <v>-465000</v>
      </c>
      <c r="G20" s="15"/>
      <c r="H20" s="32">
        <v>6.27</v>
      </c>
      <c r="I20" s="17">
        <f>SUM(D20-H20)*F20</f>
        <v>1815824.9999999998</v>
      </c>
      <c r="J20" s="39"/>
      <c r="K20" s="41">
        <f>+I20</f>
        <v>1815824.9999999998</v>
      </c>
    </row>
    <row r="21" spans="1:11" x14ac:dyDescent="0.2">
      <c r="A21" s="31"/>
      <c r="B21" s="15"/>
      <c r="C21" s="16"/>
      <c r="D21" s="32"/>
      <c r="E21" s="15"/>
      <c r="F21" s="18"/>
      <c r="G21" s="15"/>
      <c r="H21" s="32"/>
      <c r="I21" s="17"/>
      <c r="J21" s="39"/>
      <c r="K21" s="41"/>
    </row>
    <row r="22" spans="1:11" x14ac:dyDescent="0.2">
      <c r="A22" s="15"/>
      <c r="B22" s="15"/>
      <c r="C22" s="15"/>
      <c r="D22" s="15"/>
      <c r="E22" s="15"/>
      <c r="F22" s="21">
        <f>SUM(F9:F20)</f>
        <v>-5490000</v>
      </c>
      <c r="G22" s="15"/>
      <c r="H22" s="15"/>
      <c r="I22" s="35">
        <f>SUM(I9:I20)</f>
        <v>7783649.9999999991</v>
      </c>
      <c r="J22" s="35">
        <f>SUM(J9:J20)</f>
        <v>5967824.9999999991</v>
      </c>
      <c r="K22" s="35">
        <f>SUM(K9:K20)</f>
        <v>1815824.9999999998</v>
      </c>
    </row>
    <row r="23" spans="1:11" x14ac:dyDescent="0.2">
      <c r="A23" s="15"/>
      <c r="B23" s="15"/>
      <c r="C23" s="15"/>
      <c r="D23" s="15"/>
      <c r="E23" s="15"/>
      <c r="F23" s="38"/>
      <c r="G23" s="15"/>
      <c r="H23" s="15"/>
      <c r="I23" s="54"/>
      <c r="J23" s="47"/>
      <c r="K23" s="47"/>
    </row>
    <row r="24" spans="1:11" x14ac:dyDescent="0.2">
      <c r="A24" s="15"/>
      <c r="B24" s="15"/>
      <c r="C24" s="15"/>
      <c r="D24" s="15"/>
      <c r="E24" s="15"/>
      <c r="F24" s="15"/>
      <c r="G24" s="50" t="s">
        <v>140</v>
      </c>
      <c r="H24" s="36"/>
      <c r="I24" s="15"/>
      <c r="J24" s="39"/>
      <c r="K24" s="39"/>
    </row>
    <row r="25" spans="1:11" x14ac:dyDescent="0.2">
      <c r="A25" s="15"/>
      <c r="B25" s="15"/>
      <c r="C25" s="15"/>
      <c r="D25" s="32"/>
      <c r="E25" s="15"/>
      <c r="F25" s="15"/>
      <c r="G25" s="49"/>
      <c r="H25" s="36"/>
      <c r="I25" s="15"/>
      <c r="J25" s="39"/>
      <c r="K25" s="39"/>
    </row>
    <row r="26" spans="1:11" x14ac:dyDescent="0.2">
      <c r="A26" s="31">
        <v>36526</v>
      </c>
      <c r="B26" s="15"/>
      <c r="C26" s="16" t="s">
        <v>46</v>
      </c>
      <c r="D26" s="32">
        <v>2.3650000000000002</v>
      </c>
      <c r="E26" s="15"/>
      <c r="F26" s="18">
        <f>15000*31</f>
        <v>465000</v>
      </c>
      <c r="G26" s="32">
        <v>2.19</v>
      </c>
      <c r="H26" s="61"/>
      <c r="I26" s="17">
        <f t="shared" ref="I26:I36" si="3">(+D26-G26)*F26</f>
        <v>81375.000000000131</v>
      </c>
      <c r="J26" s="41">
        <f t="shared" ref="J26:J36" si="4">+I26</f>
        <v>81375.000000000131</v>
      </c>
      <c r="K26" s="41"/>
    </row>
    <row r="27" spans="1:11" x14ac:dyDescent="0.2">
      <c r="A27" s="31">
        <v>36557</v>
      </c>
      <c r="B27" s="15"/>
      <c r="C27" s="16" t="s">
        <v>46</v>
      </c>
      <c r="D27" s="32">
        <v>2.3650000000000002</v>
      </c>
      <c r="E27" s="15"/>
      <c r="F27" s="18">
        <f>15000*29</f>
        <v>435000</v>
      </c>
      <c r="G27" s="32">
        <v>2.41</v>
      </c>
      <c r="H27" s="61"/>
      <c r="I27" s="17">
        <f t="shared" si="3"/>
        <v>-19574.999999999971</v>
      </c>
      <c r="J27" s="41">
        <f t="shared" si="4"/>
        <v>-19574.999999999971</v>
      </c>
      <c r="K27" s="41"/>
    </row>
    <row r="28" spans="1:11" x14ac:dyDescent="0.2">
      <c r="A28" s="31">
        <v>36586</v>
      </c>
      <c r="B28" s="15"/>
      <c r="C28" s="16" t="s">
        <v>46</v>
      </c>
      <c r="D28" s="32">
        <v>2.3650000000000002</v>
      </c>
      <c r="E28" s="15"/>
      <c r="F28" s="18">
        <f>15000*31</f>
        <v>465000</v>
      </c>
      <c r="G28" s="32">
        <v>2.41</v>
      </c>
      <c r="H28" s="61"/>
      <c r="I28" s="17">
        <f t="shared" si="3"/>
        <v>-20924.999999999967</v>
      </c>
      <c r="J28" s="41">
        <f t="shared" si="4"/>
        <v>-20924.999999999967</v>
      </c>
      <c r="K28" s="41"/>
    </row>
    <row r="29" spans="1:11" x14ac:dyDescent="0.2">
      <c r="A29" s="31">
        <v>36617</v>
      </c>
      <c r="B29" s="15"/>
      <c r="C29" s="16" t="s">
        <v>46</v>
      </c>
      <c r="D29" s="32">
        <v>2.3650000000000002</v>
      </c>
      <c r="E29" s="15"/>
      <c r="F29" s="18">
        <f>15000*30</f>
        <v>450000</v>
      </c>
      <c r="G29" s="32">
        <v>2.79</v>
      </c>
      <c r="H29" s="61"/>
      <c r="I29" s="17">
        <f t="shared" si="3"/>
        <v>-191249.99999999991</v>
      </c>
      <c r="J29" s="41">
        <f t="shared" si="4"/>
        <v>-191249.99999999991</v>
      </c>
      <c r="K29" s="41"/>
    </row>
    <row r="30" spans="1:11" x14ac:dyDescent="0.2">
      <c r="A30" s="31">
        <v>36647</v>
      </c>
      <c r="B30" s="15"/>
      <c r="C30" s="16" t="s">
        <v>46</v>
      </c>
      <c r="D30" s="32">
        <v>2.3650000000000002</v>
      </c>
      <c r="E30" s="15"/>
      <c r="F30" s="18">
        <f>15000*31</f>
        <v>465000</v>
      </c>
      <c r="G30" s="32">
        <v>2.87</v>
      </c>
      <c r="H30" s="61"/>
      <c r="I30" s="17">
        <f t="shared" si="3"/>
        <v>-234824.99999999994</v>
      </c>
      <c r="J30" s="41">
        <f t="shared" si="4"/>
        <v>-234824.99999999994</v>
      </c>
      <c r="K30" s="41"/>
    </row>
    <row r="31" spans="1:11" x14ac:dyDescent="0.2">
      <c r="A31" s="31">
        <v>36678</v>
      </c>
      <c r="B31" s="15"/>
      <c r="C31" s="16" t="s">
        <v>46</v>
      </c>
      <c r="D31" s="32">
        <v>2.3650000000000002</v>
      </c>
      <c r="E31" s="15"/>
      <c r="F31" s="18">
        <f>15000*30</f>
        <v>450000</v>
      </c>
      <c r="G31" s="32">
        <v>4.0999999999999996</v>
      </c>
      <c r="H31" s="61"/>
      <c r="I31" s="17">
        <f t="shared" si="3"/>
        <v>-780749.99999999977</v>
      </c>
      <c r="J31" s="41">
        <f t="shared" si="4"/>
        <v>-780749.99999999977</v>
      </c>
      <c r="K31" s="41"/>
    </row>
    <row r="32" spans="1:11" x14ac:dyDescent="0.2">
      <c r="A32" s="31">
        <v>36708</v>
      </c>
      <c r="B32" s="15"/>
      <c r="C32" s="16" t="s">
        <v>46</v>
      </c>
      <c r="D32" s="32">
        <v>2.3650000000000002</v>
      </c>
      <c r="E32" s="15"/>
      <c r="F32" s="18">
        <f>15000*31</f>
        <v>465000</v>
      </c>
      <c r="G32" s="32">
        <v>4.3499999999999996</v>
      </c>
      <c r="H32" s="61"/>
      <c r="I32" s="17">
        <f t="shared" si="3"/>
        <v>-923024.99999999977</v>
      </c>
      <c r="J32" s="41">
        <f t="shared" si="4"/>
        <v>-923024.99999999977</v>
      </c>
      <c r="K32" s="41"/>
    </row>
    <row r="33" spans="1:11" x14ac:dyDescent="0.2">
      <c r="A33" s="31">
        <v>36739</v>
      </c>
      <c r="B33" s="15"/>
      <c r="C33" s="16" t="s">
        <v>46</v>
      </c>
      <c r="D33" s="32">
        <v>2.3650000000000002</v>
      </c>
      <c r="E33" s="15"/>
      <c r="F33" s="18">
        <f>15000*31</f>
        <v>465000</v>
      </c>
      <c r="G33" s="32">
        <v>3.77</v>
      </c>
      <c r="H33" s="61"/>
      <c r="I33" s="17">
        <f t="shared" si="3"/>
        <v>-653324.99999999988</v>
      </c>
      <c r="J33" s="41">
        <f t="shared" si="4"/>
        <v>-653324.99999999988</v>
      </c>
      <c r="K33" s="41"/>
    </row>
    <row r="34" spans="1:11" x14ac:dyDescent="0.2">
      <c r="A34" s="31">
        <v>36770</v>
      </c>
      <c r="B34" s="15"/>
      <c r="C34" s="16" t="s">
        <v>46</v>
      </c>
      <c r="D34" s="32">
        <v>2.3650000000000002</v>
      </c>
      <c r="E34" s="15"/>
      <c r="F34" s="18">
        <f>15000*30</f>
        <v>450000</v>
      </c>
      <c r="G34" s="32">
        <v>4.5</v>
      </c>
      <c r="H34" s="61"/>
      <c r="I34" s="17">
        <f t="shared" si="3"/>
        <v>-960749.99999999988</v>
      </c>
      <c r="J34" s="41">
        <f t="shared" si="4"/>
        <v>-960749.99999999988</v>
      </c>
      <c r="K34" s="41"/>
    </row>
    <row r="35" spans="1:11" x14ac:dyDescent="0.2">
      <c r="A35" s="31">
        <v>36800</v>
      </c>
      <c r="B35" s="15"/>
      <c r="C35" s="16" t="s">
        <v>46</v>
      </c>
      <c r="D35" s="32">
        <v>2.3650000000000002</v>
      </c>
      <c r="E35" s="15"/>
      <c r="F35" s="18">
        <f>15000*31</f>
        <v>465000</v>
      </c>
      <c r="G35" s="32">
        <v>5.15</v>
      </c>
      <c r="H35" s="61"/>
      <c r="I35" s="17">
        <f t="shared" si="3"/>
        <v>-1295025</v>
      </c>
      <c r="J35" s="41">
        <f t="shared" si="4"/>
        <v>-1295025</v>
      </c>
      <c r="K35" s="41"/>
    </row>
    <row r="36" spans="1:11" x14ac:dyDescent="0.2">
      <c r="A36" s="31">
        <v>36831</v>
      </c>
      <c r="B36" s="15"/>
      <c r="C36" s="16" t="s">
        <v>46</v>
      </c>
      <c r="D36" s="32">
        <v>2.3650000000000002</v>
      </c>
      <c r="E36" s="15"/>
      <c r="F36" s="18">
        <f>15000*30</f>
        <v>450000</v>
      </c>
      <c r="G36" s="32">
        <v>4.5199999999999996</v>
      </c>
      <c r="H36" s="32"/>
      <c r="I36" s="17">
        <f t="shared" si="3"/>
        <v>-969749.99999999977</v>
      </c>
      <c r="J36" s="41">
        <f t="shared" si="4"/>
        <v>-969749.99999999977</v>
      </c>
      <c r="K36" s="41"/>
    </row>
    <row r="37" spans="1:11" x14ac:dyDescent="0.2">
      <c r="A37" s="31">
        <v>36861</v>
      </c>
      <c r="B37" s="15"/>
      <c r="C37" s="16" t="s">
        <v>46</v>
      </c>
      <c r="D37" s="32">
        <v>2.3650000000000002</v>
      </c>
      <c r="E37" s="15"/>
      <c r="F37" s="18">
        <f>15000*31</f>
        <v>465000</v>
      </c>
      <c r="G37" s="15"/>
      <c r="H37" s="32">
        <v>6.27</v>
      </c>
      <c r="I37" s="17">
        <f>SUM(D37-H37)*F37</f>
        <v>-1815824.9999999998</v>
      </c>
      <c r="J37" s="39"/>
      <c r="K37" s="41">
        <f>+I37</f>
        <v>-1815824.9999999998</v>
      </c>
    </row>
    <row r="38" spans="1:11" x14ac:dyDescent="0.2">
      <c r="A38" s="31"/>
      <c r="B38" s="15"/>
      <c r="C38" s="16"/>
      <c r="D38" s="32"/>
      <c r="E38" s="15"/>
      <c r="F38" s="18"/>
      <c r="G38" s="15"/>
      <c r="H38" s="32"/>
      <c r="I38" s="37"/>
      <c r="J38" s="39"/>
      <c r="K38" s="41"/>
    </row>
    <row r="39" spans="1:11" x14ac:dyDescent="0.2">
      <c r="A39" s="15"/>
      <c r="B39" s="15"/>
      <c r="C39" s="15"/>
      <c r="D39" s="15"/>
      <c r="E39" s="15"/>
      <c r="F39" s="21">
        <f>SUM(F26:F38)</f>
        <v>5490000</v>
      </c>
      <c r="G39" s="15"/>
      <c r="H39" s="15"/>
      <c r="I39" s="33">
        <f>SUM(I26:I38)</f>
        <v>-7783649.9999999991</v>
      </c>
      <c r="J39" s="33">
        <f>SUM(J26:J38)</f>
        <v>-5967824.9999999991</v>
      </c>
      <c r="K39" s="33">
        <f>SUM(K26:K38)</f>
        <v>-1815824.9999999998</v>
      </c>
    </row>
    <row r="40" spans="1:11" x14ac:dyDescent="0.2">
      <c r="A40" s="15"/>
      <c r="B40" s="15"/>
      <c r="C40" s="15"/>
      <c r="D40" s="15"/>
      <c r="E40" s="15"/>
      <c r="F40" s="15"/>
      <c r="G40" s="15"/>
      <c r="H40" s="15"/>
      <c r="I40" s="15"/>
      <c r="J40" s="39"/>
      <c r="K40" s="39"/>
    </row>
    <row r="41" spans="1:11" ht="13.5" thickBot="1" x14ac:dyDescent="0.25">
      <c r="A41" s="15"/>
      <c r="B41" s="15"/>
      <c r="C41" s="15"/>
      <c r="D41" s="15"/>
      <c r="E41" s="15"/>
      <c r="F41" s="23">
        <f>+F39+F22</f>
        <v>0</v>
      </c>
      <c r="G41" s="15"/>
      <c r="H41" s="15"/>
      <c r="I41" s="34">
        <f>+I39+I22</f>
        <v>0</v>
      </c>
      <c r="J41" s="34">
        <f>+J39+J22</f>
        <v>0</v>
      </c>
      <c r="K41" s="34">
        <f>+K39+K22</f>
        <v>0</v>
      </c>
    </row>
    <row r="42" spans="1:11" ht="13.5" thickTop="1" x14ac:dyDescent="0.2">
      <c r="A42" s="26"/>
      <c r="B42" s="26"/>
      <c r="C42" s="26"/>
      <c r="D42" s="26"/>
      <c r="E42" s="26"/>
      <c r="F42" s="26"/>
      <c r="G42" s="26"/>
      <c r="H42" s="26"/>
      <c r="I42" s="26"/>
      <c r="J42" s="40"/>
      <c r="K42" s="40"/>
    </row>
    <row r="44" spans="1:11" x14ac:dyDescent="0.2">
      <c r="A44" s="29" t="s">
        <v>47</v>
      </c>
    </row>
    <row r="45" spans="1:11" x14ac:dyDescent="0.2">
      <c r="I45" s="169"/>
    </row>
  </sheetData>
  <printOptions horizontalCentered="1" verticalCentered="1"/>
  <pageMargins left="0.75" right="0.75" top="1" bottom="1" header="0.5" footer="0.5"/>
  <pageSetup scale="83" orientation="landscape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8"/>
  <sheetViews>
    <sheetView workbookViewId="0">
      <selection activeCell="A4" sqref="A4:IV4"/>
    </sheetView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140625" customWidth="1"/>
    <col min="7" max="7" width="14.28515625" customWidth="1"/>
    <col min="8" max="8" width="10.7109375" customWidth="1"/>
    <col min="9" max="9" width="13.7109375" customWidth="1"/>
    <col min="10" max="10" width="13.42578125" style="28" customWidth="1"/>
    <col min="11" max="11" width="13.7109375" style="28" customWidth="1"/>
  </cols>
  <sheetData>
    <row r="1" spans="1:11" s="2" customFormat="1" ht="15" x14ac:dyDescent="0.2">
      <c r="A1" s="1" t="s">
        <v>49</v>
      </c>
      <c r="B1" s="1"/>
      <c r="C1" s="1"/>
      <c r="D1" s="1"/>
      <c r="E1" s="1"/>
      <c r="F1" s="1"/>
      <c r="G1" s="1"/>
      <c r="H1" s="1"/>
      <c r="I1" s="1"/>
      <c r="J1" s="44"/>
      <c r="K1" s="44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44"/>
      <c r="K2" s="44"/>
    </row>
    <row r="3" spans="1:11" s="4" customFormat="1" ht="15.75" x14ac:dyDescent="0.25">
      <c r="A3" s="1" t="s">
        <v>73</v>
      </c>
      <c r="B3" s="3"/>
      <c r="C3" s="3"/>
      <c r="D3" s="3"/>
      <c r="E3" s="3"/>
      <c r="F3" s="3"/>
      <c r="G3" s="3"/>
      <c r="H3" s="3"/>
      <c r="I3" s="3"/>
      <c r="J3" s="45"/>
      <c r="K3" s="45"/>
    </row>
    <row r="4" spans="1:11" s="4" customFormat="1" ht="15.75" x14ac:dyDescent="0.25">
      <c r="A4" s="1" t="s">
        <v>51</v>
      </c>
      <c r="B4" s="1"/>
      <c r="C4" s="1"/>
      <c r="D4" s="1"/>
      <c r="E4" s="1"/>
      <c r="F4" s="1"/>
      <c r="G4" s="1"/>
      <c r="H4" s="1"/>
      <c r="I4" s="1"/>
      <c r="J4" s="44"/>
      <c r="K4" s="44"/>
    </row>
    <row r="6" spans="1:11" s="7" customFormat="1" x14ac:dyDescent="0.2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24</v>
      </c>
      <c r="I6" s="55" t="s">
        <v>55</v>
      </c>
      <c r="J6" s="56"/>
      <c r="K6" s="57"/>
    </row>
    <row r="7" spans="1:11" s="7" customFormat="1" x14ac:dyDescent="0.2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">
      <c r="A8" s="11"/>
      <c r="B8" s="12"/>
      <c r="C8" s="12"/>
      <c r="D8" s="12"/>
      <c r="E8" s="12"/>
      <c r="F8" s="12"/>
      <c r="G8" s="51" t="s">
        <v>74</v>
      </c>
      <c r="H8" s="13"/>
      <c r="I8" s="58" t="s">
        <v>31</v>
      </c>
      <c r="J8" s="58" t="s">
        <v>31</v>
      </c>
      <c r="K8" s="59" t="s">
        <v>31</v>
      </c>
    </row>
    <row r="9" spans="1:11" x14ac:dyDescent="0.2">
      <c r="A9" s="31">
        <v>36069</v>
      </c>
      <c r="B9" s="15"/>
      <c r="C9" s="16" t="s">
        <v>33</v>
      </c>
      <c r="D9" s="32">
        <f>2.005</f>
        <v>2.0049999999999999</v>
      </c>
      <c r="E9" s="15"/>
      <c r="F9" s="18">
        <f>-2500*31</f>
        <v>-77500</v>
      </c>
      <c r="G9" s="32">
        <f>1.82</f>
        <v>1.82</v>
      </c>
      <c r="H9" s="15"/>
      <c r="I9" s="17">
        <f t="shared" ref="I9:I19" si="0">SUM(D9-G9)*F9</f>
        <v>-14337.499999999987</v>
      </c>
      <c r="J9" s="19">
        <f t="shared" ref="J9:J23" si="1">+I9</f>
        <v>-14337.499999999987</v>
      </c>
      <c r="K9" s="19"/>
    </row>
    <row r="10" spans="1:11" x14ac:dyDescent="0.2">
      <c r="A10" s="31">
        <v>36100</v>
      </c>
      <c r="B10" s="15"/>
      <c r="C10" s="16" t="s">
        <v>33</v>
      </c>
      <c r="D10" s="32">
        <f t="shared" ref="D10:D23" si="2">2.005</f>
        <v>2.0049999999999999</v>
      </c>
      <c r="E10" s="15"/>
      <c r="F10" s="18">
        <f>-2500*30</f>
        <v>-75000</v>
      </c>
      <c r="G10" s="32">
        <v>1.92</v>
      </c>
      <c r="H10" s="32"/>
      <c r="I10" s="17">
        <f t="shared" si="0"/>
        <v>-6374.9999999999973</v>
      </c>
      <c r="J10" s="19">
        <f t="shared" si="1"/>
        <v>-6374.9999999999973</v>
      </c>
      <c r="K10" s="19"/>
    </row>
    <row r="11" spans="1:11" x14ac:dyDescent="0.2">
      <c r="A11" s="31">
        <v>36130</v>
      </c>
      <c r="B11" s="15"/>
      <c r="C11" s="16" t="s">
        <v>33</v>
      </c>
      <c r="D11" s="32">
        <f t="shared" si="2"/>
        <v>2.0049999999999999</v>
      </c>
      <c r="E11" s="15"/>
      <c r="F11" s="18">
        <f t="shared" ref="F11:F23" si="3">-2500*31</f>
        <v>-77500</v>
      </c>
      <c r="G11" s="32">
        <v>1.99</v>
      </c>
      <c r="H11" s="32"/>
      <c r="I11" s="17">
        <f t="shared" si="0"/>
        <v>-1162.4999999999925</v>
      </c>
      <c r="J11" s="19">
        <f t="shared" si="1"/>
        <v>-1162.4999999999925</v>
      </c>
      <c r="K11" s="19"/>
    </row>
    <row r="12" spans="1:11" x14ac:dyDescent="0.2">
      <c r="A12" s="31">
        <v>36161</v>
      </c>
      <c r="B12" s="15"/>
      <c r="C12" s="16" t="s">
        <v>33</v>
      </c>
      <c r="D12" s="32">
        <f t="shared" si="2"/>
        <v>2.0049999999999999</v>
      </c>
      <c r="E12" s="15"/>
      <c r="F12" s="18">
        <f t="shared" si="3"/>
        <v>-77500</v>
      </c>
      <c r="G12" s="32">
        <v>1.73</v>
      </c>
      <c r="H12" s="32"/>
      <c r="I12" s="17">
        <f t="shared" si="0"/>
        <v>-21312.499999999993</v>
      </c>
      <c r="J12" s="19">
        <f t="shared" si="1"/>
        <v>-21312.499999999993</v>
      </c>
      <c r="K12" s="19"/>
    </row>
    <row r="13" spans="1:11" x14ac:dyDescent="0.2">
      <c r="A13" s="31">
        <v>36192</v>
      </c>
      <c r="B13" s="15"/>
      <c r="C13" s="16" t="s">
        <v>33</v>
      </c>
      <c r="D13" s="32">
        <f t="shared" si="2"/>
        <v>2.0049999999999999</v>
      </c>
      <c r="E13" s="15"/>
      <c r="F13" s="18">
        <f>-2500*28</f>
        <v>-70000</v>
      </c>
      <c r="G13" s="32">
        <v>1.66</v>
      </c>
      <c r="H13" s="32"/>
      <c r="I13" s="17">
        <f t="shared" si="0"/>
        <v>-24149.999999999996</v>
      </c>
      <c r="J13" s="19">
        <f t="shared" si="1"/>
        <v>-24149.999999999996</v>
      </c>
      <c r="K13" s="19"/>
    </row>
    <row r="14" spans="1:11" x14ac:dyDescent="0.2">
      <c r="A14" s="31">
        <v>36220</v>
      </c>
      <c r="B14" s="15"/>
      <c r="C14" s="16" t="s">
        <v>33</v>
      </c>
      <c r="D14" s="32">
        <f t="shared" si="2"/>
        <v>2.0049999999999999</v>
      </c>
      <c r="E14" s="15"/>
      <c r="F14" s="18">
        <f t="shared" si="3"/>
        <v>-77500</v>
      </c>
      <c r="G14" s="32">
        <v>1.54</v>
      </c>
      <c r="H14" s="32"/>
      <c r="I14" s="17">
        <f t="shared" si="0"/>
        <v>-36037.499999999985</v>
      </c>
      <c r="J14" s="19">
        <f t="shared" si="1"/>
        <v>-36037.499999999985</v>
      </c>
      <c r="K14" s="19"/>
    </row>
    <row r="15" spans="1:11" x14ac:dyDescent="0.2">
      <c r="A15" s="31">
        <v>36251</v>
      </c>
      <c r="B15" s="15"/>
      <c r="C15" s="16" t="s">
        <v>33</v>
      </c>
      <c r="D15" s="32">
        <f t="shared" si="2"/>
        <v>2.0049999999999999</v>
      </c>
      <c r="E15" s="15"/>
      <c r="F15" s="18">
        <f>-2500*30</f>
        <v>-75000</v>
      </c>
      <c r="G15" s="32">
        <v>1.66</v>
      </c>
      <c r="H15" s="32"/>
      <c r="I15" s="17">
        <f t="shared" si="0"/>
        <v>-25874.999999999996</v>
      </c>
      <c r="J15" s="19">
        <f t="shared" si="1"/>
        <v>-25874.999999999996</v>
      </c>
      <c r="K15" s="19"/>
    </row>
    <row r="16" spans="1:11" x14ac:dyDescent="0.2">
      <c r="A16" s="31">
        <v>36281</v>
      </c>
      <c r="B16" s="15"/>
      <c r="C16" s="16" t="s">
        <v>33</v>
      </c>
      <c r="D16" s="32">
        <f t="shared" si="2"/>
        <v>2.0049999999999999</v>
      </c>
      <c r="E16" s="15"/>
      <c r="F16" s="18">
        <f t="shared" si="3"/>
        <v>-77500</v>
      </c>
      <c r="G16" s="32">
        <v>2.16</v>
      </c>
      <c r="H16" s="32"/>
      <c r="I16" s="17">
        <f t="shared" si="0"/>
        <v>12012.50000000002</v>
      </c>
      <c r="J16" s="19">
        <f t="shared" si="1"/>
        <v>12012.50000000002</v>
      </c>
      <c r="K16" s="19"/>
    </row>
    <row r="17" spans="1:12" x14ac:dyDescent="0.2">
      <c r="A17" s="31">
        <v>36312</v>
      </c>
      <c r="B17" s="15"/>
      <c r="C17" s="16" t="s">
        <v>33</v>
      </c>
      <c r="D17" s="32">
        <f t="shared" si="2"/>
        <v>2.0049999999999999</v>
      </c>
      <c r="E17" s="15"/>
      <c r="F17" s="18">
        <f>-2500*30</f>
        <v>-75000</v>
      </c>
      <c r="G17" s="32">
        <v>2.08</v>
      </c>
      <c r="H17" s="32"/>
      <c r="I17" s="17">
        <f t="shared" si="0"/>
        <v>5625.0000000000136</v>
      </c>
      <c r="J17" s="19">
        <f t="shared" si="1"/>
        <v>5625.0000000000136</v>
      </c>
      <c r="K17" s="19"/>
    </row>
    <row r="18" spans="1:12" x14ac:dyDescent="0.2">
      <c r="A18" s="31">
        <v>36342</v>
      </c>
      <c r="B18" s="15"/>
      <c r="C18" s="16" t="s">
        <v>33</v>
      </c>
      <c r="D18" s="32">
        <f t="shared" si="2"/>
        <v>2.0049999999999999</v>
      </c>
      <c r="E18" s="15"/>
      <c r="F18" s="18">
        <f t="shared" si="3"/>
        <v>-77500</v>
      </c>
      <c r="G18" s="32">
        <v>2.17</v>
      </c>
      <c r="H18" s="32"/>
      <c r="I18" s="17">
        <f t="shared" si="0"/>
        <v>12787.500000000004</v>
      </c>
      <c r="J18" s="19">
        <f t="shared" si="1"/>
        <v>12787.500000000004</v>
      </c>
      <c r="K18" s="19"/>
    </row>
    <row r="19" spans="1:12" x14ac:dyDescent="0.2">
      <c r="A19" s="31">
        <v>36373</v>
      </c>
      <c r="B19" s="15"/>
      <c r="C19" s="16" t="s">
        <v>33</v>
      </c>
      <c r="D19" s="32">
        <f t="shared" si="2"/>
        <v>2.0049999999999999</v>
      </c>
      <c r="E19" s="15"/>
      <c r="F19" s="18">
        <f t="shared" si="3"/>
        <v>-77500</v>
      </c>
      <c r="G19" s="32">
        <v>2.46</v>
      </c>
      <c r="H19" s="32"/>
      <c r="I19" s="17">
        <f t="shared" si="0"/>
        <v>35262.500000000007</v>
      </c>
      <c r="J19" s="19">
        <f t="shared" si="1"/>
        <v>35262.500000000007</v>
      </c>
      <c r="K19" s="19"/>
    </row>
    <row r="20" spans="1:12" x14ac:dyDescent="0.2">
      <c r="A20" s="31">
        <v>36404</v>
      </c>
      <c r="B20" s="15"/>
      <c r="C20" s="16" t="s">
        <v>33</v>
      </c>
      <c r="D20" s="32">
        <f t="shared" si="2"/>
        <v>2.0049999999999999</v>
      </c>
      <c r="E20" s="15"/>
      <c r="F20" s="18">
        <f>-2500*30</f>
        <v>-75000</v>
      </c>
      <c r="G20" s="32">
        <v>2.78</v>
      </c>
      <c r="H20" s="32"/>
      <c r="I20" s="17">
        <f>SUM(D20-G20)*F20</f>
        <v>58124.999999999993</v>
      </c>
      <c r="J20" s="19">
        <f t="shared" si="1"/>
        <v>58124.999999999993</v>
      </c>
      <c r="K20" s="19"/>
    </row>
    <row r="21" spans="1:12" x14ac:dyDescent="0.2">
      <c r="A21" s="31">
        <v>36434</v>
      </c>
      <c r="B21" s="15"/>
      <c r="C21" s="16" t="s">
        <v>33</v>
      </c>
      <c r="D21" s="32">
        <f t="shared" si="2"/>
        <v>2.0049999999999999</v>
      </c>
      <c r="E21" s="15"/>
      <c r="F21" s="18">
        <f t="shared" si="3"/>
        <v>-77500</v>
      </c>
      <c r="G21" s="32">
        <v>2.42</v>
      </c>
      <c r="H21" s="32"/>
      <c r="I21" s="17">
        <f>SUM(D21-G21)*F21</f>
        <v>32162.500000000004</v>
      </c>
      <c r="J21" s="19">
        <f t="shared" si="1"/>
        <v>32162.500000000004</v>
      </c>
      <c r="K21" s="19"/>
    </row>
    <row r="22" spans="1:12" x14ac:dyDescent="0.2">
      <c r="A22" s="31">
        <v>36465</v>
      </c>
      <c r="B22" s="15"/>
      <c r="C22" s="16" t="s">
        <v>33</v>
      </c>
      <c r="D22" s="32">
        <f t="shared" si="2"/>
        <v>2.0049999999999999</v>
      </c>
      <c r="E22" s="15"/>
      <c r="F22" s="18">
        <f>-2500*30</f>
        <v>-75000</v>
      </c>
      <c r="G22" s="32">
        <v>2.87</v>
      </c>
      <c r="H22" s="32"/>
      <c r="I22" s="17">
        <f>SUM(D22-G22)*F22</f>
        <v>64875.000000000015</v>
      </c>
      <c r="J22" s="19">
        <f t="shared" si="1"/>
        <v>64875.000000000015</v>
      </c>
      <c r="K22" s="19"/>
    </row>
    <row r="23" spans="1:12" x14ac:dyDescent="0.2">
      <c r="A23" s="31">
        <v>36495</v>
      </c>
      <c r="B23" s="15"/>
      <c r="C23" s="16" t="s">
        <v>33</v>
      </c>
      <c r="D23" s="32">
        <f t="shared" si="2"/>
        <v>2.0049999999999999</v>
      </c>
      <c r="E23" s="15"/>
      <c r="F23" s="18">
        <f t="shared" si="3"/>
        <v>-77500</v>
      </c>
      <c r="G23" s="32">
        <v>2.08</v>
      </c>
      <c r="H23" s="32"/>
      <c r="I23" s="17">
        <f>SUM(D23-G23)*F23</f>
        <v>5812.5000000000136</v>
      </c>
      <c r="J23" s="19">
        <f t="shared" si="1"/>
        <v>5812.5000000000136</v>
      </c>
      <c r="K23" s="19"/>
    </row>
    <row r="24" spans="1:12" x14ac:dyDescent="0.2">
      <c r="A24" s="15"/>
      <c r="B24" s="15"/>
      <c r="C24" s="15"/>
      <c r="D24" s="15"/>
      <c r="E24" s="15"/>
      <c r="F24" s="21">
        <f>SUM(F9:F23)</f>
        <v>-1142500</v>
      </c>
      <c r="G24" s="15"/>
      <c r="H24" s="15"/>
      <c r="I24" s="33">
        <f>SUM(I9:I23)</f>
        <v>97412.500000000102</v>
      </c>
      <c r="J24" s="33">
        <f>SUM(J9:J23)</f>
        <v>97412.500000000102</v>
      </c>
      <c r="K24" s="33">
        <f>SUM(K9:K23)</f>
        <v>0</v>
      </c>
      <c r="L24" s="43">
        <f>+J24+K24-I24</f>
        <v>0</v>
      </c>
    </row>
    <row r="25" spans="1:12" x14ac:dyDescent="0.2">
      <c r="A25" s="15"/>
      <c r="B25" s="15"/>
      <c r="C25" s="15"/>
      <c r="D25" s="15"/>
      <c r="E25" s="15"/>
      <c r="F25" s="38"/>
      <c r="G25" s="15"/>
      <c r="H25" s="15"/>
      <c r="I25" s="52"/>
      <c r="J25" s="53"/>
      <c r="K25" s="53"/>
      <c r="L25" s="43"/>
    </row>
    <row r="26" spans="1:12" x14ac:dyDescent="0.2">
      <c r="A26" s="15"/>
      <c r="B26" s="15"/>
      <c r="C26" s="15"/>
      <c r="D26" s="15"/>
      <c r="E26" s="15"/>
      <c r="F26" s="38"/>
      <c r="G26" s="50" t="s">
        <v>59</v>
      </c>
      <c r="H26" s="15"/>
      <c r="I26" s="52"/>
      <c r="J26" s="53"/>
      <c r="K26" s="53"/>
      <c r="L26" s="43"/>
    </row>
    <row r="27" spans="1:12" x14ac:dyDescent="0.2">
      <c r="A27" s="15"/>
      <c r="B27" s="15"/>
      <c r="C27" s="15"/>
      <c r="D27" s="15"/>
      <c r="E27" s="15"/>
      <c r="F27" s="15"/>
      <c r="G27" s="15"/>
      <c r="H27" s="15"/>
      <c r="I27" s="15"/>
      <c r="J27" s="19"/>
      <c r="K27" s="19"/>
    </row>
    <row r="28" spans="1:12" x14ac:dyDescent="0.2">
      <c r="A28" s="31">
        <v>36069</v>
      </c>
      <c r="B28" s="15"/>
      <c r="C28" s="16" t="s">
        <v>46</v>
      </c>
      <c r="D28" s="32">
        <f>2.005</f>
        <v>2.0049999999999999</v>
      </c>
      <c r="E28" s="15"/>
      <c r="F28" s="18">
        <f>2500*31</f>
        <v>77500</v>
      </c>
      <c r="G28" s="32">
        <v>1.78</v>
      </c>
      <c r="H28" s="32"/>
      <c r="I28" s="17">
        <f t="shared" ref="I28:I38" si="4">SUM(D28-G28)*F28</f>
        <v>17437.499999999989</v>
      </c>
      <c r="J28" s="19">
        <f t="shared" ref="J28:J42" si="5">+I28</f>
        <v>17437.499999999989</v>
      </c>
      <c r="K28" s="19"/>
    </row>
    <row r="29" spans="1:12" x14ac:dyDescent="0.2">
      <c r="A29" s="31">
        <v>36100</v>
      </c>
      <c r="B29" s="15"/>
      <c r="C29" s="16" t="s">
        <v>46</v>
      </c>
      <c r="D29" s="32">
        <f t="shared" ref="D29:D42" si="6">2.005</f>
        <v>2.0049999999999999</v>
      </c>
      <c r="E29" s="15"/>
      <c r="F29" s="18">
        <f>2500*30</f>
        <v>75000</v>
      </c>
      <c r="G29" s="32">
        <v>1.99</v>
      </c>
      <c r="H29" s="61"/>
      <c r="I29" s="17">
        <f t="shared" si="4"/>
        <v>1124.9999999999927</v>
      </c>
      <c r="J29" s="19">
        <f t="shared" si="5"/>
        <v>1124.9999999999927</v>
      </c>
      <c r="K29" s="19"/>
    </row>
    <row r="30" spans="1:12" x14ac:dyDescent="0.2">
      <c r="A30" s="31">
        <v>36130</v>
      </c>
      <c r="B30" s="15"/>
      <c r="C30" s="16" t="s">
        <v>46</v>
      </c>
      <c r="D30" s="32">
        <f t="shared" si="6"/>
        <v>2.0049999999999999</v>
      </c>
      <c r="E30" s="15"/>
      <c r="F30" s="18">
        <f>2500*31</f>
        <v>77500</v>
      </c>
      <c r="G30" s="32">
        <v>1.74</v>
      </c>
      <c r="H30" s="61"/>
      <c r="I30" s="17">
        <f t="shared" si="4"/>
        <v>20537.499999999993</v>
      </c>
      <c r="J30" s="19">
        <f t="shared" si="5"/>
        <v>20537.499999999993</v>
      </c>
      <c r="K30" s="19"/>
    </row>
    <row r="31" spans="1:12" x14ac:dyDescent="0.2">
      <c r="A31" s="31">
        <v>36161</v>
      </c>
      <c r="B31" s="15"/>
      <c r="C31" s="16" t="s">
        <v>46</v>
      </c>
      <c r="D31" s="32">
        <f t="shared" si="6"/>
        <v>2.0049999999999999</v>
      </c>
      <c r="E31" s="15"/>
      <c r="F31" s="18">
        <f>2500*31</f>
        <v>77500</v>
      </c>
      <c r="G31" s="61">
        <v>1.73</v>
      </c>
      <c r="H31" s="61"/>
      <c r="I31" s="17">
        <f t="shared" si="4"/>
        <v>21312.499999999993</v>
      </c>
      <c r="J31" s="19">
        <f t="shared" si="5"/>
        <v>21312.499999999993</v>
      </c>
      <c r="K31" s="19"/>
    </row>
    <row r="32" spans="1:12" x14ac:dyDescent="0.2">
      <c r="A32" s="31">
        <v>36192</v>
      </c>
      <c r="B32" s="15"/>
      <c r="C32" s="16" t="s">
        <v>46</v>
      </c>
      <c r="D32" s="32">
        <f t="shared" si="6"/>
        <v>2.0049999999999999</v>
      </c>
      <c r="E32" s="15"/>
      <c r="F32" s="18">
        <f>2500*28</f>
        <v>70000</v>
      </c>
      <c r="G32" s="61">
        <v>1.63</v>
      </c>
      <c r="H32" s="61"/>
      <c r="I32" s="17">
        <f t="shared" si="4"/>
        <v>26250</v>
      </c>
      <c r="J32" s="19">
        <f t="shared" si="5"/>
        <v>26250</v>
      </c>
      <c r="K32" s="19"/>
    </row>
    <row r="33" spans="1:12" x14ac:dyDescent="0.2">
      <c r="A33" s="31">
        <v>36220</v>
      </c>
      <c r="B33" s="15"/>
      <c r="C33" s="16" t="s">
        <v>46</v>
      </c>
      <c r="D33" s="32">
        <f t="shared" si="6"/>
        <v>2.0049999999999999</v>
      </c>
      <c r="E33" s="15"/>
      <c r="F33" s="18">
        <f>2500*31</f>
        <v>77500</v>
      </c>
      <c r="G33" s="61">
        <v>1.59</v>
      </c>
      <c r="H33" s="61"/>
      <c r="I33" s="17">
        <f t="shared" si="4"/>
        <v>32162.499999999985</v>
      </c>
      <c r="J33" s="19">
        <f t="shared" si="5"/>
        <v>32162.499999999985</v>
      </c>
      <c r="K33" s="19"/>
    </row>
    <row r="34" spans="1:12" x14ac:dyDescent="0.2">
      <c r="A34" s="31">
        <v>36251</v>
      </c>
      <c r="B34" s="15"/>
      <c r="C34" s="16" t="s">
        <v>46</v>
      </c>
      <c r="D34" s="32">
        <f t="shared" si="6"/>
        <v>2.0049999999999999</v>
      </c>
      <c r="E34" s="15"/>
      <c r="F34" s="18">
        <f>2500*30</f>
        <v>75000</v>
      </c>
      <c r="G34" s="32">
        <v>1.94</v>
      </c>
      <c r="H34" s="61"/>
      <c r="I34" s="17">
        <f t="shared" si="4"/>
        <v>4874.9999999999964</v>
      </c>
      <c r="J34" s="19">
        <f t="shared" si="5"/>
        <v>4874.9999999999964</v>
      </c>
      <c r="K34" s="19"/>
    </row>
    <row r="35" spans="1:12" x14ac:dyDescent="0.2">
      <c r="A35" s="31">
        <v>36281</v>
      </c>
      <c r="B35" s="15"/>
      <c r="C35" s="16" t="s">
        <v>46</v>
      </c>
      <c r="D35" s="32">
        <f t="shared" si="6"/>
        <v>2.0049999999999999</v>
      </c>
      <c r="E35" s="15"/>
      <c r="F35" s="18">
        <f>2500*31</f>
        <v>77500</v>
      </c>
      <c r="G35" s="32">
        <v>2.06</v>
      </c>
      <c r="H35" s="61"/>
      <c r="I35" s="17">
        <f t="shared" si="4"/>
        <v>-4262.5000000000127</v>
      </c>
      <c r="J35" s="19">
        <f t="shared" si="5"/>
        <v>-4262.5000000000127</v>
      </c>
      <c r="K35" s="19"/>
    </row>
    <row r="36" spans="1:12" x14ac:dyDescent="0.2">
      <c r="A36" s="31">
        <v>36312</v>
      </c>
      <c r="B36" s="15"/>
      <c r="C36" s="16" t="s">
        <v>46</v>
      </c>
      <c r="D36" s="32">
        <f t="shared" si="6"/>
        <v>2.0049999999999999</v>
      </c>
      <c r="E36" s="15"/>
      <c r="F36" s="18">
        <f>2500*30</f>
        <v>75000</v>
      </c>
      <c r="G36" s="32">
        <v>2.0699999999999998</v>
      </c>
      <c r="H36" s="32"/>
      <c r="I36" s="17">
        <f t="shared" si="4"/>
        <v>-4874.9999999999964</v>
      </c>
      <c r="J36" s="19">
        <f t="shared" si="5"/>
        <v>-4874.9999999999964</v>
      </c>
      <c r="K36" s="19"/>
    </row>
    <row r="37" spans="1:12" x14ac:dyDescent="0.2">
      <c r="A37" s="31">
        <v>36342</v>
      </c>
      <c r="B37" s="15"/>
      <c r="C37" s="16" t="s">
        <v>46</v>
      </c>
      <c r="D37" s="32">
        <f t="shared" si="6"/>
        <v>2.0049999999999999</v>
      </c>
      <c r="E37" s="15"/>
      <c r="F37" s="18">
        <f>2500*31</f>
        <v>77500</v>
      </c>
      <c r="G37" s="32">
        <v>2.11</v>
      </c>
      <c r="H37" s="32"/>
      <c r="I37" s="17">
        <f t="shared" si="4"/>
        <v>-8137.4999999999982</v>
      </c>
      <c r="J37" s="19">
        <f t="shared" si="5"/>
        <v>-8137.4999999999982</v>
      </c>
      <c r="K37" s="19"/>
    </row>
    <row r="38" spans="1:12" x14ac:dyDescent="0.2">
      <c r="A38" s="31">
        <v>36373</v>
      </c>
      <c r="B38" s="15"/>
      <c r="C38" s="16" t="s">
        <v>46</v>
      </c>
      <c r="D38" s="32">
        <f t="shared" si="6"/>
        <v>2.0049999999999999</v>
      </c>
      <c r="E38" s="15"/>
      <c r="F38" s="18">
        <f>2500*31</f>
        <v>77500</v>
      </c>
      <c r="G38" s="32">
        <v>2.5099999999999998</v>
      </c>
      <c r="H38" s="32"/>
      <c r="I38" s="17">
        <f t="shared" si="4"/>
        <v>-39137.499999999993</v>
      </c>
      <c r="J38" s="19">
        <f t="shared" si="5"/>
        <v>-39137.499999999993</v>
      </c>
      <c r="K38" s="19"/>
    </row>
    <row r="39" spans="1:12" x14ac:dyDescent="0.2">
      <c r="A39" s="31">
        <v>36404</v>
      </c>
      <c r="B39" s="15"/>
      <c r="C39" s="16" t="s">
        <v>46</v>
      </c>
      <c r="D39" s="32">
        <f t="shared" si="6"/>
        <v>2.0049999999999999</v>
      </c>
      <c r="E39" s="15"/>
      <c r="F39" s="18">
        <f>2500*30</f>
        <v>75000</v>
      </c>
      <c r="G39" s="32">
        <v>2.36</v>
      </c>
      <c r="H39" s="32"/>
      <c r="I39" s="17">
        <f>SUM(D39-G39)*F39</f>
        <v>-26625</v>
      </c>
      <c r="J39" s="19">
        <f t="shared" si="5"/>
        <v>-26625</v>
      </c>
      <c r="K39" s="19"/>
    </row>
    <row r="40" spans="1:12" x14ac:dyDescent="0.2">
      <c r="A40" s="31">
        <v>36434</v>
      </c>
      <c r="B40" s="15"/>
      <c r="C40" s="16" t="s">
        <v>46</v>
      </c>
      <c r="D40" s="32">
        <f t="shared" si="6"/>
        <v>2.0049999999999999</v>
      </c>
      <c r="E40" s="15"/>
      <c r="F40" s="18">
        <f>2500*31</f>
        <v>77500</v>
      </c>
      <c r="G40" s="32">
        <v>2.62</v>
      </c>
      <c r="H40" s="32"/>
      <c r="I40" s="17">
        <f>SUM(D40-G40)*F40</f>
        <v>-47662.500000000015</v>
      </c>
      <c r="J40" s="19">
        <f t="shared" si="5"/>
        <v>-47662.500000000015</v>
      </c>
      <c r="K40" s="19"/>
    </row>
    <row r="41" spans="1:12" x14ac:dyDescent="0.2">
      <c r="A41" s="31">
        <v>36465</v>
      </c>
      <c r="B41" s="15"/>
      <c r="C41" s="16" t="s">
        <v>46</v>
      </c>
      <c r="D41" s="32">
        <f t="shared" si="6"/>
        <v>2.0049999999999999</v>
      </c>
      <c r="E41" s="15"/>
      <c r="F41" s="18">
        <f>2500*30</f>
        <v>75000</v>
      </c>
      <c r="G41" s="32">
        <v>2.17</v>
      </c>
      <c r="H41" s="32"/>
      <c r="I41" s="17">
        <f>SUM(D41-G41)*F41</f>
        <v>-12375.000000000002</v>
      </c>
      <c r="J41" s="19">
        <f t="shared" si="5"/>
        <v>-12375.000000000002</v>
      </c>
      <c r="K41" s="19"/>
    </row>
    <row r="42" spans="1:12" x14ac:dyDescent="0.2">
      <c r="A42" s="31">
        <v>36495</v>
      </c>
      <c r="B42" s="15"/>
      <c r="C42" s="16" t="s">
        <v>46</v>
      </c>
      <c r="D42" s="32">
        <f t="shared" si="6"/>
        <v>2.0049999999999999</v>
      </c>
      <c r="E42" s="15"/>
      <c r="F42" s="18">
        <f>2500*31</f>
        <v>77500</v>
      </c>
      <c r="G42" s="32">
        <v>2.2400000000000002</v>
      </c>
      <c r="H42" s="32"/>
      <c r="I42" s="17">
        <f>SUM(D42-G42)*F42</f>
        <v>-18212.500000000025</v>
      </c>
      <c r="J42" s="19">
        <f t="shared" si="5"/>
        <v>-18212.500000000025</v>
      </c>
      <c r="K42" s="19"/>
    </row>
    <row r="43" spans="1:12" x14ac:dyDescent="0.2">
      <c r="A43" s="15"/>
      <c r="B43" s="15"/>
      <c r="C43" s="15"/>
      <c r="D43" s="15"/>
      <c r="E43" s="15"/>
      <c r="F43" s="21">
        <f>SUM(F28:F42)</f>
        <v>1142500</v>
      </c>
      <c r="G43" s="15"/>
      <c r="H43" s="15"/>
      <c r="I43" s="33">
        <f>SUM(I28:I42)</f>
        <v>-37587.500000000102</v>
      </c>
      <c r="J43" s="33">
        <f>SUM(J28:J42)</f>
        <v>-37587.500000000102</v>
      </c>
      <c r="K43" s="33">
        <f>SUM(K28:K42)</f>
        <v>0</v>
      </c>
      <c r="L43" s="43">
        <f>+J43+K43-I43</f>
        <v>0</v>
      </c>
    </row>
    <row r="44" spans="1:12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9"/>
      <c r="K44" s="19"/>
    </row>
    <row r="45" spans="1:12" ht="13.5" thickBot="1" x14ac:dyDescent="0.25">
      <c r="A45" s="15"/>
      <c r="B45" s="15"/>
      <c r="C45" s="15"/>
      <c r="D45" s="15"/>
      <c r="E45" s="15"/>
      <c r="F45" s="23">
        <f>+F43+F24</f>
        <v>0</v>
      </c>
      <c r="G45" s="15"/>
      <c r="H45" s="15"/>
      <c r="I45" s="34">
        <f>+I43+I24</f>
        <v>59825</v>
      </c>
      <c r="J45" s="34">
        <f>+J43+J24</f>
        <v>59825</v>
      </c>
      <c r="K45" s="34">
        <f>+K43+K24</f>
        <v>0</v>
      </c>
      <c r="L45" s="43">
        <f>+J45+K45-I45</f>
        <v>0</v>
      </c>
    </row>
    <row r="46" spans="1:12" ht="13.5" thickTop="1" x14ac:dyDescent="0.2">
      <c r="A46" s="26"/>
      <c r="B46" s="26"/>
      <c r="C46" s="26"/>
      <c r="D46" s="26"/>
      <c r="E46" s="26"/>
      <c r="F46" s="26"/>
      <c r="G46" s="26"/>
      <c r="H46" s="26"/>
      <c r="I46" s="26"/>
      <c r="J46" s="27"/>
      <c r="K46" s="27"/>
    </row>
    <row r="48" spans="1:12" x14ac:dyDescent="0.2">
      <c r="A48" s="29" t="s">
        <v>47</v>
      </c>
      <c r="J48"/>
      <c r="K48"/>
    </row>
  </sheetData>
  <printOptions horizontalCentered="1" verticalCentered="1"/>
  <pageMargins left="0.25" right="0.25" top="1" bottom="1" header="0.5" footer="0.5"/>
  <pageSetup scale="79" orientation="landscape" horizontalDpi="300" verticalDpi="300" r:id="rId1"/>
  <headerFooter alignWithMargins="0">
    <oddFooter xml:space="preserve">&amp;L&amp;"Arial,Italic"&amp;8&amp;D&amp;T&amp;R&amp;"Arial,Italic"&amp;8G:/Common/TW Fuel Hedge/Fixed2_Avista_2
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8"/>
  <sheetViews>
    <sheetView topLeftCell="I33" workbookViewId="0">
      <pane xSplit="9165" topLeftCell="I1"/>
      <selection activeCell="A4" sqref="A4:IV4"/>
      <selection pane="topRight" activeCell="I1" sqref="I1"/>
    </sheetView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0.7109375" customWidth="1"/>
    <col min="9" max="9" width="13.7109375" customWidth="1"/>
    <col min="10" max="11" width="13.42578125" customWidth="1"/>
  </cols>
  <sheetData>
    <row r="1" spans="1:11" s="2" customFormat="1" ht="15" x14ac:dyDescent="0.2">
      <c r="A1" s="1" t="s">
        <v>49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75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1" t="s">
        <v>51</v>
      </c>
      <c r="B4" s="1"/>
      <c r="C4" s="1"/>
      <c r="D4" s="1"/>
      <c r="E4" s="1"/>
      <c r="F4" s="1"/>
      <c r="G4" s="1"/>
      <c r="H4" s="1"/>
      <c r="I4" s="1"/>
      <c r="J4" s="44"/>
      <c r="K4" s="44"/>
    </row>
    <row r="6" spans="1:11" s="7" customFormat="1" x14ac:dyDescent="0.2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24</v>
      </c>
      <c r="I6" s="55" t="s">
        <v>55</v>
      </c>
      <c r="J6" s="56"/>
      <c r="K6" s="57"/>
    </row>
    <row r="7" spans="1:11" s="7" customFormat="1" x14ac:dyDescent="0.2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">
      <c r="A8" s="11"/>
      <c r="B8" s="12"/>
      <c r="C8" s="12"/>
      <c r="D8" s="12"/>
      <c r="E8" s="12"/>
      <c r="F8" s="12"/>
      <c r="G8" s="51" t="s">
        <v>74</v>
      </c>
      <c r="H8" s="13"/>
      <c r="I8" s="58" t="s">
        <v>31</v>
      </c>
      <c r="J8" s="58" t="s">
        <v>31</v>
      </c>
      <c r="K8" s="59" t="s">
        <v>31</v>
      </c>
    </row>
    <row r="9" spans="1:11" x14ac:dyDescent="0.2">
      <c r="A9" s="31">
        <v>36069</v>
      </c>
      <c r="B9" s="15"/>
      <c r="C9" s="16" t="s">
        <v>38</v>
      </c>
      <c r="D9" s="32">
        <f>2.1</f>
        <v>2.1</v>
      </c>
      <c r="E9" s="15"/>
      <c r="F9" s="18">
        <f>-2500*31</f>
        <v>-77500</v>
      </c>
      <c r="G9" s="32">
        <f>1.82</f>
        <v>1.82</v>
      </c>
      <c r="H9" s="15"/>
      <c r="I9" s="17">
        <f t="shared" ref="I9:I19" si="0">SUM(D9-G9)*F9</f>
        <v>-21700.000000000004</v>
      </c>
      <c r="J9" s="41">
        <f t="shared" ref="J9:J23" si="1">+I9</f>
        <v>-21700.000000000004</v>
      </c>
      <c r="K9" s="41"/>
    </row>
    <row r="10" spans="1:11" x14ac:dyDescent="0.2">
      <c r="A10" s="31">
        <v>36100</v>
      </c>
      <c r="B10" s="15"/>
      <c r="C10" s="16" t="s">
        <v>38</v>
      </c>
      <c r="D10" s="32">
        <f t="shared" ref="D10:D23" si="2">2.1</f>
        <v>2.1</v>
      </c>
      <c r="E10" s="15"/>
      <c r="F10" s="18">
        <f>-2500*30</f>
        <v>-75000</v>
      </c>
      <c r="G10" s="32">
        <v>1.92</v>
      </c>
      <c r="H10" s="32"/>
      <c r="I10" s="17">
        <f t="shared" si="0"/>
        <v>-13500.000000000013</v>
      </c>
      <c r="J10" s="41">
        <f t="shared" si="1"/>
        <v>-13500.000000000013</v>
      </c>
      <c r="K10" s="41"/>
    </row>
    <row r="11" spans="1:11" x14ac:dyDescent="0.2">
      <c r="A11" s="31">
        <v>36130</v>
      </c>
      <c r="B11" s="15"/>
      <c r="C11" s="16" t="s">
        <v>38</v>
      </c>
      <c r="D11" s="32">
        <f t="shared" si="2"/>
        <v>2.1</v>
      </c>
      <c r="E11" s="15"/>
      <c r="F11" s="18">
        <f t="shared" ref="F11:F23" si="3">-2500*31</f>
        <v>-77500</v>
      </c>
      <c r="G11" s="32">
        <v>1.99</v>
      </c>
      <c r="H11" s="32"/>
      <c r="I11" s="17">
        <f t="shared" si="0"/>
        <v>-8525.0000000000073</v>
      </c>
      <c r="J11" s="41">
        <f t="shared" si="1"/>
        <v>-8525.0000000000073</v>
      </c>
      <c r="K11" s="41"/>
    </row>
    <row r="12" spans="1:11" x14ac:dyDescent="0.2">
      <c r="A12" s="31">
        <v>36161</v>
      </c>
      <c r="B12" s="15"/>
      <c r="C12" s="16" t="s">
        <v>38</v>
      </c>
      <c r="D12" s="32">
        <f t="shared" si="2"/>
        <v>2.1</v>
      </c>
      <c r="E12" s="15"/>
      <c r="F12" s="18">
        <f t="shared" si="3"/>
        <v>-77500</v>
      </c>
      <c r="G12" s="32">
        <v>1.73</v>
      </c>
      <c r="H12" s="32"/>
      <c r="I12" s="17">
        <f t="shared" si="0"/>
        <v>-28675.000000000007</v>
      </c>
      <c r="J12" s="41">
        <f t="shared" si="1"/>
        <v>-28675.000000000007</v>
      </c>
      <c r="K12" s="41"/>
    </row>
    <row r="13" spans="1:11" x14ac:dyDescent="0.2">
      <c r="A13" s="31">
        <v>36192</v>
      </c>
      <c r="B13" s="15"/>
      <c r="C13" s="16" t="s">
        <v>38</v>
      </c>
      <c r="D13" s="32">
        <f t="shared" si="2"/>
        <v>2.1</v>
      </c>
      <c r="E13" s="15"/>
      <c r="F13" s="18">
        <f>-2500*28</f>
        <v>-70000</v>
      </c>
      <c r="G13" s="32">
        <v>1.66</v>
      </c>
      <c r="H13" s="32"/>
      <c r="I13" s="17">
        <f t="shared" si="0"/>
        <v>-30800.000000000011</v>
      </c>
      <c r="J13" s="41">
        <f t="shared" si="1"/>
        <v>-30800.000000000011</v>
      </c>
      <c r="K13" s="41"/>
    </row>
    <row r="14" spans="1:11" x14ac:dyDescent="0.2">
      <c r="A14" s="31">
        <v>36220</v>
      </c>
      <c r="B14" s="15"/>
      <c r="C14" s="16" t="s">
        <v>38</v>
      </c>
      <c r="D14" s="32">
        <f t="shared" si="2"/>
        <v>2.1</v>
      </c>
      <c r="E14" s="15"/>
      <c r="F14" s="18">
        <f t="shared" si="3"/>
        <v>-77500</v>
      </c>
      <c r="G14" s="32">
        <v>1.54</v>
      </c>
      <c r="H14" s="32"/>
      <c r="I14" s="17">
        <f t="shared" si="0"/>
        <v>-43400.000000000007</v>
      </c>
      <c r="J14" s="41">
        <f t="shared" si="1"/>
        <v>-43400.000000000007</v>
      </c>
      <c r="K14" s="41"/>
    </row>
    <row r="15" spans="1:11" x14ac:dyDescent="0.2">
      <c r="A15" s="31">
        <v>36251</v>
      </c>
      <c r="B15" s="15"/>
      <c r="C15" s="16" t="s">
        <v>38</v>
      </c>
      <c r="D15" s="32">
        <f t="shared" si="2"/>
        <v>2.1</v>
      </c>
      <c r="E15" s="15"/>
      <c r="F15" s="18">
        <f>-2500*30</f>
        <v>-75000</v>
      </c>
      <c r="G15" s="32">
        <v>1.66</v>
      </c>
      <c r="H15" s="32"/>
      <c r="I15" s="17">
        <f t="shared" si="0"/>
        <v>-33000.000000000015</v>
      </c>
      <c r="J15" s="41">
        <f t="shared" si="1"/>
        <v>-33000.000000000015</v>
      </c>
      <c r="K15" s="41"/>
    </row>
    <row r="16" spans="1:11" x14ac:dyDescent="0.2">
      <c r="A16" s="31">
        <v>36281</v>
      </c>
      <c r="B16" s="15"/>
      <c r="C16" s="16" t="s">
        <v>38</v>
      </c>
      <c r="D16" s="32">
        <f t="shared" si="2"/>
        <v>2.1</v>
      </c>
      <c r="E16" s="15"/>
      <c r="F16" s="18">
        <f t="shared" si="3"/>
        <v>-77500</v>
      </c>
      <c r="G16" s="32">
        <v>2.16</v>
      </c>
      <c r="H16" s="32"/>
      <c r="I16" s="17">
        <f t="shared" si="0"/>
        <v>4650.0000000000045</v>
      </c>
      <c r="J16" s="41">
        <f t="shared" si="1"/>
        <v>4650.0000000000045</v>
      </c>
      <c r="K16" s="41"/>
    </row>
    <row r="17" spans="1:11" x14ac:dyDescent="0.2">
      <c r="A17" s="31">
        <v>36312</v>
      </c>
      <c r="B17" s="15"/>
      <c r="C17" s="16" t="s">
        <v>38</v>
      </c>
      <c r="D17" s="32">
        <f t="shared" si="2"/>
        <v>2.1</v>
      </c>
      <c r="E17" s="15"/>
      <c r="F17" s="18">
        <f>-2500*30</f>
        <v>-75000</v>
      </c>
      <c r="G17" s="32">
        <v>2.08</v>
      </c>
      <c r="H17" s="32"/>
      <c r="I17" s="17">
        <f t="shared" si="0"/>
        <v>-1500.0000000000014</v>
      </c>
      <c r="J17" s="41">
        <f t="shared" si="1"/>
        <v>-1500.0000000000014</v>
      </c>
      <c r="K17" s="41"/>
    </row>
    <row r="18" spans="1:11" x14ac:dyDescent="0.2">
      <c r="A18" s="31">
        <v>36342</v>
      </c>
      <c r="B18" s="15"/>
      <c r="C18" s="16" t="s">
        <v>38</v>
      </c>
      <c r="D18" s="32">
        <f t="shared" si="2"/>
        <v>2.1</v>
      </c>
      <c r="E18" s="15"/>
      <c r="F18" s="18">
        <f t="shared" si="3"/>
        <v>-77500</v>
      </c>
      <c r="G18" s="32">
        <v>2.17</v>
      </c>
      <c r="H18" s="32"/>
      <c r="I18" s="17">
        <f t="shared" si="0"/>
        <v>5424.9999999999873</v>
      </c>
      <c r="J18" s="41">
        <f t="shared" si="1"/>
        <v>5424.9999999999873</v>
      </c>
      <c r="K18" s="41"/>
    </row>
    <row r="19" spans="1:11" x14ac:dyDescent="0.2">
      <c r="A19" s="31">
        <v>36373</v>
      </c>
      <c r="B19" s="15"/>
      <c r="C19" s="16" t="s">
        <v>38</v>
      </c>
      <c r="D19" s="32">
        <f t="shared" si="2"/>
        <v>2.1</v>
      </c>
      <c r="E19" s="15"/>
      <c r="F19" s="18">
        <f t="shared" si="3"/>
        <v>-77500</v>
      </c>
      <c r="G19" s="32">
        <v>2.46</v>
      </c>
      <c r="H19" s="32"/>
      <c r="I19" s="17">
        <f t="shared" si="0"/>
        <v>27899.999999999989</v>
      </c>
      <c r="J19" s="41">
        <f t="shared" si="1"/>
        <v>27899.999999999989</v>
      </c>
      <c r="K19" s="41"/>
    </row>
    <row r="20" spans="1:11" x14ac:dyDescent="0.2">
      <c r="A20" s="31">
        <v>36404</v>
      </c>
      <c r="B20" s="15"/>
      <c r="C20" s="16" t="s">
        <v>38</v>
      </c>
      <c r="D20" s="32">
        <f t="shared" si="2"/>
        <v>2.1</v>
      </c>
      <c r="E20" s="15"/>
      <c r="F20" s="18">
        <f>-2500*30</f>
        <v>-75000</v>
      </c>
      <c r="G20" s="32">
        <v>2.78</v>
      </c>
      <c r="H20" s="32"/>
      <c r="I20" s="17">
        <f>SUM(D20-G20)*F20</f>
        <v>50999.999999999978</v>
      </c>
      <c r="J20" s="41">
        <f t="shared" si="1"/>
        <v>50999.999999999978</v>
      </c>
      <c r="K20" s="41"/>
    </row>
    <row r="21" spans="1:11" x14ac:dyDescent="0.2">
      <c r="A21" s="31">
        <v>36434</v>
      </c>
      <c r="B21" s="15"/>
      <c r="C21" s="16" t="s">
        <v>38</v>
      </c>
      <c r="D21" s="32">
        <f t="shared" si="2"/>
        <v>2.1</v>
      </c>
      <c r="E21" s="15"/>
      <c r="F21" s="18">
        <f t="shared" si="3"/>
        <v>-77500</v>
      </c>
      <c r="G21" s="32">
        <v>2.42</v>
      </c>
      <c r="H21" s="32"/>
      <c r="I21" s="17">
        <f>SUM(D21-G21)*F21</f>
        <v>24799.999999999989</v>
      </c>
      <c r="J21" s="41">
        <f t="shared" si="1"/>
        <v>24799.999999999989</v>
      </c>
      <c r="K21" s="41"/>
    </row>
    <row r="22" spans="1:11" x14ac:dyDescent="0.2">
      <c r="A22" s="31">
        <v>36465</v>
      </c>
      <c r="B22" s="15"/>
      <c r="C22" s="16" t="s">
        <v>38</v>
      </c>
      <c r="D22" s="32">
        <f t="shared" si="2"/>
        <v>2.1</v>
      </c>
      <c r="E22" s="15"/>
      <c r="F22" s="18">
        <f>-2500*30</f>
        <v>-75000</v>
      </c>
      <c r="G22" s="32">
        <v>2.87</v>
      </c>
      <c r="H22" s="32"/>
      <c r="I22" s="17">
        <f>SUM(D22-G22)*F22</f>
        <v>57750</v>
      </c>
      <c r="J22" s="41">
        <f t="shared" si="1"/>
        <v>57750</v>
      </c>
      <c r="K22" s="41"/>
    </row>
    <row r="23" spans="1:11" x14ac:dyDescent="0.2">
      <c r="A23" s="31">
        <v>36495</v>
      </c>
      <c r="B23" s="15"/>
      <c r="C23" s="16" t="s">
        <v>38</v>
      </c>
      <c r="D23" s="32">
        <f t="shared" si="2"/>
        <v>2.1</v>
      </c>
      <c r="E23" s="15"/>
      <c r="F23" s="18">
        <f t="shared" si="3"/>
        <v>-77500</v>
      </c>
      <c r="G23" s="32">
        <v>2.08</v>
      </c>
      <c r="H23" s="32"/>
      <c r="I23" s="17">
        <f>SUM(D23-G23)*F23</f>
        <v>-1550.0000000000014</v>
      </c>
      <c r="J23" s="41">
        <f t="shared" si="1"/>
        <v>-1550.0000000000014</v>
      </c>
      <c r="K23" s="41"/>
    </row>
    <row r="24" spans="1:11" x14ac:dyDescent="0.2">
      <c r="A24" s="15"/>
      <c r="B24" s="15"/>
      <c r="C24" s="15"/>
      <c r="D24" s="15"/>
      <c r="E24" s="15"/>
      <c r="F24" s="21">
        <f>SUM(F9:F23)</f>
        <v>-1142500</v>
      </c>
      <c r="G24" s="15"/>
      <c r="H24" s="15"/>
      <c r="I24" s="35">
        <f>SUM(I9:I23)</f>
        <v>-11125.000000000104</v>
      </c>
      <c r="J24" s="35">
        <f>SUM(J9:J23)</f>
        <v>-11125.000000000104</v>
      </c>
      <c r="K24" s="35">
        <f>SUM(K9:K23)</f>
        <v>0</v>
      </c>
    </row>
    <row r="25" spans="1:11" x14ac:dyDescent="0.2">
      <c r="A25" s="15"/>
      <c r="B25" s="15"/>
      <c r="C25" s="15"/>
      <c r="D25" s="15"/>
      <c r="E25" s="15"/>
      <c r="F25" s="38"/>
      <c r="G25" s="15"/>
      <c r="H25" s="15"/>
      <c r="I25" s="54"/>
      <c r="J25" s="47"/>
      <c r="K25" s="47"/>
    </row>
    <row r="26" spans="1:11" x14ac:dyDescent="0.2">
      <c r="A26" s="15"/>
      <c r="B26" s="15"/>
      <c r="C26" s="15"/>
      <c r="D26" s="15"/>
      <c r="E26" s="15"/>
      <c r="F26" s="15"/>
      <c r="G26" s="50" t="s">
        <v>59</v>
      </c>
      <c r="H26" s="36"/>
      <c r="I26" s="15"/>
      <c r="J26" s="39"/>
      <c r="K26" s="39"/>
    </row>
    <row r="27" spans="1:11" x14ac:dyDescent="0.2">
      <c r="A27" s="15"/>
      <c r="B27" s="15"/>
      <c r="C27" s="15"/>
      <c r="D27" s="15"/>
      <c r="E27" s="15"/>
      <c r="F27" s="15"/>
      <c r="G27" s="49"/>
      <c r="H27" s="36"/>
      <c r="I27" s="15"/>
      <c r="J27" s="39"/>
      <c r="K27" s="39"/>
    </row>
    <row r="28" spans="1:11" x14ac:dyDescent="0.2">
      <c r="A28" s="31">
        <v>36069</v>
      </c>
      <c r="B28" s="15"/>
      <c r="C28" s="16" t="s">
        <v>46</v>
      </c>
      <c r="D28" s="32">
        <f t="shared" ref="D28:D42" si="4">2.1</f>
        <v>2.1</v>
      </c>
      <c r="E28" s="15"/>
      <c r="F28" s="18">
        <f>2500*31</f>
        <v>77500</v>
      </c>
      <c r="G28" s="32">
        <v>1.78</v>
      </c>
      <c r="H28" s="32"/>
      <c r="I28" s="17">
        <f t="shared" ref="I28:I38" si="5">SUM(D28-G28)*F28</f>
        <v>24800.000000000004</v>
      </c>
      <c r="J28" s="41">
        <f t="shared" ref="J28:J42" si="6">+I28</f>
        <v>24800.000000000004</v>
      </c>
      <c r="K28" s="41"/>
    </row>
    <row r="29" spans="1:11" x14ac:dyDescent="0.2">
      <c r="A29" s="31">
        <v>36100</v>
      </c>
      <c r="B29" s="15"/>
      <c r="C29" s="16" t="s">
        <v>46</v>
      </c>
      <c r="D29" s="32">
        <f t="shared" si="4"/>
        <v>2.1</v>
      </c>
      <c r="E29" s="15"/>
      <c r="F29" s="18">
        <f>2500*30</f>
        <v>75000</v>
      </c>
      <c r="G29" s="32">
        <v>1.99</v>
      </c>
      <c r="H29" s="61"/>
      <c r="I29" s="17">
        <f t="shared" si="5"/>
        <v>8250.0000000000073</v>
      </c>
      <c r="J29" s="41">
        <f t="shared" si="6"/>
        <v>8250.0000000000073</v>
      </c>
      <c r="K29" s="41"/>
    </row>
    <row r="30" spans="1:11" x14ac:dyDescent="0.2">
      <c r="A30" s="31">
        <v>36130</v>
      </c>
      <c r="B30" s="15"/>
      <c r="C30" s="16" t="s">
        <v>46</v>
      </c>
      <c r="D30" s="32">
        <f t="shared" si="4"/>
        <v>2.1</v>
      </c>
      <c r="E30" s="15"/>
      <c r="F30" s="18">
        <f>2500*31</f>
        <v>77500</v>
      </c>
      <c r="G30" s="32">
        <v>1.74</v>
      </c>
      <c r="H30" s="61"/>
      <c r="I30" s="17">
        <f t="shared" si="5"/>
        <v>27900.000000000007</v>
      </c>
      <c r="J30" s="41">
        <f t="shared" si="6"/>
        <v>27900.000000000007</v>
      </c>
      <c r="K30" s="41"/>
    </row>
    <row r="31" spans="1:11" x14ac:dyDescent="0.2">
      <c r="A31" s="31">
        <v>36161</v>
      </c>
      <c r="B31" s="15"/>
      <c r="C31" s="16" t="s">
        <v>46</v>
      </c>
      <c r="D31" s="32">
        <f t="shared" si="4"/>
        <v>2.1</v>
      </c>
      <c r="E31" s="15"/>
      <c r="F31" s="18">
        <f>2500*31</f>
        <v>77500</v>
      </c>
      <c r="G31" s="61">
        <v>1.73</v>
      </c>
      <c r="H31" s="61"/>
      <c r="I31" s="17">
        <f t="shared" si="5"/>
        <v>28675.000000000007</v>
      </c>
      <c r="J31" s="41">
        <f t="shared" si="6"/>
        <v>28675.000000000007</v>
      </c>
      <c r="K31" s="41"/>
    </row>
    <row r="32" spans="1:11" x14ac:dyDescent="0.2">
      <c r="A32" s="31">
        <v>36192</v>
      </c>
      <c r="B32" s="15"/>
      <c r="C32" s="16" t="s">
        <v>46</v>
      </c>
      <c r="D32" s="32">
        <f t="shared" si="4"/>
        <v>2.1</v>
      </c>
      <c r="E32" s="15"/>
      <c r="F32" s="18">
        <f>2500*28</f>
        <v>70000</v>
      </c>
      <c r="G32" s="61">
        <v>1.63</v>
      </c>
      <c r="H32" s="61"/>
      <c r="I32" s="17">
        <f t="shared" si="5"/>
        <v>32900.000000000015</v>
      </c>
      <c r="J32" s="41">
        <f t="shared" si="6"/>
        <v>32900.000000000015</v>
      </c>
      <c r="K32" s="41"/>
    </row>
    <row r="33" spans="1:11" x14ac:dyDescent="0.2">
      <c r="A33" s="31">
        <v>36220</v>
      </c>
      <c r="B33" s="15"/>
      <c r="C33" s="16" t="s">
        <v>46</v>
      </c>
      <c r="D33" s="32">
        <f t="shared" si="4"/>
        <v>2.1</v>
      </c>
      <c r="E33" s="15"/>
      <c r="F33" s="18">
        <f>2500*31</f>
        <v>77500</v>
      </c>
      <c r="G33" s="61">
        <v>1.59</v>
      </c>
      <c r="H33" s="61"/>
      <c r="I33" s="17">
        <f t="shared" si="5"/>
        <v>39525</v>
      </c>
      <c r="J33" s="41">
        <f t="shared" si="6"/>
        <v>39525</v>
      </c>
      <c r="K33" s="41"/>
    </row>
    <row r="34" spans="1:11" x14ac:dyDescent="0.2">
      <c r="A34" s="31">
        <v>36251</v>
      </c>
      <c r="B34" s="15"/>
      <c r="C34" s="16" t="s">
        <v>46</v>
      </c>
      <c r="D34" s="32">
        <f t="shared" si="4"/>
        <v>2.1</v>
      </c>
      <c r="E34" s="15"/>
      <c r="F34" s="18">
        <f>2500*30</f>
        <v>75000</v>
      </c>
      <c r="G34" s="32">
        <v>1.94</v>
      </c>
      <c r="H34" s="61"/>
      <c r="I34" s="17">
        <f t="shared" si="5"/>
        <v>12000.000000000011</v>
      </c>
      <c r="J34" s="41">
        <f t="shared" si="6"/>
        <v>12000.000000000011</v>
      </c>
      <c r="K34" s="41"/>
    </row>
    <row r="35" spans="1:11" x14ac:dyDescent="0.2">
      <c r="A35" s="31">
        <v>36281</v>
      </c>
      <c r="B35" s="15"/>
      <c r="C35" s="16" t="s">
        <v>46</v>
      </c>
      <c r="D35" s="32">
        <f t="shared" si="4"/>
        <v>2.1</v>
      </c>
      <c r="E35" s="15"/>
      <c r="F35" s="18">
        <f>2500*31</f>
        <v>77500</v>
      </c>
      <c r="G35" s="32">
        <v>2.06</v>
      </c>
      <c r="H35" s="61"/>
      <c r="I35" s="17">
        <f t="shared" si="5"/>
        <v>3100.0000000000027</v>
      </c>
      <c r="J35" s="41">
        <f t="shared" si="6"/>
        <v>3100.0000000000027</v>
      </c>
      <c r="K35" s="41"/>
    </row>
    <row r="36" spans="1:11" x14ac:dyDescent="0.2">
      <c r="A36" s="31">
        <v>36312</v>
      </c>
      <c r="B36" s="15"/>
      <c r="C36" s="16" t="s">
        <v>46</v>
      </c>
      <c r="D36" s="32">
        <f t="shared" si="4"/>
        <v>2.1</v>
      </c>
      <c r="E36" s="15"/>
      <c r="F36" s="18">
        <f>2500*30</f>
        <v>75000</v>
      </c>
      <c r="G36" s="32">
        <v>2.0699999999999998</v>
      </c>
      <c r="H36" s="32"/>
      <c r="I36" s="17">
        <f t="shared" si="5"/>
        <v>2250.0000000000186</v>
      </c>
      <c r="J36" s="41">
        <f t="shared" si="6"/>
        <v>2250.0000000000186</v>
      </c>
      <c r="K36" s="41"/>
    </row>
    <row r="37" spans="1:11" x14ac:dyDescent="0.2">
      <c r="A37" s="31">
        <v>36342</v>
      </c>
      <c r="B37" s="15"/>
      <c r="C37" s="16" t="s">
        <v>46</v>
      </c>
      <c r="D37" s="32">
        <f t="shared" si="4"/>
        <v>2.1</v>
      </c>
      <c r="E37" s="15"/>
      <c r="F37" s="18">
        <f>2500*31</f>
        <v>77500</v>
      </c>
      <c r="G37" s="32">
        <v>2.11</v>
      </c>
      <c r="H37" s="32"/>
      <c r="I37" s="17">
        <f t="shared" si="5"/>
        <v>-774.99999999998352</v>
      </c>
      <c r="J37" s="41">
        <f t="shared" si="6"/>
        <v>-774.99999999998352</v>
      </c>
      <c r="K37" s="41"/>
    </row>
    <row r="38" spans="1:11" x14ac:dyDescent="0.2">
      <c r="A38" s="31">
        <v>36373</v>
      </c>
      <c r="B38" s="15"/>
      <c r="C38" s="16" t="s">
        <v>46</v>
      </c>
      <c r="D38" s="32">
        <f t="shared" si="4"/>
        <v>2.1</v>
      </c>
      <c r="E38" s="15"/>
      <c r="F38" s="18">
        <f>2500*31</f>
        <v>77500</v>
      </c>
      <c r="G38" s="32">
        <v>2.5099999999999998</v>
      </c>
      <c r="H38" s="32"/>
      <c r="I38" s="17">
        <f t="shared" si="5"/>
        <v>-31774.999999999978</v>
      </c>
      <c r="J38" s="41">
        <f t="shared" si="6"/>
        <v>-31774.999999999978</v>
      </c>
      <c r="K38" s="41"/>
    </row>
    <row r="39" spans="1:11" x14ac:dyDescent="0.2">
      <c r="A39" s="31">
        <v>36404</v>
      </c>
      <c r="B39" s="15"/>
      <c r="C39" s="16" t="s">
        <v>46</v>
      </c>
      <c r="D39" s="32">
        <f t="shared" si="4"/>
        <v>2.1</v>
      </c>
      <c r="E39" s="15"/>
      <c r="F39" s="18">
        <f>2500*30</f>
        <v>75000</v>
      </c>
      <c r="G39" s="32">
        <v>2.36</v>
      </c>
      <c r="H39" s="32"/>
      <c r="I39" s="17">
        <f>SUM(D39-G39)*F39</f>
        <v>-19499.999999999985</v>
      </c>
      <c r="J39" s="41">
        <f t="shared" si="6"/>
        <v>-19499.999999999985</v>
      </c>
      <c r="K39" s="41"/>
    </row>
    <row r="40" spans="1:11" x14ac:dyDescent="0.2">
      <c r="A40" s="31">
        <v>36434</v>
      </c>
      <c r="B40" s="15"/>
      <c r="C40" s="16" t="s">
        <v>46</v>
      </c>
      <c r="D40" s="32">
        <f t="shared" si="4"/>
        <v>2.1</v>
      </c>
      <c r="E40" s="15"/>
      <c r="F40" s="18">
        <f>2500*31</f>
        <v>77500</v>
      </c>
      <c r="G40" s="32">
        <v>2.62</v>
      </c>
      <c r="H40" s="32"/>
      <c r="I40" s="17">
        <f>SUM(D40-G40)*F40</f>
        <v>-40300</v>
      </c>
      <c r="J40" s="41">
        <f t="shared" si="6"/>
        <v>-40300</v>
      </c>
      <c r="K40" s="41"/>
    </row>
    <row r="41" spans="1:11" x14ac:dyDescent="0.2">
      <c r="A41" s="31">
        <v>36465</v>
      </c>
      <c r="B41" s="15"/>
      <c r="C41" s="16" t="s">
        <v>46</v>
      </c>
      <c r="D41" s="32">
        <f t="shared" si="4"/>
        <v>2.1</v>
      </c>
      <c r="E41" s="15"/>
      <c r="F41" s="18">
        <f>2500*30</f>
        <v>75000</v>
      </c>
      <c r="G41" s="32">
        <v>2.17</v>
      </c>
      <c r="H41" s="32"/>
      <c r="I41" s="17">
        <f>SUM(D41-G41)*F41</f>
        <v>-5249.9999999999882</v>
      </c>
      <c r="J41" s="41">
        <f t="shared" si="6"/>
        <v>-5249.9999999999882</v>
      </c>
      <c r="K41" s="41"/>
    </row>
    <row r="42" spans="1:11" x14ac:dyDescent="0.2">
      <c r="A42" s="31">
        <v>36495</v>
      </c>
      <c r="B42" s="15"/>
      <c r="C42" s="16" t="s">
        <v>46</v>
      </c>
      <c r="D42" s="32">
        <f t="shared" si="4"/>
        <v>2.1</v>
      </c>
      <c r="E42" s="15"/>
      <c r="F42" s="18">
        <f>2500*31</f>
        <v>77500</v>
      </c>
      <c r="G42" s="32">
        <v>2.2400000000000002</v>
      </c>
      <c r="H42" s="32"/>
      <c r="I42" s="17">
        <f>SUM(D42-G42)*F42</f>
        <v>-10850.000000000009</v>
      </c>
      <c r="J42" s="41">
        <f t="shared" si="6"/>
        <v>-10850.000000000009</v>
      </c>
      <c r="K42" s="41"/>
    </row>
    <row r="43" spans="1:11" x14ac:dyDescent="0.2">
      <c r="A43" s="15"/>
      <c r="B43" s="15"/>
      <c r="C43" s="15"/>
      <c r="D43" s="15"/>
      <c r="E43" s="15"/>
      <c r="F43" s="21">
        <f>SUM(F28:F42)</f>
        <v>1142500</v>
      </c>
      <c r="G43" s="15"/>
      <c r="H43" s="15"/>
      <c r="I43" s="33">
        <f>SUM(I28:I42)</f>
        <v>70950.00000000016</v>
      </c>
      <c r="J43" s="33">
        <f>SUM(J28:J42)</f>
        <v>70950.00000000016</v>
      </c>
      <c r="K43" s="33">
        <f>SUM(K28:K42)</f>
        <v>0</v>
      </c>
    </row>
    <row r="44" spans="1:11" x14ac:dyDescent="0.2">
      <c r="A44" s="15"/>
      <c r="B44" s="15"/>
      <c r="C44" s="15"/>
      <c r="D44" s="15"/>
      <c r="E44" s="15"/>
      <c r="F44" s="15"/>
      <c r="G44" s="15"/>
      <c r="H44" s="15"/>
      <c r="I44" s="15"/>
      <c r="J44" s="39"/>
      <c r="K44" s="39"/>
    </row>
    <row r="45" spans="1:11" ht="13.5" thickBot="1" x14ac:dyDescent="0.25">
      <c r="A45" s="15"/>
      <c r="B45" s="15"/>
      <c r="C45" s="15"/>
      <c r="D45" s="15"/>
      <c r="E45" s="15"/>
      <c r="F45" s="23">
        <f>+F43+F24</f>
        <v>0</v>
      </c>
      <c r="G45" s="15"/>
      <c r="H45" s="15"/>
      <c r="I45" s="34">
        <f>+I43+I24</f>
        <v>59825.000000000058</v>
      </c>
      <c r="J45" s="34">
        <f>+J43+J24</f>
        <v>59825.000000000058</v>
      </c>
      <c r="K45" s="34">
        <f>+K43+K24</f>
        <v>0</v>
      </c>
    </row>
    <row r="46" spans="1:11" ht="13.5" thickTop="1" x14ac:dyDescent="0.2">
      <c r="A46" s="26"/>
      <c r="B46" s="26"/>
      <c r="C46" s="26"/>
      <c r="D46" s="26"/>
      <c r="E46" s="26"/>
      <c r="F46" s="26"/>
      <c r="G46" s="26"/>
      <c r="H46" s="26"/>
      <c r="I46" s="26"/>
      <c r="J46" s="40"/>
      <c r="K46" s="40"/>
    </row>
    <row r="48" spans="1:11" x14ac:dyDescent="0.2">
      <c r="A48" s="29" t="s">
        <v>47</v>
      </c>
    </row>
  </sheetData>
  <printOptions horizontalCentered="1" verticalCentered="1"/>
  <pageMargins left="0.75" right="0.75" top="1" bottom="1" header="0.5" footer="0.5"/>
  <pageSetup scale="75" orientation="landscape" horizontalDpi="300" verticalDpi="300" r:id="rId1"/>
  <headerFooter alignWithMargins="0">
    <oddFooter xml:space="preserve">&amp;L&amp;"Arial,Italic"&amp;8&amp;D&amp;T&amp;R&amp;"Arial,Italic"&amp;8G:/Common/TW Fuel Hedge/Fixed2_Sempra_2
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4"/>
  <sheetViews>
    <sheetView topLeftCell="C1" workbookViewId="0">
      <selection activeCell="F17" sqref="F17"/>
    </sheetView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0.7109375" customWidth="1"/>
    <col min="9" max="9" width="15" customWidth="1"/>
    <col min="10" max="10" width="13.42578125" customWidth="1"/>
    <col min="11" max="11" width="15" customWidth="1"/>
  </cols>
  <sheetData>
    <row r="1" spans="1:11" s="2" customFormat="1" ht="15" x14ac:dyDescent="0.2">
      <c r="A1" s="1" t="s">
        <v>49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76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1" t="s">
        <v>51</v>
      </c>
      <c r="B4" s="1"/>
      <c r="C4" s="1"/>
      <c r="D4" s="1"/>
      <c r="E4" s="1"/>
      <c r="F4" s="1"/>
      <c r="G4" s="1"/>
      <c r="H4" s="1"/>
      <c r="I4" s="1"/>
      <c r="J4" s="44"/>
      <c r="K4" s="44"/>
    </row>
    <row r="6" spans="1:11" s="7" customFormat="1" x14ac:dyDescent="0.2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24</v>
      </c>
      <c r="I6" s="55" t="s">
        <v>55</v>
      </c>
      <c r="J6" s="56"/>
      <c r="K6" s="57"/>
    </row>
    <row r="7" spans="1:11" s="7" customFormat="1" x14ac:dyDescent="0.2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">
      <c r="A8" s="11"/>
      <c r="B8" s="12"/>
      <c r="C8" s="12"/>
      <c r="D8" s="12"/>
      <c r="E8" s="12"/>
      <c r="F8" s="12"/>
      <c r="G8" s="51" t="s">
        <v>74</v>
      </c>
      <c r="H8" s="13"/>
      <c r="I8" s="58" t="s">
        <v>31</v>
      </c>
      <c r="J8" s="58" t="s">
        <v>31</v>
      </c>
      <c r="K8" s="59" t="s">
        <v>31</v>
      </c>
    </row>
    <row r="9" spans="1:11" x14ac:dyDescent="0.2">
      <c r="A9" s="31">
        <v>36281</v>
      </c>
      <c r="B9" s="15"/>
      <c r="C9" s="16" t="s">
        <v>38</v>
      </c>
      <c r="D9" s="32">
        <v>2.0099999999999998</v>
      </c>
      <c r="E9" s="15"/>
      <c r="F9" s="18">
        <f>-10000*31</f>
        <v>-310000</v>
      </c>
      <c r="G9" s="32">
        <v>2.16</v>
      </c>
      <c r="H9" s="32"/>
      <c r="I9" s="17">
        <f t="shared" ref="I9:I16" si="0">SUM(D9-G9)*F9</f>
        <v>46500.000000000109</v>
      </c>
      <c r="J9" s="41">
        <f t="shared" ref="J9:J16" si="1">+I9</f>
        <v>46500.000000000109</v>
      </c>
      <c r="K9" s="41"/>
    </row>
    <row r="10" spans="1:11" x14ac:dyDescent="0.2">
      <c r="A10" s="31">
        <v>36312</v>
      </c>
      <c r="B10" s="15"/>
      <c r="C10" s="16" t="s">
        <v>38</v>
      </c>
      <c r="D10" s="32">
        <v>2.0099999999999998</v>
      </c>
      <c r="E10" s="15"/>
      <c r="F10" s="18">
        <f>-10000*30</f>
        <v>-300000</v>
      </c>
      <c r="G10" s="32">
        <v>2.08</v>
      </c>
      <c r="H10" s="32"/>
      <c r="I10" s="17">
        <f t="shared" si="0"/>
        <v>21000.000000000084</v>
      </c>
      <c r="J10" s="41">
        <f t="shared" si="1"/>
        <v>21000.000000000084</v>
      </c>
      <c r="K10" s="41"/>
    </row>
    <row r="11" spans="1:11" x14ac:dyDescent="0.2">
      <c r="A11" s="31">
        <v>36342</v>
      </c>
      <c r="B11" s="15"/>
      <c r="C11" s="16" t="s">
        <v>38</v>
      </c>
      <c r="D11" s="32">
        <v>2.0099999999999998</v>
      </c>
      <c r="E11" s="15"/>
      <c r="F11" s="18">
        <f t="shared" ref="F11:F16" si="2">-10000*31</f>
        <v>-310000</v>
      </c>
      <c r="G11" s="32">
        <v>2.17</v>
      </c>
      <c r="H11" s="32"/>
      <c r="I11" s="17">
        <f t="shared" si="0"/>
        <v>49600.000000000044</v>
      </c>
      <c r="J11" s="41">
        <f t="shared" si="1"/>
        <v>49600.000000000044</v>
      </c>
      <c r="K11" s="41"/>
    </row>
    <row r="12" spans="1:11" x14ac:dyDescent="0.2">
      <c r="A12" s="31">
        <v>36373</v>
      </c>
      <c r="B12" s="15"/>
      <c r="C12" s="16" t="s">
        <v>38</v>
      </c>
      <c r="D12" s="32">
        <v>2.0099999999999998</v>
      </c>
      <c r="E12" s="15"/>
      <c r="F12" s="18">
        <f t="shared" si="2"/>
        <v>-310000</v>
      </c>
      <c r="G12" s="32">
        <v>2.46</v>
      </c>
      <c r="H12" s="32"/>
      <c r="I12" s="17">
        <f t="shared" si="0"/>
        <v>139500.00000000006</v>
      </c>
      <c r="J12" s="41">
        <f t="shared" si="1"/>
        <v>139500.00000000006</v>
      </c>
      <c r="K12" s="41"/>
    </row>
    <row r="13" spans="1:11" x14ac:dyDescent="0.2">
      <c r="A13" s="31">
        <v>36404</v>
      </c>
      <c r="B13" s="15"/>
      <c r="C13" s="16" t="s">
        <v>38</v>
      </c>
      <c r="D13" s="32">
        <v>2.0099999999999998</v>
      </c>
      <c r="E13" s="15"/>
      <c r="F13" s="18">
        <f>-10000*30</f>
        <v>-300000</v>
      </c>
      <c r="G13" s="32">
        <v>2.78</v>
      </c>
      <c r="H13" s="32"/>
      <c r="I13" s="17">
        <f t="shared" si="0"/>
        <v>231000</v>
      </c>
      <c r="J13" s="41">
        <f t="shared" si="1"/>
        <v>231000</v>
      </c>
      <c r="K13" s="41"/>
    </row>
    <row r="14" spans="1:11" x14ac:dyDescent="0.2">
      <c r="A14" s="31">
        <v>36434</v>
      </c>
      <c r="B14" s="15"/>
      <c r="C14" s="16" t="s">
        <v>38</v>
      </c>
      <c r="D14" s="32">
        <v>2.0099999999999998</v>
      </c>
      <c r="E14" s="15"/>
      <c r="F14" s="18">
        <f t="shared" si="2"/>
        <v>-310000</v>
      </c>
      <c r="G14" s="32">
        <v>2.42</v>
      </c>
      <c r="H14" s="32"/>
      <c r="I14" s="17">
        <f t="shared" si="0"/>
        <v>127100.00000000004</v>
      </c>
      <c r="J14" s="41">
        <f t="shared" si="1"/>
        <v>127100.00000000004</v>
      </c>
      <c r="K14" s="41"/>
    </row>
    <row r="15" spans="1:11" x14ac:dyDescent="0.2">
      <c r="A15" s="31">
        <v>36465</v>
      </c>
      <c r="B15" s="15"/>
      <c r="C15" s="16" t="s">
        <v>38</v>
      </c>
      <c r="D15" s="32">
        <v>2.0099999999999998</v>
      </c>
      <c r="E15" s="15"/>
      <c r="F15" s="18">
        <f>-10000*30</f>
        <v>-300000</v>
      </c>
      <c r="G15" s="32">
        <v>2.87</v>
      </c>
      <c r="H15" s="32"/>
      <c r="I15" s="17">
        <f t="shared" si="0"/>
        <v>258000.00000000009</v>
      </c>
      <c r="J15" s="41">
        <f t="shared" si="1"/>
        <v>258000.00000000009</v>
      </c>
      <c r="K15" s="41"/>
    </row>
    <row r="16" spans="1:11" x14ac:dyDescent="0.2">
      <c r="A16" s="31">
        <v>36495</v>
      </c>
      <c r="B16" s="15"/>
      <c r="C16" s="16" t="s">
        <v>38</v>
      </c>
      <c r="D16" s="32">
        <v>2.0099999999999998</v>
      </c>
      <c r="E16" s="15"/>
      <c r="F16" s="18">
        <f t="shared" si="2"/>
        <v>-310000</v>
      </c>
      <c r="G16" s="32">
        <v>2.08</v>
      </c>
      <c r="H16" s="32"/>
      <c r="I16" s="17">
        <f t="shared" si="0"/>
        <v>21700.000000000087</v>
      </c>
      <c r="J16" s="41">
        <f t="shared" si="1"/>
        <v>21700.000000000087</v>
      </c>
      <c r="K16" s="41"/>
    </row>
    <row r="17" spans="1:11" x14ac:dyDescent="0.2">
      <c r="A17" s="15"/>
      <c r="B17" s="15"/>
      <c r="C17" s="15"/>
      <c r="D17" s="15"/>
      <c r="E17" s="15"/>
      <c r="F17" s="21">
        <f>SUM(F9:F16)</f>
        <v>-2450000</v>
      </c>
      <c r="G17" s="15"/>
      <c r="H17" s="15"/>
      <c r="I17" s="35">
        <f>SUM(I9:I16)</f>
        <v>894400.00000000058</v>
      </c>
      <c r="J17" s="35">
        <f>SUM(J9:J16)</f>
        <v>894400.00000000058</v>
      </c>
      <c r="K17" s="35">
        <f>SUM(K9:K16)</f>
        <v>0</v>
      </c>
    </row>
    <row r="18" spans="1:11" x14ac:dyDescent="0.2">
      <c r="A18" s="15"/>
      <c r="B18" s="15"/>
      <c r="C18" s="15"/>
      <c r="D18" s="15"/>
      <c r="E18" s="15"/>
      <c r="F18" s="38"/>
      <c r="G18" s="15"/>
      <c r="H18" s="15"/>
      <c r="I18" s="54"/>
      <c r="J18" s="47"/>
      <c r="K18" s="47"/>
    </row>
    <row r="19" spans="1:11" x14ac:dyDescent="0.2">
      <c r="A19" s="15"/>
      <c r="B19" s="15"/>
      <c r="C19" s="15"/>
      <c r="D19" s="15"/>
      <c r="E19" s="15"/>
      <c r="F19" s="15"/>
      <c r="G19" s="50" t="s">
        <v>59</v>
      </c>
      <c r="H19" s="36"/>
      <c r="I19" s="15"/>
      <c r="J19" s="39"/>
      <c r="K19" s="39"/>
    </row>
    <row r="20" spans="1:11" x14ac:dyDescent="0.2">
      <c r="A20" s="15"/>
      <c r="B20" s="15"/>
      <c r="C20" s="15"/>
      <c r="D20" s="32"/>
      <c r="E20" s="15"/>
      <c r="F20" s="15"/>
      <c r="G20" s="49"/>
      <c r="H20" s="36"/>
      <c r="I20" s="15"/>
      <c r="J20" s="39"/>
      <c r="K20" s="39"/>
    </row>
    <row r="21" spans="1:11" x14ac:dyDescent="0.2">
      <c r="A21" s="31">
        <v>36281</v>
      </c>
      <c r="B21" s="15"/>
      <c r="C21" s="16" t="s">
        <v>46</v>
      </c>
      <c r="D21" s="32">
        <v>2.0099999999999998</v>
      </c>
      <c r="E21" s="15"/>
      <c r="F21" s="18">
        <f>10000*31</f>
        <v>310000</v>
      </c>
      <c r="G21" s="32">
        <v>2.06</v>
      </c>
      <c r="H21" s="61"/>
      <c r="I21" s="17">
        <f t="shared" ref="I21:I28" si="3">SUM(D21-G21)*F21</f>
        <v>-15500.000000000082</v>
      </c>
      <c r="J21" s="41">
        <f t="shared" ref="J21:J28" si="4">+I21</f>
        <v>-15500.000000000082</v>
      </c>
      <c r="K21" s="41"/>
    </row>
    <row r="22" spans="1:11" x14ac:dyDescent="0.2">
      <c r="A22" s="31">
        <v>36312</v>
      </c>
      <c r="B22" s="15"/>
      <c r="C22" s="16" t="s">
        <v>46</v>
      </c>
      <c r="D22" s="32">
        <v>2.0099999999999998</v>
      </c>
      <c r="E22" s="15"/>
      <c r="F22" s="18">
        <f>10000*30</f>
        <v>300000</v>
      </c>
      <c r="G22" s="32">
        <v>2.0699999999999998</v>
      </c>
      <c r="H22" s="32"/>
      <c r="I22" s="17">
        <f t="shared" si="3"/>
        <v>-18000.000000000015</v>
      </c>
      <c r="J22" s="41">
        <f t="shared" si="4"/>
        <v>-18000.000000000015</v>
      </c>
      <c r="K22" s="41"/>
    </row>
    <row r="23" spans="1:11" x14ac:dyDescent="0.2">
      <c r="A23" s="31">
        <v>36342</v>
      </c>
      <c r="B23" s="15"/>
      <c r="C23" s="16" t="s">
        <v>46</v>
      </c>
      <c r="D23" s="32">
        <v>2.0099999999999998</v>
      </c>
      <c r="E23" s="15"/>
      <c r="F23" s="18">
        <f>10000*31</f>
        <v>310000</v>
      </c>
      <c r="G23" s="32">
        <v>2.11</v>
      </c>
      <c r="H23" s="32"/>
      <c r="I23" s="17">
        <f t="shared" si="3"/>
        <v>-31000.000000000029</v>
      </c>
      <c r="J23" s="41">
        <f t="shared" si="4"/>
        <v>-31000.000000000029</v>
      </c>
      <c r="K23" s="41"/>
    </row>
    <row r="24" spans="1:11" x14ac:dyDescent="0.2">
      <c r="A24" s="31">
        <v>36373</v>
      </c>
      <c r="B24" s="15"/>
      <c r="C24" s="16" t="s">
        <v>46</v>
      </c>
      <c r="D24" s="32">
        <v>2.0099999999999998</v>
      </c>
      <c r="E24" s="15"/>
      <c r="F24" s="18">
        <f>10000*31</f>
        <v>310000</v>
      </c>
      <c r="G24" s="32">
        <v>2.5099999999999998</v>
      </c>
      <c r="H24" s="32"/>
      <c r="I24" s="17">
        <f t="shared" si="3"/>
        <v>-155000</v>
      </c>
      <c r="J24" s="41">
        <f t="shared" si="4"/>
        <v>-155000</v>
      </c>
      <c r="K24" s="41"/>
    </row>
    <row r="25" spans="1:11" x14ac:dyDescent="0.2">
      <c r="A25" s="31">
        <v>36404</v>
      </c>
      <c r="B25" s="15"/>
      <c r="C25" s="16" t="s">
        <v>46</v>
      </c>
      <c r="D25" s="32">
        <v>2.0099999999999998</v>
      </c>
      <c r="E25" s="15"/>
      <c r="F25" s="18">
        <f>10000*30</f>
        <v>300000</v>
      </c>
      <c r="G25" s="32">
        <v>2.36</v>
      </c>
      <c r="H25" s="32"/>
      <c r="I25" s="17">
        <f t="shared" si="3"/>
        <v>-105000.00000000003</v>
      </c>
      <c r="J25" s="41">
        <f t="shared" si="4"/>
        <v>-105000.00000000003</v>
      </c>
      <c r="K25" s="41"/>
    </row>
    <row r="26" spans="1:11" x14ac:dyDescent="0.2">
      <c r="A26" s="31">
        <v>36434</v>
      </c>
      <c r="B26" s="15"/>
      <c r="C26" s="16" t="s">
        <v>46</v>
      </c>
      <c r="D26" s="32">
        <v>2.0099999999999998</v>
      </c>
      <c r="E26" s="15"/>
      <c r="F26" s="18">
        <f>10000*31</f>
        <v>310000</v>
      </c>
      <c r="G26" s="32">
        <v>2.62</v>
      </c>
      <c r="H26" s="32"/>
      <c r="I26" s="17">
        <f t="shared" si="3"/>
        <v>-189100.00000000009</v>
      </c>
      <c r="J26" s="41">
        <f t="shared" si="4"/>
        <v>-189100.00000000009</v>
      </c>
      <c r="K26" s="41"/>
    </row>
    <row r="27" spans="1:11" x14ac:dyDescent="0.2">
      <c r="A27" s="31">
        <v>36465</v>
      </c>
      <c r="B27" s="15"/>
      <c r="C27" s="16" t="s">
        <v>46</v>
      </c>
      <c r="D27" s="32">
        <v>2.0099999999999998</v>
      </c>
      <c r="E27" s="15"/>
      <c r="F27" s="18">
        <f>10000*30</f>
        <v>300000</v>
      </c>
      <c r="G27" s="32">
        <v>2.17</v>
      </c>
      <c r="H27" s="32"/>
      <c r="I27" s="17">
        <f t="shared" si="3"/>
        <v>-48000.000000000044</v>
      </c>
      <c r="J27" s="41">
        <f t="shared" si="4"/>
        <v>-48000.000000000044</v>
      </c>
      <c r="K27" s="41"/>
    </row>
    <row r="28" spans="1:11" x14ac:dyDescent="0.2">
      <c r="A28" s="31">
        <v>36495</v>
      </c>
      <c r="B28" s="15"/>
      <c r="C28" s="16" t="s">
        <v>46</v>
      </c>
      <c r="D28" s="32">
        <v>2.0099999999999998</v>
      </c>
      <c r="E28" s="15"/>
      <c r="F28" s="18">
        <f>10000*31</f>
        <v>310000</v>
      </c>
      <c r="G28" s="32">
        <v>2.2400000000000002</v>
      </c>
      <c r="H28" s="32"/>
      <c r="I28" s="17">
        <f t="shared" si="3"/>
        <v>-71300.000000000131</v>
      </c>
      <c r="J28" s="41">
        <f t="shared" si="4"/>
        <v>-71300.000000000131</v>
      </c>
      <c r="K28" s="41"/>
    </row>
    <row r="29" spans="1:11" x14ac:dyDescent="0.2">
      <c r="A29" s="15"/>
      <c r="B29" s="15"/>
      <c r="C29" s="15"/>
      <c r="D29" s="15"/>
      <c r="E29" s="15"/>
      <c r="F29" s="21">
        <f>SUM(F21:F28)</f>
        <v>2450000</v>
      </c>
      <c r="G29" s="15"/>
      <c r="H29" s="15"/>
      <c r="I29" s="33">
        <f>SUM(I21:I28)</f>
        <v>-632900.00000000035</v>
      </c>
      <c r="J29" s="33">
        <f>SUM(J21:J28)</f>
        <v>-632900.00000000035</v>
      </c>
      <c r="K29" s="33">
        <f>SUM(K21:K28)</f>
        <v>0</v>
      </c>
    </row>
    <row r="30" spans="1:11" x14ac:dyDescent="0.2">
      <c r="A30" s="15"/>
      <c r="B30" s="15"/>
      <c r="C30" s="15"/>
      <c r="D30" s="15"/>
      <c r="E30" s="15"/>
      <c r="F30" s="15"/>
      <c r="G30" s="15"/>
      <c r="H30" s="15"/>
      <c r="I30" s="15"/>
      <c r="J30" s="39"/>
      <c r="K30" s="39"/>
    </row>
    <row r="31" spans="1:11" ht="13.5" thickBot="1" x14ac:dyDescent="0.25">
      <c r="A31" s="15"/>
      <c r="B31" s="15"/>
      <c r="C31" s="15"/>
      <c r="D31" s="15"/>
      <c r="E31" s="15"/>
      <c r="F31" s="23">
        <f>+F29+F17</f>
        <v>0</v>
      </c>
      <c r="G31" s="15"/>
      <c r="H31" s="15"/>
      <c r="I31" s="34">
        <f>+I29+I17</f>
        <v>261500.00000000023</v>
      </c>
      <c r="J31" s="34">
        <f>+J29+J17</f>
        <v>261500.00000000023</v>
      </c>
      <c r="K31" s="34">
        <f>+K29+K17</f>
        <v>0</v>
      </c>
    </row>
    <row r="32" spans="1:11" ht="13.5" thickTop="1" x14ac:dyDescent="0.2">
      <c r="A32" s="26"/>
      <c r="B32" s="26"/>
      <c r="C32" s="26"/>
      <c r="D32" s="26"/>
      <c r="E32" s="26"/>
      <c r="F32" s="26"/>
      <c r="G32" s="26"/>
      <c r="H32" s="26"/>
      <c r="I32" s="26"/>
      <c r="J32" s="40"/>
      <c r="K32" s="40"/>
    </row>
    <row r="34" spans="1:1" x14ac:dyDescent="0.2">
      <c r="A34" s="29" t="s">
        <v>47</v>
      </c>
    </row>
  </sheetData>
  <printOptions horizontalCentered="1" verticalCentered="1"/>
  <pageMargins left="0.75" right="0.75" top="1" bottom="1" header="0.5" footer="0.5"/>
  <pageSetup scale="97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8"/>
  <sheetViews>
    <sheetView workbookViewId="0"/>
  </sheetViews>
  <sheetFormatPr defaultRowHeight="12.75" x14ac:dyDescent="0.2"/>
  <cols>
    <col min="1" max="2" width="10.7109375" customWidth="1"/>
    <col min="3" max="3" width="13.7109375" customWidth="1"/>
    <col min="4" max="4" width="15.7109375" bestFit="1" customWidth="1"/>
    <col min="5" max="5" width="0" hidden="1" customWidth="1"/>
    <col min="6" max="6" width="12.7109375" customWidth="1"/>
    <col min="7" max="7" width="13.140625" bestFit="1" customWidth="1"/>
    <col min="8" max="8" width="10.7109375" customWidth="1"/>
    <col min="9" max="9" width="15.42578125" bestFit="1" customWidth="1"/>
    <col min="10" max="10" width="13.42578125" customWidth="1"/>
    <col min="11" max="11" width="15.42578125" bestFit="1" customWidth="1"/>
  </cols>
  <sheetData>
    <row r="1" spans="1:11" s="2" customFormat="1" ht="15" x14ac:dyDescent="0.2">
      <c r="A1" s="1" t="s">
        <v>78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79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237"/>
      <c r="B4" s="237"/>
      <c r="C4" s="237"/>
      <c r="D4" s="237"/>
      <c r="E4" s="237"/>
      <c r="F4" s="237"/>
      <c r="G4" s="237"/>
      <c r="H4" s="237"/>
      <c r="I4" s="237"/>
      <c r="J4" s="237"/>
      <c r="K4" s="237"/>
    </row>
    <row r="5" spans="1:11" x14ac:dyDescent="0.2">
      <c r="G5" s="166"/>
      <c r="H5" s="166"/>
    </row>
    <row r="6" spans="1:11" s="7" customFormat="1" x14ac:dyDescent="0.2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24</v>
      </c>
      <c r="I6" s="55" t="s">
        <v>55</v>
      </c>
      <c r="J6" s="56"/>
      <c r="K6" s="57"/>
    </row>
    <row r="7" spans="1:11" s="7" customFormat="1" x14ac:dyDescent="0.2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">
      <c r="A8" s="11"/>
      <c r="B8" s="12"/>
      <c r="C8" s="12"/>
      <c r="D8" s="12"/>
      <c r="E8" s="12"/>
      <c r="F8" s="12"/>
      <c r="G8" s="51" t="s">
        <v>80</v>
      </c>
      <c r="H8" s="13"/>
      <c r="I8" s="58" t="s">
        <v>31</v>
      </c>
      <c r="J8" s="58" t="s">
        <v>31</v>
      </c>
      <c r="K8" s="59" t="s">
        <v>31</v>
      </c>
    </row>
    <row r="9" spans="1:11" x14ac:dyDescent="0.2">
      <c r="A9" s="31">
        <v>37408</v>
      </c>
      <c r="B9" s="15"/>
      <c r="C9" s="16" t="s">
        <v>96</v>
      </c>
      <c r="D9" s="32">
        <v>3.3</v>
      </c>
      <c r="E9" s="15"/>
      <c r="F9" s="18">
        <v>-2000000</v>
      </c>
      <c r="G9" s="32"/>
      <c r="H9" s="32">
        <f>+[3]Elpaso!$F9</f>
        <v>4.1100000000000003</v>
      </c>
      <c r="I9" s="17">
        <f>(-H9+D9)*F9</f>
        <v>1620000.0000000009</v>
      </c>
      <c r="J9" s="41"/>
      <c r="K9" s="41">
        <f>+I9</f>
        <v>1620000.0000000009</v>
      </c>
    </row>
    <row r="10" spans="1:11" x14ac:dyDescent="0.2">
      <c r="A10" s="31">
        <v>37438</v>
      </c>
      <c r="B10" s="15"/>
      <c r="C10" s="16" t="s">
        <v>96</v>
      </c>
      <c r="D10" s="32">
        <v>3.3</v>
      </c>
      <c r="E10" s="15"/>
      <c r="F10" s="18">
        <v>-3000000</v>
      </c>
      <c r="G10" s="32"/>
      <c r="H10" s="32">
        <f>+[3]Elpaso!$F10</f>
        <v>4.1100000000000003</v>
      </c>
      <c r="I10" s="17">
        <f>(-H10+D10)*F10</f>
        <v>2430000.0000000014</v>
      </c>
      <c r="J10" s="41"/>
      <c r="K10" s="41">
        <f>+I10</f>
        <v>2430000.0000000014</v>
      </c>
    </row>
    <row r="11" spans="1:11" x14ac:dyDescent="0.2">
      <c r="A11" s="31">
        <v>37469</v>
      </c>
      <c r="B11" s="15"/>
      <c r="C11" s="16" t="s">
        <v>96</v>
      </c>
      <c r="D11" s="32">
        <v>3.3</v>
      </c>
      <c r="E11" s="15"/>
      <c r="F11" s="18">
        <v>-3000000</v>
      </c>
      <c r="G11" s="15"/>
      <c r="H11" s="32">
        <f>+[3]Elpaso!$F11</f>
        <v>4.1120000000000001</v>
      </c>
      <c r="I11" s="17">
        <f>(-H11+D11)*F11</f>
        <v>2436000.0000000009</v>
      </c>
      <c r="J11" s="39"/>
      <c r="K11" s="41">
        <f>+I11</f>
        <v>2436000.0000000009</v>
      </c>
    </row>
    <row r="12" spans="1:11" x14ac:dyDescent="0.2">
      <c r="A12" s="31">
        <v>37500</v>
      </c>
      <c r="B12" s="15"/>
      <c r="C12" s="16" t="s">
        <v>96</v>
      </c>
      <c r="D12" s="32">
        <v>3.3</v>
      </c>
      <c r="E12" s="15"/>
      <c r="F12" s="18">
        <v>-3000000</v>
      </c>
      <c r="G12" s="15"/>
      <c r="H12" s="32">
        <f>+[3]Elpaso!$F12</f>
        <v>4.1070000000000002</v>
      </c>
      <c r="I12" s="17">
        <f>(-H12+D12)*F12</f>
        <v>2421000.0000000009</v>
      </c>
      <c r="J12" s="39"/>
      <c r="K12" s="41">
        <f>+I12</f>
        <v>2421000.0000000009</v>
      </c>
    </row>
    <row r="13" spans="1:11" x14ac:dyDescent="0.2">
      <c r="A13" s="31">
        <v>37530</v>
      </c>
      <c r="B13" s="15"/>
      <c r="C13" s="16" t="s">
        <v>96</v>
      </c>
      <c r="D13" s="32">
        <v>3.3</v>
      </c>
      <c r="E13" s="15"/>
      <c r="F13" s="18">
        <v>-4000000</v>
      </c>
      <c r="G13" s="15"/>
      <c r="H13" s="32">
        <f>+[3]Elpaso!$F13</f>
        <v>4.1020000000000003</v>
      </c>
      <c r="I13" s="17">
        <f>(-H13+D13)*F13</f>
        <v>3208000.0000000019</v>
      </c>
      <c r="J13" s="39"/>
      <c r="K13" s="41">
        <f>+I13</f>
        <v>3208000.0000000019</v>
      </c>
    </row>
    <row r="14" spans="1:11" x14ac:dyDescent="0.2">
      <c r="A14" s="31"/>
      <c r="B14" s="15"/>
      <c r="C14" s="16"/>
      <c r="D14" s="32"/>
      <c r="E14" s="15"/>
      <c r="F14" s="65"/>
      <c r="G14" s="15"/>
      <c r="H14" s="32"/>
      <c r="I14" s="66"/>
      <c r="J14" s="39"/>
      <c r="K14" s="67"/>
    </row>
    <row r="15" spans="1:11" x14ac:dyDescent="0.2">
      <c r="A15" s="31"/>
      <c r="B15" s="15"/>
      <c r="C15" s="16"/>
      <c r="D15" s="32"/>
      <c r="E15" s="15"/>
      <c r="F15" s="18">
        <f>SUM(F9:F14)</f>
        <v>-15000000</v>
      </c>
      <c r="G15" s="15"/>
      <c r="H15" s="32"/>
      <c r="I15" s="17">
        <f>SUM(I9:I14)</f>
        <v>12115000.000000006</v>
      </c>
      <c r="J15" s="39"/>
      <c r="K15" s="17">
        <f>SUM(K9:K14)</f>
        <v>12115000.000000006</v>
      </c>
    </row>
    <row r="16" spans="1:11" x14ac:dyDescent="0.2">
      <c r="A16" s="31"/>
      <c r="B16" s="15"/>
      <c r="C16" s="16"/>
      <c r="D16" s="32"/>
      <c r="E16" s="15"/>
      <c r="F16" s="18"/>
      <c r="G16" s="15"/>
      <c r="H16" s="32"/>
      <c r="I16" s="17"/>
      <c r="J16" s="39"/>
      <c r="K16" s="19"/>
    </row>
    <row r="17" spans="1:11" x14ac:dyDescent="0.2">
      <c r="A17" s="31">
        <v>37408</v>
      </c>
      <c r="B17" s="15"/>
      <c r="C17" s="16" t="s">
        <v>81</v>
      </c>
      <c r="D17" s="32">
        <v>2.3199999999999998</v>
      </c>
      <c r="E17" s="15"/>
      <c r="F17" s="18">
        <v>-2000000</v>
      </c>
      <c r="G17" s="15"/>
      <c r="H17" s="32">
        <f>+[3]Elpaso!$F9</f>
        <v>4.1100000000000003</v>
      </c>
      <c r="I17" s="17">
        <f>(+H17-D17)*F17</f>
        <v>-3580000.0000000009</v>
      </c>
      <c r="J17" s="39"/>
      <c r="K17" s="41">
        <f>+I17</f>
        <v>-3580000.0000000009</v>
      </c>
    </row>
    <row r="18" spans="1:11" x14ac:dyDescent="0.2">
      <c r="A18" s="31">
        <v>37438</v>
      </c>
      <c r="B18" s="15"/>
      <c r="C18" s="16" t="s">
        <v>81</v>
      </c>
      <c r="D18" s="32">
        <v>2.3199999999999998</v>
      </c>
      <c r="E18" s="15"/>
      <c r="F18" s="18">
        <v>-3000000</v>
      </c>
      <c r="G18" s="15"/>
      <c r="H18" s="32">
        <f>+[3]Elpaso!$F10</f>
        <v>4.1100000000000003</v>
      </c>
      <c r="I18" s="17">
        <f>(+H18-D18)*F18</f>
        <v>-5370000.0000000019</v>
      </c>
      <c r="J18" s="39"/>
      <c r="K18" s="41">
        <f>+I18</f>
        <v>-5370000.0000000019</v>
      </c>
    </row>
    <row r="19" spans="1:11" x14ac:dyDescent="0.2">
      <c r="A19" s="31">
        <v>37469</v>
      </c>
      <c r="B19" s="15"/>
      <c r="C19" s="16" t="s">
        <v>81</v>
      </c>
      <c r="D19" s="32">
        <v>2.3199999999999998</v>
      </c>
      <c r="E19" s="15"/>
      <c r="F19" s="18">
        <v>-3000000</v>
      </c>
      <c r="G19" s="15"/>
      <c r="H19" s="32">
        <f>+[3]Elpaso!$F11</f>
        <v>4.1120000000000001</v>
      </c>
      <c r="I19" s="17">
        <f>(+H19-D19)*F19</f>
        <v>-5376000.0000000009</v>
      </c>
      <c r="J19" s="39"/>
      <c r="K19" s="41">
        <f>+I19</f>
        <v>-5376000.0000000009</v>
      </c>
    </row>
    <row r="20" spans="1:11" x14ac:dyDescent="0.2">
      <c r="A20" s="31">
        <v>37500</v>
      </c>
      <c r="B20" s="15"/>
      <c r="C20" s="16" t="s">
        <v>81</v>
      </c>
      <c r="D20" s="32">
        <v>2.3199999999999998</v>
      </c>
      <c r="E20" s="15"/>
      <c r="F20" s="18">
        <v>-3000000</v>
      </c>
      <c r="G20" s="15"/>
      <c r="H20" s="32">
        <f>+[3]Elpaso!$F12</f>
        <v>4.1070000000000002</v>
      </c>
      <c r="I20" s="17">
        <f>(+H20-D20)*F20</f>
        <v>-5361000.0000000009</v>
      </c>
      <c r="J20" s="39"/>
      <c r="K20" s="41">
        <f>+I20</f>
        <v>-5361000.0000000009</v>
      </c>
    </row>
    <row r="21" spans="1:11" x14ac:dyDescent="0.2">
      <c r="A21" s="31">
        <v>37530</v>
      </c>
      <c r="B21" s="15"/>
      <c r="C21" s="16" t="s">
        <v>81</v>
      </c>
      <c r="D21" s="32">
        <v>2.3199999999999998</v>
      </c>
      <c r="E21" s="15"/>
      <c r="F21" s="18">
        <v>-4000000</v>
      </c>
      <c r="G21" s="15"/>
      <c r="H21" s="32">
        <f>+[3]Elpaso!$F13</f>
        <v>4.1020000000000003</v>
      </c>
      <c r="I21" s="17">
        <f>(+H21-D21)*F21</f>
        <v>-7128000.0000000019</v>
      </c>
      <c r="J21" s="39"/>
      <c r="K21" s="41">
        <f>+I21</f>
        <v>-7128000.0000000019</v>
      </c>
    </row>
    <row r="22" spans="1:11" x14ac:dyDescent="0.2">
      <c r="A22" s="31"/>
      <c r="B22" s="15"/>
      <c r="C22" s="16"/>
      <c r="D22" s="32"/>
      <c r="E22" s="15"/>
      <c r="F22" s="65"/>
      <c r="G22" s="15"/>
      <c r="H22" s="32"/>
      <c r="I22" s="66"/>
      <c r="J22" s="39"/>
      <c r="K22" s="67"/>
    </row>
    <row r="23" spans="1:11" x14ac:dyDescent="0.2">
      <c r="A23" s="31"/>
      <c r="B23" s="15"/>
      <c r="C23" s="16"/>
      <c r="D23" s="32"/>
      <c r="E23" s="15"/>
      <c r="F23" s="18">
        <f>SUM(F17:F22)</f>
        <v>-15000000</v>
      </c>
      <c r="G23" s="15"/>
      <c r="H23" s="32"/>
      <c r="I23" s="17">
        <f>SUM(I17:I22)</f>
        <v>-26815000.000000007</v>
      </c>
      <c r="J23" s="39"/>
      <c r="K23" s="17">
        <f>SUM(K17:K22)</f>
        <v>-26815000.000000007</v>
      </c>
    </row>
    <row r="24" spans="1:11" x14ac:dyDescent="0.2">
      <c r="A24" s="31"/>
      <c r="B24" s="15"/>
      <c r="C24" s="16"/>
      <c r="D24" s="32"/>
      <c r="E24" s="15"/>
      <c r="F24" s="18"/>
      <c r="G24" s="15"/>
      <c r="H24" s="32"/>
      <c r="I24" s="17"/>
      <c r="J24" s="39"/>
      <c r="K24" s="19"/>
    </row>
    <row r="25" spans="1:11" ht="13.5" thickBot="1" x14ac:dyDescent="0.25">
      <c r="A25" s="31"/>
      <c r="B25" s="15"/>
      <c r="C25" s="16"/>
      <c r="D25" s="32"/>
      <c r="E25" s="15"/>
      <c r="F25" s="131"/>
      <c r="G25" s="15"/>
      <c r="H25" s="32"/>
      <c r="I25" s="132">
        <f>+I23+I15</f>
        <v>-14700000.000000002</v>
      </c>
      <c r="J25" s="39"/>
      <c r="K25" s="132">
        <f>+K23+K15</f>
        <v>-14700000.000000002</v>
      </c>
    </row>
    <row r="26" spans="1:11" ht="13.5" thickTop="1" x14ac:dyDescent="0.2">
      <c r="A26" s="26"/>
      <c r="B26" s="26"/>
      <c r="C26" s="26"/>
      <c r="D26" s="26"/>
      <c r="E26" s="26"/>
      <c r="F26" s="26"/>
      <c r="G26" s="26"/>
      <c r="H26" s="26"/>
      <c r="I26" s="26"/>
      <c r="J26" s="40"/>
      <c r="K26" s="40"/>
    </row>
    <row r="28" spans="1:11" x14ac:dyDescent="0.2">
      <c r="A28" s="29" t="s">
        <v>47</v>
      </c>
    </row>
  </sheetData>
  <mergeCells count="1">
    <mergeCell ref="A4:K4"/>
  </mergeCells>
  <pageMargins left="0.75" right="0.75" top="1" bottom="1" header="0.5" footer="0.5"/>
  <pageSetup scale="94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workbookViewId="0">
      <pane xSplit="11655" topLeftCell="J1"/>
      <selection pane="topRight" activeCell="J24" sqref="J24"/>
    </sheetView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4.5703125" bestFit="1" customWidth="1"/>
    <col min="9" max="9" width="15" customWidth="1"/>
    <col min="10" max="10" width="13.42578125" customWidth="1"/>
    <col min="11" max="11" width="15" customWidth="1"/>
  </cols>
  <sheetData>
    <row r="1" spans="1:11" s="2" customFormat="1" ht="15" x14ac:dyDescent="0.2">
      <c r="A1" s="1" t="s">
        <v>49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97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150</v>
      </c>
      <c r="I6" s="55" t="s">
        <v>55</v>
      </c>
      <c r="J6" s="56"/>
      <c r="K6" s="57"/>
    </row>
    <row r="7" spans="1:11" s="7" customFormat="1" x14ac:dyDescent="0.2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">
      <c r="A8" s="11"/>
      <c r="B8" s="12"/>
      <c r="C8" s="12"/>
      <c r="D8" s="12"/>
      <c r="E8" s="12"/>
      <c r="F8" s="12"/>
      <c r="G8" s="51" t="s">
        <v>74</v>
      </c>
      <c r="H8" s="13"/>
      <c r="I8" s="58" t="s">
        <v>31</v>
      </c>
      <c r="J8" s="58" t="s">
        <v>31</v>
      </c>
      <c r="K8" s="59" t="s">
        <v>31</v>
      </c>
    </row>
    <row r="9" spans="1:11" x14ac:dyDescent="0.2">
      <c r="A9" s="31">
        <v>36892</v>
      </c>
      <c r="B9" s="15"/>
      <c r="C9" s="16" t="s">
        <v>96</v>
      </c>
      <c r="D9" s="32">
        <v>3.23</v>
      </c>
      <c r="E9" s="15"/>
      <c r="F9" s="18">
        <f>-5000*31</f>
        <v>-155000</v>
      </c>
      <c r="G9" s="32"/>
      <c r="H9" s="32">
        <f>+'[3]ELpaso SJ &amp; Prm'!$F33</f>
        <v>6.6790000000000003</v>
      </c>
      <c r="I9" s="17">
        <f t="shared" ref="I9:I20" si="0">SUM(D9-H9)*F9</f>
        <v>534595</v>
      </c>
      <c r="J9" s="41"/>
      <c r="K9" s="41">
        <f t="shared" ref="K9:K20" si="1">+I9</f>
        <v>534595</v>
      </c>
    </row>
    <row r="10" spans="1:11" x14ac:dyDescent="0.2">
      <c r="A10" s="31">
        <v>36923</v>
      </c>
      <c r="B10" s="15"/>
      <c r="C10" s="16" t="s">
        <v>96</v>
      </c>
      <c r="D10" s="32">
        <v>3.23</v>
      </c>
      <c r="E10" s="15"/>
      <c r="F10" s="18">
        <f>-5000*28</f>
        <v>-140000</v>
      </c>
      <c r="G10" s="32"/>
      <c r="H10" s="32">
        <f>+'[3]ELpaso SJ &amp; Prm'!$F34</f>
        <v>6.5030000000000001</v>
      </c>
      <c r="I10" s="17">
        <f t="shared" si="0"/>
        <v>458220</v>
      </c>
      <c r="J10" s="41"/>
      <c r="K10" s="41">
        <f t="shared" si="1"/>
        <v>458220</v>
      </c>
    </row>
    <row r="11" spans="1:11" x14ac:dyDescent="0.2">
      <c r="A11" s="31">
        <v>36951</v>
      </c>
      <c r="B11" s="15"/>
      <c r="C11" s="16" t="s">
        <v>96</v>
      </c>
      <c r="D11" s="32">
        <v>3.23</v>
      </c>
      <c r="E11" s="15"/>
      <c r="F11" s="18">
        <f>-5000*31</f>
        <v>-155000</v>
      </c>
      <c r="G11" s="32"/>
      <c r="H11" s="32">
        <f>+'[3]ELpaso SJ &amp; Prm'!$F35</f>
        <v>5.8810000000000002</v>
      </c>
      <c r="I11" s="17">
        <f t="shared" si="0"/>
        <v>410905.00000000006</v>
      </c>
      <c r="J11" s="41"/>
      <c r="K11" s="41">
        <f t="shared" si="1"/>
        <v>410905.00000000006</v>
      </c>
    </row>
    <row r="12" spans="1:11" x14ac:dyDescent="0.2">
      <c r="A12" s="31">
        <v>36982</v>
      </c>
      <c r="B12" s="15"/>
      <c r="C12" s="16" t="s">
        <v>96</v>
      </c>
      <c r="D12" s="32">
        <v>3.23</v>
      </c>
      <c r="E12" s="15"/>
      <c r="F12" s="18">
        <f>-5000*30</f>
        <v>-150000</v>
      </c>
      <c r="G12" s="32"/>
      <c r="H12" s="32">
        <f>+'[3]ELpaso SJ &amp; Prm'!$F36</f>
        <v>5.1449999999999996</v>
      </c>
      <c r="I12" s="17">
        <f t="shared" si="0"/>
        <v>287249.99999999994</v>
      </c>
      <c r="J12" s="41"/>
      <c r="K12" s="41">
        <f t="shared" si="1"/>
        <v>287249.99999999994</v>
      </c>
    </row>
    <row r="13" spans="1:11" x14ac:dyDescent="0.2">
      <c r="A13" s="31">
        <v>37012</v>
      </c>
      <c r="B13" s="15"/>
      <c r="C13" s="16" t="s">
        <v>96</v>
      </c>
      <c r="D13" s="32">
        <v>3.23</v>
      </c>
      <c r="E13" s="15"/>
      <c r="F13" s="18">
        <f>-5000*31</f>
        <v>-155000</v>
      </c>
      <c r="G13" s="15"/>
      <c r="H13" s="32">
        <f>+'[3]ELpaso SJ &amp; Prm'!$F37</f>
        <v>4.8599999999999994</v>
      </c>
      <c r="I13" s="17">
        <f t="shared" si="0"/>
        <v>252649.99999999991</v>
      </c>
      <c r="J13" s="39"/>
      <c r="K13" s="41">
        <f t="shared" si="1"/>
        <v>252649.99999999991</v>
      </c>
    </row>
    <row r="14" spans="1:11" x14ac:dyDescent="0.2">
      <c r="A14" s="31">
        <v>37043</v>
      </c>
      <c r="B14" s="15"/>
      <c r="C14" s="16" t="s">
        <v>96</v>
      </c>
      <c r="D14" s="32">
        <v>3.23</v>
      </c>
      <c r="E14" s="15"/>
      <c r="F14" s="18">
        <f>-5000*30</f>
        <v>-150000</v>
      </c>
      <c r="G14" s="15"/>
      <c r="H14" s="32">
        <f>+'[3]ELpaso SJ &amp; Prm'!$F38</f>
        <v>4.8450000000000006</v>
      </c>
      <c r="I14" s="17">
        <f t="shared" si="0"/>
        <v>242250.00000000009</v>
      </c>
      <c r="J14" s="39"/>
      <c r="K14" s="41">
        <f t="shared" si="1"/>
        <v>242250.00000000009</v>
      </c>
    </row>
    <row r="15" spans="1:11" x14ac:dyDescent="0.2">
      <c r="A15" s="31">
        <v>37073</v>
      </c>
      <c r="B15" s="15"/>
      <c r="C15" s="16" t="s">
        <v>96</v>
      </c>
      <c r="D15" s="32">
        <v>3.23</v>
      </c>
      <c r="E15" s="15"/>
      <c r="F15" s="18">
        <f>-5000*31</f>
        <v>-155000</v>
      </c>
      <c r="G15" s="15"/>
      <c r="H15" s="32">
        <f>+'[3]ELpaso SJ &amp; Prm'!$F39</f>
        <v>4.8949999999999996</v>
      </c>
      <c r="I15" s="17">
        <f t="shared" si="0"/>
        <v>258074.99999999994</v>
      </c>
      <c r="J15" s="39"/>
      <c r="K15" s="41">
        <f t="shared" si="1"/>
        <v>258074.99999999994</v>
      </c>
    </row>
    <row r="16" spans="1:11" x14ac:dyDescent="0.2">
      <c r="A16" s="31">
        <v>37104</v>
      </c>
      <c r="B16" s="15"/>
      <c r="C16" s="16" t="s">
        <v>96</v>
      </c>
      <c r="D16" s="32">
        <v>3.23</v>
      </c>
      <c r="E16" s="15"/>
      <c r="F16" s="18">
        <f>-5000*31</f>
        <v>-155000</v>
      </c>
      <c r="G16" s="15"/>
      <c r="H16" s="32">
        <f>+'[3]ELpaso SJ &amp; Prm'!$F40</f>
        <v>4.8849999999999998</v>
      </c>
      <c r="I16" s="17">
        <f t="shared" si="0"/>
        <v>256524.99999999997</v>
      </c>
      <c r="J16" s="39"/>
      <c r="K16" s="41">
        <f t="shared" si="1"/>
        <v>256524.99999999997</v>
      </c>
    </row>
    <row r="17" spans="1:11" x14ac:dyDescent="0.2">
      <c r="A17" s="31">
        <v>37135</v>
      </c>
      <c r="B17" s="15"/>
      <c r="C17" s="16" t="s">
        <v>96</v>
      </c>
      <c r="D17" s="32">
        <v>3.23</v>
      </c>
      <c r="E17" s="15"/>
      <c r="F17" s="18">
        <f>-5000*30</f>
        <v>-150000</v>
      </c>
      <c r="G17" s="15"/>
      <c r="H17" s="32">
        <f>+'[3]ELpaso SJ &amp; Prm'!$F41</f>
        <v>4.8699999999999992</v>
      </c>
      <c r="I17" s="17">
        <f t="shared" si="0"/>
        <v>245999.99999999988</v>
      </c>
      <c r="J17" s="39"/>
      <c r="K17" s="41">
        <f t="shared" si="1"/>
        <v>245999.99999999988</v>
      </c>
    </row>
    <row r="18" spans="1:11" x14ac:dyDescent="0.2">
      <c r="A18" s="31">
        <v>37165</v>
      </c>
      <c r="B18" s="15"/>
      <c r="C18" s="16" t="s">
        <v>96</v>
      </c>
      <c r="D18" s="32">
        <v>3.23</v>
      </c>
      <c r="E18" s="15"/>
      <c r="F18" s="18">
        <f>-5000*31</f>
        <v>-155000</v>
      </c>
      <c r="G18" s="15"/>
      <c r="H18" s="32">
        <f>+'[3]ELpaso SJ &amp; Prm'!$F42</f>
        <v>4.8099999999999996</v>
      </c>
      <c r="I18" s="17">
        <f t="shared" si="0"/>
        <v>244899.99999999994</v>
      </c>
      <c r="J18" s="39"/>
      <c r="K18" s="41">
        <f t="shared" si="1"/>
        <v>244899.99999999994</v>
      </c>
    </row>
    <row r="19" spans="1:11" x14ac:dyDescent="0.2">
      <c r="A19" s="31">
        <v>37196</v>
      </c>
      <c r="B19" s="15"/>
      <c r="C19" s="16" t="s">
        <v>96</v>
      </c>
      <c r="D19" s="32">
        <v>3.23</v>
      </c>
      <c r="E19" s="15"/>
      <c r="F19" s="18">
        <f>-5000*30</f>
        <v>-150000</v>
      </c>
      <c r="G19" s="15"/>
      <c r="H19" s="32">
        <f>+'[3]ELpaso SJ &amp; Prm'!$F43</f>
        <v>4.875</v>
      </c>
      <c r="I19" s="17">
        <f t="shared" si="0"/>
        <v>246750</v>
      </c>
      <c r="J19" s="39"/>
      <c r="K19" s="41">
        <f t="shared" si="1"/>
        <v>246750</v>
      </c>
    </row>
    <row r="20" spans="1:11" x14ac:dyDescent="0.2">
      <c r="A20" s="31">
        <v>37226</v>
      </c>
      <c r="B20" s="15"/>
      <c r="C20" s="16" t="s">
        <v>96</v>
      </c>
      <c r="D20" s="32">
        <v>3.23</v>
      </c>
      <c r="E20" s="15"/>
      <c r="F20" s="18">
        <f>-5000*31</f>
        <v>-155000</v>
      </c>
      <c r="G20" s="15"/>
      <c r="H20" s="32">
        <f>+'[3]ELpaso SJ &amp; Prm'!$F44</f>
        <v>4.95</v>
      </c>
      <c r="I20" s="17">
        <f t="shared" si="0"/>
        <v>266600.00000000006</v>
      </c>
      <c r="J20" s="39"/>
      <c r="K20" s="41">
        <f t="shared" si="1"/>
        <v>266600.00000000006</v>
      </c>
    </row>
    <row r="21" spans="1:11" x14ac:dyDescent="0.2">
      <c r="A21" s="31"/>
      <c r="B21" s="15"/>
      <c r="C21" s="16"/>
      <c r="D21" s="32"/>
      <c r="E21" s="15"/>
      <c r="F21" s="18"/>
      <c r="G21" s="15"/>
      <c r="H21" s="32"/>
      <c r="I21" s="17"/>
      <c r="J21" s="39"/>
      <c r="K21" s="41"/>
    </row>
    <row r="22" spans="1:11" x14ac:dyDescent="0.2">
      <c r="A22" s="15"/>
      <c r="B22" s="15"/>
      <c r="C22" s="15"/>
      <c r="D22" s="15"/>
      <c r="E22" s="15"/>
      <c r="F22" s="21">
        <f>SUM(F9:F20)</f>
        <v>-1825000</v>
      </c>
      <c r="G22" s="15"/>
      <c r="H22" s="15"/>
      <c r="I22" s="35">
        <f>SUM(I9:I20)</f>
        <v>3704720</v>
      </c>
      <c r="J22" s="35">
        <f>SUM(J9:J20)</f>
        <v>0</v>
      </c>
      <c r="K22" s="35">
        <f>SUM(K9:K20)</f>
        <v>3704720</v>
      </c>
    </row>
    <row r="23" spans="1:11" x14ac:dyDescent="0.2">
      <c r="A23" s="15"/>
      <c r="B23" s="15"/>
      <c r="C23" s="15"/>
      <c r="D23" s="15"/>
      <c r="E23" s="15"/>
      <c r="F23" s="38"/>
      <c r="G23" s="15"/>
      <c r="H23" s="15"/>
      <c r="I23" s="54"/>
      <c r="J23" s="47"/>
      <c r="K23" s="47"/>
    </row>
    <row r="24" spans="1:11" x14ac:dyDescent="0.2">
      <c r="A24" s="15"/>
      <c r="B24" s="15"/>
      <c r="C24" s="15"/>
      <c r="D24" s="15"/>
      <c r="E24" s="15"/>
      <c r="F24" s="15"/>
      <c r="G24" s="50" t="s">
        <v>74</v>
      </c>
      <c r="H24" s="36"/>
      <c r="I24" s="15"/>
      <c r="J24" s="39"/>
      <c r="K24" s="39"/>
    </row>
    <row r="25" spans="1:11" x14ac:dyDescent="0.2">
      <c r="A25" s="15"/>
      <c r="B25" s="15"/>
      <c r="C25" s="15"/>
      <c r="D25" s="32"/>
      <c r="E25" s="15"/>
      <c r="F25" s="15"/>
      <c r="G25" s="49"/>
      <c r="H25" s="36"/>
      <c r="I25" s="15"/>
      <c r="J25" s="39"/>
      <c r="K25" s="39"/>
    </row>
    <row r="26" spans="1:11" x14ac:dyDescent="0.2">
      <c r="A26" s="31">
        <v>36892</v>
      </c>
      <c r="B26" s="15"/>
      <c r="C26" s="16" t="s">
        <v>46</v>
      </c>
      <c r="D26" s="32">
        <v>3.23</v>
      </c>
      <c r="E26" s="15"/>
      <c r="F26" s="18">
        <f>5000*31</f>
        <v>155000</v>
      </c>
      <c r="G26" s="32"/>
      <c r="H26" s="32">
        <f>+'[3]ELpaso SJ &amp; Prm'!$F33</f>
        <v>6.6790000000000003</v>
      </c>
      <c r="I26" s="17">
        <f>(+D26-H26)*F26</f>
        <v>-534595</v>
      </c>
      <c r="J26" s="41"/>
      <c r="K26" s="41">
        <f t="shared" ref="K26:K37" si="2">+I26</f>
        <v>-534595</v>
      </c>
    </row>
    <row r="27" spans="1:11" x14ac:dyDescent="0.2">
      <c r="A27" s="31">
        <v>36923</v>
      </c>
      <c r="B27" s="15"/>
      <c r="C27" s="16" t="s">
        <v>46</v>
      </c>
      <c r="D27" s="32">
        <v>3.23</v>
      </c>
      <c r="E27" s="15"/>
      <c r="F27" s="18">
        <f>5000*28</f>
        <v>140000</v>
      </c>
      <c r="G27" s="61"/>
      <c r="H27" s="32">
        <f>+'[3]ELpaso SJ &amp; Prm'!$F34</f>
        <v>6.5030000000000001</v>
      </c>
      <c r="I27" s="17">
        <f t="shared" ref="I27:I37" si="3">(+D27-H27)*F27</f>
        <v>-458220</v>
      </c>
      <c r="J27" s="41"/>
      <c r="K27" s="41">
        <f t="shared" si="2"/>
        <v>-458220</v>
      </c>
    </row>
    <row r="28" spans="1:11" x14ac:dyDescent="0.2">
      <c r="A28" s="31">
        <v>36951</v>
      </c>
      <c r="B28" s="15"/>
      <c r="C28" s="16" t="s">
        <v>46</v>
      </c>
      <c r="D28" s="32">
        <v>3.23</v>
      </c>
      <c r="E28" s="15"/>
      <c r="F28" s="18">
        <f>5000*31</f>
        <v>155000</v>
      </c>
      <c r="G28" s="61"/>
      <c r="H28" s="32">
        <f>+'[3]ELpaso SJ &amp; Prm'!$F35</f>
        <v>5.8810000000000002</v>
      </c>
      <c r="I28" s="17">
        <f t="shared" si="3"/>
        <v>-410905.00000000006</v>
      </c>
      <c r="J28" s="41"/>
      <c r="K28" s="41">
        <f t="shared" si="2"/>
        <v>-410905.00000000006</v>
      </c>
    </row>
    <row r="29" spans="1:11" x14ac:dyDescent="0.2">
      <c r="A29" s="31">
        <v>36982</v>
      </c>
      <c r="B29" s="15"/>
      <c r="C29" s="16" t="s">
        <v>46</v>
      </c>
      <c r="D29" s="32">
        <v>3.23</v>
      </c>
      <c r="E29" s="15"/>
      <c r="F29" s="18">
        <f>5000*30</f>
        <v>150000</v>
      </c>
      <c r="G29" s="61"/>
      <c r="H29" s="32">
        <f>+'[3]ELpaso SJ &amp; Prm'!$F36</f>
        <v>5.1449999999999996</v>
      </c>
      <c r="I29" s="17">
        <f t="shared" si="3"/>
        <v>-287249.99999999994</v>
      </c>
      <c r="J29" s="41"/>
      <c r="K29" s="41">
        <f t="shared" si="2"/>
        <v>-287249.99999999994</v>
      </c>
    </row>
    <row r="30" spans="1:11" x14ac:dyDescent="0.2">
      <c r="A30" s="31">
        <v>37012</v>
      </c>
      <c r="B30" s="15"/>
      <c r="C30" s="16" t="s">
        <v>46</v>
      </c>
      <c r="D30" s="32">
        <v>3.23</v>
      </c>
      <c r="E30" s="15"/>
      <c r="F30" s="18">
        <f>5000*31</f>
        <v>155000</v>
      </c>
      <c r="G30" s="15"/>
      <c r="H30" s="32">
        <f>+'[3]ELpaso SJ &amp; Prm'!$F37</f>
        <v>4.8599999999999994</v>
      </c>
      <c r="I30" s="17">
        <f t="shared" si="3"/>
        <v>-252649.99999999991</v>
      </c>
      <c r="J30" s="39"/>
      <c r="K30" s="41">
        <f t="shared" si="2"/>
        <v>-252649.99999999991</v>
      </c>
    </row>
    <row r="31" spans="1:11" x14ac:dyDescent="0.2">
      <c r="A31" s="31">
        <v>37043</v>
      </c>
      <c r="B31" s="15"/>
      <c r="C31" s="16" t="s">
        <v>46</v>
      </c>
      <c r="D31" s="32">
        <v>3.23</v>
      </c>
      <c r="E31" s="15"/>
      <c r="F31" s="18">
        <f>5000*30</f>
        <v>150000</v>
      </c>
      <c r="G31" s="15"/>
      <c r="H31" s="32">
        <f>+'[3]ELpaso SJ &amp; Prm'!$F38</f>
        <v>4.8450000000000006</v>
      </c>
      <c r="I31" s="17">
        <f t="shared" si="3"/>
        <v>-242250.00000000009</v>
      </c>
      <c r="J31" s="39"/>
      <c r="K31" s="41">
        <f t="shared" si="2"/>
        <v>-242250.00000000009</v>
      </c>
    </row>
    <row r="32" spans="1:11" x14ac:dyDescent="0.2">
      <c r="A32" s="31">
        <v>37073</v>
      </c>
      <c r="B32" s="15"/>
      <c r="C32" s="16" t="s">
        <v>46</v>
      </c>
      <c r="D32" s="32">
        <v>3.23</v>
      </c>
      <c r="E32" s="15"/>
      <c r="F32" s="18">
        <f>5000*31</f>
        <v>155000</v>
      </c>
      <c r="G32" s="15"/>
      <c r="H32" s="32">
        <f>+'[3]ELpaso SJ &amp; Prm'!$F39</f>
        <v>4.8949999999999996</v>
      </c>
      <c r="I32" s="17">
        <f t="shared" si="3"/>
        <v>-258074.99999999994</v>
      </c>
      <c r="J32" s="39"/>
      <c r="K32" s="41">
        <f t="shared" si="2"/>
        <v>-258074.99999999994</v>
      </c>
    </row>
    <row r="33" spans="1:11" x14ac:dyDescent="0.2">
      <c r="A33" s="31">
        <v>37104</v>
      </c>
      <c r="B33" s="15"/>
      <c r="C33" s="16" t="s">
        <v>46</v>
      </c>
      <c r="D33" s="32">
        <v>3.23</v>
      </c>
      <c r="E33" s="15"/>
      <c r="F33" s="18">
        <f>5000*31</f>
        <v>155000</v>
      </c>
      <c r="G33" s="15"/>
      <c r="H33" s="32">
        <f>+'[3]ELpaso SJ &amp; Prm'!$F40</f>
        <v>4.8849999999999998</v>
      </c>
      <c r="I33" s="17">
        <f t="shared" si="3"/>
        <v>-256524.99999999997</v>
      </c>
      <c r="J33" s="39"/>
      <c r="K33" s="41">
        <f t="shared" si="2"/>
        <v>-256524.99999999997</v>
      </c>
    </row>
    <row r="34" spans="1:11" x14ac:dyDescent="0.2">
      <c r="A34" s="31">
        <v>37135</v>
      </c>
      <c r="B34" s="15"/>
      <c r="C34" s="16" t="s">
        <v>46</v>
      </c>
      <c r="D34" s="32">
        <v>3.23</v>
      </c>
      <c r="E34" s="15"/>
      <c r="F34" s="18">
        <f>5000*30</f>
        <v>150000</v>
      </c>
      <c r="G34" s="15"/>
      <c r="H34" s="32">
        <f>+'[3]ELpaso SJ &amp; Prm'!$F41</f>
        <v>4.8699999999999992</v>
      </c>
      <c r="I34" s="17">
        <f t="shared" si="3"/>
        <v>-245999.99999999988</v>
      </c>
      <c r="J34" s="39"/>
      <c r="K34" s="41">
        <f t="shared" si="2"/>
        <v>-245999.99999999988</v>
      </c>
    </row>
    <row r="35" spans="1:11" x14ac:dyDescent="0.2">
      <c r="A35" s="31">
        <v>37165</v>
      </c>
      <c r="B35" s="15"/>
      <c r="C35" s="16" t="s">
        <v>46</v>
      </c>
      <c r="D35" s="32">
        <v>3.23</v>
      </c>
      <c r="E35" s="15"/>
      <c r="F35" s="18">
        <f>5000*31</f>
        <v>155000</v>
      </c>
      <c r="G35" s="15"/>
      <c r="H35" s="32">
        <f>+'[3]ELpaso SJ &amp; Prm'!$F42</f>
        <v>4.8099999999999996</v>
      </c>
      <c r="I35" s="17">
        <f t="shared" si="3"/>
        <v>-244899.99999999994</v>
      </c>
      <c r="J35" s="39"/>
      <c r="K35" s="41">
        <f t="shared" si="2"/>
        <v>-244899.99999999994</v>
      </c>
    </row>
    <row r="36" spans="1:11" x14ac:dyDescent="0.2">
      <c r="A36" s="31">
        <v>37196</v>
      </c>
      <c r="B36" s="15"/>
      <c r="C36" s="16" t="s">
        <v>46</v>
      </c>
      <c r="D36" s="32">
        <v>3.23</v>
      </c>
      <c r="E36" s="15"/>
      <c r="F36" s="18">
        <f>5000*30</f>
        <v>150000</v>
      </c>
      <c r="G36" s="15"/>
      <c r="H36" s="32">
        <f>+'[3]ELpaso SJ &amp; Prm'!$F43</f>
        <v>4.875</v>
      </c>
      <c r="I36" s="17">
        <f t="shared" si="3"/>
        <v>-246750</v>
      </c>
      <c r="J36" s="39"/>
      <c r="K36" s="41">
        <f t="shared" si="2"/>
        <v>-246750</v>
      </c>
    </row>
    <row r="37" spans="1:11" x14ac:dyDescent="0.2">
      <c r="A37" s="31">
        <v>37226</v>
      </c>
      <c r="B37" s="15"/>
      <c r="C37" s="16" t="s">
        <v>46</v>
      </c>
      <c r="D37" s="32">
        <v>3.23</v>
      </c>
      <c r="E37" s="15"/>
      <c r="F37" s="18">
        <f>5000*31</f>
        <v>155000</v>
      </c>
      <c r="G37" s="15"/>
      <c r="H37" s="32">
        <f>+'[3]ELpaso SJ &amp; Prm'!$F44</f>
        <v>4.95</v>
      </c>
      <c r="I37" s="17">
        <f t="shared" si="3"/>
        <v>-266600.00000000006</v>
      </c>
      <c r="J37" s="39"/>
      <c r="K37" s="41">
        <f t="shared" si="2"/>
        <v>-266600.00000000006</v>
      </c>
    </row>
    <row r="38" spans="1:11" x14ac:dyDescent="0.2">
      <c r="A38" s="31"/>
      <c r="B38" s="15"/>
      <c r="C38" s="16"/>
      <c r="D38" s="32"/>
      <c r="E38" s="15"/>
      <c r="F38" s="18"/>
      <c r="G38" s="15"/>
      <c r="H38" s="32"/>
      <c r="I38" s="37"/>
      <c r="J38" s="39"/>
      <c r="K38" s="41"/>
    </row>
    <row r="39" spans="1:11" x14ac:dyDescent="0.2">
      <c r="A39" s="15"/>
      <c r="B39" s="15"/>
      <c r="C39" s="15"/>
      <c r="D39" s="15"/>
      <c r="E39" s="15"/>
      <c r="F39" s="21">
        <f>SUM(F26:F38)</f>
        <v>1825000</v>
      </c>
      <c r="G39" s="15"/>
      <c r="H39" s="15"/>
      <c r="I39" s="33">
        <f>SUM(I26:I38)</f>
        <v>-3704720</v>
      </c>
      <c r="J39" s="33">
        <f>SUM(J26:J38)</f>
        <v>0</v>
      </c>
      <c r="K39" s="33">
        <f>SUM(K26:K38)</f>
        <v>-3704720</v>
      </c>
    </row>
    <row r="40" spans="1:11" x14ac:dyDescent="0.2">
      <c r="A40" s="15"/>
      <c r="B40" s="15"/>
      <c r="C40" s="15"/>
      <c r="D40" s="15"/>
      <c r="E40" s="15"/>
      <c r="F40" s="15"/>
      <c r="G40" s="15"/>
      <c r="H40" s="15"/>
      <c r="I40" s="15"/>
      <c r="J40" s="39"/>
      <c r="K40" s="39"/>
    </row>
    <row r="41" spans="1:11" ht="13.5" thickBot="1" x14ac:dyDescent="0.25">
      <c r="A41" s="15"/>
      <c r="B41" s="15"/>
      <c r="C41" s="15"/>
      <c r="D41" s="15"/>
      <c r="E41" s="15"/>
      <c r="F41" s="23">
        <f>+F39+F22</f>
        <v>0</v>
      </c>
      <c r="G41" s="15"/>
      <c r="H41" s="15"/>
      <c r="I41" s="34">
        <f>+I39+I22</f>
        <v>0</v>
      </c>
      <c r="J41" s="34">
        <f>+J39+J22</f>
        <v>0</v>
      </c>
      <c r="K41" s="34">
        <f>+K39+K22</f>
        <v>0</v>
      </c>
    </row>
    <row r="42" spans="1:11" ht="13.5" thickTop="1" x14ac:dyDescent="0.2">
      <c r="A42" s="26"/>
      <c r="B42" s="26"/>
      <c r="C42" s="26"/>
      <c r="D42" s="26"/>
      <c r="E42" s="26"/>
      <c r="F42" s="26"/>
      <c r="G42" s="26"/>
      <c r="H42" s="26"/>
      <c r="I42" s="26"/>
      <c r="J42" s="40"/>
      <c r="K42" s="40"/>
    </row>
    <row r="44" spans="1:11" x14ac:dyDescent="0.2">
      <c r="A44" s="29" t="s">
        <v>47</v>
      </c>
    </row>
  </sheetData>
  <pageMargins left="0.75" right="0.75" top="1" bottom="1" header="0.5" footer="0.5"/>
  <pageSetup scale="83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workbookViewId="0"/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4.5703125" bestFit="1" customWidth="1"/>
    <col min="9" max="9" width="15" customWidth="1"/>
    <col min="10" max="10" width="13.42578125" customWidth="1"/>
    <col min="11" max="11" width="15" customWidth="1"/>
  </cols>
  <sheetData>
    <row r="1" spans="1:11" s="2" customFormat="1" ht="15" x14ac:dyDescent="0.2">
      <c r="A1" s="1" t="s">
        <v>49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101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150</v>
      </c>
      <c r="I6" s="55" t="s">
        <v>55</v>
      </c>
      <c r="J6" s="56"/>
      <c r="K6" s="57"/>
    </row>
    <row r="7" spans="1:11" s="7" customFormat="1" x14ac:dyDescent="0.2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">
      <c r="A8" s="11"/>
      <c r="B8" s="12"/>
      <c r="C8" s="12"/>
      <c r="D8" s="12"/>
      <c r="E8" s="12"/>
      <c r="F8" s="12"/>
      <c r="G8" s="51" t="s">
        <v>74</v>
      </c>
      <c r="H8" s="13"/>
      <c r="I8" s="58" t="s">
        <v>31</v>
      </c>
      <c r="J8" s="58" t="s">
        <v>31</v>
      </c>
      <c r="K8" s="59" t="s">
        <v>31</v>
      </c>
    </row>
    <row r="9" spans="1:11" x14ac:dyDescent="0.2">
      <c r="A9" s="31">
        <v>36892</v>
      </c>
      <c r="B9" s="15"/>
      <c r="C9" s="16" t="s">
        <v>96</v>
      </c>
      <c r="D9" s="32">
        <v>3.74</v>
      </c>
      <c r="E9" s="15"/>
      <c r="F9" s="18">
        <f>-5000*31</f>
        <v>-155000</v>
      </c>
      <c r="G9" s="32"/>
      <c r="H9" s="32">
        <f>+'[3]ELpaso SJ &amp; Prm'!$F33</f>
        <v>6.6790000000000003</v>
      </c>
      <c r="I9" s="17">
        <f t="shared" ref="I9:I20" si="0">SUM(D9-H9)*F9</f>
        <v>455545</v>
      </c>
      <c r="J9" s="41"/>
      <c r="K9" s="41">
        <f t="shared" ref="K9:K20" si="1">+I9</f>
        <v>455545</v>
      </c>
    </row>
    <row r="10" spans="1:11" x14ac:dyDescent="0.2">
      <c r="A10" s="31">
        <v>36923</v>
      </c>
      <c r="B10" s="15"/>
      <c r="C10" s="16" t="s">
        <v>96</v>
      </c>
      <c r="D10" s="32">
        <v>3.74</v>
      </c>
      <c r="E10" s="15"/>
      <c r="F10" s="18">
        <f>-5000*28</f>
        <v>-140000</v>
      </c>
      <c r="G10" s="32"/>
      <c r="H10" s="32">
        <f>+'[3]ELpaso SJ &amp; Prm'!$F34</f>
        <v>6.5030000000000001</v>
      </c>
      <c r="I10" s="17">
        <f t="shared" si="0"/>
        <v>386820</v>
      </c>
      <c r="J10" s="41"/>
      <c r="K10" s="41">
        <f t="shared" si="1"/>
        <v>386820</v>
      </c>
    </row>
    <row r="11" spans="1:11" x14ac:dyDescent="0.2">
      <c r="A11" s="31">
        <v>36951</v>
      </c>
      <c r="B11" s="15"/>
      <c r="C11" s="16" t="s">
        <v>96</v>
      </c>
      <c r="D11" s="32">
        <v>3.74</v>
      </c>
      <c r="E11" s="15"/>
      <c r="F11" s="18">
        <f>-5000*31</f>
        <v>-155000</v>
      </c>
      <c r="G11" s="32"/>
      <c r="H11" s="32">
        <f>+'[3]ELpaso SJ &amp; Prm'!$F35</f>
        <v>5.8810000000000002</v>
      </c>
      <c r="I11" s="17">
        <f t="shared" si="0"/>
        <v>331855</v>
      </c>
      <c r="J11" s="41"/>
      <c r="K11" s="41">
        <f t="shared" si="1"/>
        <v>331855</v>
      </c>
    </row>
    <row r="12" spans="1:11" x14ac:dyDescent="0.2">
      <c r="A12" s="31">
        <v>36982</v>
      </c>
      <c r="B12" s="15"/>
      <c r="C12" s="16" t="s">
        <v>96</v>
      </c>
      <c r="D12" s="32">
        <v>3.74</v>
      </c>
      <c r="E12" s="15"/>
      <c r="F12" s="18">
        <f>-5000*30</f>
        <v>-150000</v>
      </c>
      <c r="G12" s="32"/>
      <c r="H12" s="32">
        <f>+'[3]ELpaso SJ &amp; Prm'!$F36</f>
        <v>5.1449999999999996</v>
      </c>
      <c r="I12" s="17">
        <f t="shared" si="0"/>
        <v>210749.99999999991</v>
      </c>
      <c r="J12" s="41"/>
      <c r="K12" s="41">
        <f t="shared" si="1"/>
        <v>210749.99999999991</v>
      </c>
    </row>
    <row r="13" spans="1:11" x14ac:dyDescent="0.2">
      <c r="A13" s="31">
        <v>37012</v>
      </c>
      <c r="B13" s="15"/>
      <c r="C13" s="16" t="s">
        <v>96</v>
      </c>
      <c r="D13" s="32">
        <v>3.74</v>
      </c>
      <c r="E13" s="15"/>
      <c r="F13" s="18">
        <f>-5000*31</f>
        <v>-155000</v>
      </c>
      <c r="G13" s="15"/>
      <c r="H13" s="32">
        <f>+'[3]ELpaso SJ &amp; Prm'!$F37</f>
        <v>4.8599999999999994</v>
      </c>
      <c r="I13" s="17">
        <f t="shared" si="0"/>
        <v>173599.99999999988</v>
      </c>
      <c r="J13" s="39"/>
      <c r="K13" s="41">
        <f t="shared" si="1"/>
        <v>173599.99999999988</v>
      </c>
    </row>
    <row r="14" spans="1:11" x14ac:dyDescent="0.2">
      <c r="A14" s="31">
        <v>37043</v>
      </c>
      <c r="B14" s="15"/>
      <c r="C14" s="16" t="s">
        <v>96</v>
      </c>
      <c r="D14" s="32">
        <v>3.74</v>
      </c>
      <c r="E14" s="15"/>
      <c r="F14" s="18">
        <f>-5000*30</f>
        <v>-150000</v>
      </c>
      <c r="G14" s="15"/>
      <c r="H14" s="32">
        <f>+'[3]ELpaso SJ &amp; Prm'!$F38</f>
        <v>4.8450000000000006</v>
      </c>
      <c r="I14" s="17">
        <f t="shared" si="0"/>
        <v>165750.00000000006</v>
      </c>
      <c r="J14" s="39"/>
      <c r="K14" s="41">
        <f t="shared" si="1"/>
        <v>165750.00000000006</v>
      </c>
    </row>
    <row r="15" spans="1:11" x14ac:dyDescent="0.2">
      <c r="A15" s="31">
        <v>37073</v>
      </c>
      <c r="B15" s="15"/>
      <c r="C15" s="16" t="s">
        <v>96</v>
      </c>
      <c r="D15" s="32">
        <v>3.74</v>
      </c>
      <c r="E15" s="15"/>
      <c r="F15" s="18">
        <f>-5000*31</f>
        <v>-155000</v>
      </c>
      <c r="G15" s="15"/>
      <c r="H15" s="32">
        <f>+'[3]ELpaso SJ &amp; Prm'!$F39</f>
        <v>4.8949999999999996</v>
      </c>
      <c r="I15" s="17">
        <f t="shared" si="0"/>
        <v>179024.99999999991</v>
      </c>
      <c r="J15" s="39"/>
      <c r="K15" s="41">
        <f t="shared" si="1"/>
        <v>179024.99999999991</v>
      </c>
    </row>
    <row r="16" spans="1:11" x14ac:dyDescent="0.2">
      <c r="A16" s="31">
        <v>37104</v>
      </c>
      <c r="B16" s="15"/>
      <c r="C16" s="16" t="s">
        <v>96</v>
      </c>
      <c r="D16" s="32">
        <v>3.74</v>
      </c>
      <c r="E16" s="15"/>
      <c r="F16" s="18">
        <f>-5000*31</f>
        <v>-155000</v>
      </c>
      <c r="G16" s="15"/>
      <c r="H16" s="32">
        <f>+'[3]ELpaso SJ &amp; Prm'!$F40</f>
        <v>4.8849999999999998</v>
      </c>
      <c r="I16" s="17">
        <f t="shared" si="0"/>
        <v>177474.99999999994</v>
      </c>
      <c r="J16" s="39"/>
      <c r="K16" s="41">
        <f t="shared" si="1"/>
        <v>177474.99999999994</v>
      </c>
    </row>
    <row r="17" spans="1:11" x14ac:dyDescent="0.2">
      <c r="A17" s="31">
        <v>37135</v>
      </c>
      <c r="B17" s="15"/>
      <c r="C17" s="16" t="s">
        <v>96</v>
      </c>
      <c r="D17" s="32">
        <v>3.74</v>
      </c>
      <c r="E17" s="15"/>
      <c r="F17" s="18">
        <f>-5000*30</f>
        <v>-150000</v>
      </c>
      <c r="G17" s="15"/>
      <c r="H17" s="32">
        <f>+'[3]ELpaso SJ &amp; Prm'!$F41</f>
        <v>4.8699999999999992</v>
      </c>
      <c r="I17" s="17">
        <f t="shared" si="0"/>
        <v>169499.99999999985</v>
      </c>
      <c r="J17" s="39"/>
      <c r="K17" s="41">
        <f t="shared" si="1"/>
        <v>169499.99999999985</v>
      </c>
    </row>
    <row r="18" spans="1:11" x14ac:dyDescent="0.2">
      <c r="A18" s="31">
        <v>37165</v>
      </c>
      <c r="B18" s="15"/>
      <c r="C18" s="16" t="s">
        <v>96</v>
      </c>
      <c r="D18" s="32">
        <v>3.74</v>
      </c>
      <c r="E18" s="15"/>
      <c r="F18" s="18">
        <f>-5000*31</f>
        <v>-155000</v>
      </c>
      <c r="G18" s="15"/>
      <c r="H18" s="32">
        <f>+'[3]ELpaso SJ &amp; Prm'!$F42</f>
        <v>4.8099999999999996</v>
      </c>
      <c r="I18" s="17">
        <f t="shared" si="0"/>
        <v>165849.99999999991</v>
      </c>
      <c r="J18" s="39"/>
      <c r="K18" s="41">
        <f t="shared" si="1"/>
        <v>165849.99999999991</v>
      </c>
    </row>
    <row r="19" spans="1:11" x14ac:dyDescent="0.2">
      <c r="A19" s="31">
        <v>37196</v>
      </c>
      <c r="B19" s="15"/>
      <c r="C19" s="16" t="s">
        <v>96</v>
      </c>
      <c r="D19" s="32">
        <v>3.74</v>
      </c>
      <c r="E19" s="15"/>
      <c r="F19" s="18">
        <f>-5000*30</f>
        <v>-150000</v>
      </c>
      <c r="G19" s="15"/>
      <c r="H19" s="32">
        <f>+'[3]ELpaso SJ &amp; Prm'!$F43</f>
        <v>4.875</v>
      </c>
      <c r="I19" s="17">
        <f t="shared" si="0"/>
        <v>170249.99999999997</v>
      </c>
      <c r="J19" s="39"/>
      <c r="K19" s="41">
        <f t="shared" si="1"/>
        <v>170249.99999999997</v>
      </c>
    </row>
    <row r="20" spans="1:11" x14ac:dyDescent="0.2">
      <c r="A20" s="31">
        <v>37226</v>
      </c>
      <c r="B20" s="15"/>
      <c r="C20" s="16" t="s">
        <v>96</v>
      </c>
      <c r="D20" s="32">
        <v>3.74</v>
      </c>
      <c r="E20" s="15"/>
      <c r="F20" s="18">
        <f>-5000*31</f>
        <v>-155000</v>
      </c>
      <c r="G20" s="15"/>
      <c r="H20" s="32">
        <f>+'[3]ELpaso SJ &amp; Prm'!$F44</f>
        <v>4.95</v>
      </c>
      <c r="I20" s="17">
        <f t="shared" si="0"/>
        <v>187550</v>
      </c>
      <c r="J20" s="39"/>
      <c r="K20" s="41">
        <f t="shared" si="1"/>
        <v>187550</v>
      </c>
    </row>
    <row r="21" spans="1:11" x14ac:dyDescent="0.2">
      <c r="A21" s="31"/>
      <c r="B21" s="15"/>
      <c r="C21" s="16"/>
      <c r="D21" s="32"/>
      <c r="E21" s="15"/>
      <c r="F21" s="18"/>
      <c r="G21" s="15"/>
      <c r="H21" s="32"/>
      <c r="I21" s="17"/>
      <c r="J21" s="39"/>
      <c r="K21" s="41"/>
    </row>
    <row r="22" spans="1:11" x14ac:dyDescent="0.2">
      <c r="A22" s="15"/>
      <c r="B22" s="15"/>
      <c r="C22" s="15"/>
      <c r="D22" s="15"/>
      <c r="E22" s="15"/>
      <c r="F22" s="21">
        <f>SUM(F9:F20)</f>
        <v>-1825000</v>
      </c>
      <c r="G22" s="15"/>
      <c r="H22" s="15"/>
      <c r="I22" s="35">
        <f>SUM(I9:I20)</f>
        <v>2773970</v>
      </c>
      <c r="J22" s="35">
        <f>SUM(J9:J20)</f>
        <v>0</v>
      </c>
      <c r="K22" s="35">
        <f>SUM(K9:K20)</f>
        <v>2773970</v>
      </c>
    </row>
    <row r="23" spans="1:11" x14ac:dyDescent="0.2">
      <c r="A23" s="15"/>
      <c r="B23" s="15"/>
      <c r="C23" s="15"/>
      <c r="D23" s="15"/>
      <c r="E23" s="15"/>
      <c r="F23" s="38"/>
      <c r="G23" s="15"/>
      <c r="H23" s="15"/>
      <c r="I23" s="54"/>
      <c r="J23" s="47"/>
      <c r="K23" s="47"/>
    </row>
    <row r="24" spans="1:11" x14ac:dyDescent="0.2">
      <c r="A24" s="15"/>
      <c r="B24" s="15"/>
      <c r="C24" s="15"/>
      <c r="D24" s="15"/>
      <c r="E24" s="15"/>
      <c r="F24" s="15"/>
      <c r="G24" s="50" t="s">
        <v>74</v>
      </c>
      <c r="H24" s="36"/>
      <c r="I24" s="15"/>
      <c r="J24" s="39"/>
      <c r="K24" s="39"/>
    </row>
    <row r="25" spans="1:11" x14ac:dyDescent="0.2">
      <c r="A25" s="15"/>
      <c r="B25" s="15"/>
      <c r="C25" s="15"/>
      <c r="D25" s="32"/>
      <c r="E25" s="15"/>
      <c r="F25" s="15"/>
      <c r="G25" s="49"/>
      <c r="H25" s="36"/>
      <c r="I25" s="15"/>
      <c r="J25" s="39"/>
      <c r="K25" s="39"/>
    </row>
    <row r="26" spans="1:11" x14ac:dyDescent="0.2">
      <c r="A26" s="31">
        <v>36892</v>
      </c>
      <c r="B26" s="15"/>
      <c r="C26" s="16" t="s">
        <v>46</v>
      </c>
      <c r="D26" s="32">
        <v>3.74</v>
      </c>
      <c r="E26" s="15"/>
      <c r="F26" s="18">
        <f>5000*31</f>
        <v>155000</v>
      </c>
      <c r="G26" s="32"/>
      <c r="H26" s="32">
        <f>+'[3]ELpaso SJ &amp; Prm'!$F33</f>
        <v>6.6790000000000003</v>
      </c>
      <c r="I26" s="17">
        <f>(+D26-H26)*F26</f>
        <v>-455545</v>
      </c>
      <c r="J26" s="41"/>
      <c r="K26" s="41">
        <f t="shared" ref="K26:K37" si="2">+I26</f>
        <v>-455545</v>
      </c>
    </row>
    <row r="27" spans="1:11" x14ac:dyDescent="0.2">
      <c r="A27" s="31">
        <v>36923</v>
      </c>
      <c r="B27" s="15"/>
      <c r="C27" s="16" t="s">
        <v>46</v>
      </c>
      <c r="D27" s="32">
        <v>3.74</v>
      </c>
      <c r="E27" s="15"/>
      <c r="F27" s="18">
        <f>5000*28</f>
        <v>140000</v>
      </c>
      <c r="G27" s="61"/>
      <c r="H27" s="32">
        <f>+'[3]ELpaso SJ &amp; Prm'!$F34</f>
        <v>6.5030000000000001</v>
      </c>
      <c r="I27" s="17">
        <f t="shared" ref="I27:I37" si="3">(+D27-H27)*F27</f>
        <v>-386820</v>
      </c>
      <c r="J27" s="41"/>
      <c r="K27" s="41">
        <f t="shared" si="2"/>
        <v>-386820</v>
      </c>
    </row>
    <row r="28" spans="1:11" x14ac:dyDescent="0.2">
      <c r="A28" s="31">
        <v>36951</v>
      </c>
      <c r="B28" s="15"/>
      <c r="C28" s="16" t="s">
        <v>46</v>
      </c>
      <c r="D28" s="32">
        <v>3.74</v>
      </c>
      <c r="E28" s="15"/>
      <c r="F28" s="18">
        <f>5000*31</f>
        <v>155000</v>
      </c>
      <c r="G28" s="61"/>
      <c r="H28" s="32">
        <f>+'[3]ELpaso SJ &amp; Prm'!$F35</f>
        <v>5.8810000000000002</v>
      </c>
      <c r="I28" s="17">
        <f t="shared" si="3"/>
        <v>-331855</v>
      </c>
      <c r="J28" s="41"/>
      <c r="K28" s="41">
        <f t="shared" si="2"/>
        <v>-331855</v>
      </c>
    </row>
    <row r="29" spans="1:11" x14ac:dyDescent="0.2">
      <c r="A29" s="31">
        <v>36982</v>
      </c>
      <c r="B29" s="15"/>
      <c r="C29" s="16" t="s">
        <v>46</v>
      </c>
      <c r="D29" s="32">
        <v>3.74</v>
      </c>
      <c r="E29" s="15"/>
      <c r="F29" s="18">
        <f>5000*30</f>
        <v>150000</v>
      </c>
      <c r="G29" s="61"/>
      <c r="H29" s="32">
        <f>+'[3]ELpaso SJ &amp; Prm'!$F36</f>
        <v>5.1449999999999996</v>
      </c>
      <c r="I29" s="17">
        <f t="shared" si="3"/>
        <v>-210749.99999999991</v>
      </c>
      <c r="J29" s="41"/>
      <c r="K29" s="41">
        <f t="shared" si="2"/>
        <v>-210749.99999999991</v>
      </c>
    </row>
    <row r="30" spans="1:11" x14ac:dyDescent="0.2">
      <c r="A30" s="31">
        <v>37012</v>
      </c>
      <c r="B30" s="15"/>
      <c r="C30" s="16" t="s">
        <v>46</v>
      </c>
      <c r="D30" s="32">
        <v>3.74</v>
      </c>
      <c r="E30" s="15"/>
      <c r="F30" s="18">
        <f>5000*31</f>
        <v>155000</v>
      </c>
      <c r="G30" s="15"/>
      <c r="H30" s="32">
        <f>+'[3]ELpaso SJ &amp; Prm'!$F37</f>
        <v>4.8599999999999994</v>
      </c>
      <c r="I30" s="17">
        <f t="shared" si="3"/>
        <v>-173599.99999999988</v>
      </c>
      <c r="J30" s="39"/>
      <c r="K30" s="41">
        <f t="shared" si="2"/>
        <v>-173599.99999999988</v>
      </c>
    </row>
    <row r="31" spans="1:11" x14ac:dyDescent="0.2">
      <c r="A31" s="31">
        <v>37043</v>
      </c>
      <c r="B31" s="15"/>
      <c r="C31" s="16" t="s">
        <v>46</v>
      </c>
      <c r="D31" s="32">
        <v>3.74</v>
      </c>
      <c r="E31" s="15"/>
      <c r="F31" s="18">
        <f>5000*30</f>
        <v>150000</v>
      </c>
      <c r="G31" s="15"/>
      <c r="H31" s="32">
        <f>+'[3]ELpaso SJ &amp; Prm'!$F38</f>
        <v>4.8450000000000006</v>
      </c>
      <c r="I31" s="17">
        <f t="shared" si="3"/>
        <v>-165750.00000000006</v>
      </c>
      <c r="J31" s="39"/>
      <c r="K31" s="41">
        <f t="shared" si="2"/>
        <v>-165750.00000000006</v>
      </c>
    </row>
    <row r="32" spans="1:11" x14ac:dyDescent="0.2">
      <c r="A32" s="31">
        <v>37073</v>
      </c>
      <c r="B32" s="15"/>
      <c r="C32" s="16" t="s">
        <v>46</v>
      </c>
      <c r="D32" s="32">
        <v>3.74</v>
      </c>
      <c r="E32" s="15"/>
      <c r="F32" s="18">
        <f>5000*31</f>
        <v>155000</v>
      </c>
      <c r="G32" s="15"/>
      <c r="H32" s="32">
        <f>+'[3]ELpaso SJ &amp; Prm'!$F39</f>
        <v>4.8949999999999996</v>
      </c>
      <c r="I32" s="17">
        <f t="shared" si="3"/>
        <v>-179024.99999999991</v>
      </c>
      <c r="J32" s="39"/>
      <c r="K32" s="41">
        <f t="shared" si="2"/>
        <v>-179024.99999999991</v>
      </c>
    </row>
    <row r="33" spans="1:11" x14ac:dyDescent="0.2">
      <c r="A33" s="31">
        <v>37104</v>
      </c>
      <c r="B33" s="15"/>
      <c r="C33" s="16" t="s">
        <v>46</v>
      </c>
      <c r="D33" s="32">
        <v>3.74</v>
      </c>
      <c r="E33" s="15"/>
      <c r="F33" s="18">
        <f>5000*31</f>
        <v>155000</v>
      </c>
      <c r="G33" s="15"/>
      <c r="H33" s="32">
        <f>+'[3]ELpaso SJ &amp; Prm'!$F40</f>
        <v>4.8849999999999998</v>
      </c>
      <c r="I33" s="17">
        <f t="shared" si="3"/>
        <v>-177474.99999999994</v>
      </c>
      <c r="J33" s="39"/>
      <c r="K33" s="41">
        <f t="shared" si="2"/>
        <v>-177474.99999999994</v>
      </c>
    </row>
    <row r="34" spans="1:11" x14ac:dyDescent="0.2">
      <c r="A34" s="31">
        <v>37135</v>
      </c>
      <c r="B34" s="15"/>
      <c r="C34" s="16" t="s">
        <v>46</v>
      </c>
      <c r="D34" s="32">
        <v>3.74</v>
      </c>
      <c r="E34" s="15"/>
      <c r="F34" s="18">
        <f>5000*30</f>
        <v>150000</v>
      </c>
      <c r="G34" s="15"/>
      <c r="H34" s="32">
        <f>+'[3]ELpaso SJ &amp; Prm'!$F41</f>
        <v>4.8699999999999992</v>
      </c>
      <c r="I34" s="17">
        <f t="shared" si="3"/>
        <v>-169499.99999999985</v>
      </c>
      <c r="J34" s="39"/>
      <c r="K34" s="41">
        <f t="shared" si="2"/>
        <v>-169499.99999999985</v>
      </c>
    </row>
    <row r="35" spans="1:11" x14ac:dyDescent="0.2">
      <c r="A35" s="31">
        <v>37165</v>
      </c>
      <c r="B35" s="15"/>
      <c r="C35" s="16" t="s">
        <v>46</v>
      </c>
      <c r="D35" s="32">
        <v>3.74</v>
      </c>
      <c r="E35" s="15"/>
      <c r="F35" s="18">
        <f>5000*31</f>
        <v>155000</v>
      </c>
      <c r="G35" s="15"/>
      <c r="H35" s="32">
        <f>+'[3]ELpaso SJ &amp; Prm'!$F42</f>
        <v>4.8099999999999996</v>
      </c>
      <c r="I35" s="17">
        <f t="shared" si="3"/>
        <v>-165849.99999999991</v>
      </c>
      <c r="J35" s="39"/>
      <c r="K35" s="41">
        <f t="shared" si="2"/>
        <v>-165849.99999999991</v>
      </c>
    </row>
    <row r="36" spans="1:11" x14ac:dyDescent="0.2">
      <c r="A36" s="31">
        <v>37196</v>
      </c>
      <c r="B36" s="15"/>
      <c r="C36" s="16" t="s">
        <v>46</v>
      </c>
      <c r="D36" s="32">
        <v>3.74</v>
      </c>
      <c r="E36" s="15"/>
      <c r="F36" s="18">
        <f>5000*30</f>
        <v>150000</v>
      </c>
      <c r="G36" s="15"/>
      <c r="H36" s="32">
        <f>+'[3]ELpaso SJ &amp; Prm'!$F43</f>
        <v>4.875</v>
      </c>
      <c r="I36" s="17">
        <f t="shared" si="3"/>
        <v>-170249.99999999997</v>
      </c>
      <c r="J36" s="39"/>
      <c r="K36" s="41">
        <f t="shared" si="2"/>
        <v>-170249.99999999997</v>
      </c>
    </row>
    <row r="37" spans="1:11" x14ac:dyDescent="0.2">
      <c r="A37" s="31">
        <v>37226</v>
      </c>
      <c r="B37" s="15"/>
      <c r="C37" s="16" t="s">
        <v>46</v>
      </c>
      <c r="D37" s="32">
        <v>3.74</v>
      </c>
      <c r="E37" s="15"/>
      <c r="F37" s="18">
        <f>5000*31</f>
        <v>155000</v>
      </c>
      <c r="G37" s="15"/>
      <c r="H37" s="32">
        <f>+'[3]ELpaso SJ &amp; Prm'!$F44</f>
        <v>4.95</v>
      </c>
      <c r="I37" s="17">
        <f t="shared" si="3"/>
        <v>-187550</v>
      </c>
      <c r="J37" s="39"/>
      <c r="K37" s="41">
        <f t="shared" si="2"/>
        <v>-187550</v>
      </c>
    </row>
    <row r="38" spans="1:11" x14ac:dyDescent="0.2">
      <c r="A38" s="31"/>
      <c r="B38" s="15"/>
      <c r="C38" s="16"/>
      <c r="D38" s="32"/>
      <c r="E38" s="15"/>
      <c r="F38" s="18"/>
      <c r="G38" s="15"/>
      <c r="H38" s="32"/>
      <c r="I38" s="37"/>
      <c r="J38" s="39"/>
      <c r="K38" s="41"/>
    </row>
    <row r="39" spans="1:11" x14ac:dyDescent="0.2">
      <c r="A39" s="15"/>
      <c r="B39" s="15"/>
      <c r="C39" s="15"/>
      <c r="D39" s="15"/>
      <c r="E39" s="15"/>
      <c r="F39" s="21">
        <f>SUM(F26:F38)</f>
        <v>1825000</v>
      </c>
      <c r="G39" s="15"/>
      <c r="H39" s="15"/>
      <c r="I39" s="33">
        <f>SUM(I26:I38)</f>
        <v>-2773970</v>
      </c>
      <c r="J39" s="33">
        <f>SUM(J26:J38)</f>
        <v>0</v>
      </c>
      <c r="K39" s="33">
        <f>SUM(K26:K38)</f>
        <v>-2773970</v>
      </c>
    </row>
    <row r="40" spans="1:11" x14ac:dyDescent="0.2">
      <c r="A40" s="15"/>
      <c r="B40" s="15"/>
      <c r="C40" s="15"/>
      <c r="D40" s="15"/>
      <c r="E40" s="15"/>
      <c r="F40" s="15"/>
      <c r="G40" s="15"/>
      <c r="H40" s="15"/>
      <c r="I40" s="15"/>
      <c r="J40" s="39"/>
      <c r="K40" s="39"/>
    </row>
    <row r="41" spans="1:11" ht="13.5" thickBot="1" x14ac:dyDescent="0.25">
      <c r="A41" s="15"/>
      <c r="B41" s="15"/>
      <c r="C41" s="15"/>
      <c r="D41" s="15"/>
      <c r="E41" s="15"/>
      <c r="F41" s="23">
        <f>+F39+F22</f>
        <v>0</v>
      </c>
      <c r="G41" s="15"/>
      <c r="H41" s="15"/>
      <c r="I41" s="34">
        <f>+I39+I22</f>
        <v>0</v>
      </c>
      <c r="J41" s="34">
        <f>+J39+J22</f>
        <v>0</v>
      </c>
      <c r="K41" s="34">
        <f>+K39+K22</f>
        <v>0</v>
      </c>
    </row>
    <row r="42" spans="1:11" ht="13.5" thickTop="1" x14ac:dyDescent="0.2">
      <c r="A42" s="26"/>
      <c r="B42" s="26"/>
      <c r="C42" s="26"/>
      <c r="D42" s="26"/>
      <c r="E42" s="26"/>
      <c r="F42" s="26"/>
      <c r="G42" s="26"/>
      <c r="H42" s="26"/>
      <c r="I42" s="26"/>
      <c r="J42" s="40"/>
      <c r="K42" s="40"/>
    </row>
    <row r="44" spans="1:11" x14ac:dyDescent="0.2">
      <c r="A44" s="29" t="s">
        <v>47</v>
      </c>
    </row>
  </sheetData>
  <pageMargins left="0.75" right="0.75" top="1" bottom="1" header="0.5" footer="0.5"/>
  <pageSetup scale="83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workbookViewId="0"/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0.7109375" customWidth="1"/>
    <col min="9" max="9" width="15" customWidth="1"/>
    <col min="10" max="10" width="13.42578125" customWidth="1"/>
    <col min="11" max="11" width="15" customWidth="1"/>
  </cols>
  <sheetData>
    <row r="1" spans="1:11" s="2" customFormat="1" ht="15" x14ac:dyDescent="0.2">
      <c r="A1" s="1" t="s">
        <v>49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109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150</v>
      </c>
      <c r="I6" s="55" t="s">
        <v>55</v>
      </c>
      <c r="J6" s="56"/>
      <c r="K6" s="57"/>
    </row>
    <row r="7" spans="1:11" s="7" customFormat="1" x14ac:dyDescent="0.2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">
      <c r="A8" s="11"/>
      <c r="B8" s="12"/>
      <c r="C8" s="12"/>
      <c r="D8" s="12"/>
      <c r="E8" s="12"/>
      <c r="F8" s="12"/>
      <c r="G8" s="51" t="s">
        <v>74</v>
      </c>
      <c r="H8" s="13"/>
      <c r="I8" s="58" t="s">
        <v>31</v>
      </c>
      <c r="J8" s="58" t="s">
        <v>31</v>
      </c>
      <c r="K8" s="59" t="s">
        <v>31</v>
      </c>
    </row>
    <row r="9" spans="1:11" x14ac:dyDescent="0.2">
      <c r="A9" s="31">
        <v>36892</v>
      </c>
      <c r="B9" s="15"/>
      <c r="C9" s="16" t="s">
        <v>96</v>
      </c>
      <c r="D9" s="32">
        <v>3.63</v>
      </c>
      <c r="E9" s="15"/>
      <c r="F9" s="18">
        <f>-5000*31</f>
        <v>-155000</v>
      </c>
      <c r="G9" s="32"/>
      <c r="H9" s="32">
        <f>+'[3]ELpaso SJ &amp; Prm'!$F33</f>
        <v>6.6790000000000003</v>
      </c>
      <c r="I9" s="17">
        <f t="shared" ref="I9:I20" si="0">SUM(D9-H9)*F9</f>
        <v>472595.00000000006</v>
      </c>
      <c r="J9" s="41"/>
      <c r="K9" s="41">
        <f t="shared" ref="K9:K20" si="1">+I9</f>
        <v>472595.00000000006</v>
      </c>
    </row>
    <row r="10" spans="1:11" x14ac:dyDescent="0.2">
      <c r="A10" s="31">
        <v>36923</v>
      </c>
      <c r="B10" s="15"/>
      <c r="C10" s="16" t="s">
        <v>96</v>
      </c>
      <c r="D10" s="32">
        <v>3.63</v>
      </c>
      <c r="E10" s="15"/>
      <c r="F10" s="18">
        <f>-5000*28</f>
        <v>-140000</v>
      </c>
      <c r="G10" s="32"/>
      <c r="H10" s="32">
        <f>+'[3]ELpaso SJ &amp; Prm'!$F34</f>
        <v>6.5030000000000001</v>
      </c>
      <c r="I10" s="17">
        <f t="shared" si="0"/>
        <v>402220.00000000006</v>
      </c>
      <c r="J10" s="41"/>
      <c r="K10" s="41">
        <f t="shared" si="1"/>
        <v>402220.00000000006</v>
      </c>
    </row>
    <row r="11" spans="1:11" x14ac:dyDescent="0.2">
      <c r="A11" s="31">
        <v>36951</v>
      </c>
      <c r="B11" s="15"/>
      <c r="C11" s="16" t="s">
        <v>96</v>
      </c>
      <c r="D11" s="32">
        <v>3.63</v>
      </c>
      <c r="E11" s="15"/>
      <c r="F11" s="18">
        <f>-5000*31</f>
        <v>-155000</v>
      </c>
      <c r="G11" s="32"/>
      <c r="H11" s="32">
        <f>+'[3]ELpaso SJ &amp; Prm'!$F35</f>
        <v>5.8810000000000002</v>
      </c>
      <c r="I11" s="17">
        <f t="shared" si="0"/>
        <v>348905.00000000006</v>
      </c>
      <c r="J11" s="41"/>
      <c r="K11" s="41">
        <f t="shared" si="1"/>
        <v>348905.00000000006</v>
      </c>
    </row>
    <row r="12" spans="1:11" x14ac:dyDescent="0.2">
      <c r="A12" s="31">
        <v>36982</v>
      </c>
      <c r="B12" s="15"/>
      <c r="C12" s="16" t="s">
        <v>96</v>
      </c>
      <c r="D12" s="32">
        <v>3.63</v>
      </c>
      <c r="E12" s="15"/>
      <c r="F12" s="18">
        <f>-5000*30</f>
        <v>-150000</v>
      </c>
      <c r="G12" s="32"/>
      <c r="H12" s="32">
        <f>+'[3]ELpaso SJ &amp; Prm'!$F36</f>
        <v>5.1449999999999996</v>
      </c>
      <c r="I12" s="17">
        <f t="shared" si="0"/>
        <v>227249.99999999994</v>
      </c>
      <c r="J12" s="41"/>
      <c r="K12" s="41">
        <f t="shared" si="1"/>
        <v>227249.99999999994</v>
      </c>
    </row>
    <row r="13" spans="1:11" x14ac:dyDescent="0.2">
      <c r="A13" s="31">
        <v>37012</v>
      </c>
      <c r="B13" s="15"/>
      <c r="C13" s="16" t="s">
        <v>96</v>
      </c>
      <c r="D13" s="32">
        <v>3.63</v>
      </c>
      <c r="E13" s="15"/>
      <c r="F13" s="18">
        <f>-5000*31</f>
        <v>-155000</v>
      </c>
      <c r="G13" s="15"/>
      <c r="H13" s="32">
        <f>+'[3]ELpaso SJ &amp; Prm'!$F37</f>
        <v>4.8599999999999994</v>
      </c>
      <c r="I13" s="17">
        <f t="shared" si="0"/>
        <v>190649.99999999994</v>
      </c>
      <c r="J13" s="39"/>
      <c r="K13" s="41">
        <f t="shared" si="1"/>
        <v>190649.99999999994</v>
      </c>
    </row>
    <row r="14" spans="1:11" x14ac:dyDescent="0.2">
      <c r="A14" s="31">
        <v>37043</v>
      </c>
      <c r="B14" s="15"/>
      <c r="C14" s="16" t="s">
        <v>96</v>
      </c>
      <c r="D14" s="32">
        <v>3.63</v>
      </c>
      <c r="E14" s="15"/>
      <c r="F14" s="18">
        <f>-5000*30</f>
        <v>-150000</v>
      </c>
      <c r="G14" s="15"/>
      <c r="H14" s="32">
        <f>+'[3]ELpaso SJ &amp; Prm'!$F38</f>
        <v>4.8450000000000006</v>
      </c>
      <c r="I14" s="17">
        <f t="shared" si="0"/>
        <v>182250.00000000012</v>
      </c>
      <c r="J14" s="39"/>
      <c r="K14" s="41">
        <f t="shared" si="1"/>
        <v>182250.00000000012</v>
      </c>
    </row>
    <row r="15" spans="1:11" x14ac:dyDescent="0.2">
      <c r="A15" s="31">
        <v>37073</v>
      </c>
      <c r="B15" s="15"/>
      <c r="C15" s="16" t="s">
        <v>96</v>
      </c>
      <c r="D15" s="32">
        <v>3.63</v>
      </c>
      <c r="E15" s="15"/>
      <c r="F15" s="18">
        <f>-5000*31</f>
        <v>-155000</v>
      </c>
      <c r="G15" s="15"/>
      <c r="H15" s="32">
        <f>+'[3]ELpaso SJ &amp; Prm'!$F39</f>
        <v>4.8949999999999996</v>
      </c>
      <c r="I15" s="17">
        <f t="shared" si="0"/>
        <v>196074.99999999994</v>
      </c>
      <c r="J15" s="39"/>
      <c r="K15" s="41">
        <f t="shared" si="1"/>
        <v>196074.99999999994</v>
      </c>
    </row>
    <row r="16" spans="1:11" x14ac:dyDescent="0.2">
      <c r="A16" s="31">
        <v>37104</v>
      </c>
      <c r="B16" s="15"/>
      <c r="C16" s="16" t="s">
        <v>96</v>
      </c>
      <c r="D16" s="32">
        <v>3.63</v>
      </c>
      <c r="E16" s="15"/>
      <c r="F16" s="18">
        <f>-5000*31</f>
        <v>-155000</v>
      </c>
      <c r="G16" s="15"/>
      <c r="H16" s="32">
        <f>+'[3]ELpaso SJ &amp; Prm'!$F40</f>
        <v>4.8849999999999998</v>
      </c>
      <c r="I16" s="17">
        <f t="shared" si="0"/>
        <v>194524.99999999997</v>
      </c>
      <c r="J16" s="39"/>
      <c r="K16" s="41">
        <f t="shared" si="1"/>
        <v>194524.99999999997</v>
      </c>
    </row>
    <row r="17" spans="1:11" x14ac:dyDescent="0.2">
      <c r="A17" s="31">
        <v>37135</v>
      </c>
      <c r="B17" s="15"/>
      <c r="C17" s="16" t="s">
        <v>96</v>
      </c>
      <c r="D17" s="32">
        <v>3.63</v>
      </c>
      <c r="E17" s="15"/>
      <c r="F17" s="18">
        <f>-5000*30</f>
        <v>-150000</v>
      </c>
      <c r="G17" s="15"/>
      <c r="H17" s="32">
        <f>+'[3]ELpaso SJ &amp; Prm'!$F41</f>
        <v>4.8699999999999992</v>
      </c>
      <c r="I17" s="17">
        <f t="shared" si="0"/>
        <v>185999.99999999991</v>
      </c>
      <c r="J17" s="39"/>
      <c r="K17" s="41">
        <f t="shared" si="1"/>
        <v>185999.99999999991</v>
      </c>
    </row>
    <row r="18" spans="1:11" x14ac:dyDescent="0.2">
      <c r="A18" s="31">
        <v>37165</v>
      </c>
      <c r="B18" s="15"/>
      <c r="C18" s="16" t="s">
        <v>96</v>
      </c>
      <c r="D18" s="32">
        <v>3.63</v>
      </c>
      <c r="E18" s="15"/>
      <c r="F18" s="18">
        <f>-5000*31</f>
        <v>-155000</v>
      </c>
      <c r="G18" s="15"/>
      <c r="H18" s="32">
        <f>+'[3]ELpaso SJ &amp; Prm'!$F42</f>
        <v>4.8099999999999996</v>
      </c>
      <c r="I18" s="17">
        <f t="shared" si="0"/>
        <v>182899.99999999994</v>
      </c>
      <c r="J18" s="39"/>
      <c r="K18" s="41">
        <f t="shared" si="1"/>
        <v>182899.99999999994</v>
      </c>
    </row>
    <row r="19" spans="1:11" x14ac:dyDescent="0.2">
      <c r="A19" s="31">
        <v>37196</v>
      </c>
      <c r="B19" s="15"/>
      <c r="C19" s="16" t="s">
        <v>96</v>
      </c>
      <c r="D19" s="32">
        <v>3.63</v>
      </c>
      <c r="E19" s="15"/>
      <c r="F19" s="18">
        <f>-5000*30</f>
        <v>-150000</v>
      </c>
      <c r="G19" s="15"/>
      <c r="H19" s="32">
        <f>+'[3]ELpaso SJ &amp; Prm'!$F43</f>
        <v>4.875</v>
      </c>
      <c r="I19" s="17">
        <f t="shared" si="0"/>
        <v>186750.00000000003</v>
      </c>
      <c r="J19" s="39"/>
      <c r="K19" s="41">
        <f t="shared" si="1"/>
        <v>186750.00000000003</v>
      </c>
    </row>
    <row r="20" spans="1:11" x14ac:dyDescent="0.2">
      <c r="A20" s="31">
        <v>37226</v>
      </c>
      <c r="B20" s="15"/>
      <c r="C20" s="16" t="s">
        <v>96</v>
      </c>
      <c r="D20" s="32">
        <v>3.63</v>
      </c>
      <c r="E20" s="15"/>
      <c r="F20" s="18">
        <f>-5000*31</f>
        <v>-155000</v>
      </c>
      <c r="G20" s="15"/>
      <c r="H20" s="32">
        <f>+'[3]ELpaso SJ &amp; Prm'!$F44</f>
        <v>4.95</v>
      </c>
      <c r="I20" s="17">
        <f t="shared" si="0"/>
        <v>204600.00000000006</v>
      </c>
      <c r="J20" s="39"/>
      <c r="K20" s="41">
        <f t="shared" si="1"/>
        <v>204600.00000000006</v>
      </c>
    </row>
    <row r="21" spans="1:11" x14ac:dyDescent="0.2">
      <c r="A21" s="31"/>
      <c r="B21" s="15"/>
      <c r="C21" s="16"/>
      <c r="D21" s="32"/>
      <c r="E21" s="15"/>
      <c r="F21" s="18"/>
      <c r="G21" s="15"/>
      <c r="H21" s="32"/>
      <c r="I21" s="17"/>
      <c r="J21" s="39"/>
      <c r="K21" s="41"/>
    </row>
    <row r="22" spans="1:11" x14ac:dyDescent="0.2">
      <c r="A22" s="15"/>
      <c r="B22" s="15"/>
      <c r="C22" s="15"/>
      <c r="D22" s="15"/>
      <c r="E22" s="15"/>
      <c r="F22" s="21">
        <f>SUM(F9:F20)</f>
        <v>-1825000</v>
      </c>
      <c r="G22" s="15"/>
      <c r="H22" s="15"/>
      <c r="I22" s="35">
        <f>SUM(I9:I20)</f>
        <v>2974720.0000000005</v>
      </c>
      <c r="J22" s="35">
        <f>SUM(J9:J20)</f>
        <v>0</v>
      </c>
      <c r="K22" s="35">
        <f>SUM(K9:K20)</f>
        <v>2974720.0000000005</v>
      </c>
    </row>
    <row r="23" spans="1:11" x14ac:dyDescent="0.2">
      <c r="A23" s="15"/>
      <c r="B23" s="15"/>
      <c r="C23" s="15"/>
      <c r="D23" s="15"/>
      <c r="E23" s="15"/>
      <c r="F23" s="38"/>
      <c r="G23" s="15"/>
      <c r="H23" s="15"/>
      <c r="I23" s="54"/>
      <c r="J23" s="47"/>
      <c r="K23" s="47"/>
    </row>
    <row r="24" spans="1:11" x14ac:dyDescent="0.2">
      <c r="A24" s="15"/>
      <c r="B24" s="15"/>
      <c r="C24" s="15"/>
      <c r="D24" s="15"/>
      <c r="E24" s="15"/>
      <c r="F24" s="15"/>
      <c r="G24" s="50" t="s">
        <v>74</v>
      </c>
      <c r="H24" s="36"/>
      <c r="I24" s="15"/>
      <c r="J24" s="39"/>
      <c r="K24" s="39"/>
    </row>
    <row r="25" spans="1:11" x14ac:dyDescent="0.2">
      <c r="A25" s="15"/>
      <c r="B25" s="15"/>
      <c r="C25" s="15"/>
      <c r="D25" s="32"/>
      <c r="E25" s="15"/>
      <c r="F25" s="15"/>
      <c r="G25" s="49"/>
      <c r="H25" s="36"/>
      <c r="I25" s="15"/>
      <c r="J25" s="39"/>
      <c r="K25" s="39"/>
    </row>
    <row r="26" spans="1:11" x14ac:dyDescent="0.2">
      <c r="A26" s="31">
        <v>36892</v>
      </c>
      <c r="B26" s="15"/>
      <c r="C26" s="16" t="s">
        <v>46</v>
      </c>
      <c r="D26" s="32">
        <v>3.63</v>
      </c>
      <c r="E26" s="15"/>
      <c r="F26" s="18">
        <f>5000*31</f>
        <v>155000</v>
      </c>
      <c r="G26" s="32"/>
      <c r="H26" s="32">
        <f>+'[3]ELpaso SJ &amp; Prm'!$F33</f>
        <v>6.6790000000000003</v>
      </c>
      <c r="I26" s="17">
        <f>(+D26-H26)*F26</f>
        <v>-472595.00000000006</v>
      </c>
      <c r="J26" s="41"/>
      <c r="K26" s="41">
        <f t="shared" ref="K26:K37" si="2">+I26</f>
        <v>-472595.00000000006</v>
      </c>
    </row>
    <row r="27" spans="1:11" x14ac:dyDescent="0.2">
      <c r="A27" s="31">
        <v>36923</v>
      </c>
      <c r="B27" s="15"/>
      <c r="C27" s="16" t="s">
        <v>46</v>
      </c>
      <c r="D27" s="32">
        <v>3.63</v>
      </c>
      <c r="E27" s="15"/>
      <c r="F27" s="18">
        <f>5000*28</f>
        <v>140000</v>
      </c>
      <c r="G27" s="61"/>
      <c r="H27" s="32">
        <f>+'[3]ELpaso SJ &amp; Prm'!$F34</f>
        <v>6.5030000000000001</v>
      </c>
      <c r="I27" s="17">
        <f t="shared" ref="I27:I37" si="3">(+D27-H27)*F27</f>
        <v>-402220.00000000006</v>
      </c>
      <c r="J27" s="41"/>
      <c r="K27" s="41">
        <f t="shared" si="2"/>
        <v>-402220.00000000006</v>
      </c>
    </row>
    <row r="28" spans="1:11" x14ac:dyDescent="0.2">
      <c r="A28" s="31">
        <v>36951</v>
      </c>
      <c r="B28" s="15"/>
      <c r="C28" s="16" t="s">
        <v>46</v>
      </c>
      <c r="D28" s="32">
        <v>3.63</v>
      </c>
      <c r="E28" s="15"/>
      <c r="F28" s="18">
        <f>5000*31</f>
        <v>155000</v>
      </c>
      <c r="G28" s="61"/>
      <c r="H28" s="32">
        <f>+'[3]ELpaso SJ &amp; Prm'!$F35</f>
        <v>5.8810000000000002</v>
      </c>
      <c r="I28" s="17">
        <f t="shared" si="3"/>
        <v>-348905.00000000006</v>
      </c>
      <c r="J28" s="41"/>
      <c r="K28" s="41">
        <f t="shared" si="2"/>
        <v>-348905.00000000006</v>
      </c>
    </row>
    <row r="29" spans="1:11" x14ac:dyDescent="0.2">
      <c r="A29" s="31">
        <v>36982</v>
      </c>
      <c r="B29" s="15"/>
      <c r="C29" s="16" t="s">
        <v>46</v>
      </c>
      <c r="D29" s="32">
        <v>3.63</v>
      </c>
      <c r="E29" s="15"/>
      <c r="F29" s="18">
        <f>5000*30</f>
        <v>150000</v>
      </c>
      <c r="G29" s="61"/>
      <c r="H29" s="32">
        <f>+'[3]ELpaso SJ &amp; Prm'!$F36</f>
        <v>5.1449999999999996</v>
      </c>
      <c r="I29" s="17">
        <f t="shared" si="3"/>
        <v>-227249.99999999994</v>
      </c>
      <c r="J29" s="41"/>
      <c r="K29" s="41">
        <f t="shared" si="2"/>
        <v>-227249.99999999994</v>
      </c>
    </row>
    <row r="30" spans="1:11" x14ac:dyDescent="0.2">
      <c r="A30" s="31">
        <v>37012</v>
      </c>
      <c r="B30" s="15"/>
      <c r="C30" s="16" t="s">
        <v>46</v>
      </c>
      <c r="D30" s="32">
        <v>3.63</v>
      </c>
      <c r="E30" s="15"/>
      <c r="F30" s="18">
        <f>5000*31</f>
        <v>155000</v>
      </c>
      <c r="G30" s="15"/>
      <c r="H30" s="32">
        <f>+'[3]ELpaso SJ &amp; Prm'!$F37</f>
        <v>4.8599999999999994</v>
      </c>
      <c r="I30" s="17">
        <f t="shared" si="3"/>
        <v>-190649.99999999994</v>
      </c>
      <c r="J30" s="39"/>
      <c r="K30" s="41">
        <f t="shared" si="2"/>
        <v>-190649.99999999994</v>
      </c>
    </row>
    <row r="31" spans="1:11" x14ac:dyDescent="0.2">
      <c r="A31" s="31">
        <v>37043</v>
      </c>
      <c r="B31" s="15"/>
      <c r="C31" s="16" t="s">
        <v>46</v>
      </c>
      <c r="D31" s="32">
        <v>3.63</v>
      </c>
      <c r="E31" s="15"/>
      <c r="F31" s="18">
        <f>5000*30</f>
        <v>150000</v>
      </c>
      <c r="G31" s="15"/>
      <c r="H31" s="32">
        <f>+'[3]ELpaso SJ &amp; Prm'!$F38</f>
        <v>4.8450000000000006</v>
      </c>
      <c r="I31" s="17">
        <f t="shared" si="3"/>
        <v>-182250.00000000012</v>
      </c>
      <c r="J31" s="39"/>
      <c r="K31" s="41">
        <f t="shared" si="2"/>
        <v>-182250.00000000012</v>
      </c>
    </row>
    <row r="32" spans="1:11" x14ac:dyDescent="0.2">
      <c r="A32" s="31">
        <v>37073</v>
      </c>
      <c r="B32" s="15"/>
      <c r="C32" s="16" t="s">
        <v>46</v>
      </c>
      <c r="D32" s="32">
        <v>3.63</v>
      </c>
      <c r="E32" s="15"/>
      <c r="F32" s="18">
        <f>5000*31</f>
        <v>155000</v>
      </c>
      <c r="G32" s="15"/>
      <c r="H32" s="32">
        <f>+'[3]ELpaso SJ &amp; Prm'!$F39</f>
        <v>4.8949999999999996</v>
      </c>
      <c r="I32" s="17">
        <f t="shared" si="3"/>
        <v>-196074.99999999994</v>
      </c>
      <c r="J32" s="39"/>
      <c r="K32" s="41">
        <f t="shared" si="2"/>
        <v>-196074.99999999994</v>
      </c>
    </row>
    <row r="33" spans="1:11" x14ac:dyDescent="0.2">
      <c r="A33" s="31">
        <v>37104</v>
      </c>
      <c r="B33" s="15"/>
      <c r="C33" s="16" t="s">
        <v>46</v>
      </c>
      <c r="D33" s="32">
        <v>3.63</v>
      </c>
      <c r="E33" s="15"/>
      <c r="F33" s="18">
        <f>5000*31</f>
        <v>155000</v>
      </c>
      <c r="G33" s="15"/>
      <c r="H33" s="32">
        <f>+'[3]ELpaso SJ &amp; Prm'!$F40</f>
        <v>4.8849999999999998</v>
      </c>
      <c r="I33" s="17">
        <f t="shared" si="3"/>
        <v>-194524.99999999997</v>
      </c>
      <c r="J33" s="39"/>
      <c r="K33" s="41">
        <f t="shared" si="2"/>
        <v>-194524.99999999997</v>
      </c>
    </row>
    <row r="34" spans="1:11" x14ac:dyDescent="0.2">
      <c r="A34" s="31">
        <v>37135</v>
      </c>
      <c r="B34" s="15"/>
      <c r="C34" s="16" t="s">
        <v>46</v>
      </c>
      <c r="D34" s="32">
        <v>3.63</v>
      </c>
      <c r="E34" s="15"/>
      <c r="F34" s="18">
        <f>5000*30</f>
        <v>150000</v>
      </c>
      <c r="G34" s="15"/>
      <c r="H34" s="32">
        <f>+'[3]ELpaso SJ &amp; Prm'!$F41</f>
        <v>4.8699999999999992</v>
      </c>
      <c r="I34" s="17">
        <f t="shared" si="3"/>
        <v>-185999.99999999991</v>
      </c>
      <c r="J34" s="39"/>
      <c r="K34" s="41">
        <f t="shared" si="2"/>
        <v>-185999.99999999991</v>
      </c>
    </row>
    <row r="35" spans="1:11" x14ac:dyDescent="0.2">
      <c r="A35" s="31">
        <v>37165</v>
      </c>
      <c r="B35" s="15"/>
      <c r="C35" s="16" t="s">
        <v>46</v>
      </c>
      <c r="D35" s="32">
        <v>3.63</v>
      </c>
      <c r="E35" s="15"/>
      <c r="F35" s="18">
        <f>5000*31</f>
        <v>155000</v>
      </c>
      <c r="G35" s="15"/>
      <c r="H35" s="32">
        <f>+'[3]ELpaso SJ &amp; Prm'!$F42</f>
        <v>4.8099999999999996</v>
      </c>
      <c r="I35" s="17">
        <f t="shared" si="3"/>
        <v>-182899.99999999994</v>
      </c>
      <c r="J35" s="39"/>
      <c r="K35" s="41">
        <f t="shared" si="2"/>
        <v>-182899.99999999994</v>
      </c>
    </row>
    <row r="36" spans="1:11" x14ac:dyDescent="0.2">
      <c r="A36" s="31">
        <v>37196</v>
      </c>
      <c r="B36" s="15"/>
      <c r="C36" s="16" t="s">
        <v>46</v>
      </c>
      <c r="D36" s="32">
        <v>3.63</v>
      </c>
      <c r="E36" s="15"/>
      <c r="F36" s="18">
        <f>5000*30</f>
        <v>150000</v>
      </c>
      <c r="G36" s="15"/>
      <c r="H36" s="32">
        <f>+'[3]ELpaso SJ &amp; Prm'!$F43</f>
        <v>4.875</v>
      </c>
      <c r="I36" s="17">
        <f t="shared" si="3"/>
        <v>-186750.00000000003</v>
      </c>
      <c r="J36" s="39"/>
      <c r="K36" s="41">
        <f t="shared" si="2"/>
        <v>-186750.00000000003</v>
      </c>
    </row>
    <row r="37" spans="1:11" x14ac:dyDescent="0.2">
      <c r="A37" s="31">
        <v>37226</v>
      </c>
      <c r="B37" s="15"/>
      <c r="C37" s="16" t="s">
        <v>46</v>
      </c>
      <c r="D37" s="32">
        <v>3.63</v>
      </c>
      <c r="E37" s="15"/>
      <c r="F37" s="18">
        <f>5000*31</f>
        <v>155000</v>
      </c>
      <c r="G37" s="15"/>
      <c r="H37" s="32">
        <f>+'[3]ELpaso SJ &amp; Prm'!$F44</f>
        <v>4.95</v>
      </c>
      <c r="I37" s="17">
        <f t="shared" si="3"/>
        <v>-204600.00000000006</v>
      </c>
      <c r="J37" s="39"/>
      <c r="K37" s="41">
        <f t="shared" si="2"/>
        <v>-204600.00000000006</v>
      </c>
    </row>
    <row r="38" spans="1:11" x14ac:dyDescent="0.2">
      <c r="A38" s="31"/>
      <c r="B38" s="15"/>
      <c r="C38" s="16"/>
      <c r="D38" s="32"/>
      <c r="E38" s="15"/>
      <c r="F38" s="18"/>
      <c r="G38" s="15"/>
      <c r="H38" s="32"/>
      <c r="I38" s="37"/>
      <c r="J38" s="39"/>
      <c r="K38" s="41"/>
    </row>
    <row r="39" spans="1:11" x14ac:dyDescent="0.2">
      <c r="A39" s="15"/>
      <c r="B39" s="15"/>
      <c r="C39" s="15"/>
      <c r="D39" s="15"/>
      <c r="E39" s="15"/>
      <c r="F39" s="21">
        <f>SUM(F26:F38)</f>
        <v>1825000</v>
      </c>
      <c r="G39" s="15"/>
      <c r="H39" s="15"/>
      <c r="I39" s="33">
        <f>SUM(I26:I38)</f>
        <v>-2974720.0000000005</v>
      </c>
      <c r="J39" s="33">
        <f>SUM(J26:J38)</f>
        <v>0</v>
      </c>
      <c r="K39" s="33">
        <f>SUM(K26:K38)</f>
        <v>-2974720.0000000005</v>
      </c>
    </row>
    <row r="40" spans="1:11" x14ac:dyDescent="0.2">
      <c r="A40" s="15"/>
      <c r="B40" s="15"/>
      <c r="C40" s="15"/>
      <c r="D40" s="15"/>
      <c r="E40" s="15"/>
      <c r="F40" s="15"/>
      <c r="G40" s="15"/>
      <c r="H40" s="15"/>
      <c r="I40" s="15"/>
      <c r="J40" s="39"/>
      <c r="K40" s="39"/>
    </row>
    <row r="41" spans="1:11" ht="13.5" thickBot="1" x14ac:dyDescent="0.25">
      <c r="A41" s="15"/>
      <c r="B41" s="15"/>
      <c r="C41" s="15"/>
      <c r="D41" s="15"/>
      <c r="E41" s="15"/>
      <c r="F41" s="23">
        <f>+F39+F22</f>
        <v>0</v>
      </c>
      <c r="G41" s="15"/>
      <c r="H41" s="15"/>
      <c r="I41" s="34">
        <f>+I39+I22</f>
        <v>0</v>
      </c>
      <c r="J41" s="34">
        <f>+J39+J22</f>
        <v>0</v>
      </c>
      <c r="K41" s="34">
        <f>+K39+K22</f>
        <v>0</v>
      </c>
    </row>
    <row r="42" spans="1:11" ht="13.5" thickTop="1" x14ac:dyDescent="0.2">
      <c r="A42" s="26"/>
      <c r="B42" s="26"/>
      <c r="C42" s="26"/>
      <c r="D42" s="26"/>
      <c r="E42" s="26"/>
      <c r="F42" s="26"/>
      <c r="G42" s="26"/>
      <c r="H42" s="26"/>
      <c r="I42" s="26"/>
      <c r="J42" s="40"/>
      <c r="K42" s="40"/>
    </row>
    <row r="44" spans="1:11" x14ac:dyDescent="0.2">
      <c r="A44" s="29" t="s">
        <v>47</v>
      </c>
    </row>
  </sheetData>
  <pageMargins left="0.75" right="0.75" top="1" bottom="1" header="0.5" footer="0.5"/>
  <pageSetup scale="83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workbookViewId="0"/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0.7109375" customWidth="1"/>
    <col min="9" max="9" width="15" customWidth="1"/>
    <col min="10" max="10" width="13.42578125" customWidth="1"/>
    <col min="11" max="11" width="15" customWidth="1"/>
  </cols>
  <sheetData>
    <row r="1" spans="1:11" s="2" customFormat="1" ht="15" x14ac:dyDescent="0.2">
      <c r="A1" s="1" t="s">
        <v>49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110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150</v>
      </c>
      <c r="I6" s="55" t="s">
        <v>55</v>
      </c>
      <c r="J6" s="56"/>
      <c r="K6" s="57"/>
    </row>
    <row r="7" spans="1:11" s="7" customFormat="1" x14ac:dyDescent="0.2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">
      <c r="A8" s="11"/>
      <c r="B8" s="12"/>
      <c r="C8" s="12"/>
      <c r="D8" s="12"/>
      <c r="E8" s="12"/>
      <c r="F8" s="12"/>
      <c r="G8" s="51" t="s">
        <v>74</v>
      </c>
      <c r="H8" s="13"/>
      <c r="I8" s="58" t="s">
        <v>31</v>
      </c>
      <c r="J8" s="58" t="s">
        <v>31</v>
      </c>
      <c r="K8" s="59" t="s">
        <v>31</v>
      </c>
    </row>
    <row r="9" spans="1:11" x14ac:dyDescent="0.2">
      <c r="A9" s="31">
        <v>36892</v>
      </c>
      <c r="B9" s="15"/>
      <c r="C9" s="16" t="s">
        <v>96</v>
      </c>
      <c r="D9" s="32">
        <v>3.585</v>
      </c>
      <c r="E9" s="15"/>
      <c r="F9" s="18">
        <f>-5000*31</f>
        <v>-155000</v>
      </c>
      <c r="G9" s="32"/>
      <c r="H9" s="32">
        <f>+'[3]ELpaso SJ &amp; Prm'!$F33</f>
        <v>6.6790000000000003</v>
      </c>
      <c r="I9" s="17">
        <f t="shared" ref="I9:I20" si="0">SUM(D9-H9)*F9</f>
        <v>479570.00000000006</v>
      </c>
      <c r="J9" s="41"/>
      <c r="K9" s="41">
        <f t="shared" ref="K9:K20" si="1">+I9</f>
        <v>479570.00000000006</v>
      </c>
    </row>
    <row r="10" spans="1:11" x14ac:dyDescent="0.2">
      <c r="A10" s="31">
        <v>36923</v>
      </c>
      <c r="B10" s="15"/>
      <c r="C10" s="16" t="s">
        <v>96</v>
      </c>
      <c r="D10" s="32">
        <v>3.585</v>
      </c>
      <c r="E10" s="15"/>
      <c r="F10" s="18">
        <f>-5000*28</f>
        <v>-140000</v>
      </c>
      <c r="G10" s="32"/>
      <c r="H10" s="32">
        <f>+'[3]ELpaso SJ &amp; Prm'!$F34</f>
        <v>6.5030000000000001</v>
      </c>
      <c r="I10" s="17">
        <f t="shared" si="0"/>
        <v>408520</v>
      </c>
      <c r="J10" s="41"/>
      <c r="K10" s="41">
        <f t="shared" si="1"/>
        <v>408520</v>
      </c>
    </row>
    <row r="11" spans="1:11" x14ac:dyDescent="0.2">
      <c r="A11" s="31">
        <v>36951</v>
      </c>
      <c r="B11" s="15"/>
      <c r="C11" s="16" t="s">
        <v>96</v>
      </c>
      <c r="D11" s="32">
        <v>3.585</v>
      </c>
      <c r="E11" s="15"/>
      <c r="F11" s="18">
        <f>-5000*31</f>
        <v>-155000</v>
      </c>
      <c r="G11" s="32"/>
      <c r="H11" s="32">
        <f>+'[3]ELpaso SJ &amp; Prm'!$F35</f>
        <v>5.8810000000000002</v>
      </c>
      <c r="I11" s="17">
        <f t="shared" si="0"/>
        <v>355880.00000000006</v>
      </c>
      <c r="J11" s="41"/>
      <c r="K11" s="41">
        <f t="shared" si="1"/>
        <v>355880.00000000006</v>
      </c>
    </row>
    <row r="12" spans="1:11" x14ac:dyDescent="0.2">
      <c r="A12" s="31">
        <v>36982</v>
      </c>
      <c r="B12" s="15"/>
      <c r="C12" s="16" t="s">
        <v>96</v>
      </c>
      <c r="D12" s="32">
        <v>3.585</v>
      </c>
      <c r="E12" s="15"/>
      <c r="F12" s="18">
        <f>-5000*30</f>
        <v>-150000</v>
      </c>
      <c r="G12" s="32"/>
      <c r="H12" s="32">
        <f>+'[3]ELpaso SJ &amp; Prm'!$F36</f>
        <v>5.1449999999999996</v>
      </c>
      <c r="I12" s="17">
        <f t="shared" si="0"/>
        <v>233999.99999999994</v>
      </c>
      <c r="J12" s="41"/>
      <c r="K12" s="41">
        <f t="shared" si="1"/>
        <v>233999.99999999994</v>
      </c>
    </row>
    <row r="13" spans="1:11" x14ac:dyDescent="0.2">
      <c r="A13" s="31">
        <v>37012</v>
      </c>
      <c r="B13" s="15"/>
      <c r="C13" s="16" t="s">
        <v>96</v>
      </c>
      <c r="D13" s="32">
        <v>3.585</v>
      </c>
      <c r="E13" s="15"/>
      <c r="F13" s="18">
        <f>-5000*31</f>
        <v>-155000</v>
      </c>
      <c r="G13" s="15"/>
      <c r="H13" s="32">
        <f>+'[3]ELpaso SJ &amp; Prm'!$F37</f>
        <v>4.8599999999999994</v>
      </c>
      <c r="I13" s="17">
        <f t="shared" si="0"/>
        <v>197624.99999999991</v>
      </c>
      <c r="J13" s="39"/>
      <c r="K13" s="41">
        <f t="shared" si="1"/>
        <v>197624.99999999991</v>
      </c>
    </row>
    <row r="14" spans="1:11" x14ac:dyDescent="0.2">
      <c r="A14" s="31">
        <v>37043</v>
      </c>
      <c r="B14" s="15"/>
      <c r="C14" s="16" t="s">
        <v>96</v>
      </c>
      <c r="D14" s="32">
        <v>3.585</v>
      </c>
      <c r="E14" s="15"/>
      <c r="F14" s="18">
        <f>-5000*30</f>
        <v>-150000</v>
      </c>
      <c r="G14" s="15"/>
      <c r="H14" s="32">
        <f>+'[3]ELpaso SJ &amp; Prm'!$F38</f>
        <v>4.8450000000000006</v>
      </c>
      <c r="I14" s="17">
        <f t="shared" si="0"/>
        <v>189000.00000000009</v>
      </c>
      <c r="J14" s="39"/>
      <c r="K14" s="41">
        <f t="shared" si="1"/>
        <v>189000.00000000009</v>
      </c>
    </row>
    <row r="15" spans="1:11" x14ac:dyDescent="0.2">
      <c r="A15" s="31">
        <v>37073</v>
      </c>
      <c r="B15" s="15"/>
      <c r="C15" s="16" t="s">
        <v>96</v>
      </c>
      <c r="D15" s="32">
        <v>3.585</v>
      </c>
      <c r="E15" s="15"/>
      <c r="F15" s="18">
        <f>-5000*31</f>
        <v>-155000</v>
      </c>
      <c r="G15" s="15"/>
      <c r="H15" s="32">
        <f>+'[3]ELpaso SJ &amp; Prm'!$F39</f>
        <v>4.8949999999999996</v>
      </c>
      <c r="I15" s="17">
        <f t="shared" si="0"/>
        <v>203049.99999999994</v>
      </c>
      <c r="J15" s="39"/>
      <c r="K15" s="41">
        <f t="shared" si="1"/>
        <v>203049.99999999994</v>
      </c>
    </row>
    <row r="16" spans="1:11" x14ac:dyDescent="0.2">
      <c r="A16" s="31">
        <v>37104</v>
      </c>
      <c r="B16" s="15"/>
      <c r="C16" s="16" t="s">
        <v>96</v>
      </c>
      <c r="D16" s="32">
        <v>3.585</v>
      </c>
      <c r="E16" s="15"/>
      <c r="F16" s="18">
        <f>-5000*31</f>
        <v>-155000</v>
      </c>
      <c r="G16" s="15"/>
      <c r="H16" s="32">
        <f>+'[3]ELpaso SJ &amp; Prm'!$F40</f>
        <v>4.8849999999999998</v>
      </c>
      <c r="I16" s="17">
        <f t="shared" si="0"/>
        <v>201499.99999999997</v>
      </c>
      <c r="J16" s="39"/>
      <c r="K16" s="41">
        <f t="shared" si="1"/>
        <v>201499.99999999997</v>
      </c>
    </row>
    <row r="17" spans="1:11" x14ac:dyDescent="0.2">
      <c r="A17" s="31">
        <v>37135</v>
      </c>
      <c r="B17" s="15"/>
      <c r="C17" s="16" t="s">
        <v>96</v>
      </c>
      <c r="D17" s="32">
        <v>3.585</v>
      </c>
      <c r="E17" s="15"/>
      <c r="F17" s="18">
        <f>-5000*30</f>
        <v>-150000</v>
      </c>
      <c r="G17" s="15"/>
      <c r="H17" s="32">
        <f>+'[3]ELpaso SJ &amp; Prm'!$F41</f>
        <v>4.8699999999999992</v>
      </c>
      <c r="I17" s="17">
        <f t="shared" si="0"/>
        <v>192749.99999999988</v>
      </c>
      <c r="J17" s="39"/>
      <c r="K17" s="41">
        <f t="shared" si="1"/>
        <v>192749.99999999988</v>
      </c>
    </row>
    <row r="18" spans="1:11" x14ac:dyDescent="0.2">
      <c r="A18" s="31">
        <v>37165</v>
      </c>
      <c r="B18" s="15"/>
      <c r="C18" s="16" t="s">
        <v>96</v>
      </c>
      <c r="D18" s="32">
        <v>3.585</v>
      </c>
      <c r="E18" s="15"/>
      <c r="F18" s="18">
        <f>-5000*31</f>
        <v>-155000</v>
      </c>
      <c r="G18" s="15"/>
      <c r="H18" s="32">
        <f>+'[3]ELpaso SJ &amp; Prm'!$F42</f>
        <v>4.8099999999999996</v>
      </c>
      <c r="I18" s="17">
        <f t="shared" si="0"/>
        <v>189874.99999999994</v>
      </c>
      <c r="J18" s="39"/>
      <c r="K18" s="41">
        <f t="shared" si="1"/>
        <v>189874.99999999994</v>
      </c>
    </row>
    <row r="19" spans="1:11" x14ac:dyDescent="0.2">
      <c r="A19" s="31">
        <v>37196</v>
      </c>
      <c r="B19" s="15"/>
      <c r="C19" s="16" t="s">
        <v>96</v>
      </c>
      <c r="D19" s="32">
        <v>3.585</v>
      </c>
      <c r="E19" s="15"/>
      <c r="F19" s="18">
        <f>-5000*30</f>
        <v>-150000</v>
      </c>
      <c r="G19" s="15"/>
      <c r="H19" s="32">
        <f>+'[3]ELpaso SJ &amp; Prm'!$F43</f>
        <v>4.875</v>
      </c>
      <c r="I19" s="17">
        <f t="shared" si="0"/>
        <v>193500</v>
      </c>
      <c r="J19" s="39"/>
      <c r="K19" s="41">
        <f t="shared" si="1"/>
        <v>193500</v>
      </c>
    </row>
    <row r="20" spans="1:11" x14ac:dyDescent="0.2">
      <c r="A20" s="31">
        <v>37226</v>
      </c>
      <c r="B20" s="15"/>
      <c r="C20" s="16" t="s">
        <v>96</v>
      </c>
      <c r="D20" s="32">
        <v>3.585</v>
      </c>
      <c r="E20" s="15"/>
      <c r="F20" s="18">
        <f>-5000*31</f>
        <v>-155000</v>
      </c>
      <c r="G20" s="15"/>
      <c r="H20" s="32">
        <f>+'[3]ELpaso SJ &amp; Prm'!$F44</f>
        <v>4.95</v>
      </c>
      <c r="I20" s="17">
        <f t="shared" si="0"/>
        <v>211575.00000000003</v>
      </c>
      <c r="J20" s="39"/>
      <c r="K20" s="41">
        <f t="shared" si="1"/>
        <v>211575.00000000003</v>
      </c>
    </row>
    <row r="21" spans="1:11" x14ac:dyDescent="0.2">
      <c r="A21" s="31"/>
      <c r="B21" s="15"/>
      <c r="C21" s="16"/>
      <c r="D21" s="32"/>
      <c r="E21" s="15"/>
      <c r="F21" s="18"/>
      <c r="G21" s="15"/>
      <c r="H21" s="32"/>
      <c r="I21" s="17"/>
      <c r="J21" s="39"/>
      <c r="K21" s="41"/>
    </row>
    <row r="22" spans="1:11" x14ac:dyDescent="0.2">
      <c r="A22" s="15"/>
      <c r="B22" s="15"/>
      <c r="C22" s="15"/>
      <c r="D22" s="15"/>
      <c r="E22" s="15"/>
      <c r="F22" s="21">
        <f>SUM(F9:F20)</f>
        <v>-1825000</v>
      </c>
      <c r="G22" s="15"/>
      <c r="H22" s="15"/>
      <c r="I22" s="35">
        <f>SUM(I9:I20)</f>
        <v>3056845</v>
      </c>
      <c r="J22" s="35">
        <f>SUM(J9:J20)</f>
        <v>0</v>
      </c>
      <c r="K22" s="35">
        <f>SUM(K9:K20)</f>
        <v>3056845</v>
      </c>
    </row>
    <row r="23" spans="1:11" x14ac:dyDescent="0.2">
      <c r="A23" s="15"/>
      <c r="B23" s="15"/>
      <c r="C23" s="15"/>
      <c r="D23" s="15"/>
      <c r="E23" s="15"/>
      <c r="F23" s="38"/>
      <c r="G23" s="15"/>
      <c r="H23" s="15"/>
      <c r="I23" s="54"/>
      <c r="J23" s="47"/>
      <c r="K23" s="47"/>
    </row>
    <row r="24" spans="1:11" x14ac:dyDescent="0.2">
      <c r="A24" s="15"/>
      <c r="B24" s="15"/>
      <c r="C24" s="15"/>
      <c r="D24" s="15"/>
      <c r="E24" s="15"/>
      <c r="F24" s="15"/>
      <c r="G24" s="50" t="s">
        <v>74</v>
      </c>
      <c r="H24" s="36"/>
      <c r="I24" s="15"/>
      <c r="J24" s="39"/>
      <c r="K24" s="39"/>
    </row>
    <row r="25" spans="1:11" x14ac:dyDescent="0.2">
      <c r="A25" s="15"/>
      <c r="B25" s="15"/>
      <c r="C25" s="15"/>
      <c r="D25" s="32"/>
      <c r="E25" s="15"/>
      <c r="F25" s="15"/>
      <c r="G25" s="49"/>
      <c r="H25" s="36"/>
      <c r="I25" s="15"/>
      <c r="J25" s="39"/>
      <c r="K25" s="39"/>
    </row>
    <row r="26" spans="1:11" x14ac:dyDescent="0.2">
      <c r="A26" s="31">
        <v>36892</v>
      </c>
      <c r="B26" s="15"/>
      <c r="C26" s="16" t="s">
        <v>46</v>
      </c>
      <c r="D26" s="32">
        <v>3.585</v>
      </c>
      <c r="E26" s="15"/>
      <c r="F26" s="18">
        <f>5000*31</f>
        <v>155000</v>
      </c>
      <c r="G26" s="32"/>
      <c r="H26" s="32">
        <f>+'[3]ELpaso SJ &amp; Prm'!$F33</f>
        <v>6.6790000000000003</v>
      </c>
      <c r="I26" s="17">
        <f>(+D26-H26)*F26</f>
        <v>-479570.00000000006</v>
      </c>
      <c r="J26" s="41"/>
      <c r="K26" s="41">
        <f t="shared" ref="K26:K37" si="2">+I26</f>
        <v>-479570.00000000006</v>
      </c>
    </row>
    <row r="27" spans="1:11" x14ac:dyDescent="0.2">
      <c r="A27" s="31">
        <v>36923</v>
      </c>
      <c r="B27" s="15"/>
      <c r="C27" s="16" t="s">
        <v>46</v>
      </c>
      <c r="D27" s="32">
        <v>3.585</v>
      </c>
      <c r="E27" s="15"/>
      <c r="F27" s="18">
        <f>5000*28</f>
        <v>140000</v>
      </c>
      <c r="G27" s="61"/>
      <c r="H27" s="32">
        <f>+'[3]ELpaso SJ &amp; Prm'!$F34</f>
        <v>6.5030000000000001</v>
      </c>
      <c r="I27" s="17">
        <f t="shared" ref="I27:I37" si="3">(+D27-H27)*F27</f>
        <v>-408520</v>
      </c>
      <c r="J27" s="41"/>
      <c r="K27" s="41">
        <f t="shared" si="2"/>
        <v>-408520</v>
      </c>
    </row>
    <row r="28" spans="1:11" x14ac:dyDescent="0.2">
      <c r="A28" s="31">
        <v>36951</v>
      </c>
      <c r="B28" s="15"/>
      <c r="C28" s="16" t="s">
        <v>46</v>
      </c>
      <c r="D28" s="32">
        <v>3.585</v>
      </c>
      <c r="E28" s="15"/>
      <c r="F28" s="18">
        <f>5000*31</f>
        <v>155000</v>
      </c>
      <c r="G28" s="61"/>
      <c r="H28" s="32">
        <f>+'[3]ELpaso SJ &amp; Prm'!$F35</f>
        <v>5.8810000000000002</v>
      </c>
      <c r="I28" s="17">
        <f t="shared" si="3"/>
        <v>-355880.00000000006</v>
      </c>
      <c r="J28" s="41"/>
      <c r="K28" s="41">
        <f t="shared" si="2"/>
        <v>-355880.00000000006</v>
      </c>
    </row>
    <row r="29" spans="1:11" x14ac:dyDescent="0.2">
      <c r="A29" s="31">
        <v>36982</v>
      </c>
      <c r="B29" s="15"/>
      <c r="C29" s="16" t="s">
        <v>46</v>
      </c>
      <c r="D29" s="32">
        <v>3.585</v>
      </c>
      <c r="E29" s="15"/>
      <c r="F29" s="18">
        <f>5000*30</f>
        <v>150000</v>
      </c>
      <c r="G29" s="61"/>
      <c r="H29" s="32">
        <f>+'[3]ELpaso SJ &amp; Prm'!$F36</f>
        <v>5.1449999999999996</v>
      </c>
      <c r="I29" s="17">
        <f t="shared" si="3"/>
        <v>-233999.99999999994</v>
      </c>
      <c r="J29" s="41"/>
      <c r="K29" s="41">
        <f t="shared" si="2"/>
        <v>-233999.99999999994</v>
      </c>
    </row>
    <row r="30" spans="1:11" x14ac:dyDescent="0.2">
      <c r="A30" s="31">
        <v>37012</v>
      </c>
      <c r="B30" s="15"/>
      <c r="C30" s="16" t="s">
        <v>46</v>
      </c>
      <c r="D30" s="32">
        <v>3.585</v>
      </c>
      <c r="E30" s="15"/>
      <c r="F30" s="18">
        <f>5000*31</f>
        <v>155000</v>
      </c>
      <c r="G30" s="15"/>
      <c r="H30" s="32">
        <f>+'[3]ELpaso SJ &amp; Prm'!$F37</f>
        <v>4.8599999999999994</v>
      </c>
      <c r="I30" s="17">
        <f t="shared" si="3"/>
        <v>-197624.99999999991</v>
      </c>
      <c r="J30" s="39"/>
      <c r="K30" s="41">
        <f t="shared" si="2"/>
        <v>-197624.99999999991</v>
      </c>
    </row>
    <row r="31" spans="1:11" x14ac:dyDescent="0.2">
      <c r="A31" s="31">
        <v>37043</v>
      </c>
      <c r="B31" s="15"/>
      <c r="C31" s="16" t="s">
        <v>46</v>
      </c>
      <c r="D31" s="32">
        <v>3.585</v>
      </c>
      <c r="E31" s="15"/>
      <c r="F31" s="18">
        <f>5000*30</f>
        <v>150000</v>
      </c>
      <c r="G31" s="15"/>
      <c r="H31" s="32">
        <f>+'[3]ELpaso SJ &amp; Prm'!$F38</f>
        <v>4.8450000000000006</v>
      </c>
      <c r="I31" s="17">
        <f t="shared" si="3"/>
        <v>-189000.00000000009</v>
      </c>
      <c r="J31" s="39"/>
      <c r="K31" s="41">
        <f t="shared" si="2"/>
        <v>-189000.00000000009</v>
      </c>
    </row>
    <row r="32" spans="1:11" x14ac:dyDescent="0.2">
      <c r="A32" s="31">
        <v>37073</v>
      </c>
      <c r="B32" s="15"/>
      <c r="C32" s="16" t="s">
        <v>46</v>
      </c>
      <c r="D32" s="32">
        <v>3.585</v>
      </c>
      <c r="E32" s="15"/>
      <c r="F32" s="18">
        <f>5000*31</f>
        <v>155000</v>
      </c>
      <c r="G32" s="15"/>
      <c r="H32" s="32">
        <f>+'[3]ELpaso SJ &amp; Prm'!$F39</f>
        <v>4.8949999999999996</v>
      </c>
      <c r="I32" s="17">
        <f t="shared" si="3"/>
        <v>-203049.99999999994</v>
      </c>
      <c r="J32" s="39"/>
      <c r="K32" s="41">
        <f t="shared" si="2"/>
        <v>-203049.99999999994</v>
      </c>
    </row>
    <row r="33" spans="1:11" x14ac:dyDescent="0.2">
      <c r="A33" s="31">
        <v>37104</v>
      </c>
      <c r="B33" s="15"/>
      <c r="C33" s="16" t="s">
        <v>46</v>
      </c>
      <c r="D33" s="32">
        <v>3.585</v>
      </c>
      <c r="E33" s="15"/>
      <c r="F33" s="18">
        <f>5000*31</f>
        <v>155000</v>
      </c>
      <c r="G33" s="15"/>
      <c r="H33" s="32">
        <f>+'[3]ELpaso SJ &amp; Prm'!$F40</f>
        <v>4.8849999999999998</v>
      </c>
      <c r="I33" s="17">
        <f t="shared" si="3"/>
        <v>-201499.99999999997</v>
      </c>
      <c r="J33" s="39"/>
      <c r="K33" s="41">
        <f t="shared" si="2"/>
        <v>-201499.99999999997</v>
      </c>
    </row>
    <row r="34" spans="1:11" x14ac:dyDescent="0.2">
      <c r="A34" s="31">
        <v>37135</v>
      </c>
      <c r="B34" s="15"/>
      <c r="C34" s="16" t="s">
        <v>46</v>
      </c>
      <c r="D34" s="32">
        <v>3.585</v>
      </c>
      <c r="E34" s="15"/>
      <c r="F34" s="18">
        <f>5000*30</f>
        <v>150000</v>
      </c>
      <c r="G34" s="15"/>
      <c r="H34" s="32">
        <f>+'[3]ELpaso SJ &amp; Prm'!$F41</f>
        <v>4.8699999999999992</v>
      </c>
      <c r="I34" s="17">
        <f t="shared" si="3"/>
        <v>-192749.99999999988</v>
      </c>
      <c r="J34" s="39"/>
      <c r="K34" s="41">
        <f t="shared" si="2"/>
        <v>-192749.99999999988</v>
      </c>
    </row>
    <row r="35" spans="1:11" x14ac:dyDescent="0.2">
      <c r="A35" s="31">
        <v>37165</v>
      </c>
      <c r="B35" s="15"/>
      <c r="C35" s="16" t="s">
        <v>46</v>
      </c>
      <c r="D35" s="32">
        <v>3.585</v>
      </c>
      <c r="E35" s="15"/>
      <c r="F35" s="18">
        <f>5000*31</f>
        <v>155000</v>
      </c>
      <c r="G35" s="15"/>
      <c r="H35" s="32">
        <f>+'[3]ELpaso SJ &amp; Prm'!$F42</f>
        <v>4.8099999999999996</v>
      </c>
      <c r="I35" s="17">
        <f t="shared" si="3"/>
        <v>-189874.99999999994</v>
      </c>
      <c r="J35" s="39"/>
      <c r="K35" s="41">
        <f t="shared" si="2"/>
        <v>-189874.99999999994</v>
      </c>
    </row>
    <row r="36" spans="1:11" x14ac:dyDescent="0.2">
      <c r="A36" s="31">
        <v>37196</v>
      </c>
      <c r="B36" s="15"/>
      <c r="C36" s="16" t="s">
        <v>46</v>
      </c>
      <c r="D36" s="32">
        <v>3.585</v>
      </c>
      <c r="E36" s="15"/>
      <c r="F36" s="18">
        <f>5000*30</f>
        <v>150000</v>
      </c>
      <c r="G36" s="15"/>
      <c r="H36" s="32">
        <f>+'[3]ELpaso SJ &amp; Prm'!$F43</f>
        <v>4.875</v>
      </c>
      <c r="I36" s="17">
        <f t="shared" si="3"/>
        <v>-193500</v>
      </c>
      <c r="J36" s="39"/>
      <c r="K36" s="41">
        <f t="shared" si="2"/>
        <v>-193500</v>
      </c>
    </row>
    <row r="37" spans="1:11" x14ac:dyDescent="0.2">
      <c r="A37" s="31">
        <v>37226</v>
      </c>
      <c r="B37" s="15"/>
      <c r="C37" s="16" t="s">
        <v>46</v>
      </c>
      <c r="D37" s="32">
        <v>3.585</v>
      </c>
      <c r="E37" s="15"/>
      <c r="F37" s="18">
        <f>5000*31</f>
        <v>155000</v>
      </c>
      <c r="G37" s="15"/>
      <c r="H37" s="32">
        <f>+'[3]ELpaso SJ &amp; Prm'!$F44</f>
        <v>4.95</v>
      </c>
      <c r="I37" s="17">
        <f t="shared" si="3"/>
        <v>-211575.00000000003</v>
      </c>
      <c r="J37" s="39"/>
      <c r="K37" s="41">
        <f t="shared" si="2"/>
        <v>-211575.00000000003</v>
      </c>
    </row>
    <row r="38" spans="1:11" x14ac:dyDescent="0.2">
      <c r="A38" s="31"/>
      <c r="B38" s="15"/>
      <c r="C38" s="16"/>
      <c r="D38" s="32"/>
      <c r="E38" s="15"/>
      <c r="F38" s="18"/>
      <c r="G38" s="15"/>
      <c r="H38" s="32"/>
      <c r="I38" s="37"/>
      <c r="J38" s="39"/>
      <c r="K38" s="41"/>
    </row>
    <row r="39" spans="1:11" x14ac:dyDescent="0.2">
      <c r="A39" s="15"/>
      <c r="B39" s="15"/>
      <c r="C39" s="15"/>
      <c r="D39" s="15"/>
      <c r="E39" s="15"/>
      <c r="F39" s="21">
        <f>SUM(F26:F38)</f>
        <v>1825000</v>
      </c>
      <c r="G39" s="15"/>
      <c r="H39" s="15"/>
      <c r="I39" s="33">
        <f>SUM(I26:I38)</f>
        <v>-3056845</v>
      </c>
      <c r="J39" s="33">
        <f>SUM(J26:J38)</f>
        <v>0</v>
      </c>
      <c r="K39" s="33">
        <f>SUM(K26:K38)</f>
        <v>-3056845</v>
      </c>
    </row>
    <row r="40" spans="1:11" x14ac:dyDescent="0.2">
      <c r="A40" s="15"/>
      <c r="B40" s="15"/>
      <c r="C40" s="15"/>
      <c r="D40" s="15"/>
      <c r="E40" s="15"/>
      <c r="F40" s="15"/>
      <c r="G40" s="15"/>
      <c r="H40" s="15"/>
      <c r="I40" s="15"/>
      <c r="J40" s="39"/>
      <c r="K40" s="39"/>
    </row>
    <row r="41" spans="1:11" ht="13.5" thickBot="1" x14ac:dyDescent="0.25">
      <c r="A41" s="15"/>
      <c r="B41" s="15"/>
      <c r="C41" s="15"/>
      <c r="D41" s="15"/>
      <c r="E41" s="15"/>
      <c r="F41" s="23">
        <f>+F39+F22</f>
        <v>0</v>
      </c>
      <c r="G41" s="15"/>
      <c r="H41" s="15"/>
      <c r="I41" s="34">
        <f>+I39+I22</f>
        <v>0</v>
      </c>
      <c r="J41" s="34">
        <f>+J39+J22</f>
        <v>0</v>
      </c>
      <c r="K41" s="34">
        <f>+K39+K22</f>
        <v>0</v>
      </c>
    </row>
    <row r="42" spans="1:11" ht="13.5" thickTop="1" x14ac:dyDescent="0.2">
      <c r="A42" s="26"/>
      <c r="B42" s="26"/>
      <c r="C42" s="26"/>
      <c r="D42" s="26"/>
      <c r="E42" s="26"/>
      <c r="F42" s="26"/>
      <c r="G42" s="26"/>
      <c r="H42" s="26"/>
      <c r="I42" s="26"/>
      <c r="J42" s="40"/>
      <c r="K42" s="40"/>
    </row>
    <row r="44" spans="1:11" x14ac:dyDescent="0.2">
      <c r="A44" s="29" t="s">
        <v>47</v>
      </c>
    </row>
  </sheetData>
  <pageMargins left="0.75" right="0.75" top="1" bottom="1" header="0.5" footer="0.5"/>
  <pageSetup scale="83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0"/>
  <sheetViews>
    <sheetView workbookViewId="0">
      <selection activeCell="F11" sqref="F11"/>
    </sheetView>
  </sheetViews>
  <sheetFormatPr defaultRowHeight="12.75" x14ac:dyDescent="0.2"/>
  <cols>
    <col min="1" max="1" width="10.7109375" customWidth="1"/>
    <col min="2" max="2" width="14.2851562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2.5703125" style="209" customWidth="1"/>
    <col min="9" max="9" width="15.42578125" customWidth="1"/>
    <col min="10" max="10" width="14.42578125" customWidth="1"/>
    <col min="11" max="11" width="15.42578125" customWidth="1"/>
  </cols>
  <sheetData>
    <row r="1" spans="1:12" s="2" customFormat="1" ht="15" x14ac:dyDescent="0.2">
      <c r="A1" s="1" t="s">
        <v>78</v>
      </c>
      <c r="B1" s="1"/>
      <c r="C1" s="1"/>
      <c r="D1" s="1"/>
      <c r="E1" s="1"/>
      <c r="F1" s="1"/>
      <c r="G1" s="1"/>
      <c r="H1" s="207"/>
      <c r="I1" s="1"/>
      <c r="J1" s="1"/>
      <c r="K1" s="1"/>
    </row>
    <row r="2" spans="1:12" s="2" customFormat="1" ht="15" x14ac:dyDescent="0.2">
      <c r="A2" s="1" t="s">
        <v>155</v>
      </c>
      <c r="B2" s="1"/>
      <c r="C2" s="1"/>
      <c r="D2" s="1"/>
      <c r="E2" s="1"/>
      <c r="F2" s="1"/>
      <c r="G2" s="1"/>
      <c r="H2" s="207"/>
      <c r="I2" s="1"/>
      <c r="J2" s="1"/>
      <c r="K2" s="1"/>
    </row>
    <row r="3" spans="1:12" s="4" customFormat="1" ht="15.75" x14ac:dyDescent="0.25">
      <c r="A3" s="238" t="s">
        <v>152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</row>
    <row r="4" spans="1:12" s="4" customFormat="1" ht="15.75" x14ac:dyDescent="0.25">
      <c r="A4" s="3"/>
      <c r="B4" s="3"/>
      <c r="C4" s="3"/>
      <c r="D4" s="3"/>
      <c r="E4" s="3"/>
      <c r="F4" s="3"/>
      <c r="G4" s="3"/>
      <c r="H4" s="208"/>
      <c r="I4" s="3"/>
    </row>
    <row r="6" spans="1:12" s="7" customFormat="1" x14ac:dyDescent="0.2">
      <c r="A6" s="5" t="s">
        <v>52</v>
      </c>
      <c r="B6" s="6" t="s">
        <v>5</v>
      </c>
      <c r="C6" s="6" t="s">
        <v>5</v>
      </c>
      <c r="D6" s="6"/>
      <c r="E6" s="6"/>
      <c r="F6" s="6" t="s">
        <v>20</v>
      </c>
      <c r="G6" s="6"/>
      <c r="H6" s="210"/>
      <c r="I6" s="55" t="s">
        <v>55</v>
      </c>
      <c r="J6" s="56"/>
      <c r="K6" s="57"/>
    </row>
    <row r="7" spans="1:12" s="7" customFormat="1" x14ac:dyDescent="0.2">
      <c r="A7" s="8" t="s">
        <v>56</v>
      </c>
      <c r="B7" s="9" t="s">
        <v>14</v>
      </c>
      <c r="C7" s="9" t="s">
        <v>13</v>
      </c>
      <c r="D7" s="9" t="s">
        <v>156</v>
      </c>
      <c r="E7" s="9"/>
      <c r="F7" s="9" t="s">
        <v>57</v>
      </c>
      <c r="G7" s="9" t="s">
        <v>157</v>
      </c>
      <c r="H7" s="211"/>
      <c r="I7" s="9" t="s">
        <v>26</v>
      </c>
      <c r="J7" s="9" t="s">
        <v>27</v>
      </c>
      <c r="K7" s="10" t="s">
        <v>28</v>
      </c>
    </row>
    <row r="8" spans="1:12" x14ac:dyDescent="0.2">
      <c r="A8" s="11"/>
      <c r="B8" s="12"/>
      <c r="C8" s="12"/>
      <c r="D8" s="212" t="s">
        <v>158</v>
      </c>
      <c r="E8" s="12"/>
      <c r="F8" s="12"/>
      <c r="G8" s="51" t="s">
        <v>159</v>
      </c>
      <c r="H8" s="213" t="s">
        <v>160</v>
      </c>
      <c r="I8" s="58" t="s">
        <v>31</v>
      </c>
      <c r="J8" s="58" t="s">
        <v>31</v>
      </c>
      <c r="K8" s="59" t="s">
        <v>31</v>
      </c>
    </row>
    <row r="9" spans="1:12" s="223" customFormat="1" x14ac:dyDescent="0.2">
      <c r="A9" s="214">
        <v>36831</v>
      </c>
      <c r="B9" s="215" t="s">
        <v>152</v>
      </c>
      <c r="C9" s="216" t="s">
        <v>161</v>
      </c>
      <c r="D9" s="217">
        <f>(0.94*0.65703/1.055056)+[5]Aeco!$E11</f>
        <v>5.2720999808866207</v>
      </c>
      <c r="E9" s="215"/>
      <c r="F9" s="218">
        <f t="shared" ref="F9:F32" si="0">59145330/24*1.055056</f>
        <v>2600068.1370199998</v>
      </c>
      <c r="G9" s="217">
        <f>(0.9*0.65703/1.055056)+[5]Aeco!$E11</f>
        <v>5.2471902130638703</v>
      </c>
      <c r="H9" s="219">
        <f>+G9-D9</f>
        <v>-2.4909767822750339E-2</v>
      </c>
      <c r="I9" s="220">
        <f>+H9*F9</f>
        <v>-64767.093616499209</v>
      </c>
      <c r="J9" s="221">
        <f>+I9</f>
        <v>-64767.093616499209</v>
      </c>
      <c r="K9" s="221"/>
      <c r="L9" s="222"/>
    </row>
    <row r="10" spans="1:12" x14ac:dyDescent="0.2">
      <c r="A10" s="31">
        <v>36861</v>
      </c>
      <c r="B10" s="215" t="s">
        <v>152</v>
      </c>
      <c r="C10" s="16" t="s">
        <v>161</v>
      </c>
      <c r="D10" s="217">
        <f>(0.94*0.6518/1.055056)+[3]Aeco!$E11</f>
        <v>5.9504134891543607</v>
      </c>
      <c r="E10" s="215"/>
      <c r="F10" s="218">
        <f t="shared" si="0"/>
        <v>2600068.1370199998</v>
      </c>
      <c r="G10" s="217">
        <f>(0.9*0.6518/1.055056)+[3]Aeco!$E11</f>
        <v>5.9257020046454816</v>
      </c>
      <c r="H10" s="224">
        <f t="shared" ref="H10:H32" si="1">+G10-D10</f>
        <v>-2.4711484508879167E-2</v>
      </c>
      <c r="I10" s="225">
        <f t="shared" ref="I10:I32" si="2">+H10*F10</f>
        <v>-64251.54349000004</v>
      </c>
      <c r="J10" s="41"/>
      <c r="K10" s="41">
        <f t="shared" ref="K10:K32" si="3">+I10</f>
        <v>-64251.54349000004</v>
      </c>
      <c r="L10" s="169"/>
    </row>
    <row r="11" spans="1:12" x14ac:dyDescent="0.2">
      <c r="A11" s="31">
        <v>36892</v>
      </c>
      <c r="B11" s="215" t="s">
        <v>152</v>
      </c>
      <c r="C11" s="16" t="s">
        <v>161</v>
      </c>
      <c r="D11" s="217">
        <f>(0.94*0.6518/1.055056)+[3]Aeco!$E12</f>
        <v>6.8445789404682404</v>
      </c>
      <c r="E11" s="15"/>
      <c r="F11" s="226">
        <f t="shared" si="0"/>
        <v>2600068.1370199998</v>
      </c>
      <c r="G11" s="217">
        <f>(0.9*0.6518/1.055056)+[3]Aeco!$E12</f>
        <v>6.8198674559593622</v>
      </c>
      <c r="H11" s="224">
        <f t="shared" si="1"/>
        <v>-2.4711484508878279E-2</v>
      </c>
      <c r="I11" s="225">
        <f t="shared" si="2"/>
        <v>-64251.543489997734</v>
      </c>
      <c r="J11" s="41"/>
      <c r="K11" s="41">
        <f t="shared" si="3"/>
        <v>-64251.543489997734</v>
      </c>
      <c r="L11" s="169"/>
    </row>
    <row r="12" spans="1:12" x14ac:dyDescent="0.2">
      <c r="A12" s="31">
        <v>36923</v>
      </c>
      <c r="B12" s="215" t="s">
        <v>152</v>
      </c>
      <c r="C12" s="16" t="s">
        <v>161</v>
      </c>
      <c r="D12" s="217">
        <f>(0.94*0.6518/1.055056)+[3]Aeco!$E13</f>
        <v>6.7098716102465499</v>
      </c>
      <c r="E12" s="15"/>
      <c r="F12" s="226">
        <f t="shared" si="0"/>
        <v>2600068.1370199998</v>
      </c>
      <c r="G12" s="217">
        <f>(0.9*0.6518/1.055056)+[3]Aeco!$E13</f>
        <v>6.6851601257376716</v>
      </c>
      <c r="H12" s="224">
        <f t="shared" si="1"/>
        <v>-2.4711484508878279E-2</v>
      </c>
      <c r="I12" s="225">
        <f t="shared" si="2"/>
        <v>-64251.543489997734</v>
      </c>
      <c r="J12" s="41"/>
      <c r="K12" s="41">
        <f t="shared" si="3"/>
        <v>-64251.543489997734</v>
      </c>
      <c r="L12" s="169"/>
    </row>
    <row r="13" spans="1:12" x14ac:dyDescent="0.2">
      <c r="A13" s="31">
        <v>36951</v>
      </c>
      <c r="B13" s="215" t="s">
        <v>152</v>
      </c>
      <c r="C13" s="16" t="s">
        <v>161</v>
      </c>
      <c r="D13" s="217">
        <f>(0.94*0.6518/1.055056)+[3]Aeco!$E14</f>
        <v>6.1418475855299111</v>
      </c>
      <c r="E13" s="15"/>
      <c r="F13" s="226">
        <f t="shared" si="0"/>
        <v>2600068.1370199998</v>
      </c>
      <c r="G13" s="217">
        <f>(0.9*0.6518/1.055056)+[3]Aeco!$E14</f>
        <v>6.1171361010210319</v>
      </c>
      <c r="H13" s="224">
        <f t="shared" si="1"/>
        <v>-2.4711484508879167E-2</v>
      </c>
      <c r="I13" s="225">
        <f t="shared" si="2"/>
        <v>-64251.54349000004</v>
      </c>
      <c r="J13" s="41"/>
      <c r="K13" s="41">
        <f t="shared" si="3"/>
        <v>-64251.54349000004</v>
      </c>
      <c r="L13" s="169"/>
    </row>
    <row r="14" spans="1:12" x14ac:dyDescent="0.2">
      <c r="A14" s="31">
        <v>36982</v>
      </c>
      <c r="B14" s="215" t="s">
        <v>152</v>
      </c>
      <c r="C14" s="16" t="s">
        <v>161</v>
      </c>
      <c r="D14" s="217">
        <f>(0.94*0.6518/1.055056)+[3]Aeco!$E15</f>
        <v>5.4632198859586598</v>
      </c>
      <c r="E14" s="15"/>
      <c r="F14" s="226">
        <f t="shared" si="0"/>
        <v>2600068.1370199998</v>
      </c>
      <c r="G14" s="217">
        <f>(0.9*0.6518/1.055056)+[3]Aeco!$E15</f>
        <v>5.4385084014497815</v>
      </c>
      <c r="H14" s="224">
        <f t="shared" si="1"/>
        <v>-2.4711484508878279E-2</v>
      </c>
      <c r="I14" s="225">
        <f t="shared" si="2"/>
        <v>-64251.543489997734</v>
      </c>
      <c r="J14" s="41"/>
      <c r="K14" s="41">
        <f t="shared" si="3"/>
        <v>-64251.543489997734</v>
      </c>
      <c r="L14" s="169"/>
    </row>
    <row r="15" spans="1:12" x14ac:dyDescent="0.2">
      <c r="A15" s="31">
        <v>37012</v>
      </c>
      <c r="B15" s="215" t="s">
        <v>152</v>
      </c>
      <c r="C15" s="16" t="s">
        <v>161</v>
      </c>
      <c r="D15" s="217">
        <f>(0.94*0.6518/1.055056)+[3]Aeco!$E16</f>
        <v>5.1882198859586595</v>
      </c>
      <c r="E15" s="15"/>
      <c r="F15" s="226">
        <f t="shared" si="0"/>
        <v>2600068.1370199998</v>
      </c>
      <c r="G15" s="217">
        <f>(0.9*0.6518/1.055056)+[3]Aeco!$E16</f>
        <v>5.1635084014497812</v>
      </c>
      <c r="H15" s="224">
        <f t="shared" si="1"/>
        <v>-2.4711484508878279E-2</v>
      </c>
      <c r="I15" s="225">
        <f t="shared" si="2"/>
        <v>-64251.543489997734</v>
      </c>
      <c r="J15" s="41"/>
      <c r="K15" s="41">
        <f t="shared" si="3"/>
        <v>-64251.543489997734</v>
      </c>
      <c r="L15" s="169"/>
    </row>
    <row r="16" spans="1:12" x14ac:dyDescent="0.2">
      <c r="A16" s="31">
        <v>37043</v>
      </c>
      <c r="B16" s="215" t="s">
        <v>152</v>
      </c>
      <c r="C16" s="16" t="s">
        <v>161</v>
      </c>
      <c r="D16" s="217">
        <f>(0.94*0.6518/1.055056)+[3]Aeco!$E17</f>
        <v>5.1532198859586611</v>
      </c>
      <c r="E16" s="15"/>
      <c r="F16" s="226">
        <f t="shared" si="0"/>
        <v>2600068.1370199998</v>
      </c>
      <c r="G16" s="217">
        <f>(0.9*0.6518/1.055056)+[3]Aeco!$E17</f>
        <v>5.1285084014497819</v>
      </c>
      <c r="H16" s="224">
        <f t="shared" si="1"/>
        <v>-2.4711484508879167E-2</v>
      </c>
      <c r="I16" s="225">
        <f t="shared" si="2"/>
        <v>-64251.54349000004</v>
      </c>
      <c r="J16" s="41"/>
      <c r="K16" s="41">
        <f t="shared" si="3"/>
        <v>-64251.54349000004</v>
      </c>
      <c r="L16" s="169"/>
    </row>
    <row r="17" spans="1:12" x14ac:dyDescent="0.2">
      <c r="A17" s="31">
        <v>37073</v>
      </c>
      <c r="B17" s="215" t="s">
        <v>152</v>
      </c>
      <c r="C17" s="16" t="s">
        <v>161</v>
      </c>
      <c r="D17" s="217">
        <f>(0.94*0.6518/1.055056)+[3]Aeco!$E18</f>
        <v>5.1332198859586597</v>
      </c>
      <c r="E17" s="15"/>
      <c r="F17" s="226">
        <f t="shared" si="0"/>
        <v>2600068.1370199998</v>
      </c>
      <c r="G17" s="217">
        <f>(0.9*0.6518/1.055056)+[3]Aeco!$E18</f>
        <v>5.1085084014497815</v>
      </c>
      <c r="H17" s="224">
        <f t="shared" si="1"/>
        <v>-2.4711484508878279E-2</v>
      </c>
      <c r="I17" s="225">
        <f t="shared" si="2"/>
        <v>-64251.543489997734</v>
      </c>
      <c r="J17" s="41"/>
      <c r="K17" s="41">
        <f t="shared" si="3"/>
        <v>-64251.543489997734</v>
      </c>
      <c r="L17" s="169"/>
    </row>
    <row r="18" spans="1:12" x14ac:dyDescent="0.2">
      <c r="A18" s="31">
        <v>37104</v>
      </c>
      <c r="B18" s="215" t="s">
        <v>152</v>
      </c>
      <c r="C18" s="16" t="s">
        <v>161</v>
      </c>
      <c r="D18" s="217">
        <f>(0.94*0.6518/1.055056)+[3]Aeco!$E19</f>
        <v>5.1132198859586602</v>
      </c>
      <c r="E18" s="15"/>
      <c r="F18" s="226">
        <f t="shared" si="0"/>
        <v>2600068.1370199998</v>
      </c>
      <c r="G18" s="217">
        <f>(0.9*0.6518/1.055056)+[3]Aeco!$E19</f>
        <v>5.0885084014497819</v>
      </c>
      <c r="H18" s="224">
        <f t="shared" si="1"/>
        <v>-2.4711484508878279E-2</v>
      </c>
      <c r="I18" s="225">
        <f t="shared" si="2"/>
        <v>-64251.543489997734</v>
      </c>
      <c r="J18" s="41"/>
      <c r="K18" s="41">
        <f t="shared" si="3"/>
        <v>-64251.543489997734</v>
      </c>
      <c r="L18" s="169"/>
    </row>
    <row r="19" spans="1:12" x14ac:dyDescent="0.2">
      <c r="A19" s="31">
        <v>37135</v>
      </c>
      <c r="B19" s="215" t="s">
        <v>152</v>
      </c>
      <c r="C19" s="16" t="s">
        <v>161</v>
      </c>
      <c r="D19" s="217">
        <f>(0.94*0.6518/1.055056)+[3]Aeco!$E20</f>
        <v>5.0982198859586596</v>
      </c>
      <c r="E19" s="15"/>
      <c r="F19" s="226">
        <f t="shared" si="0"/>
        <v>2600068.1370199998</v>
      </c>
      <c r="G19" s="217">
        <f>(0.9*0.6518/1.055056)+[3]Aeco!$E20</f>
        <v>5.0735084014497813</v>
      </c>
      <c r="H19" s="224">
        <f t="shared" si="1"/>
        <v>-2.4711484508878279E-2</v>
      </c>
      <c r="I19" s="225">
        <f t="shared" si="2"/>
        <v>-64251.543489997734</v>
      </c>
      <c r="J19" s="41"/>
      <c r="K19" s="41">
        <f t="shared" si="3"/>
        <v>-64251.543489997734</v>
      </c>
      <c r="L19" s="169"/>
    </row>
    <row r="20" spans="1:12" x14ac:dyDescent="0.2">
      <c r="A20" s="31">
        <v>37165</v>
      </c>
      <c r="B20" s="215" t="s">
        <v>152</v>
      </c>
      <c r="C20" s="16" t="s">
        <v>161</v>
      </c>
      <c r="D20" s="217">
        <f>(0.94*0.6518/1.055056)+[3]Aeco!$E21</f>
        <v>5.0882198859586598</v>
      </c>
      <c r="E20" s="15"/>
      <c r="F20" s="226">
        <f t="shared" si="0"/>
        <v>2600068.1370199998</v>
      </c>
      <c r="G20" s="217">
        <f>(0.9*0.6518/1.055056)+[3]Aeco!$E21</f>
        <v>5.0635084014497815</v>
      </c>
      <c r="H20" s="224">
        <f t="shared" si="1"/>
        <v>-2.4711484508878279E-2</v>
      </c>
      <c r="I20" s="225">
        <f t="shared" si="2"/>
        <v>-64251.543489997734</v>
      </c>
      <c r="J20" s="41"/>
      <c r="K20" s="41">
        <f t="shared" si="3"/>
        <v>-64251.543489997734</v>
      </c>
      <c r="L20" s="169"/>
    </row>
    <row r="21" spans="1:12" x14ac:dyDescent="0.2">
      <c r="A21" s="31">
        <v>37196</v>
      </c>
      <c r="B21" s="215" t="s">
        <v>152</v>
      </c>
      <c r="C21" s="16" t="s">
        <v>161</v>
      </c>
      <c r="D21" s="217">
        <f>(0.94*0.6518/1.055056)+[3]Aeco!$E22</f>
        <v>5.2807198859586606</v>
      </c>
      <c r="E21" s="15"/>
      <c r="F21" s="226">
        <f t="shared" si="0"/>
        <v>2600068.1370199998</v>
      </c>
      <c r="G21" s="217">
        <f>(0.9*0.6518/1.055056)+[3]Aeco!$E22</f>
        <v>5.2560084014497814</v>
      </c>
      <c r="H21" s="224">
        <f t="shared" si="1"/>
        <v>-2.4711484508879167E-2</v>
      </c>
      <c r="I21" s="225">
        <f t="shared" si="2"/>
        <v>-64251.54349000004</v>
      </c>
      <c r="J21" s="41"/>
      <c r="K21" s="41">
        <f t="shared" si="3"/>
        <v>-64251.54349000004</v>
      </c>
      <c r="L21" s="169"/>
    </row>
    <row r="22" spans="1:12" x14ac:dyDescent="0.2">
      <c r="A22" s="31">
        <v>37226</v>
      </c>
      <c r="B22" s="215" t="s">
        <v>152</v>
      </c>
      <c r="C22" s="16" t="s">
        <v>161</v>
      </c>
      <c r="D22" s="217">
        <f>(0.94*0.6518/1.055056)+[3]Aeco!$E23</f>
        <v>5.3557198859586599</v>
      </c>
      <c r="E22" s="15"/>
      <c r="F22" s="226">
        <f t="shared" si="0"/>
        <v>2600068.1370199998</v>
      </c>
      <c r="G22" s="217">
        <f>(0.9*0.6518/1.055056)+[3]Aeco!$E23</f>
        <v>5.3310084014497816</v>
      </c>
      <c r="H22" s="224">
        <f t="shared" si="1"/>
        <v>-2.4711484508878279E-2</v>
      </c>
      <c r="I22" s="225">
        <f t="shared" si="2"/>
        <v>-64251.543489997734</v>
      </c>
      <c r="J22" s="41"/>
      <c r="K22" s="41">
        <f t="shared" si="3"/>
        <v>-64251.543489997734</v>
      </c>
      <c r="L22" s="169"/>
    </row>
    <row r="23" spans="1:12" x14ac:dyDescent="0.2">
      <c r="A23" s="31">
        <v>37257</v>
      </c>
      <c r="B23" s="215" t="s">
        <v>152</v>
      </c>
      <c r="C23" s="16" t="s">
        <v>161</v>
      </c>
      <c r="D23" s="217">
        <f>(0.94*0.6518/1.055056)+[3]Aeco!$E24</f>
        <v>5.3657198859586597</v>
      </c>
      <c r="E23" s="15"/>
      <c r="F23" s="226">
        <f t="shared" si="0"/>
        <v>2600068.1370199998</v>
      </c>
      <c r="G23" s="217">
        <f>(0.9*0.6518/1.055056)+[3]Aeco!$E24</f>
        <v>5.3410084014497814</v>
      </c>
      <c r="H23" s="224">
        <f t="shared" si="1"/>
        <v>-2.4711484508878279E-2</v>
      </c>
      <c r="I23" s="225">
        <f t="shared" si="2"/>
        <v>-64251.543489997734</v>
      </c>
      <c r="J23" s="41"/>
      <c r="K23" s="41">
        <f t="shared" si="3"/>
        <v>-64251.543489997734</v>
      </c>
      <c r="L23" s="169"/>
    </row>
    <row r="24" spans="1:12" x14ac:dyDescent="0.2">
      <c r="A24" s="31">
        <v>37288</v>
      </c>
      <c r="B24" s="215" t="s">
        <v>152</v>
      </c>
      <c r="C24" s="16" t="s">
        <v>161</v>
      </c>
      <c r="D24" s="217">
        <f>(0.94*0.6518/1.055056)+[3]Aeco!$E25</f>
        <v>5.135719885958661</v>
      </c>
      <c r="E24" s="15"/>
      <c r="F24" s="226">
        <f t="shared" si="0"/>
        <v>2600068.1370199998</v>
      </c>
      <c r="G24" s="217">
        <f>(0.9*0.6518/1.055056)+[3]Aeco!$E25</f>
        <v>5.1110084014497819</v>
      </c>
      <c r="H24" s="224">
        <f t="shared" si="1"/>
        <v>-2.4711484508879167E-2</v>
      </c>
      <c r="I24" s="225">
        <f t="shared" si="2"/>
        <v>-64251.54349000004</v>
      </c>
      <c r="J24" s="41"/>
      <c r="K24" s="41">
        <f t="shared" si="3"/>
        <v>-64251.54349000004</v>
      </c>
      <c r="L24" s="169"/>
    </row>
    <row r="25" spans="1:12" x14ac:dyDescent="0.2">
      <c r="A25" s="31">
        <v>37316</v>
      </c>
      <c r="B25" s="215" t="s">
        <v>152</v>
      </c>
      <c r="C25" s="16" t="s">
        <v>161</v>
      </c>
      <c r="D25" s="217">
        <f>(0.94*0.6518/1.055056)+[3]Aeco!$E26</f>
        <v>4.9007198859586598</v>
      </c>
      <c r="E25" s="15"/>
      <c r="F25" s="226">
        <f t="shared" si="0"/>
        <v>2600068.1370199998</v>
      </c>
      <c r="G25" s="217">
        <f>(0.9*0.6518/1.055056)+[3]Aeco!$E26</f>
        <v>4.8760084014497815</v>
      </c>
      <c r="H25" s="224">
        <f t="shared" si="1"/>
        <v>-2.4711484508878279E-2</v>
      </c>
      <c r="I25" s="225">
        <f t="shared" si="2"/>
        <v>-64251.543489997734</v>
      </c>
      <c r="J25" s="41"/>
      <c r="K25" s="41">
        <f t="shared" si="3"/>
        <v>-64251.543489997734</v>
      </c>
      <c r="L25" s="169"/>
    </row>
    <row r="26" spans="1:12" x14ac:dyDescent="0.2">
      <c r="A26" s="31">
        <v>37347</v>
      </c>
      <c r="B26" s="215" t="s">
        <v>152</v>
      </c>
      <c r="C26" s="16" t="s">
        <v>161</v>
      </c>
      <c r="D26" s="217">
        <f>(0.94*0.6518/1.055056)+[3]Aeco!$E27</f>
        <v>4.4682198859586597</v>
      </c>
      <c r="E26" s="15"/>
      <c r="F26" s="226">
        <f t="shared" si="0"/>
        <v>2600068.1370199998</v>
      </c>
      <c r="G26" s="217">
        <f>(0.9*0.6518/1.055056)+[3]Aeco!$E27</f>
        <v>4.4435084014497805</v>
      </c>
      <c r="H26" s="224">
        <f t="shared" si="1"/>
        <v>-2.4711484508879167E-2</v>
      </c>
      <c r="I26" s="225">
        <f t="shared" si="2"/>
        <v>-64251.54349000004</v>
      </c>
      <c r="J26" s="41"/>
      <c r="K26" s="41">
        <f t="shared" si="3"/>
        <v>-64251.54349000004</v>
      </c>
      <c r="L26" s="169"/>
    </row>
    <row r="27" spans="1:12" x14ac:dyDescent="0.2">
      <c r="A27" s="31">
        <v>37377</v>
      </c>
      <c r="B27" s="215" t="s">
        <v>152</v>
      </c>
      <c r="C27" s="16" t="s">
        <v>161</v>
      </c>
      <c r="D27" s="217">
        <f>(0.94*0.6518/1.055056)+[3]Aeco!$E28</f>
        <v>4.4182198859586599</v>
      </c>
      <c r="E27" s="15"/>
      <c r="F27" s="226">
        <f t="shared" si="0"/>
        <v>2600068.1370199998</v>
      </c>
      <c r="G27" s="217">
        <f>(0.9*0.6518/1.055056)+[3]Aeco!$E28</f>
        <v>4.3935084014497807</v>
      </c>
      <c r="H27" s="224">
        <f t="shared" si="1"/>
        <v>-2.4711484508879167E-2</v>
      </c>
      <c r="I27" s="225">
        <f t="shared" si="2"/>
        <v>-64251.54349000004</v>
      </c>
      <c r="J27" s="41"/>
      <c r="K27" s="41">
        <f t="shared" si="3"/>
        <v>-64251.54349000004</v>
      </c>
      <c r="L27" s="169"/>
    </row>
    <row r="28" spans="1:12" x14ac:dyDescent="0.2">
      <c r="A28" s="31">
        <v>37408</v>
      </c>
      <c r="B28" s="215" t="s">
        <v>152</v>
      </c>
      <c r="C28" s="16" t="s">
        <v>161</v>
      </c>
      <c r="D28" s="217">
        <f>(0.94*0.6518/1.055056)+[3]Aeco!$E29</f>
        <v>4.3982198859586603</v>
      </c>
      <c r="E28" s="15"/>
      <c r="F28" s="226">
        <f t="shared" si="0"/>
        <v>2600068.1370199998</v>
      </c>
      <c r="G28" s="217">
        <f>(0.9*0.6518/1.055056)+[3]Aeco!$E29</f>
        <v>4.3735084014497811</v>
      </c>
      <c r="H28" s="224">
        <f t="shared" si="1"/>
        <v>-2.4711484508879167E-2</v>
      </c>
      <c r="I28" s="225">
        <f t="shared" si="2"/>
        <v>-64251.54349000004</v>
      </c>
      <c r="J28" s="41"/>
      <c r="K28" s="41">
        <f t="shared" si="3"/>
        <v>-64251.54349000004</v>
      </c>
      <c r="L28" s="169"/>
    </row>
    <row r="29" spans="1:12" x14ac:dyDescent="0.2">
      <c r="A29" s="31">
        <v>37438</v>
      </c>
      <c r="B29" s="215" t="s">
        <v>152</v>
      </c>
      <c r="C29" s="16" t="s">
        <v>161</v>
      </c>
      <c r="D29" s="217">
        <f>(0.94*0.6518/1.055056)+[3]Aeco!$E30</f>
        <v>4.3982198859586603</v>
      </c>
      <c r="E29" s="15"/>
      <c r="F29" s="226">
        <f t="shared" si="0"/>
        <v>2600068.1370199998</v>
      </c>
      <c r="G29" s="217">
        <f>(0.9*0.6518/1.055056)+[3]Aeco!$E30</f>
        <v>4.3735084014497811</v>
      </c>
      <c r="H29" s="224">
        <f t="shared" si="1"/>
        <v>-2.4711484508879167E-2</v>
      </c>
      <c r="I29" s="225">
        <f t="shared" si="2"/>
        <v>-64251.54349000004</v>
      </c>
      <c r="J29" s="41"/>
      <c r="K29" s="41">
        <f t="shared" si="3"/>
        <v>-64251.54349000004</v>
      </c>
      <c r="L29" s="169"/>
    </row>
    <row r="30" spans="1:12" x14ac:dyDescent="0.2">
      <c r="A30" s="31">
        <v>37469</v>
      </c>
      <c r="B30" s="215" t="s">
        <v>152</v>
      </c>
      <c r="C30" s="16" t="s">
        <v>161</v>
      </c>
      <c r="D30" s="217">
        <f>(0.94*0.6518/1.055056)+[3]Aeco!$E31</f>
        <v>4.4002198859586601</v>
      </c>
      <c r="E30" s="15"/>
      <c r="F30" s="226">
        <f t="shared" si="0"/>
        <v>2600068.1370199998</v>
      </c>
      <c r="G30" s="217">
        <f>(0.9*0.6518/1.055056)+[3]Aeco!$E31</f>
        <v>4.3755084014497809</v>
      </c>
      <c r="H30" s="224">
        <f t="shared" si="1"/>
        <v>-2.4711484508879167E-2</v>
      </c>
      <c r="I30" s="225">
        <f t="shared" si="2"/>
        <v>-64251.54349000004</v>
      </c>
      <c r="J30" s="41"/>
      <c r="K30" s="41">
        <f t="shared" si="3"/>
        <v>-64251.54349000004</v>
      </c>
      <c r="L30" s="169"/>
    </row>
    <row r="31" spans="1:12" x14ac:dyDescent="0.2">
      <c r="A31" s="31">
        <v>37500</v>
      </c>
      <c r="B31" s="215" t="s">
        <v>152</v>
      </c>
      <c r="C31" s="16" t="s">
        <v>161</v>
      </c>
      <c r="D31" s="217">
        <f>(0.94*0.6518/1.055056)+[3]Aeco!$E32</f>
        <v>4.3952198859586602</v>
      </c>
      <c r="E31" s="15"/>
      <c r="F31" s="226">
        <f t="shared" si="0"/>
        <v>2600068.1370199998</v>
      </c>
      <c r="G31" s="217">
        <f>(0.9*0.6518/1.055056)+[3]Aeco!$E32</f>
        <v>4.370508401449781</v>
      </c>
      <c r="H31" s="224">
        <f t="shared" si="1"/>
        <v>-2.4711484508879167E-2</v>
      </c>
      <c r="I31" s="225">
        <f t="shared" si="2"/>
        <v>-64251.54349000004</v>
      </c>
      <c r="J31" s="41"/>
      <c r="K31" s="41">
        <f t="shared" si="3"/>
        <v>-64251.54349000004</v>
      </c>
      <c r="L31" s="169"/>
    </row>
    <row r="32" spans="1:12" x14ac:dyDescent="0.2">
      <c r="A32" s="31">
        <v>37530</v>
      </c>
      <c r="B32" s="215" t="s">
        <v>152</v>
      </c>
      <c r="C32" s="16" t="s">
        <v>161</v>
      </c>
      <c r="D32" s="217">
        <f>(0.94*0.6518/1.055056)+[3]Aeco!$E33</f>
        <v>4.3902198859586603</v>
      </c>
      <c r="E32" s="15"/>
      <c r="F32" s="226">
        <f t="shared" si="0"/>
        <v>2600068.1370199998</v>
      </c>
      <c r="G32" s="217">
        <f>(0.9*0.65703/1.055056)+[3]Aeco!$E33</f>
        <v>4.3699697760118896</v>
      </c>
      <c r="H32" s="224">
        <f t="shared" si="1"/>
        <v>-2.0250109946770678E-2</v>
      </c>
      <c r="I32" s="225">
        <f t="shared" si="2"/>
        <v>-52651.665643750202</v>
      </c>
      <c r="J32" s="41"/>
      <c r="K32" s="41">
        <f t="shared" si="3"/>
        <v>-52651.665643750202</v>
      </c>
      <c r="L32" s="169"/>
    </row>
    <row r="33" spans="1:11" x14ac:dyDescent="0.2">
      <c r="A33" s="31"/>
      <c r="B33" s="215"/>
      <c r="C33" s="16"/>
      <c r="D33" s="227"/>
      <c r="E33" s="15"/>
      <c r="F33" s="226"/>
      <c r="G33" s="227"/>
      <c r="H33" s="224"/>
      <c r="I33" s="225"/>
      <c r="J33" s="41"/>
      <c r="K33" s="228"/>
    </row>
    <row r="34" spans="1:11" x14ac:dyDescent="0.2">
      <c r="A34" s="31"/>
      <c r="B34" s="15"/>
      <c r="C34" s="16"/>
      <c r="D34" s="227"/>
      <c r="E34" s="15"/>
      <c r="F34" s="226"/>
      <c r="G34" s="227"/>
      <c r="H34" s="224"/>
      <c r="I34" s="225"/>
      <c r="J34" s="41"/>
      <c r="K34" s="228"/>
    </row>
    <row r="35" spans="1:11" x14ac:dyDescent="0.2">
      <c r="A35" s="31"/>
      <c r="B35" s="15"/>
      <c r="C35" s="16"/>
      <c r="D35" s="227"/>
      <c r="E35" s="15"/>
      <c r="F35" s="226"/>
      <c r="G35" s="227"/>
      <c r="H35" s="224"/>
      <c r="I35" s="225"/>
      <c r="J35" s="41"/>
      <c r="K35" s="228"/>
    </row>
    <row r="36" spans="1:11" ht="13.5" thickBot="1" x14ac:dyDescent="0.25">
      <c r="A36" s="31"/>
      <c r="B36" s="15"/>
      <c r="C36" s="16"/>
      <c r="D36" s="227"/>
      <c r="E36" s="15"/>
      <c r="F36" s="229">
        <f>SUM(F9:F35)</f>
        <v>62401635.288479991</v>
      </c>
      <c r="G36" s="15"/>
      <c r="H36" s="224">
        <f>+I36/F36</f>
        <v>-2.453385570686888E-2</v>
      </c>
      <c r="I36" s="230">
        <f>SUM(I9:I35)</f>
        <v>-1530952.7160402252</v>
      </c>
      <c r="J36" s="230">
        <f>SUM(J9:J35)</f>
        <v>-64767.093616499209</v>
      </c>
      <c r="K36" s="230">
        <f>SUM(K9:K35)</f>
        <v>-1466185.6224237259</v>
      </c>
    </row>
    <row r="37" spans="1:11" ht="13.5" thickTop="1" x14ac:dyDescent="0.2">
      <c r="A37" s="31"/>
      <c r="B37" s="15"/>
      <c r="C37" s="16"/>
      <c r="D37" s="227"/>
      <c r="E37" s="15"/>
      <c r="G37" s="15"/>
      <c r="H37" s="224"/>
      <c r="I37" s="225"/>
      <c r="J37" s="225"/>
      <c r="K37" s="225"/>
    </row>
    <row r="38" spans="1:11" x14ac:dyDescent="0.2">
      <c r="A38" s="26"/>
      <c r="B38" s="26"/>
      <c r="C38" s="26"/>
      <c r="D38" s="26"/>
      <c r="E38" s="26"/>
      <c r="F38" s="26"/>
      <c r="G38" s="26"/>
      <c r="H38" s="231"/>
      <c r="I38" s="26"/>
      <c r="J38" s="40"/>
      <c r="K38" s="40"/>
    </row>
    <row r="40" spans="1:11" x14ac:dyDescent="0.2">
      <c r="A40" s="29"/>
      <c r="I40" s="43"/>
    </row>
  </sheetData>
  <mergeCells count="1">
    <mergeCell ref="A3:K3"/>
  </mergeCells>
  <pageMargins left="0.75" right="0.75" top="1" bottom="1" header="0.5" footer="0.5"/>
  <pageSetup scale="92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9"/>
  <sheetViews>
    <sheetView workbookViewId="0">
      <selection sqref="A1:IV65536"/>
    </sheetView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0.7109375" customWidth="1"/>
    <col min="9" max="9" width="15" customWidth="1"/>
    <col min="10" max="10" width="13.42578125" customWidth="1"/>
    <col min="11" max="11" width="15" customWidth="1"/>
  </cols>
  <sheetData>
    <row r="1" spans="1:11" s="2" customFormat="1" ht="15" x14ac:dyDescent="0.2">
      <c r="A1" s="1" t="s">
        <v>78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129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237" t="s">
        <v>128</v>
      </c>
      <c r="B4" s="237"/>
      <c r="C4" s="237"/>
      <c r="D4" s="237"/>
      <c r="E4" s="237"/>
      <c r="F4" s="237"/>
      <c r="G4" s="237"/>
      <c r="H4" s="237"/>
      <c r="I4" s="237"/>
      <c r="J4" s="237"/>
      <c r="K4" s="237"/>
    </row>
    <row r="5" spans="1:11" x14ac:dyDescent="0.2">
      <c r="A5" s="197"/>
      <c r="B5" s="197"/>
      <c r="C5" s="197"/>
    </row>
    <row r="6" spans="1:11" s="7" customFormat="1" x14ac:dyDescent="0.2">
      <c r="A6" s="8" t="s">
        <v>52</v>
      </c>
      <c r="B6" s="9" t="s">
        <v>5</v>
      </c>
      <c r="C6" s="9" t="s">
        <v>5</v>
      </c>
      <c r="D6" s="6" t="s">
        <v>96</v>
      </c>
      <c r="E6" s="6"/>
      <c r="F6" s="6" t="s">
        <v>132</v>
      </c>
      <c r="G6" s="6" t="s">
        <v>40</v>
      </c>
      <c r="H6" s="6"/>
      <c r="I6" s="189" t="s">
        <v>55</v>
      </c>
      <c r="J6" s="190"/>
      <c r="K6" s="191"/>
    </row>
    <row r="7" spans="1:11" s="7" customFormat="1" x14ac:dyDescent="0.2">
      <c r="A7" s="8" t="s">
        <v>56</v>
      </c>
      <c r="B7" s="9" t="s">
        <v>14</v>
      </c>
      <c r="C7" s="9" t="s">
        <v>13</v>
      </c>
      <c r="D7" s="9" t="s">
        <v>53</v>
      </c>
      <c r="E7" s="9"/>
      <c r="F7" s="9" t="s">
        <v>133</v>
      </c>
      <c r="G7" s="9" t="s">
        <v>126</v>
      </c>
      <c r="H7" s="9"/>
      <c r="I7" s="186" t="s">
        <v>55</v>
      </c>
      <c r="J7" s="187"/>
      <c r="K7" s="188"/>
    </row>
    <row r="8" spans="1:11" s="7" customFormat="1" x14ac:dyDescent="0.2">
      <c r="A8" s="196"/>
      <c r="B8" s="196"/>
      <c r="C8" s="196"/>
      <c r="D8" s="9" t="s">
        <v>18</v>
      </c>
      <c r="E8" s="9"/>
      <c r="F8" s="9"/>
      <c r="G8" s="9" t="s">
        <v>18</v>
      </c>
      <c r="H8" s="9"/>
      <c r="I8" s="9" t="s">
        <v>26</v>
      </c>
      <c r="J8" s="9" t="s">
        <v>27</v>
      </c>
      <c r="K8" s="10" t="s">
        <v>28</v>
      </c>
    </row>
    <row r="9" spans="1:11" s="7" customFormat="1" x14ac:dyDescent="0.2">
      <c r="A9" s="8"/>
      <c r="B9" s="9"/>
      <c r="C9" s="9"/>
      <c r="D9" s="9"/>
      <c r="E9" s="9"/>
      <c r="F9" s="9"/>
      <c r="G9" s="9" t="s">
        <v>131</v>
      </c>
      <c r="H9" s="9"/>
      <c r="I9" s="9"/>
      <c r="J9" s="9"/>
      <c r="K9" s="10"/>
    </row>
    <row r="10" spans="1:11" x14ac:dyDescent="0.2">
      <c r="A10" s="11"/>
      <c r="B10" s="12"/>
      <c r="C10" s="12"/>
      <c r="D10" s="185"/>
      <c r="E10" s="12"/>
      <c r="F10" s="12"/>
      <c r="G10" s="51" t="s">
        <v>130</v>
      </c>
      <c r="H10" s="13" t="s">
        <v>10</v>
      </c>
      <c r="I10" s="58" t="s">
        <v>31</v>
      </c>
      <c r="J10" s="58" t="s">
        <v>31</v>
      </c>
      <c r="K10" s="59" t="s">
        <v>31</v>
      </c>
    </row>
    <row r="11" spans="1:11" x14ac:dyDescent="0.2">
      <c r="A11" s="182">
        <v>36848</v>
      </c>
      <c r="B11" s="15"/>
      <c r="C11" s="16" t="s">
        <v>40</v>
      </c>
      <c r="D11" s="32">
        <v>5.8849999999999998</v>
      </c>
      <c r="E11" s="15"/>
      <c r="F11" s="18">
        <v>-9615</v>
      </c>
      <c r="G11" s="32"/>
      <c r="H11" s="32"/>
      <c r="I11" s="17">
        <f>+F11*D11</f>
        <v>-56584.275000000001</v>
      </c>
      <c r="J11" s="41">
        <f>+I11</f>
        <v>-56584.275000000001</v>
      </c>
      <c r="K11" s="41"/>
    </row>
    <row r="12" spans="1:11" x14ac:dyDescent="0.2">
      <c r="A12" s="182">
        <f>+A11+1</f>
        <v>36849</v>
      </c>
      <c r="B12" s="15"/>
      <c r="C12" s="16" t="s">
        <v>40</v>
      </c>
      <c r="D12" s="32">
        <v>5.8849999999999998</v>
      </c>
      <c r="E12" s="15"/>
      <c r="F12" s="18">
        <v>-9615</v>
      </c>
      <c r="G12" s="32"/>
      <c r="H12" s="32"/>
      <c r="I12" s="17">
        <f t="shared" ref="I12:I23" si="0">+F12*D12</f>
        <v>-56584.275000000001</v>
      </c>
      <c r="J12" s="41">
        <f t="shared" ref="J12:J23" si="1">+I12</f>
        <v>-56584.275000000001</v>
      </c>
      <c r="K12" s="41"/>
    </row>
    <row r="13" spans="1:11" x14ac:dyDescent="0.2">
      <c r="A13" s="182">
        <f t="shared" ref="A13:A23" si="2">+A12+1</f>
        <v>36850</v>
      </c>
      <c r="B13" s="15"/>
      <c r="C13" s="16" t="s">
        <v>40</v>
      </c>
      <c r="D13" s="32">
        <v>5.8849999999999998</v>
      </c>
      <c r="E13" s="15"/>
      <c r="F13" s="18">
        <v>-9615</v>
      </c>
      <c r="G13" s="32"/>
      <c r="H13" s="32"/>
      <c r="I13" s="17">
        <f t="shared" si="0"/>
        <v>-56584.275000000001</v>
      </c>
      <c r="J13" s="41">
        <f t="shared" si="1"/>
        <v>-56584.275000000001</v>
      </c>
      <c r="K13" s="41"/>
    </row>
    <row r="14" spans="1:11" x14ac:dyDescent="0.2">
      <c r="A14" s="182">
        <f t="shared" si="2"/>
        <v>36851</v>
      </c>
      <c r="B14" s="15"/>
      <c r="C14" s="16" t="s">
        <v>40</v>
      </c>
      <c r="D14" s="32">
        <v>5.8849999999999998</v>
      </c>
      <c r="E14" s="15"/>
      <c r="F14" s="18">
        <v>-9615</v>
      </c>
      <c r="G14" s="32"/>
      <c r="H14" s="32"/>
      <c r="I14" s="17">
        <f t="shared" si="0"/>
        <v>-56584.275000000001</v>
      </c>
      <c r="J14" s="41">
        <f t="shared" si="1"/>
        <v>-56584.275000000001</v>
      </c>
      <c r="K14" s="41"/>
    </row>
    <row r="15" spans="1:11" x14ac:dyDescent="0.2">
      <c r="A15" s="182">
        <f t="shared" si="2"/>
        <v>36852</v>
      </c>
      <c r="B15" s="15"/>
      <c r="C15" s="16" t="s">
        <v>40</v>
      </c>
      <c r="D15" s="32">
        <v>5.8849999999999998</v>
      </c>
      <c r="E15" s="15"/>
      <c r="F15" s="18">
        <v>-9615</v>
      </c>
      <c r="G15" s="32"/>
      <c r="H15" s="32"/>
      <c r="I15" s="17">
        <f t="shared" si="0"/>
        <v>-56584.275000000001</v>
      </c>
      <c r="J15" s="41">
        <f t="shared" si="1"/>
        <v>-56584.275000000001</v>
      </c>
      <c r="K15" s="41"/>
    </row>
    <row r="16" spans="1:11" x14ac:dyDescent="0.2">
      <c r="A16" s="182">
        <f t="shared" si="2"/>
        <v>36853</v>
      </c>
      <c r="B16" s="15"/>
      <c r="C16" s="16" t="s">
        <v>40</v>
      </c>
      <c r="D16" s="32">
        <v>5.8849999999999998</v>
      </c>
      <c r="E16" s="15"/>
      <c r="F16" s="18">
        <v>-9615</v>
      </c>
      <c r="G16" s="32"/>
      <c r="H16" s="32"/>
      <c r="I16" s="17">
        <f t="shared" si="0"/>
        <v>-56584.275000000001</v>
      </c>
      <c r="J16" s="41">
        <f t="shared" si="1"/>
        <v>-56584.275000000001</v>
      </c>
      <c r="K16" s="41"/>
    </row>
    <row r="17" spans="1:11" x14ac:dyDescent="0.2">
      <c r="A17" s="182">
        <f t="shared" si="2"/>
        <v>36854</v>
      </c>
      <c r="B17" s="15"/>
      <c r="C17" s="16" t="s">
        <v>40</v>
      </c>
      <c r="D17" s="32">
        <v>5.8849999999999998</v>
      </c>
      <c r="E17" s="15"/>
      <c r="F17" s="18">
        <v>-9615</v>
      </c>
      <c r="G17" s="32"/>
      <c r="H17" s="32"/>
      <c r="I17" s="17">
        <f t="shared" si="0"/>
        <v>-56584.275000000001</v>
      </c>
      <c r="J17" s="41">
        <f t="shared" si="1"/>
        <v>-56584.275000000001</v>
      </c>
      <c r="K17" s="41"/>
    </row>
    <row r="18" spans="1:11" x14ac:dyDescent="0.2">
      <c r="A18" s="182">
        <f>+A17+1</f>
        <v>36855</v>
      </c>
      <c r="B18" s="15"/>
      <c r="C18" s="16" t="s">
        <v>40</v>
      </c>
      <c r="D18" s="32">
        <v>5.8849999999999998</v>
      </c>
      <c r="E18" s="15"/>
      <c r="F18" s="18">
        <v>-9615</v>
      </c>
      <c r="G18" s="32"/>
      <c r="H18" s="32"/>
      <c r="I18" s="17">
        <f t="shared" si="0"/>
        <v>-56584.275000000001</v>
      </c>
      <c r="J18" s="41">
        <f t="shared" si="1"/>
        <v>-56584.275000000001</v>
      </c>
      <c r="K18" s="41"/>
    </row>
    <row r="19" spans="1:11" x14ac:dyDescent="0.2">
      <c r="A19" s="182">
        <f t="shared" si="2"/>
        <v>36856</v>
      </c>
      <c r="B19" s="15"/>
      <c r="C19" s="16" t="s">
        <v>40</v>
      </c>
      <c r="D19" s="32">
        <v>5.8849999999999998</v>
      </c>
      <c r="E19" s="15"/>
      <c r="F19" s="18">
        <v>-9615</v>
      </c>
      <c r="G19" s="32"/>
      <c r="H19" s="32"/>
      <c r="I19" s="17">
        <f t="shared" si="0"/>
        <v>-56584.275000000001</v>
      </c>
      <c r="J19" s="41">
        <f t="shared" si="1"/>
        <v>-56584.275000000001</v>
      </c>
      <c r="K19" s="41"/>
    </row>
    <row r="20" spans="1:11" x14ac:dyDescent="0.2">
      <c r="A20" s="182">
        <f t="shared" si="2"/>
        <v>36857</v>
      </c>
      <c r="B20" s="15"/>
      <c r="C20" s="16" t="s">
        <v>40</v>
      </c>
      <c r="D20" s="32">
        <v>5.8849999999999998</v>
      </c>
      <c r="E20" s="15"/>
      <c r="F20" s="18">
        <v>-9615</v>
      </c>
      <c r="G20" s="32"/>
      <c r="H20" s="32"/>
      <c r="I20" s="17">
        <f t="shared" si="0"/>
        <v>-56584.275000000001</v>
      </c>
      <c r="J20" s="41">
        <f t="shared" si="1"/>
        <v>-56584.275000000001</v>
      </c>
      <c r="K20" s="41"/>
    </row>
    <row r="21" spans="1:11" x14ac:dyDescent="0.2">
      <c r="A21" s="182">
        <f t="shared" si="2"/>
        <v>36858</v>
      </c>
      <c r="B21" s="15"/>
      <c r="C21" s="16" t="s">
        <v>40</v>
      </c>
      <c r="D21" s="32">
        <v>5.8849999999999998</v>
      </c>
      <c r="E21" s="15"/>
      <c r="F21" s="18">
        <v>-9615</v>
      </c>
      <c r="G21" s="32"/>
      <c r="H21" s="32"/>
      <c r="I21" s="17">
        <f t="shared" si="0"/>
        <v>-56584.275000000001</v>
      </c>
      <c r="J21" s="41">
        <f t="shared" si="1"/>
        <v>-56584.275000000001</v>
      </c>
      <c r="K21" s="41"/>
    </row>
    <row r="22" spans="1:11" x14ac:dyDescent="0.2">
      <c r="A22" s="182">
        <f>+A21+1</f>
        <v>36859</v>
      </c>
      <c r="B22" s="15"/>
      <c r="C22" s="16" t="s">
        <v>40</v>
      </c>
      <c r="D22" s="32">
        <v>5.8849999999999998</v>
      </c>
      <c r="E22" s="15"/>
      <c r="F22" s="18">
        <v>-9615</v>
      </c>
      <c r="G22" s="32"/>
      <c r="H22" s="32"/>
      <c r="I22" s="17">
        <f t="shared" si="0"/>
        <v>-56584.275000000001</v>
      </c>
      <c r="J22" s="41">
        <f t="shared" si="1"/>
        <v>-56584.275000000001</v>
      </c>
      <c r="K22" s="41"/>
    </row>
    <row r="23" spans="1:11" x14ac:dyDescent="0.2">
      <c r="A23" s="182">
        <f t="shared" si="2"/>
        <v>36860</v>
      </c>
      <c r="B23" s="15"/>
      <c r="C23" s="16" t="s">
        <v>40</v>
      </c>
      <c r="D23" s="32">
        <v>5.8849999999999998</v>
      </c>
      <c r="E23" s="15"/>
      <c r="F23" s="18">
        <v>-9615</v>
      </c>
      <c r="G23" s="15"/>
      <c r="H23" s="32"/>
      <c r="I23" s="17">
        <f t="shared" si="0"/>
        <v>-56584.275000000001</v>
      </c>
      <c r="J23" s="41">
        <f t="shared" si="1"/>
        <v>-56584.275000000001</v>
      </c>
      <c r="K23" s="41"/>
    </row>
    <row r="24" spans="1:11" x14ac:dyDescent="0.2">
      <c r="A24" s="182"/>
      <c r="B24" s="15"/>
      <c r="C24" s="15"/>
      <c r="D24" s="15"/>
      <c r="E24" s="15"/>
      <c r="F24" s="21">
        <f>SUM(F11:F23)</f>
        <v>-124995</v>
      </c>
      <c r="G24" s="15"/>
      <c r="H24" s="15"/>
      <c r="I24" s="35">
        <f>SUM(I11:I22)</f>
        <v>-679011.30000000016</v>
      </c>
      <c r="J24" s="35">
        <f>SUM(J11:J22)</f>
        <v>-679011.30000000016</v>
      </c>
      <c r="K24" s="35">
        <f>SUM(K11:K22)</f>
        <v>0</v>
      </c>
    </row>
    <row r="25" spans="1:11" x14ac:dyDescent="0.2">
      <c r="A25" s="182"/>
      <c r="B25" s="15"/>
      <c r="C25" s="15"/>
      <c r="D25" s="15"/>
      <c r="E25" s="15"/>
      <c r="F25" s="38"/>
      <c r="G25" s="15"/>
      <c r="H25" s="15"/>
      <c r="I25" s="54"/>
      <c r="J25" s="47"/>
      <c r="K25" s="47"/>
    </row>
    <row r="26" spans="1:11" x14ac:dyDescent="0.2">
      <c r="A26" s="182"/>
      <c r="B26" s="15"/>
      <c r="C26" s="15"/>
      <c r="D26" s="15"/>
      <c r="E26" s="15"/>
      <c r="F26" s="38"/>
      <c r="G26" s="15"/>
      <c r="H26" s="15"/>
      <c r="I26" s="54"/>
      <c r="J26" s="47"/>
      <c r="K26" s="47"/>
    </row>
    <row r="27" spans="1:11" x14ac:dyDescent="0.2">
      <c r="A27" s="182">
        <v>36848</v>
      </c>
      <c r="B27" s="15"/>
      <c r="C27" s="16" t="s">
        <v>96</v>
      </c>
      <c r="D27" s="32"/>
      <c r="E27" s="15"/>
      <c r="F27" s="18">
        <v>9615</v>
      </c>
      <c r="G27" s="32">
        <v>5.6749999999999998</v>
      </c>
      <c r="H27" s="32"/>
      <c r="I27" s="17">
        <f>+G27*F27</f>
        <v>54565.125</v>
      </c>
      <c r="J27" s="41">
        <f>+I27</f>
        <v>54565.125</v>
      </c>
      <c r="K27" s="41"/>
    </row>
    <row r="28" spans="1:11" x14ac:dyDescent="0.2">
      <c r="A28" s="182">
        <f t="shared" ref="A28:A39" si="3">+A27+1</f>
        <v>36849</v>
      </c>
      <c r="B28" s="15"/>
      <c r="C28" s="16" t="s">
        <v>96</v>
      </c>
      <c r="D28" s="32"/>
      <c r="E28" s="15"/>
      <c r="F28" s="18">
        <v>9615</v>
      </c>
      <c r="G28" s="32">
        <v>5.6749999999999998</v>
      </c>
      <c r="H28" s="32"/>
      <c r="I28" s="17">
        <f t="shared" ref="I28:I39" si="4">+G28*F28</f>
        <v>54565.125</v>
      </c>
      <c r="J28" s="41">
        <f t="shared" ref="J28:J39" si="5">+I28</f>
        <v>54565.125</v>
      </c>
      <c r="K28" s="41"/>
    </row>
    <row r="29" spans="1:11" x14ac:dyDescent="0.2">
      <c r="A29" s="182">
        <f t="shared" si="3"/>
        <v>36850</v>
      </c>
      <c r="B29" s="15"/>
      <c r="C29" s="16" t="s">
        <v>96</v>
      </c>
      <c r="D29" s="32"/>
      <c r="E29" s="15"/>
      <c r="F29" s="18">
        <v>9615</v>
      </c>
      <c r="G29" s="32">
        <v>5.6749999999999998</v>
      </c>
      <c r="H29" s="32"/>
      <c r="I29" s="17">
        <f t="shared" si="4"/>
        <v>54565.125</v>
      </c>
      <c r="J29" s="41">
        <f t="shared" si="5"/>
        <v>54565.125</v>
      </c>
      <c r="K29" s="41"/>
    </row>
    <row r="30" spans="1:11" x14ac:dyDescent="0.2">
      <c r="A30" s="182">
        <f t="shared" si="3"/>
        <v>36851</v>
      </c>
      <c r="B30" s="15"/>
      <c r="C30" s="16" t="s">
        <v>96</v>
      </c>
      <c r="D30" s="32"/>
      <c r="E30" s="15"/>
      <c r="F30" s="18">
        <v>9615</v>
      </c>
      <c r="G30" s="32">
        <v>6.28</v>
      </c>
      <c r="H30" s="32"/>
      <c r="I30" s="17">
        <f t="shared" si="4"/>
        <v>60382.200000000004</v>
      </c>
      <c r="J30" s="41">
        <f t="shared" si="5"/>
        <v>60382.200000000004</v>
      </c>
      <c r="K30" s="41"/>
    </row>
    <row r="31" spans="1:11" x14ac:dyDescent="0.2">
      <c r="A31" s="182">
        <f t="shared" si="3"/>
        <v>36852</v>
      </c>
      <c r="B31" s="15"/>
      <c r="C31" s="16" t="s">
        <v>96</v>
      </c>
      <c r="D31" s="32"/>
      <c r="E31" s="15"/>
      <c r="F31" s="18">
        <v>9615</v>
      </c>
      <c r="G31" s="32">
        <v>6.3949999999999996</v>
      </c>
      <c r="H31" s="32"/>
      <c r="I31" s="17">
        <f t="shared" si="4"/>
        <v>61487.924999999996</v>
      </c>
      <c r="J31" s="41">
        <f t="shared" si="5"/>
        <v>61487.924999999996</v>
      </c>
      <c r="K31" s="41"/>
    </row>
    <row r="32" spans="1:11" x14ac:dyDescent="0.2">
      <c r="A32" s="182">
        <f t="shared" si="3"/>
        <v>36853</v>
      </c>
      <c r="B32" s="15"/>
      <c r="C32" s="16" t="s">
        <v>96</v>
      </c>
      <c r="D32" s="32"/>
      <c r="E32" s="15"/>
      <c r="F32" s="18">
        <v>9615</v>
      </c>
      <c r="G32" s="32">
        <v>6.2549999999999999</v>
      </c>
      <c r="H32" s="32"/>
      <c r="I32" s="17">
        <f t="shared" si="4"/>
        <v>60141.824999999997</v>
      </c>
      <c r="J32" s="41">
        <f t="shared" si="5"/>
        <v>60141.824999999997</v>
      </c>
      <c r="K32" s="41"/>
    </row>
    <row r="33" spans="1:11" x14ac:dyDescent="0.2">
      <c r="A33" s="182">
        <f t="shared" si="3"/>
        <v>36854</v>
      </c>
      <c r="B33" s="15"/>
      <c r="C33" s="16" t="s">
        <v>96</v>
      </c>
      <c r="D33" s="32"/>
      <c r="E33" s="15"/>
      <c r="F33" s="18">
        <v>9615</v>
      </c>
      <c r="G33" s="32">
        <v>6.2549999999999999</v>
      </c>
      <c r="H33" s="32"/>
      <c r="I33" s="17">
        <f t="shared" si="4"/>
        <v>60141.824999999997</v>
      </c>
      <c r="J33" s="41">
        <f t="shared" si="5"/>
        <v>60141.824999999997</v>
      </c>
      <c r="K33" s="41"/>
    </row>
    <row r="34" spans="1:11" x14ac:dyDescent="0.2">
      <c r="A34" s="182">
        <f t="shared" si="3"/>
        <v>36855</v>
      </c>
      <c r="B34" s="15"/>
      <c r="C34" s="16" t="s">
        <v>96</v>
      </c>
      <c r="D34" s="32"/>
      <c r="E34" s="15"/>
      <c r="F34" s="18">
        <v>9615</v>
      </c>
      <c r="G34" s="32">
        <v>6.2549999999999999</v>
      </c>
      <c r="H34" s="32"/>
      <c r="I34" s="17">
        <f t="shared" si="4"/>
        <v>60141.824999999997</v>
      </c>
      <c r="J34" s="41">
        <f t="shared" si="5"/>
        <v>60141.824999999997</v>
      </c>
      <c r="K34" s="41"/>
    </row>
    <row r="35" spans="1:11" x14ac:dyDescent="0.2">
      <c r="A35" s="182">
        <f t="shared" si="3"/>
        <v>36856</v>
      </c>
      <c r="B35" s="15"/>
      <c r="C35" s="16" t="s">
        <v>96</v>
      </c>
      <c r="D35" s="32"/>
      <c r="E35" s="15"/>
      <c r="F35" s="18">
        <v>9615</v>
      </c>
      <c r="G35" s="32">
        <v>6.2549999999999999</v>
      </c>
      <c r="H35" s="32"/>
      <c r="I35" s="17">
        <f t="shared" si="4"/>
        <v>60141.824999999997</v>
      </c>
      <c r="J35" s="41">
        <f t="shared" si="5"/>
        <v>60141.824999999997</v>
      </c>
      <c r="K35" s="41"/>
    </row>
    <row r="36" spans="1:11" x14ac:dyDescent="0.2">
      <c r="A36" s="182">
        <f t="shared" si="3"/>
        <v>36857</v>
      </c>
      <c r="B36" s="15"/>
      <c r="C36" s="16" t="s">
        <v>96</v>
      </c>
      <c r="D36" s="32"/>
      <c r="E36" s="15"/>
      <c r="F36" s="18">
        <v>9615</v>
      </c>
      <c r="G36" s="32">
        <v>6.2549999999999999</v>
      </c>
      <c r="H36" s="32"/>
      <c r="I36" s="17">
        <f t="shared" si="4"/>
        <v>60141.824999999997</v>
      </c>
      <c r="J36" s="41">
        <f t="shared" si="5"/>
        <v>60141.824999999997</v>
      </c>
      <c r="K36" s="41"/>
    </row>
    <row r="37" spans="1:11" x14ac:dyDescent="0.2">
      <c r="A37" s="182">
        <f t="shared" si="3"/>
        <v>36858</v>
      </c>
      <c r="B37" s="15"/>
      <c r="C37" s="16" t="s">
        <v>96</v>
      </c>
      <c r="D37" s="32"/>
      <c r="E37" s="15"/>
      <c r="F37" s="18">
        <v>9615</v>
      </c>
      <c r="G37" s="32">
        <v>6.23</v>
      </c>
      <c r="H37" s="32"/>
      <c r="I37" s="17">
        <f t="shared" si="4"/>
        <v>59901.450000000004</v>
      </c>
      <c r="J37" s="41">
        <f t="shared" si="5"/>
        <v>59901.450000000004</v>
      </c>
      <c r="K37" s="41"/>
    </row>
    <row r="38" spans="1:11" x14ac:dyDescent="0.2">
      <c r="A38" s="182">
        <f t="shared" si="3"/>
        <v>36859</v>
      </c>
      <c r="B38" s="15"/>
      <c r="C38" s="16" t="s">
        <v>96</v>
      </c>
      <c r="D38" s="32"/>
      <c r="E38" s="15"/>
      <c r="F38" s="18">
        <v>9615</v>
      </c>
      <c r="G38" s="61">
        <v>5.8949999999999996</v>
      </c>
      <c r="H38" s="32"/>
      <c r="I38" s="17">
        <f t="shared" si="4"/>
        <v>56680.424999999996</v>
      </c>
      <c r="J38" s="41">
        <f t="shared" si="5"/>
        <v>56680.424999999996</v>
      </c>
      <c r="K38" s="41"/>
    </row>
    <row r="39" spans="1:11" x14ac:dyDescent="0.2">
      <c r="A39" s="182">
        <f t="shared" si="3"/>
        <v>36860</v>
      </c>
      <c r="B39" s="15"/>
      <c r="C39" s="16" t="s">
        <v>96</v>
      </c>
      <c r="D39" s="32"/>
      <c r="E39" s="15"/>
      <c r="F39" s="18">
        <v>9615</v>
      </c>
      <c r="G39" s="61">
        <v>5.9550000000000001</v>
      </c>
      <c r="H39" s="32"/>
      <c r="I39" s="17">
        <f t="shared" si="4"/>
        <v>57257.324999999997</v>
      </c>
      <c r="J39" s="41">
        <f t="shared" si="5"/>
        <v>57257.324999999997</v>
      </c>
      <c r="K39" s="41"/>
    </row>
    <row r="40" spans="1:11" x14ac:dyDescent="0.2">
      <c r="A40" s="182"/>
      <c r="B40" s="15"/>
      <c r="C40" s="15"/>
      <c r="D40" s="15"/>
      <c r="E40" s="15"/>
      <c r="F40" s="21">
        <f>SUM(F27:F39)</f>
        <v>124995</v>
      </c>
      <c r="G40" s="15"/>
      <c r="H40" s="15"/>
      <c r="I40" s="35">
        <f>SUM(I27:I38)</f>
        <v>702856.5</v>
      </c>
      <c r="J40" s="35">
        <f>SUM(J27:J38)</f>
        <v>702856.5</v>
      </c>
      <c r="K40" s="35">
        <f>SUM(K27:K38)</f>
        <v>0</v>
      </c>
    </row>
    <row r="41" spans="1:11" x14ac:dyDescent="0.2">
      <c r="A41" s="182"/>
      <c r="B41" s="15"/>
      <c r="C41" s="15"/>
      <c r="D41" s="15"/>
      <c r="E41" s="15"/>
      <c r="F41" s="38"/>
      <c r="G41" s="15"/>
      <c r="H41" s="15"/>
      <c r="I41" s="54"/>
      <c r="J41" s="47"/>
      <c r="K41" s="47"/>
    </row>
    <row r="42" spans="1:11" ht="13.5" thickBot="1" x14ac:dyDescent="0.25">
      <c r="A42" s="182"/>
      <c r="B42" s="15"/>
      <c r="C42" s="15"/>
      <c r="D42" s="15"/>
      <c r="E42" s="15"/>
      <c r="F42" s="23">
        <f>+F40+F24</f>
        <v>0</v>
      </c>
      <c r="G42" s="15"/>
      <c r="H42" s="15"/>
      <c r="I42" s="24">
        <f>+I40+I24</f>
        <v>23845.199999999837</v>
      </c>
      <c r="J42" s="24">
        <f>+J40+J24</f>
        <v>23845.199999999837</v>
      </c>
      <c r="K42" s="24">
        <f>+K40+K24</f>
        <v>0</v>
      </c>
    </row>
    <row r="43" spans="1:11" ht="13.5" thickTop="1" x14ac:dyDescent="0.2">
      <c r="A43" s="182"/>
      <c r="B43" s="15"/>
      <c r="C43" s="15"/>
      <c r="D43" s="15"/>
      <c r="E43" s="15"/>
      <c r="F43" s="38"/>
      <c r="G43" s="15"/>
      <c r="H43" s="15"/>
      <c r="I43" s="54"/>
      <c r="J43" s="47"/>
      <c r="K43" s="47"/>
    </row>
    <row r="44" spans="1:11" x14ac:dyDescent="0.2">
      <c r="A44" s="182"/>
      <c r="B44" s="15"/>
      <c r="C44" s="15"/>
      <c r="D44" s="15"/>
      <c r="E44" s="15"/>
      <c r="F44" s="38"/>
      <c r="G44" s="15"/>
      <c r="H44" s="15"/>
      <c r="I44" s="54"/>
      <c r="J44" s="47"/>
      <c r="K44" s="47"/>
    </row>
    <row r="45" spans="1:11" x14ac:dyDescent="0.2">
      <c r="A45" s="182"/>
      <c r="B45" s="15"/>
      <c r="C45" s="15"/>
      <c r="D45" s="15"/>
      <c r="E45" s="15"/>
      <c r="F45" s="20"/>
      <c r="G45" s="195"/>
      <c r="H45" s="36"/>
      <c r="I45" s="39"/>
      <c r="J45" s="39"/>
      <c r="K45" s="39"/>
    </row>
    <row r="46" spans="1:11" x14ac:dyDescent="0.2">
      <c r="A46" s="182"/>
      <c r="B46" s="15"/>
      <c r="C46" s="16"/>
      <c r="D46" s="32"/>
      <c r="E46" s="15"/>
      <c r="F46" s="18"/>
      <c r="G46" s="61"/>
      <c r="H46" s="32"/>
      <c r="I46" s="17"/>
      <c r="J46" s="41"/>
      <c r="K46" s="41"/>
    </row>
    <row r="47" spans="1:11" x14ac:dyDescent="0.2">
      <c r="A47" s="183"/>
      <c r="B47" s="26"/>
      <c r="C47" s="192"/>
      <c r="D47" s="193"/>
      <c r="E47" s="26"/>
      <c r="F47" s="65"/>
      <c r="G47" s="194"/>
      <c r="H47" s="193"/>
      <c r="I47" s="66"/>
      <c r="J47" s="138"/>
      <c r="K47" s="138"/>
    </row>
    <row r="48" spans="1:11" x14ac:dyDescent="0.2">
      <c r="A48" s="184"/>
    </row>
    <row r="49" spans="1:1" x14ac:dyDescent="0.2">
      <c r="A49" s="184"/>
    </row>
    <row r="50" spans="1:1" x14ac:dyDescent="0.2">
      <c r="A50" s="184"/>
    </row>
    <row r="51" spans="1:1" x14ac:dyDescent="0.2">
      <c r="A51" s="184"/>
    </row>
    <row r="52" spans="1:1" x14ac:dyDescent="0.2">
      <c r="A52" s="184"/>
    </row>
    <row r="53" spans="1:1" x14ac:dyDescent="0.2">
      <c r="A53" s="184"/>
    </row>
    <row r="54" spans="1:1" x14ac:dyDescent="0.2">
      <c r="A54" s="184"/>
    </row>
    <row r="55" spans="1:1" x14ac:dyDescent="0.2">
      <c r="A55" s="184"/>
    </row>
    <row r="56" spans="1:1" x14ac:dyDescent="0.2">
      <c r="A56" s="184"/>
    </row>
    <row r="57" spans="1:1" x14ac:dyDescent="0.2">
      <c r="A57" s="184"/>
    </row>
    <row r="58" spans="1:1" x14ac:dyDescent="0.2">
      <c r="A58" s="184"/>
    </row>
    <row r="59" spans="1:1" x14ac:dyDescent="0.2">
      <c r="A59" s="184"/>
    </row>
    <row r="60" spans="1:1" x14ac:dyDescent="0.2">
      <c r="A60" s="184"/>
    </row>
    <row r="61" spans="1:1" x14ac:dyDescent="0.2">
      <c r="A61" s="184"/>
    </row>
    <row r="62" spans="1:1" x14ac:dyDescent="0.2">
      <c r="A62" s="184"/>
    </row>
    <row r="63" spans="1:1" x14ac:dyDescent="0.2">
      <c r="A63" s="184"/>
    </row>
    <row r="64" spans="1:1" x14ac:dyDescent="0.2">
      <c r="A64" s="184"/>
    </row>
    <row r="65" spans="1:1" x14ac:dyDescent="0.2">
      <c r="A65" s="184"/>
    </row>
    <row r="66" spans="1:1" x14ac:dyDescent="0.2">
      <c r="A66" s="184"/>
    </row>
    <row r="67" spans="1:1" x14ac:dyDescent="0.2">
      <c r="A67" s="184"/>
    </row>
    <row r="68" spans="1:1" x14ac:dyDescent="0.2">
      <c r="A68" s="184"/>
    </row>
    <row r="69" spans="1:1" x14ac:dyDescent="0.2">
      <c r="A69" s="184"/>
    </row>
    <row r="70" spans="1:1" x14ac:dyDescent="0.2">
      <c r="A70" s="184"/>
    </row>
    <row r="71" spans="1:1" x14ac:dyDescent="0.2">
      <c r="A71" s="184"/>
    </row>
    <row r="72" spans="1:1" x14ac:dyDescent="0.2">
      <c r="A72" s="184"/>
    </row>
    <row r="73" spans="1:1" x14ac:dyDescent="0.2">
      <c r="A73" s="184"/>
    </row>
    <row r="74" spans="1:1" x14ac:dyDescent="0.2">
      <c r="A74" s="184"/>
    </row>
    <row r="75" spans="1:1" x14ac:dyDescent="0.2">
      <c r="A75" s="184"/>
    </row>
    <row r="76" spans="1:1" x14ac:dyDescent="0.2">
      <c r="A76" s="184"/>
    </row>
    <row r="77" spans="1:1" x14ac:dyDescent="0.2">
      <c r="A77" s="184"/>
    </row>
    <row r="78" spans="1:1" x14ac:dyDescent="0.2">
      <c r="A78" s="184"/>
    </row>
    <row r="79" spans="1:1" x14ac:dyDescent="0.2">
      <c r="A79" s="184"/>
    </row>
    <row r="80" spans="1:1" x14ac:dyDescent="0.2">
      <c r="A80" s="184"/>
    </row>
    <row r="81" spans="1:1" x14ac:dyDescent="0.2">
      <c r="A81" s="184"/>
    </row>
    <row r="82" spans="1:1" x14ac:dyDescent="0.2">
      <c r="A82" s="184"/>
    </row>
    <row r="83" spans="1:1" x14ac:dyDescent="0.2">
      <c r="A83" s="184"/>
    </row>
    <row r="84" spans="1:1" x14ac:dyDescent="0.2">
      <c r="A84" s="184"/>
    </row>
    <row r="85" spans="1:1" x14ac:dyDescent="0.2">
      <c r="A85" s="184"/>
    </row>
    <row r="86" spans="1:1" x14ac:dyDescent="0.2">
      <c r="A86" s="184"/>
    </row>
    <row r="87" spans="1:1" x14ac:dyDescent="0.2">
      <c r="A87" s="184"/>
    </row>
    <row r="88" spans="1:1" x14ac:dyDescent="0.2">
      <c r="A88" s="184"/>
    </row>
    <row r="89" spans="1:1" x14ac:dyDescent="0.2">
      <c r="A89" s="184"/>
    </row>
    <row r="90" spans="1:1" x14ac:dyDescent="0.2">
      <c r="A90" s="184"/>
    </row>
    <row r="91" spans="1:1" x14ac:dyDescent="0.2">
      <c r="A91" s="184"/>
    </row>
    <row r="92" spans="1:1" x14ac:dyDescent="0.2">
      <c r="A92" s="184"/>
    </row>
    <row r="93" spans="1:1" x14ac:dyDescent="0.2">
      <c r="A93" s="184"/>
    </row>
    <row r="94" spans="1:1" x14ac:dyDescent="0.2">
      <c r="A94" s="184"/>
    </row>
    <row r="95" spans="1:1" x14ac:dyDescent="0.2">
      <c r="A95" s="184"/>
    </row>
    <row r="96" spans="1:1" x14ac:dyDescent="0.2">
      <c r="A96" s="184"/>
    </row>
    <row r="97" spans="1:1" x14ac:dyDescent="0.2">
      <c r="A97" s="184"/>
    </row>
    <row r="98" spans="1:1" x14ac:dyDescent="0.2">
      <c r="A98" s="184"/>
    </row>
    <row r="99" spans="1:1" x14ac:dyDescent="0.2">
      <c r="A99" s="184"/>
    </row>
    <row r="100" spans="1:1" x14ac:dyDescent="0.2">
      <c r="A100" s="184"/>
    </row>
    <row r="101" spans="1:1" x14ac:dyDescent="0.2">
      <c r="A101" s="184"/>
    </row>
    <row r="102" spans="1:1" x14ac:dyDescent="0.2">
      <c r="A102" s="184"/>
    </row>
    <row r="103" spans="1:1" x14ac:dyDescent="0.2">
      <c r="A103" s="184"/>
    </row>
    <row r="104" spans="1:1" x14ac:dyDescent="0.2">
      <c r="A104" s="184"/>
    </row>
    <row r="105" spans="1:1" x14ac:dyDescent="0.2">
      <c r="A105" s="184"/>
    </row>
    <row r="106" spans="1:1" x14ac:dyDescent="0.2">
      <c r="A106" s="184"/>
    </row>
    <row r="107" spans="1:1" x14ac:dyDescent="0.2">
      <c r="A107" s="184"/>
    </row>
    <row r="108" spans="1:1" x14ac:dyDescent="0.2">
      <c r="A108" s="184"/>
    </row>
    <row r="109" spans="1:1" x14ac:dyDescent="0.2">
      <c r="A109" s="184"/>
    </row>
    <row r="110" spans="1:1" x14ac:dyDescent="0.2">
      <c r="A110" s="184"/>
    </row>
    <row r="111" spans="1:1" x14ac:dyDescent="0.2">
      <c r="A111" s="184"/>
    </row>
    <row r="112" spans="1:1" x14ac:dyDescent="0.2">
      <c r="A112" s="184"/>
    </row>
    <row r="113" spans="1:1" x14ac:dyDescent="0.2">
      <c r="A113" s="184"/>
    </row>
    <row r="114" spans="1:1" x14ac:dyDescent="0.2">
      <c r="A114" s="184"/>
    </row>
    <row r="115" spans="1:1" x14ac:dyDescent="0.2">
      <c r="A115" s="184"/>
    </row>
    <row r="116" spans="1:1" x14ac:dyDescent="0.2">
      <c r="A116" s="184"/>
    </row>
    <row r="117" spans="1:1" x14ac:dyDescent="0.2">
      <c r="A117" s="184"/>
    </row>
    <row r="118" spans="1:1" x14ac:dyDescent="0.2">
      <c r="A118" s="184"/>
    </row>
    <row r="119" spans="1:1" x14ac:dyDescent="0.2">
      <c r="A119" s="184"/>
    </row>
  </sheetData>
  <mergeCells count="1">
    <mergeCell ref="A4:K4"/>
  </mergeCells>
  <pageMargins left="0.75" right="0.75" top="1" bottom="1" header="0.5" footer="0.5"/>
  <pageSetup scale="77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4</vt:i4>
      </vt:variant>
    </vt:vector>
  </HeadingPairs>
  <TitlesOfParts>
    <vt:vector size="26" baseType="lpstr">
      <vt:lpstr>Summary</vt:lpstr>
      <vt:lpstr>RMTC_2</vt:lpstr>
      <vt:lpstr>Elpaso_6</vt:lpstr>
      <vt:lpstr>ENA_9</vt:lpstr>
      <vt:lpstr>ENA_11</vt:lpstr>
      <vt:lpstr>ENA_12</vt:lpstr>
      <vt:lpstr>ENA_13</vt:lpstr>
      <vt:lpstr>Back End Deal</vt:lpstr>
      <vt:lpstr>ENA #QA4309.1-Expired</vt:lpstr>
      <vt:lpstr>ENA #QA5217.1-Expired</vt:lpstr>
      <vt:lpstr>ElPaso #1009351-Expired</vt:lpstr>
      <vt:lpstr>ENA_19-Expired</vt:lpstr>
      <vt:lpstr>El Paso_18-Expired</vt:lpstr>
      <vt:lpstr>ENA_#QO886.1-Expired</vt:lpstr>
      <vt:lpstr>ENA O6763.1-Expired</vt:lpstr>
      <vt:lpstr>ENA_10-Expired</vt:lpstr>
      <vt:lpstr>Sempra_1_Expired</vt:lpstr>
      <vt:lpstr>MEC_8_Expired</vt:lpstr>
      <vt:lpstr>Avista_1_Expired</vt:lpstr>
      <vt:lpstr>Avista_2_Expired</vt:lpstr>
      <vt:lpstr>Sempra_2_Expired</vt:lpstr>
      <vt:lpstr>Sempra_2.1_Expired</vt:lpstr>
      <vt:lpstr>Avista_1_Expired!Print_Area</vt:lpstr>
      <vt:lpstr>Avista_2_Expired!Print_Area</vt:lpstr>
      <vt:lpstr>Sempra_1_Expired!Print_Area</vt:lpstr>
      <vt:lpstr>Summary!Print_Area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Felienne</cp:lastModifiedBy>
  <cp:lastPrinted>2000-12-08T20:38:08Z</cp:lastPrinted>
  <dcterms:created xsi:type="dcterms:W3CDTF">1999-02-26T14:05:48Z</dcterms:created>
  <dcterms:modified xsi:type="dcterms:W3CDTF">2014-09-03T15:17:42Z</dcterms:modified>
</cp:coreProperties>
</file>