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80" windowWidth="8880" windowHeight="4560" tabRatio="147"/>
  </bookViews>
  <sheets>
    <sheet name="Summary" sheetId="1" r:id="rId1"/>
    <sheet name="RMTC_2" sheetId="7" r:id="rId2"/>
    <sheet name="Elpaso_6" sheetId="9" r:id="rId3"/>
    <sheet name="ENA_9" sheetId="11" r:id="rId4"/>
    <sheet name="ENA_11" sheetId="13" r:id="rId5"/>
    <sheet name="ENA_12" sheetId="14" r:id="rId6"/>
    <sheet name="ENA_13" sheetId="15" r:id="rId7"/>
    <sheet name="El Paso_18" sheetId="17" r:id="rId8"/>
    <sheet name="ENA_19" sheetId="16" r:id="rId9"/>
    <sheet name="ENA_20" sheetId="18" r:id="rId10"/>
    <sheet name="ENA_10-Expired" sheetId="12" r:id="rId11"/>
    <sheet name="Sempra_1_Expired" sheetId="3" r:id="rId12"/>
    <sheet name="MEC_8_Expired" sheetId="10" r:id="rId13"/>
    <sheet name="Avista_1_Expired" sheetId="2" r:id="rId14"/>
    <sheet name="Avista_2_Expired" sheetId="4" r:id="rId15"/>
    <sheet name="Sempra_2_Expired" sheetId="5" r:id="rId16"/>
    <sheet name="Sempra_2.1_Expired" sheetId="6" r:id="rId17"/>
  </sheets>
  <externalReferences>
    <externalReference r:id="rId18"/>
    <externalReference r:id="rId19"/>
    <externalReference r:id="rId20"/>
  </externalReferences>
  <definedNames>
    <definedName name="_xlnm.Print_Area" localSheetId="13">Avista_1_Expired!$A$1:$K$41</definedName>
    <definedName name="_xlnm.Print_Area" localSheetId="14">Avista_2_Expired!$A$1:$K$46</definedName>
    <definedName name="_xlnm.Print_Area" localSheetId="11">Sempra_1_Expired!$A$1:$K$44</definedName>
    <definedName name="_xlnm.Print_Area" localSheetId="0">Summary!$A$1:$Q$109</definedName>
  </definedNames>
  <calcPr calcId="152511"/>
</workbook>
</file>

<file path=xl/calcChain.xml><?xml version="1.0" encoding="utf-8"?>
<calcChain xmlns="http://schemas.openxmlformats.org/spreadsheetml/2006/main">
  <c r="D10" i="2" l="1"/>
  <c r="F10" i="2"/>
  <c r="G10" i="2"/>
  <c r="D11" i="2"/>
  <c r="F11" i="2"/>
  <c r="G11" i="2"/>
  <c r="D12" i="2"/>
  <c r="I12" i="2" s="1"/>
  <c r="J12" i="2" s="1"/>
  <c r="F12" i="2"/>
  <c r="G12" i="2"/>
  <c r="D13" i="2"/>
  <c r="F13" i="2"/>
  <c r="G13" i="2"/>
  <c r="I13" i="2"/>
  <c r="J13" i="2" s="1"/>
  <c r="D14" i="2"/>
  <c r="F14" i="2"/>
  <c r="G14" i="2"/>
  <c r="I14" i="2"/>
  <c r="J14" i="2" s="1"/>
  <c r="D15" i="2"/>
  <c r="F15" i="2"/>
  <c r="D16" i="2"/>
  <c r="I16" i="2" s="1"/>
  <c r="J16" i="2" s="1"/>
  <c r="F16" i="2"/>
  <c r="D17" i="2"/>
  <c r="F17" i="2"/>
  <c r="D18" i="2"/>
  <c r="F18" i="2"/>
  <c r="I18" i="2"/>
  <c r="J18" i="2" s="1"/>
  <c r="D19" i="2"/>
  <c r="F19" i="2"/>
  <c r="F22" i="2" s="1"/>
  <c r="D20" i="2"/>
  <c r="F20" i="2"/>
  <c r="I20" i="2"/>
  <c r="J20" i="2" s="1"/>
  <c r="D21" i="2"/>
  <c r="I21" i="2" s="1"/>
  <c r="J21" i="2" s="1"/>
  <c r="F21" i="2"/>
  <c r="K22" i="2"/>
  <c r="B26" i="2"/>
  <c r="D26" i="2"/>
  <c r="E26" i="2"/>
  <c r="G26" i="2"/>
  <c r="B27" i="2"/>
  <c r="D27" i="2"/>
  <c r="I27" i="2" s="1"/>
  <c r="J27" i="2" s="1"/>
  <c r="E27" i="2"/>
  <c r="G27" i="2"/>
  <c r="B28" i="2"/>
  <c r="D28" i="2"/>
  <c r="E28" i="2"/>
  <c r="G28" i="2"/>
  <c r="B29" i="2"/>
  <c r="D29" i="2"/>
  <c r="E29" i="2"/>
  <c r="G29" i="2"/>
  <c r="I29" i="2" s="1"/>
  <c r="J29" i="2"/>
  <c r="B30" i="2"/>
  <c r="D30" i="2"/>
  <c r="I30" i="2" s="1"/>
  <c r="E30" i="2"/>
  <c r="J30" i="2"/>
  <c r="B31" i="2"/>
  <c r="D31" i="2"/>
  <c r="I31" i="2" s="1"/>
  <c r="J31" i="2" s="1"/>
  <c r="E31" i="2"/>
  <c r="B32" i="2"/>
  <c r="D32" i="2"/>
  <c r="E32" i="2"/>
  <c r="I32" i="2"/>
  <c r="J32" i="2" s="1"/>
  <c r="B33" i="2"/>
  <c r="D33" i="2"/>
  <c r="E33" i="2"/>
  <c r="I33" i="2"/>
  <c r="J33" i="2" s="1"/>
  <c r="B34" i="2"/>
  <c r="D34" i="2"/>
  <c r="E34" i="2"/>
  <c r="I34" i="2"/>
  <c r="J34" i="2" s="1"/>
  <c r="B35" i="2"/>
  <c r="D35" i="2"/>
  <c r="E35" i="2"/>
  <c r="I35" i="2"/>
  <c r="J35" i="2"/>
  <c r="B36" i="2"/>
  <c r="D36" i="2"/>
  <c r="I36" i="2" s="1"/>
  <c r="J36" i="2" s="1"/>
  <c r="E36" i="2"/>
  <c r="B37" i="2"/>
  <c r="D37" i="2"/>
  <c r="I37" i="2" s="1"/>
  <c r="E37" i="2"/>
  <c r="J37" i="2"/>
  <c r="F38" i="2"/>
  <c r="K38" i="2"/>
  <c r="K40" i="2"/>
  <c r="D9" i="4"/>
  <c r="F9" i="4"/>
  <c r="G9" i="4"/>
  <c r="I9" i="4"/>
  <c r="D10" i="4"/>
  <c r="I10" i="4" s="1"/>
  <c r="J10" i="4" s="1"/>
  <c r="F10" i="4"/>
  <c r="D11" i="4"/>
  <c r="F11" i="4"/>
  <c r="F24" i="4" s="1"/>
  <c r="M19" i="1" s="1"/>
  <c r="N19" i="1" s="1"/>
  <c r="D12" i="4"/>
  <c r="F12" i="4"/>
  <c r="I12" i="4"/>
  <c r="J12" i="4" s="1"/>
  <c r="D13" i="4"/>
  <c r="F13" i="4"/>
  <c r="I13" i="4"/>
  <c r="J13" i="4" s="1"/>
  <c r="D14" i="4"/>
  <c r="I14" i="4" s="1"/>
  <c r="J14" i="4" s="1"/>
  <c r="F14" i="4"/>
  <c r="D15" i="4"/>
  <c r="F15" i="4"/>
  <c r="I15" i="4"/>
  <c r="J15" i="4" s="1"/>
  <c r="D16" i="4"/>
  <c r="F16" i="4"/>
  <c r="I16" i="4"/>
  <c r="J16" i="4" s="1"/>
  <c r="D17" i="4"/>
  <c r="F17" i="4"/>
  <c r="I17" i="4"/>
  <c r="J17" i="4" s="1"/>
  <c r="D18" i="4"/>
  <c r="I18" i="4" s="1"/>
  <c r="J18" i="4" s="1"/>
  <c r="F18" i="4"/>
  <c r="D19" i="4"/>
  <c r="F19" i="4"/>
  <c r="I19" i="4"/>
  <c r="J19" i="4" s="1"/>
  <c r="D20" i="4"/>
  <c r="F20" i="4"/>
  <c r="I20" i="4"/>
  <c r="J20" i="4" s="1"/>
  <c r="D21" i="4"/>
  <c r="F21" i="4"/>
  <c r="I21" i="4"/>
  <c r="J21" i="4" s="1"/>
  <c r="D22" i="4"/>
  <c r="I22" i="4" s="1"/>
  <c r="J22" i="4" s="1"/>
  <c r="F22" i="4"/>
  <c r="D23" i="4"/>
  <c r="F23" i="4"/>
  <c r="I23" i="4"/>
  <c r="J23" i="4" s="1"/>
  <c r="K24" i="4"/>
  <c r="D28" i="4"/>
  <c r="F28" i="4"/>
  <c r="I28" i="4"/>
  <c r="J28" i="4" s="1"/>
  <c r="D29" i="4"/>
  <c r="F29" i="4"/>
  <c r="I29" i="4"/>
  <c r="J29" i="4" s="1"/>
  <c r="D30" i="4"/>
  <c r="I30" i="4" s="1"/>
  <c r="J30" i="4" s="1"/>
  <c r="F30" i="4"/>
  <c r="D31" i="4"/>
  <c r="F31" i="4"/>
  <c r="I31" i="4"/>
  <c r="J31" i="4" s="1"/>
  <c r="D32" i="4"/>
  <c r="F32" i="4"/>
  <c r="D33" i="4"/>
  <c r="F33" i="4"/>
  <c r="I33" i="4" s="1"/>
  <c r="J33" i="4" s="1"/>
  <c r="D34" i="4"/>
  <c r="I34" i="4" s="1"/>
  <c r="J34" i="4" s="1"/>
  <c r="F34" i="4"/>
  <c r="D35" i="4"/>
  <c r="F35" i="4"/>
  <c r="I35" i="4"/>
  <c r="J35" i="4" s="1"/>
  <c r="D36" i="4"/>
  <c r="F36" i="4"/>
  <c r="I36" i="4" s="1"/>
  <c r="J36" i="4" s="1"/>
  <c r="D37" i="4"/>
  <c r="F37" i="4"/>
  <c r="I37" i="4"/>
  <c r="J37" i="4" s="1"/>
  <c r="D38" i="4"/>
  <c r="I38" i="4" s="1"/>
  <c r="J38" i="4" s="1"/>
  <c r="F38" i="4"/>
  <c r="D39" i="4"/>
  <c r="F39" i="4"/>
  <c r="I39" i="4"/>
  <c r="J39" i="4" s="1"/>
  <c r="D40" i="4"/>
  <c r="F40" i="4"/>
  <c r="D41" i="4"/>
  <c r="F41" i="4"/>
  <c r="I41" i="4" s="1"/>
  <c r="J41" i="4" s="1"/>
  <c r="D42" i="4"/>
  <c r="F42" i="4"/>
  <c r="I42" i="4"/>
  <c r="J42" i="4" s="1"/>
  <c r="K43" i="4"/>
  <c r="F9" i="17"/>
  <c r="I9" i="17" s="1"/>
  <c r="I12" i="17" s="1"/>
  <c r="J9" i="17"/>
  <c r="F12" i="17"/>
  <c r="J12" i="17"/>
  <c r="K12" i="17"/>
  <c r="H9" i="9"/>
  <c r="I9" i="9" s="1"/>
  <c r="H10" i="9"/>
  <c r="I10" i="9"/>
  <c r="K10" i="9" s="1"/>
  <c r="H11" i="9"/>
  <c r="I11" i="9" s="1"/>
  <c r="K11" i="9"/>
  <c r="H12" i="9"/>
  <c r="I12" i="9" s="1"/>
  <c r="K12" i="9" s="1"/>
  <c r="H13" i="9"/>
  <c r="I13" i="9"/>
  <c r="K13" i="9"/>
  <c r="F15" i="9"/>
  <c r="H17" i="9"/>
  <c r="I17" i="9"/>
  <c r="H18" i="9"/>
  <c r="I18" i="9"/>
  <c r="K18" i="9" s="1"/>
  <c r="H19" i="9"/>
  <c r="I19" i="9" s="1"/>
  <c r="K19" i="9" s="1"/>
  <c r="H20" i="9"/>
  <c r="I20" i="9" s="1"/>
  <c r="K20" i="9"/>
  <c r="H21" i="9"/>
  <c r="I21" i="9" s="1"/>
  <c r="K21" i="9"/>
  <c r="F23" i="9"/>
  <c r="F9" i="12"/>
  <c r="F10" i="12"/>
  <c r="I10" i="12" s="1"/>
  <c r="J10" i="12"/>
  <c r="F11" i="12"/>
  <c r="I11" i="12" s="1"/>
  <c r="J11" i="12" s="1"/>
  <c r="F12" i="12"/>
  <c r="I12" i="12"/>
  <c r="J12" i="12"/>
  <c r="F13" i="12"/>
  <c r="I13" i="12"/>
  <c r="J13" i="12"/>
  <c r="F14" i="12"/>
  <c r="I14" i="12" s="1"/>
  <c r="J14" i="12" s="1"/>
  <c r="F15" i="12"/>
  <c r="I15" i="12"/>
  <c r="J15" i="12" s="1"/>
  <c r="F16" i="12"/>
  <c r="I16" i="12" s="1"/>
  <c r="J16" i="12"/>
  <c r="F17" i="12"/>
  <c r="I17" i="12" s="1"/>
  <c r="J17" i="12"/>
  <c r="F18" i="12"/>
  <c r="I18" i="12" s="1"/>
  <c r="J18" i="12"/>
  <c r="F19" i="12"/>
  <c r="I19" i="12"/>
  <c r="J19" i="12" s="1"/>
  <c r="F20" i="12"/>
  <c r="I20" i="12"/>
  <c r="J20" i="12" s="1"/>
  <c r="K22" i="12"/>
  <c r="F26" i="12"/>
  <c r="I26" i="12" s="1"/>
  <c r="H26" i="12"/>
  <c r="F27" i="12"/>
  <c r="H27" i="12"/>
  <c r="I27" i="12"/>
  <c r="K27" i="12"/>
  <c r="F28" i="12"/>
  <c r="I28" i="12" s="1"/>
  <c r="K28" i="12" s="1"/>
  <c r="H28" i="12"/>
  <c r="F29" i="12"/>
  <c r="H29" i="12"/>
  <c r="I29" i="12"/>
  <c r="K29" i="12"/>
  <c r="F30" i="12"/>
  <c r="I30" i="12" s="1"/>
  <c r="K30" i="12" s="1"/>
  <c r="H30" i="12"/>
  <c r="F31" i="12"/>
  <c r="H31" i="12"/>
  <c r="I31" i="12"/>
  <c r="K31" i="12"/>
  <c r="F32" i="12"/>
  <c r="H32" i="12"/>
  <c r="I32" i="12"/>
  <c r="K32" i="12" s="1"/>
  <c r="F33" i="12"/>
  <c r="H33" i="12"/>
  <c r="I33" i="12"/>
  <c r="K33" i="12"/>
  <c r="F34" i="12"/>
  <c r="I34" i="12" s="1"/>
  <c r="K34" i="12" s="1"/>
  <c r="H34" i="12"/>
  <c r="F35" i="12"/>
  <c r="H35" i="12"/>
  <c r="I35" i="12"/>
  <c r="K35" i="12"/>
  <c r="F36" i="12"/>
  <c r="I36" i="12" s="1"/>
  <c r="K36" i="12" s="1"/>
  <c r="H36" i="12"/>
  <c r="F37" i="12"/>
  <c r="H37" i="12"/>
  <c r="I37" i="12"/>
  <c r="K37" i="12" s="1"/>
  <c r="J39" i="12"/>
  <c r="F9" i="13"/>
  <c r="H9" i="13"/>
  <c r="I9" i="13"/>
  <c r="F10" i="13"/>
  <c r="H10" i="13"/>
  <c r="I10" i="13"/>
  <c r="K10" i="13" s="1"/>
  <c r="F11" i="13"/>
  <c r="I11" i="13" s="1"/>
  <c r="K11" i="13" s="1"/>
  <c r="H11" i="13"/>
  <c r="F12" i="13"/>
  <c r="H12" i="13"/>
  <c r="I12" i="13" s="1"/>
  <c r="K12" i="13" s="1"/>
  <c r="F13" i="13"/>
  <c r="H13" i="13"/>
  <c r="I13" i="13"/>
  <c r="K13" i="13" s="1"/>
  <c r="F14" i="13"/>
  <c r="H14" i="13"/>
  <c r="I14" i="13"/>
  <c r="K14" i="13" s="1"/>
  <c r="F15" i="13"/>
  <c r="I15" i="13" s="1"/>
  <c r="K15" i="13" s="1"/>
  <c r="H15" i="13"/>
  <c r="F16" i="13"/>
  <c r="H16" i="13"/>
  <c r="I16" i="13"/>
  <c r="K16" i="13" s="1"/>
  <c r="F17" i="13"/>
  <c r="H17" i="13"/>
  <c r="I17" i="13"/>
  <c r="K17" i="13" s="1"/>
  <c r="F18" i="13"/>
  <c r="H18" i="13"/>
  <c r="I18" i="13"/>
  <c r="K18" i="13" s="1"/>
  <c r="F19" i="13"/>
  <c r="I19" i="13" s="1"/>
  <c r="K19" i="13" s="1"/>
  <c r="H19" i="13"/>
  <c r="F20" i="13"/>
  <c r="H20" i="13"/>
  <c r="I20" i="13" s="1"/>
  <c r="K20" i="13" s="1"/>
  <c r="J22" i="13"/>
  <c r="F26" i="13"/>
  <c r="H26" i="13"/>
  <c r="I26" i="13"/>
  <c r="K26" i="13"/>
  <c r="F27" i="13"/>
  <c r="H27" i="13"/>
  <c r="I27" i="13"/>
  <c r="K27" i="13" s="1"/>
  <c r="F28" i="13"/>
  <c r="H28" i="13"/>
  <c r="I28" i="13"/>
  <c r="K28" i="13" s="1"/>
  <c r="F29" i="13"/>
  <c r="H29" i="13"/>
  <c r="I29" i="13"/>
  <c r="K29" i="13" s="1"/>
  <c r="F30" i="13"/>
  <c r="H30" i="13"/>
  <c r="I30" i="13"/>
  <c r="K30" i="13"/>
  <c r="F31" i="13"/>
  <c r="H31" i="13"/>
  <c r="I31" i="13"/>
  <c r="K31" i="13" s="1"/>
  <c r="F32" i="13"/>
  <c r="H32" i="13"/>
  <c r="I32" i="13"/>
  <c r="K32" i="13" s="1"/>
  <c r="F33" i="13"/>
  <c r="H33" i="13"/>
  <c r="I33" i="13"/>
  <c r="K33" i="13" s="1"/>
  <c r="F34" i="13"/>
  <c r="H34" i="13"/>
  <c r="I34" i="13"/>
  <c r="K34" i="13"/>
  <c r="F35" i="13"/>
  <c r="H35" i="13"/>
  <c r="I35" i="13"/>
  <c r="K35" i="13" s="1"/>
  <c r="F36" i="13"/>
  <c r="H36" i="13"/>
  <c r="I36" i="13"/>
  <c r="K36" i="13" s="1"/>
  <c r="F37" i="13"/>
  <c r="H37" i="13"/>
  <c r="I37" i="13"/>
  <c r="K37" i="13" s="1"/>
  <c r="J39" i="13"/>
  <c r="F9" i="14"/>
  <c r="H9" i="14"/>
  <c r="I9" i="14" s="1"/>
  <c r="K9" i="14"/>
  <c r="F10" i="14"/>
  <c r="H10" i="14"/>
  <c r="F11" i="14"/>
  <c r="H11" i="14"/>
  <c r="I11" i="14" s="1"/>
  <c r="K11" i="14"/>
  <c r="F12" i="14"/>
  <c r="I12" i="14" s="1"/>
  <c r="H12" i="14"/>
  <c r="K12" i="14"/>
  <c r="F13" i="14"/>
  <c r="H13" i="14"/>
  <c r="I13" i="14" s="1"/>
  <c r="K13" i="14"/>
  <c r="F14" i="14"/>
  <c r="I14" i="14" s="1"/>
  <c r="K14" i="14" s="1"/>
  <c r="H14" i="14"/>
  <c r="F15" i="14"/>
  <c r="H15" i="14"/>
  <c r="I15" i="14" s="1"/>
  <c r="K15" i="14"/>
  <c r="F16" i="14"/>
  <c r="I16" i="14" s="1"/>
  <c r="H16" i="14"/>
  <c r="K16" i="14"/>
  <c r="F17" i="14"/>
  <c r="H17" i="14"/>
  <c r="I17" i="14" s="1"/>
  <c r="K17" i="14"/>
  <c r="F18" i="14"/>
  <c r="I18" i="14" s="1"/>
  <c r="K18" i="14" s="1"/>
  <c r="H18" i="14"/>
  <c r="F19" i="14"/>
  <c r="H19" i="14"/>
  <c r="I19" i="14" s="1"/>
  <c r="K19" i="14" s="1"/>
  <c r="F20" i="14"/>
  <c r="I20" i="14" s="1"/>
  <c r="H20" i="14"/>
  <c r="K20" i="14"/>
  <c r="J22" i="14"/>
  <c r="F26" i="14"/>
  <c r="H26" i="14"/>
  <c r="I26" i="14"/>
  <c r="F27" i="14"/>
  <c r="H27" i="14"/>
  <c r="F28" i="14"/>
  <c r="H28" i="14"/>
  <c r="I28" i="14"/>
  <c r="K28" i="14" s="1"/>
  <c r="F29" i="14"/>
  <c r="H29" i="14"/>
  <c r="I29" i="14" s="1"/>
  <c r="K29" i="14" s="1"/>
  <c r="F30" i="14"/>
  <c r="I30" i="14" s="1"/>
  <c r="K30" i="14" s="1"/>
  <c r="H30" i="14"/>
  <c r="F31" i="14"/>
  <c r="H31" i="14"/>
  <c r="K56" i="1" s="1"/>
  <c r="I31" i="14"/>
  <c r="K31" i="14" s="1"/>
  <c r="F32" i="14"/>
  <c r="H32" i="14"/>
  <c r="I32" i="14"/>
  <c r="K32" i="14" s="1"/>
  <c r="F33" i="14"/>
  <c r="H33" i="14"/>
  <c r="I33" i="14" s="1"/>
  <c r="K33" i="14" s="1"/>
  <c r="F34" i="14"/>
  <c r="H34" i="14"/>
  <c r="I34" i="14"/>
  <c r="K34" i="14" s="1"/>
  <c r="F35" i="14"/>
  <c r="H35" i="14"/>
  <c r="I35" i="14" s="1"/>
  <c r="K35" i="14" s="1"/>
  <c r="F36" i="14"/>
  <c r="H36" i="14"/>
  <c r="I36" i="14"/>
  <c r="K36" i="14" s="1"/>
  <c r="F37" i="14"/>
  <c r="H37" i="14"/>
  <c r="I37" i="14" s="1"/>
  <c r="K37" i="14" s="1"/>
  <c r="F39" i="14"/>
  <c r="J39" i="14"/>
  <c r="J41" i="14" s="1"/>
  <c r="F9" i="15"/>
  <c r="I9" i="15" s="1"/>
  <c r="K9" i="15" s="1"/>
  <c r="H9" i="15"/>
  <c r="F10" i="15"/>
  <c r="H10" i="15"/>
  <c r="I10" i="15"/>
  <c r="K10" i="15"/>
  <c r="F11" i="15"/>
  <c r="I11" i="15" s="1"/>
  <c r="H11" i="15"/>
  <c r="K11" i="15"/>
  <c r="F12" i="15"/>
  <c r="H12" i="15"/>
  <c r="I12" i="15"/>
  <c r="K12" i="15"/>
  <c r="F13" i="15"/>
  <c r="I13" i="15" s="1"/>
  <c r="H13" i="15"/>
  <c r="K13" i="15"/>
  <c r="F14" i="15"/>
  <c r="H14" i="15"/>
  <c r="I14" i="15"/>
  <c r="K14" i="15"/>
  <c r="F15" i="15"/>
  <c r="I15" i="15" s="1"/>
  <c r="K15" i="15" s="1"/>
  <c r="H15" i="15"/>
  <c r="F16" i="15"/>
  <c r="H16" i="15"/>
  <c r="I16" i="15"/>
  <c r="K16" i="15"/>
  <c r="F17" i="15"/>
  <c r="I17" i="15" s="1"/>
  <c r="K17" i="15" s="1"/>
  <c r="H17" i="15"/>
  <c r="F18" i="15"/>
  <c r="H18" i="15"/>
  <c r="I18" i="15"/>
  <c r="K18" i="15"/>
  <c r="F19" i="15"/>
  <c r="I19" i="15" s="1"/>
  <c r="H19" i="15"/>
  <c r="K19" i="15"/>
  <c r="F20" i="15"/>
  <c r="H20" i="15"/>
  <c r="I20" i="15"/>
  <c r="K20" i="15"/>
  <c r="J22" i="15"/>
  <c r="F26" i="15"/>
  <c r="H26" i="15"/>
  <c r="I26" i="15" s="1"/>
  <c r="K26" i="15"/>
  <c r="F27" i="15"/>
  <c r="H27" i="15"/>
  <c r="F28" i="15"/>
  <c r="H28" i="15"/>
  <c r="I28" i="15" s="1"/>
  <c r="K28" i="15"/>
  <c r="F29" i="15"/>
  <c r="I29" i="15" s="1"/>
  <c r="K29" i="15" s="1"/>
  <c r="H29" i="15"/>
  <c r="F30" i="15"/>
  <c r="H30" i="15"/>
  <c r="I30" i="15" s="1"/>
  <c r="K30" i="15"/>
  <c r="F31" i="15"/>
  <c r="I31" i="15" s="1"/>
  <c r="H31" i="15"/>
  <c r="K31" i="15"/>
  <c r="F32" i="15"/>
  <c r="H32" i="15"/>
  <c r="I32" i="15" s="1"/>
  <c r="K32" i="15"/>
  <c r="F33" i="15"/>
  <c r="I33" i="15" s="1"/>
  <c r="K33" i="15" s="1"/>
  <c r="H33" i="15"/>
  <c r="F34" i="15"/>
  <c r="H34" i="15"/>
  <c r="I34" i="15" s="1"/>
  <c r="K34" i="15"/>
  <c r="F35" i="15"/>
  <c r="I35" i="15" s="1"/>
  <c r="H35" i="15"/>
  <c r="K35" i="15"/>
  <c r="F36" i="15"/>
  <c r="H36" i="15"/>
  <c r="I36" i="15" s="1"/>
  <c r="K36" i="15"/>
  <c r="F37" i="15"/>
  <c r="I37" i="15" s="1"/>
  <c r="K37" i="15" s="1"/>
  <c r="H37" i="15"/>
  <c r="J39" i="15"/>
  <c r="J41" i="15" s="1"/>
  <c r="I9" i="16"/>
  <c r="J9" i="16"/>
  <c r="J12" i="16" s="1"/>
  <c r="F12" i="16"/>
  <c r="I12" i="16"/>
  <c r="K12" i="16"/>
  <c r="G9" i="18"/>
  <c r="I9" i="18" s="1"/>
  <c r="F12" i="18"/>
  <c r="K12" i="18"/>
  <c r="F9" i="11"/>
  <c r="H9" i="11"/>
  <c r="K43" i="1" s="1"/>
  <c r="I9" i="11"/>
  <c r="K9" i="11" s="1"/>
  <c r="F10" i="11"/>
  <c r="H10" i="11"/>
  <c r="I10" i="11"/>
  <c r="K10" i="11"/>
  <c r="F11" i="11"/>
  <c r="H11" i="11"/>
  <c r="I11" i="11"/>
  <c r="K11" i="11" s="1"/>
  <c r="F12" i="11"/>
  <c r="H12" i="11"/>
  <c r="F13" i="11"/>
  <c r="H13" i="11"/>
  <c r="I13" i="11" s="1"/>
  <c r="K13" i="11" s="1"/>
  <c r="F14" i="11"/>
  <c r="H14" i="11"/>
  <c r="I14" i="11"/>
  <c r="K14" i="11" s="1"/>
  <c r="F15" i="11"/>
  <c r="H15" i="11"/>
  <c r="I15" i="11"/>
  <c r="K15" i="11" s="1"/>
  <c r="F16" i="11"/>
  <c r="H16" i="11"/>
  <c r="I16" i="11" s="1"/>
  <c r="K16" i="11"/>
  <c r="F17" i="11"/>
  <c r="H17" i="11"/>
  <c r="I17" i="11" s="1"/>
  <c r="K17" i="11" s="1"/>
  <c r="F18" i="11"/>
  <c r="I18" i="11" s="1"/>
  <c r="K18" i="11" s="1"/>
  <c r="H18" i="11"/>
  <c r="F19" i="11"/>
  <c r="H19" i="11"/>
  <c r="I19" i="11"/>
  <c r="K19" i="11" s="1"/>
  <c r="F20" i="11"/>
  <c r="H20" i="11"/>
  <c r="I20" i="11" s="1"/>
  <c r="K20" i="11" s="1"/>
  <c r="J22" i="11"/>
  <c r="F26" i="11"/>
  <c r="H26" i="11"/>
  <c r="I26" i="11" s="1"/>
  <c r="F27" i="11"/>
  <c r="H27" i="11"/>
  <c r="I27" i="11"/>
  <c r="K27" i="11" s="1"/>
  <c r="F28" i="11"/>
  <c r="H28" i="11"/>
  <c r="I28" i="11"/>
  <c r="K28" i="11"/>
  <c r="F29" i="11"/>
  <c r="H29" i="11"/>
  <c r="I29" i="11"/>
  <c r="K29" i="11" s="1"/>
  <c r="F30" i="11"/>
  <c r="F39" i="11" s="1"/>
  <c r="H30" i="11"/>
  <c r="F31" i="11"/>
  <c r="H31" i="11"/>
  <c r="I31" i="11" s="1"/>
  <c r="K31" i="11" s="1"/>
  <c r="F32" i="11"/>
  <c r="H32" i="11"/>
  <c r="I32" i="11" s="1"/>
  <c r="K32" i="11" s="1"/>
  <c r="F33" i="11"/>
  <c r="H33" i="11"/>
  <c r="I33" i="11"/>
  <c r="K33" i="11" s="1"/>
  <c r="F34" i="11"/>
  <c r="H34" i="11"/>
  <c r="I34" i="11" s="1"/>
  <c r="K34" i="11"/>
  <c r="F35" i="11"/>
  <c r="H35" i="11"/>
  <c r="I35" i="11" s="1"/>
  <c r="K35" i="11" s="1"/>
  <c r="F36" i="11"/>
  <c r="H36" i="11"/>
  <c r="I36" i="11"/>
  <c r="K36" i="11" s="1"/>
  <c r="F37" i="11"/>
  <c r="H37" i="11"/>
  <c r="I37" i="11"/>
  <c r="K37" i="11" s="1"/>
  <c r="J39" i="11"/>
  <c r="J41" i="11"/>
  <c r="I9" i="10"/>
  <c r="J9" i="10"/>
  <c r="J15" i="10" s="1"/>
  <c r="P39" i="1" s="1"/>
  <c r="I10" i="10"/>
  <c r="J10" i="10"/>
  <c r="I11" i="10"/>
  <c r="J11" i="10"/>
  <c r="I12" i="10"/>
  <c r="J12" i="10" s="1"/>
  <c r="I13" i="10"/>
  <c r="J13" i="10" s="1"/>
  <c r="I14" i="10"/>
  <c r="J14" i="10"/>
  <c r="F15" i="10"/>
  <c r="K15" i="10"/>
  <c r="I20" i="10"/>
  <c r="I21" i="10"/>
  <c r="J21" i="10"/>
  <c r="I22" i="10"/>
  <c r="J22" i="10"/>
  <c r="I23" i="10"/>
  <c r="J23" i="10" s="1"/>
  <c r="I24" i="10"/>
  <c r="J24" i="10" s="1"/>
  <c r="I25" i="10"/>
  <c r="J25" i="10"/>
  <c r="F26" i="10"/>
  <c r="K26" i="10"/>
  <c r="F28" i="10"/>
  <c r="K28" i="10"/>
  <c r="F9" i="7"/>
  <c r="I9" i="7"/>
  <c r="F10" i="7"/>
  <c r="I10" i="7"/>
  <c r="J10" i="7"/>
  <c r="F11" i="7"/>
  <c r="I11" i="7"/>
  <c r="J11" i="7" s="1"/>
  <c r="F12" i="7"/>
  <c r="I12" i="7" s="1"/>
  <c r="J12" i="7" s="1"/>
  <c r="F13" i="7"/>
  <c r="I13" i="7"/>
  <c r="J13" i="7" s="1"/>
  <c r="F14" i="7"/>
  <c r="I14" i="7" s="1"/>
  <c r="J14" i="7" s="1"/>
  <c r="F15" i="7"/>
  <c r="I15" i="7" s="1"/>
  <c r="J15" i="7"/>
  <c r="F16" i="7"/>
  <c r="I16" i="7" s="1"/>
  <c r="J16" i="7"/>
  <c r="F17" i="7"/>
  <c r="I17" i="7"/>
  <c r="J17" i="7" s="1"/>
  <c r="F18" i="7"/>
  <c r="H18" i="7"/>
  <c r="I18" i="7" s="1"/>
  <c r="K18" i="7" s="1"/>
  <c r="K22" i="7" s="1"/>
  <c r="Q31" i="1" s="1"/>
  <c r="F19" i="7"/>
  <c r="I19" i="7" s="1"/>
  <c r="K19" i="7" s="1"/>
  <c r="H19" i="7"/>
  <c r="F20" i="7"/>
  <c r="H20" i="7"/>
  <c r="I20" i="7" s="1"/>
  <c r="K20" i="7" s="1"/>
  <c r="F26" i="7"/>
  <c r="I26" i="7"/>
  <c r="F27" i="7"/>
  <c r="I27" i="7" s="1"/>
  <c r="J27" i="7" s="1"/>
  <c r="F28" i="7"/>
  <c r="I28" i="7"/>
  <c r="J28" i="7" s="1"/>
  <c r="F29" i="7"/>
  <c r="I29" i="7" s="1"/>
  <c r="J29" i="7"/>
  <c r="F30" i="7"/>
  <c r="I30" i="7" s="1"/>
  <c r="J30" i="7"/>
  <c r="F31" i="7"/>
  <c r="I31" i="7" s="1"/>
  <c r="J31" i="7"/>
  <c r="F32" i="7"/>
  <c r="I32" i="7"/>
  <c r="J32" i="7" s="1"/>
  <c r="F33" i="7"/>
  <c r="I33" i="7"/>
  <c r="J33" i="7" s="1"/>
  <c r="F34" i="7"/>
  <c r="I34" i="7"/>
  <c r="J34" i="7"/>
  <c r="F35" i="7"/>
  <c r="I35" i="7" s="1"/>
  <c r="K35" i="7" s="1"/>
  <c r="F36" i="7"/>
  <c r="H36" i="7"/>
  <c r="F37" i="7"/>
  <c r="H37" i="7"/>
  <c r="F9" i="3"/>
  <c r="F25" i="3" s="1"/>
  <c r="I9" i="3"/>
  <c r="J9" i="3" s="1"/>
  <c r="F10" i="3"/>
  <c r="I10" i="3" s="1"/>
  <c r="J10" i="3" s="1"/>
  <c r="F11" i="3"/>
  <c r="I11" i="3" s="1"/>
  <c r="J11" i="3" s="1"/>
  <c r="F12" i="3"/>
  <c r="F13" i="3"/>
  <c r="F29" i="3" s="1"/>
  <c r="I29" i="3" s="1"/>
  <c r="J29" i="3" s="1"/>
  <c r="I13" i="3"/>
  <c r="J13" i="3" s="1"/>
  <c r="F14" i="3"/>
  <c r="I14" i="3"/>
  <c r="J14" i="3"/>
  <c r="F15" i="3"/>
  <c r="I15" i="3"/>
  <c r="J15" i="3" s="1"/>
  <c r="F16" i="3"/>
  <c r="F17" i="3"/>
  <c r="F33" i="3" s="1"/>
  <c r="I33" i="3" s="1"/>
  <c r="I17" i="3"/>
  <c r="J17" i="3" s="1"/>
  <c r="F18" i="3"/>
  <c r="I18" i="3" s="1"/>
  <c r="J18" i="3"/>
  <c r="F19" i="3"/>
  <c r="I19" i="3" s="1"/>
  <c r="J19" i="3"/>
  <c r="F20" i="3"/>
  <c r="F21" i="3"/>
  <c r="K21" i="3"/>
  <c r="B25" i="3"/>
  <c r="E25" i="3"/>
  <c r="I25" i="3"/>
  <c r="B26" i="3"/>
  <c r="E26" i="3"/>
  <c r="F26" i="3"/>
  <c r="I26" i="3" s="1"/>
  <c r="J26" i="3" s="1"/>
  <c r="B27" i="3"/>
  <c r="E27" i="3"/>
  <c r="B28" i="3"/>
  <c r="E28" i="3"/>
  <c r="B29" i="3"/>
  <c r="E29" i="3"/>
  <c r="B30" i="3"/>
  <c r="E30" i="3"/>
  <c r="F30" i="3"/>
  <c r="I30" i="3" s="1"/>
  <c r="J30" i="3" s="1"/>
  <c r="B31" i="3"/>
  <c r="E31" i="3"/>
  <c r="F31" i="3"/>
  <c r="I31" i="3" s="1"/>
  <c r="J31" i="3" s="1"/>
  <c r="B32" i="3"/>
  <c r="E32" i="3"/>
  <c r="B33" i="3"/>
  <c r="E33" i="3"/>
  <c r="J33" i="3"/>
  <c r="B34" i="3"/>
  <c r="E34" i="3"/>
  <c r="F34" i="3"/>
  <c r="I34" i="3"/>
  <c r="J34" i="3" s="1"/>
  <c r="B35" i="3"/>
  <c r="E35" i="3"/>
  <c r="B36" i="3"/>
  <c r="E36" i="3"/>
  <c r="K37" i="3"/>
  <c r="K39" i="3" s="1"/>
  <c r="F9" i="6"/>
  <c r="I9" i="6" s="1"/>
  <c r="I17" i="6" s="1"/>
  <c r="O27" i="1" s="1"/>
  <c r="J9" i="6"/>
  <c r="J17" i="6" s="1"/>
  <c r="P27" i="1" s="1"/>
  <c r="F10" i="6"/>
  <c r="I10" i="6"/>
  <c r="J10" i="6" s="1"/>
  <c r="F11" i="6"/>
  <c r="I11" i="6" s="1"/>
  <c r="J11" i="6" s="1"/>
  <c r="F12" i="6"/>
  <c r="I12" i="6" s="1"/>
  <c r="J12" i="6" s="1"/>
  <c r="F13" i="6"/>
  <c r="I13" i="6"/>
  <c r="J13" i="6"/>
  <c r="F14" i="6"/>
  <c r="I14" i="6" s="1"/>
  <c r="J14" i="6"/>
  <c r="F15" i="6"/>
  <c r="I15" i="6" s="1"/>
  <c r="J15" i="6"/>
  <c r="F16" i="6"/>
  <c r="I16" i="6"/>
  <c r="J16" i="6" s="1"/>
  <c r="F17" i="6"/>
  <c r="M27" i="1" s="1"/>
  <c r="K17" i="6"/>
  <c r="F21" i="6"/>
  <c r="I21" i="6" s="1"/>
  <c r="J21" i="6"/>
  <c r="F22" i="6"/>
  <c r="I22" i="6"/>
  <c r="F23" i="6"/>
  <c r="I23" i="6" s="1"/>
  <c r="J23" i="6"/>
  <c r="F24" i="6"/>
  <c r="I24" i="6" s="1"/>
  <c r="J24" i="6" s="1"/>
  <c r="F25" i="6"/>
  <c r="I25" i="6"/>
  <c r="J25" i="6" s="1"/>
  <c r="F26" i="6"/>
  <c r="I26" i="6"/>
  <c r="J26" i="6" s="1"/>
  <c r="F27" i="6"/>
  <c r="I27" i="6"/>
  <c r="J27" i="6"/>
  <c r="F28" i="6"/>
  <c r="I28" i="6" s="1"/>
  <c r="J28" i="6" s="1"/>
  <c r="K29" i="6"/>
  <c r="K31" i="6" s="1"/>
  <c r="D9" i="5"/>
  <c r="F9" i="5"/>
  <c r="G9" i="5"/>
  <c r="I9" i="5"/>
  <c r="D10" i="5"/>
  <c r="F10" i="5"/>
  <c r="D11" i="5"/>
  <c r="F11" i="5"/>
  <c r="I11" i="5"/>
  <c r="J11" i="5" s="1"/>
  <c r="D12" i="5"/>
  <c r="F12" i="5"/>
  <c r="D13" i="5"/>
  <c r="I13" i="5" s="1"/>
  <c r="F13" i="5"/>
  <c r="J13" i="5"/>
  <c r="D14" i="5"/>
  <c r="I14" i="5" s="1"/>
  <c r="J14" i="5" s="1"/>
  <c r="F14" i="5"/>
  <c r="D15" i="5"/>
  <c r="I15" i="5" s="1"/>
  <c r="F15" i="5"/>
  <c r="J15" i="5"/>
  <c r="D16" i="5"/>
  <c r="F16" i="5"/>
  <c r="F24" i="5" s="1"/>
  <c r="M23" i="1" s="1"/>
  <c r="N23" i="1" s="1"/>
  <c r="D17" i="5"/>
  <c r="F17" i="5"/>
  <c r="D18" i="5"/>
  <c r="F18" i="5"/>
  <c r="D19" i="5"/>
  <c r="F19" i="5"/>
  <c r="I19" i="5" s="1"/>
  <c r="J19" i="5"/>
  <c r="D20" i="5"/>
  <c r="F20" i="5"/>
  <c r="D21" i="5"/>
  <c r="F21" i="5"/>
  <c r="I21" i="5"/>
  <c r="J21" i="5" s="1"/>
  <c r="D22" i="5"/>
  <c r="I22" i="5" s="1"/>
  <c r="F22" i="5"/>
  <c r="J22" i="5"/>
  <c r="D23" i="5"/>
  <c r="I23" i="5" s="1"/>
  <c r="J23" i="5" s="1"/>
  <c r="F23" i="5"/>
  <c r="K24" i="5"/>
  <c r="D28" i="5"/>
  <c r="F28" i="5"/>
  <c r="I28" i="5"/>
  <c r="J28" i="5" s="1"/>
  <c r="D29" i="5"/>
  <c r="I29" i="5" s="1"/>
  <c r="J29" i="5" s="1"/>
  <c r="F29" i="5"/>
  <c r="D30" i="5"/>
  <c r="F30" i="5"/>
  <c r="I30" i="5" s="1"/>
  <c r="J30" i="5"/>
  <c r="D31" i="5"/>
  <c r="F31" i="5"/>
  <c r="D32" i="5"/>
  <c r="I32" i="5" s="1"/>
  <c r="J32" i="5" s="1"/>
  <c r="F32" i="5"/>
  <c r="D33" i="5"/>
  <c r="I33" i="5" s="1"/>
  <c r="F33" i="5"/>
  <c r="J33" i="5"/>
  <c r="D34" i="5"/>
  <c r="F34" i="5"/>
  <c r="D35" i="5"/>
  <c r="I35" i="5" s="1"/>
  <c r="J35" i="5" s="1"/>
  <c r="F35" i="5"/>
  <c r="D36" i="5"/>
  <c r="F36" i="5"/>
  <c r="I36" i="5" s="1"/>
  <c r="J36" i="5" s="1"/>
  <c r="D37" i="5"/>
  <c r="F37" i="5"/>
  <c r="D38" i="5"/>
  <c r="F38" i="5"/>
  <c r="I38" i="5"/>
  <c r="J38" i="5" s="1"/>
  <c r="D39" i="5"/>
  <c r="F39" i="5"/>
  <c r="D40" i="5"/>
  <c r="I40" i="5" s="1"/>
  <c r="F40" i="5"/>
  <c r="J40" i="5"/>
  <c r="D41" i="5"/>
  <c r="I41" i="5" s="1"/>
  <c r="J41" i="5" s="1"/>
  <c r="F41" i="5"/>
  <c r="D42" i="5"/>
  <c r="I42" i="5" s="1"/>
  <c r="F42" i="5"/>
  <c r="J42" i="5"/>
  <c r="K43" i="5"/>
  <c r="K45" i="5" s="1"/>
  <c r="J11" i="1"/>
  <c r="K11" i="1"/>
  <c r="Q11" i="1"/>
  <c r="J12" i="1"/>
  <c r="K12" i="1"/>
  <c r="M12" i="1"/>
  <c r="N12" i="1"/>
  <c r="Q12" i="1"/>
  <c r="Q13" i="1"/>
  <c r="J15" i="1"/>
  <c r="K15" i="1"/>
  <c r="Q15" i="1"/>
  <c r="Q17" i="1" s="1"/>
  <c r="J16" i="1"/>
  <c r="K16" i="1"/>
  <c r="Q16" i="1"/>
  <c r="J19" i="1"/>
  <c r="K19" i="1"/>
  <c r="J20" i="1"/>
  <c r="K20" i="1"/>
  <c r="Q20" i="1"/>
  <c r="J23" i="1"/>
  <c r="K23" i="1"/>
  <c r="Q23" i="1"/>
  <c r="J24" i="1"/>
  <c r="K24" i="1"/>
  <c r="Q24" i="1"/>
  <c r="Q25" i="1" s="1"/>
  <c r="K27" i="1"/>
  <c r="Q27" i="1"/>
  <c r="Q29" i="1" s="1"/>
  <c r="K28" i="1"/>
  <c r="Q28" i="1"/>
  <c r="K31" i="1"/>
  <c r="M35" i="1"/>
  <c r="N35" i="1" s="1"/>
  <c r="P35" i="1"/>
  <c r="M36" i="1"/>
  <c r="N36" i="1"/>
  <c r="P36" i="1"/>
  <c r="P37" i="1" s="1"/>
  <c r="N37" i="1"/>
  <c r="K39" i="1"/>
  <c r="M39" i="1"/>
  <c r="N39" i="1" s="1"/>
  <c r="Q39" i="1"/>
  <c r="K40" i="1"/>
  <c r="M40" i="1"/>
  <c r="N40" i="1"/>
  <c r="Q40" i="1"/>
  <c r="Q41" i="1" s="1"/>
  <c r="N41" i="1"/>
  <c r="P43" i="1"/>
  <c r="P44" i="1"/>
  <c r="P45" i="1" s="1"/>
  <c r="P47" i="1"/>
  <c r="K48" i="1"/>
  <c r="P51" i="1"/>
  <c r="P52" i="1"/>
  <c r="P53" i="1" s="1"/>
  <c r="K55" i="1"/>
  <c r="P55" i="1"/>
  <c r="P57" i="1" s="1"/>
  <c r="P56" i="1"/>
  <c r="M72" i="1"/>
  <c r="K73" i="1"/>
  <c r="L73" i="1"/>
  <c r="N73" i="1"/>
  <c r="K74" i="1"/>
  <c r="L74" i="1" s="1"/>
  <c r="N74" i="1"/>
  <c r="M75" i="1"/>
  <c r="N75" i="1"/>
  <c r="Q78" i="1"/>
  <c r="M79" i="1"/>
  <c r="M80" i="1" s="1"/>
  <c r="O79" i="1"/>
  <c r="Q79" i="1" s="1"/>
  <c r="Q80" i="1" s="1"/>
  <c r="O80" i="1"/>
  <c r="Q82" i="1"/>
  <c r="O83" i="1"/>
  <c r="Q83" i="1"/>
  <c r="M84" i="1"/>
  <c r="O84" i="1"/>
  <c r="Q86" i="1"/>
  <c r="M87" i="1"/>
  <c r="M88" i="1" s="1"/>
  <c r="Q87" i="1"/>
  <c r="O88" i="1"/>
  <c r="Q88" i="1"/>
  <c r="Q90" i="1"/>
  <c r="O94" i="1"/>
  <c r="P94" i="1"/>
  <c r="O96" i="1"/>
  <c r="P96" i="1"/>
  <c r="M100" i="1"/>
  <c r="Q102" i="1"/>
  <c r="L27" i="1" l="1"/>
  <c r="N27" i="1"/>
  <c r="K22" i="15"/>
  <c r="Q55" i="1" s="1"/>
  <c r="K26" i="11"/>
  <c r="K39" i="11" s="1"/>
  <c r="I39" i="11"/>
  <c r="I17" i="5"/>
  <c r="J17" i="5" s="1"/>
  <c r="F39" i="7"/>
  <c r="K52" i="1"/>
  <c r="M15" i="1"/>
  <c r="N15" i="1" s="1"/>
  <c r="I37" i="7"/>
  <c r="K37" i="7" s="1"/>
  <c r="K32" i="1"/>
  <c r="F41" i="11"/>
  <c r="M44" i="1"/>
  <c r="N44" i="1" s="1"/>
  <c r="K51" i="1"/>
  <c r="I27" i="14"/>
  <c r="K27" i="14" s="1"/>
  <c r="K39" i="13"/>
  <c r="F39" i="12"/>
  <c r="K47" i="1"/>
  <c r="K35" i="1"/>
  <c r="I43" i="5"/>
  <c r="F43" i="5"/>
  <c r="J22" i="6"/>
  <c r="J29" i="6" s="1"/>
  <c r="I29" i="6"/>
  <c r="J25" i="3"/>
  <c r="I16" i="3"/>
  <c r="J16" i="3" s="1"/>
  <c r="F32" i="3"/>
  <c r="I32" i="3" s="1"/>
  <c r="J32" i="3" s="1"/>
  <c r="F22" i="15"/>
  <c r="M55" i="1" s="1"/>
  <c r="I39" i="13"/>
  <c r="I23" i="9"/>
  <c r="K17" i="9"/>
  <c r="K23" i="9" s="1"/>
  <c r="M52" i="1"/>
  <c r="N52" i="1" s="1"/>
  <c r="I39" i="12"/>
  <c r="K26" i="12"/>
  <c r="K39" i="12" s="1"/>
  <c r="K41" i="12" s="1"/>
  <c r="F22" i="7"/>
  <c r="M31" i="1" s="1"/>
  <c r="J20" i="10"/>
  <c r="J26" i="10" s="1"/>
  <c r="I26" i="10"/>
  <c r="I39" i="14"/>
  <c r="K26" i="14"/>
  <c r="K39" i="14" s="1"/>
  <c r="M11" i="1"/>
  <c r="F40" i="2"/>
  <c r="M37" i="1"/>
  <c r="J9" i="5"/>
  <c r="I24" i="5"/>
  <c r="O23" i="1" s="1"/>
  <c r="L23" i="1" s="1"/>
  <c r="F27" i="3"/>
  <c r="I27" i="3" s="1"/>
  <c r="J27" i="3" s="1"/>
  <c r="I22" i="15"/>
  <c r="O55" i="1" s="1"/>
  <c r="I22" i="13"/>
  <c r="O47" i="1" s="1"/>
  <c r="K9" i="13"/>
  <c r="K22" i="13" s="1"/>
  <c r="Q47" i="1" s="1"/>
  <c r="I40" i="4"/>
  <c r="J40" i="4" s="1"/>
  <c r="K45" i="4"/>
  <c r="Q19" i="1"/>
  <c r="Q21" i="1" s="1"/>
  <c r="I39" i="7"/>
  <c r="J26" i="7"/>
  <c r="J39" i="7" s="1"/>
  <c r="F29" i="6"/>
  <c r="K44" i="1"/>
  <c r="Q84" i="1"/>
  <c r="M41" i="1"/>
  <c r="I18" i="5"/>
  <c r="J18" i="5" s="1"/>
  <c r="J9" i="18"/>
  <c r="J12" i="18" s="1"/>
  <c r="I12" i="18"/>
  <c r="F22" i="13"/>
  <c r="M47" i="1" s="1"/>
  <c r="I11" i="4"/>
  <c r="J11" i="4" s="1"/>
  <c r="I32" i="4"/>
  <c r="I10" i="5"/>
  <c r="J10" i="5" s="1"/>
  <c r="F35" i="3"/>
  <c r="I35" i="3" s="1"/>
  <c r="J35" i="3" s="1"/>
  <c r="I36" i="7"/>
  <c r="K36" i="7" s="1"/>
  <c r="K39" i="7" s="1"/>
  <c r="I15" i="10"/>
  <c r="O39" i="1" s="1"/>
  <c r="L39" i="1" s="1"/>
  <c r="I30" i="11"/>
  <c r="K30" i="11" s="1"/>
  <c r="F39" i="15"/>
  <c r="I27" i="15"/>
  <c r="J41" i="13"/>
  <c r="I9" i="12"/>
  <c r="F22" i="12"/>
  <c r="F22" i="14"/>
  <c r="M51" i="1" s="1"/>
  <c r="I10" i="14"/>
  <c r="K9" i="9"/>
  <c r="K15" i="9" s="1"/>
  <c r="I15" i="9"/>
  <c r="I24" i="4"/>
  <c r="O19" i="1" s="1"/>
  <c r="L19" i="1" s="1"/>
  <c r="J9" i="4"/>
  <c r="P48" i="1"/>
  <c r="P49" i="1" s="1"/>
  <c r="K36" i="1"/>
  <c r="I37" i="5"/>
  <c r="J37" i="5" s="1"/>
  <c r="I34" i="5"/>
  <c r="J34" i="5" s="1"/>
  <c r="I16" i="5"/>
  <c r="J16" i="5" s="1"/>
  <c r="I22" i="7"/>
  <c r="O31" i="1" s="1"/>
  <c r="J9" i="7"/>
  <c r="J22" i="7" s="1"/>
  <c r="P31" i="1" s="1"/>
  <c r="I12" i="11"/>
  <c r="F22" i="11"/>
  <c r="M43" i="1" s="1"/>
  <c r="F43" i="4"/>
  <c r="I31" i="5"/>
  <c r="J31" i="5" s="1"/>
  <c r="J43" i="5" s="1"/>
  <c r="I12" i="5"/>
  <c r="J12" i="5" s="1"/>
  <c r="I20" i="3"/>
  <c r="J20" i="3" s="1"/>
  <c r="F36" i="3"/>
  <c r="I36" i="3" s="1"/>
  <c r="J36" i="3" s="1"/>
  <c r="I15" i="2"/>
  <c r="J15" i="2" s="1"/>
  <c r="I11" i="2"/>
  <c r="J11" i="2" s="1"/>
  <c r="I17" i="2"/>
  <c r="J17" i="2" s="1"/>
  <c r="I39" i="5"/>
  <c r="J39" i="5" s="1"/>
  <c r="I20" i="5"/>
  <c r="J20" i="5" s="1"/>
  <c r="I12" i="3"/>
  <c r="F28" i="3"/>
  <c r="I28" i="3" s="1"/>
  <c r="J28" i="3" s="1"/>
  <c r="F39" i="13"/>
  <c r="I28" i="2"/>
  <c r="I19" i="2"/>
  <c r="J19" i="2" s="1"/>
  <c r="I10" i="2"/>
  <c r="J45" i="5" l="1"/>
  <c r="P24" i="1"/>
  <c r="L31" i="1"/>
  <c r="O33" i="1"/>
  <c r="O36" i="1"/>
  <c r="O72" i="1"/>
  <c r="Q72" i="1" s="1"/>
  <c r="O73" i="1"/>
  <c r="Q73" i="1" s="1"/>
  <c r="O35" i="1"/>
  <c r="L35" i="1" s="1"/>
  <c r="I39" i="15"/>
  <c r="K27" i="15"/>
  <c r="K39" i="15" s="1"/>
  <c r="J24" i="5"/>
  <c r="P23" i="1" s="1"/>
  <c r="N31" i="1"/>
  <c r="M33" i="1"/>
  <c r="M57" i="1"/>
  <c r="M59" i="1" s="1"/>
  <c r="N55" i="1"/>
  <c r="Q35" i="1"/>
  <c r="Q36" i="1"/>
  <c r="F41" i="15"/>
  <c r="M56" i="1"/>
  <c r="N56" i="1" s="1"/>
  <c r="J12" i="3"/>
  <c r="J21" i="3" s="1"/>
  <c r="I21" i="3"/>
  <c r="I22" i="14"/>
  <c r="O51" i="1" s="1"/>
  <c r="K10" i="14"/>
  <c r="K22" i="14" s="1"/>
  <c r="Q51" i="1" s="1"/>
  <c r="Q53" i="1" s="1"/>
  <c r="N47" i="1"/>
  <c r="M49" i="1"/>
  <c r="F41" i="12"/>
  <c r="P33" i="1"/>
  <c r="P59" i="1" s="1"/>
  <c r="J28" i="10"/>
  <c r="P40" i="1"/>
  <c r="P41" i="1" s="1"/>
  <c r="I41" i="13"/>
  <c r="O48" i="1"/>
  <c r="L48" i="1" s="1"/>
  <c r="L49" i="1" s="1"/>
  <c r="M48" i="1"/>
  <c r="N48" i="1" s="1"/>
  <c r="F41" i="13"/>
  <c r="I41" i="11"/>
  <c r="O44" i="1"/>
  <c r="L44" i="1" s="1"/>
  <c r="M20" i="1"/>
  <c r="F45" i="4"/>
  <c r="K41" i="7"/>
  <c r="Q32" i="1"/>
  <c r="Q33" i="1" s="1"/>
  <c r="M28" i="1"/>
  <c r="F31" i="6"/>
  <c r="O49" i="1"/>
  <c r="Q52" i="1"/>
  <c r="K41" i="14"/>
  <c r="F41" i="14"/>
  <c r="O28" i="1"/>
  <c r="I31" i="6"/>
  <c r="Q44" i="1"/>
  <c r="J28" i="2"/>
  <c r="J38" i="2" s="1"/>
  <c r="I38" i="2"/>
  <c r="O12" i="1" s="1"/>
  <c r="L12" i="1" s="1"/>
  <c r="J32" i="4"/>
  <c r="J43" i="4" s="1"/>
  <c r="I43" i="4"/>
  <c r="O32" i="1"/>
  <c r="I41" i="7"/>
  <c r="I45" i="5"/>
  <c r="O24" i="1"/>
  <c r="F41" i="7"/>
  <c r="M32" i="1"/>
  <c r="N32" i="1" s="1"/>
  <c r="N51" i="1"/>
  <c r="N53" i="1" s="1"/>
  <c r="M53" i="1"/>
  <c r="M17" i="1"/>
  <c r="M13" i="1"/>
  <c r="N11" i="1"/>
  <c r="J37" i="3"/>
  <c r="Q48" i="1"/>
  <c r="Q49" i="1" s="1"/>
  <c r="K41" i="13"/>
  <c r="I22" i="2"/>
  <c r="J10" i="2"/>
  <c r="J22" i="2" s="1"/>
  <c r="M45" i="1"/>
  <c r="N43" i="1"/>
  <c r="N45" i="1" s="1"/>
  <c r="I22" i="12"/>
  <c r="O92" i="1" s="1"/>
  <c r="J9" i="12"/>
  <c r="J22" i="12" s="1"/>
  <c r="J41" i="12" s="1"/>
  <c r="F37" i="3"/>
  <c r="I41" i="14"/>
  <c r="O52" i="1"/>
  <c r="L52" i="1" s="1"/>
  <c r="L53" i="1" s="1"/>
  <c r="K25" i="9"/>
  <c r="P28" i="1"/>
  <c r="P29" i="1" s="1"/>
  <c r="J31" i="6"/>
  <c r="I37" i="3"/>
  <c r="O16" i="1" s="1"/>
  <c r="K12" i="11"/>
  <c r="K22" i="11" s="1"/>
  <c r="Q43" i="1" s="1"/>
  <c r="I22" i="11"/>
  <c r="O43" i="1" s="1"/>
  <c r="J24" i="4"/>
  <c r="J41" i="7"/>
  <c r="P32" i="1"/>
  <c r="O40" i="1"/>
  <c r="I28" i="10"/>
  <c r="I25" i="9"/>
  <c r="O74" i="1"/>
  <c r="F45" i="5"/>
  <c r="M24" i="1"/>
  <c r="N13" i="1" l="1"/>
  <c r="N17" i="1"/>
  <c r="L21" i="3"/>
  <c r="P15" i="1"/>
  <c r="J39" i="3"/>
  <c r="O37" i="1"/>
  <c r="L36" i="1"/>
  <c r="K41" i="11"/>
  <c r="N28" i="1"/>
  <c r="N29" i="1" s="1"/>
  <c r="M29" i="1"/>
  <c r="N33" i="1"/>
  <c r="L22" i="2"/>
  <c r="J40" i="2"/>
  <c r="P11" i="1"/>
  <c r="P13" i="1" s="1"/>
  <c r="L32" i="1"/>
  <c r="L33" i="1" s="1"/>
  <c r="I41" i="12"/>
  <c r="P92" i="1"/>
  <c r="P100" i="1" s="1"/>
  <c r="O100" i="1"/>
  <c r="L38" i="2"/>
  <c r="P12" i="1"/>
  <c r="O15" i="1"/>
  <c r="I39" i="3"/>
  <c r="M25" i="1"/>
  <c r="N24" i="1"/>
  <c r="N25" i="1" s="1"/>
  <c r="L24" i="4"/>
  <c r="P19" i="1"/>
  <c r="I40" i="2"/>
  <c r="O11" i="1"/>
  <c r="I45" i="4"/>
  <c r="O20" i="1"/>
  <c r="L28" i="1"/>
  <c r="L29" i="1" s="1"/>
  <c r="O29" i="1"/>
  <c r="Q56" i="1"/>
  <c r="Q57" i="1" s="1"/>
  <c r="K41" i="15"/>
  <c r="L43" i="1"/>
  <c r="L45" i="1" s="1"/>
  <c r="O45" i="1"/>
  <c r="L43" i="4"/>
  <c r="J45" i="4"/>
  <c r="L45" i="4" s="1"/>
  <c r="P20" i="1"/>
  <c r="P21" i="1" s="1"/>
  <c r="N49" i="1"/>
  <c r="Q37" i="1"/>
  <c r="I41" i="15"/>
  <c r="O56" i="1"/>
  <c r="P25" i="1"/>
  <c r="O25" i="1"/>
  <c r="L24" i="1"/>
  <c r="L25" i="1" s="1"/>
  <c r="O41" i="1"/>
  <c r="L40" i="1"/>
  <c r="L41" i="1" s="1"/>
  <c r="O75" i="1"/>
  <c r="Q74" i="1"/>
  <c r="Q75" i="1" s="1"/>
  <c r="Q100" i="1" s="1"/>
  <c r="Q45" i="1"/>
  <c r="M16" i="1"/>
  <c r="N16" i="1" s="1"/>
  <c r="F39" i="3"/>
  <c r="N20" i="1"/>
  <c r="N21" i="1" s="1"/>
  <c r="M21" i="1"/>
  <c r="L37" i="1"/>
  <c r="L16" i="1"/>
  <c r="L37" i="3"/>
  <c r="P16" i="1"/>
  <c r="O53" i="1"/>
  <c r="N57" i="1"/>
  <c r="O21" i="1" l="1"/>
  <c r="L20" i="1"/>
  <c r="L21" i="1" s="1"/>
  <c r="N59" i="1"/>
  <c r="O17" i="1"/>
  <c r="L15" i="1"/>
  <c r="L17" i="1" s="1"/>
  <c r="L11" i="1"/>
  <c r="L13" i="1" s="1"/>
  <c r="O13" i="1"/>
  <c r="L40" i="2"/>
  <c r="L39" i="3"/>
  <c r="P17" i="1"/>
  <c r="Q59" i="1"/>
  <c r="L56" i="1"/>
  <c r="L57" i="1" s="1"/>
  <c r="O57" i="1"/>
  <c r="O59" i="1" s="1"/>
</calcChain>
</file>

<file path=xl/sharedStrings.xml><?xml version="1.0" encoding="utf-8"?>
<sst xmlns="http://schemas.openxmlformats.org/spreadsheetml/2006/main" count="1030" uniqueCount="143">
  <si>
    <t>ENRON TRANSPORTATION &amp; STORAGE</t>
  </si>
  <si>
    <t>FUEL HEDGING BOOK</t>
  </si>
  <si>
    <t>SUMMARY</t>
  </si>
  <si>
    <t>Related</t>
  </si>
  <si>
    <t>Company</t>
  </si>
  <si>
    <t>Contract</t>
  </si>
  <si>
    <t>Hedged</t>
  </si>
  <si>
    <t>Offsetting</t>
  </si>
  <si>
    <t>Hedge</t>
  </si>
  <si>
    <t>Avg.</t>
  </si>
  <si>
    <t>Spread</t>
  </si>
  <si>
    <t>Fuel</t>
  </si>
  <si>
    <t>Trans.</t>
  </si>
  <si>
    <t>Name</t>
  </si>
  <si>
    <t>Number</t>
  </si>
  <si>
    <t>Type</t>
  </si>
  <si>
    <t>Counter-</t>
  </si>
  <si>
    <t>Term</t>
  </si>
  <si>
    <t>Price</t>
  </si>
  <si>
    <t>Actual/</t>
  </si>
  <si>
    <t>Volume</t>
  </si>
  <si>
    <t>Dth/d</t>
  </si>
  <si>
    <t>Gains and (Losses)</t>
  </si>
  <si>
    <t>Party</t>
  </si>
  <si>
    <t>Futures</t>
  </si>
  <si>
    <t>(Short)</t>
  </si>
  <si>
    <t>Total</t>
  </si>
  <si>
    <t>Realized</t>
  </si>
  <si>
    <t>Unrealized</t>
  </si>
  <si>
    <t>Prices</t>
  </si>
  <si>
    <t>Long</t>
  </si>
  <si>
    <t>(4)</t>
  </si>
  <si>
    <t>TW</t>
  </si>
  <si>
    <t>Avista</t>
  </si>
  <si>
    <t>F</t>
  </si>
  <si>
    <t>Engage</t>
  </si>
  <si>
    <t>P</t>
  </si>
  <si>
    <t>Y</t>
  </si>
  <si>
    <t>Sempra</t>
  </si>
  <si>
    <t>RMTC</t>
  </si>
  <si>
    <t>NNG</t>
  </si>
  <si>
    <t>El Paso</t>
  </si>
  <si>
    <t>Base Gas Repurchase</t>
  </si>
  <si>
    <t>Short(-)</t>
  </si>
  <si>
    <t>Long(+)</t>
  </si>
  <si>
    <t>N</t>
  </si>
  <si>
    <t>Over-retention</t>
  </si>
  <si>
    <t>(4)Gain and Losses are a measurement of the effectiveness of meeting the stated hedge objective.</t>
  </si>
  <si>
    <t xml:space="preserve">                            $20,000,000-El Paso</t>
  </si>
  <si>
    <t>TRANSWESTERN PIPELINE COMPANY</t>
  </si>
  <si>
    <t>Avista_1</t>
  </si>
  <si>
    <t>DEAL EXPIRED</t>
  </si>
  <si>
    <t>Prod.</t>
  </si>
  <si>
    <t>Fixed</t>
  </si>
  <si>
    <t>Settled</t>
  </si>
  <si>
    <t>(Gains) and Losses</t>
  </si>
  <si>
    <t>Date</t>
  </si>
  <si>
    <t>Dth</t>
  </si>
  <si>
    <t>El Paso SJ</t>
  </si>
  <si>
    <t>TW Index</t>
  </si>
  <si>
    <t>Sempra_1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</si>
  <si>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</si>
  <si>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</si>
  <si>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</si>
  <si>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</si>
  <si>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</si>
  <si>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</si>
  <si>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</si>
  <si>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</si>
  <si>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</si>
  <si>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</si>
  <si>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</si>
  <si>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</si>
  <si>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Avista_2</t>
  </si>
  <si>
    <t>El Paso Prmn</t>
  </si>
  <si>
    <t>Sempra_2</t>
  </si>
  <si>
    <t>Sempra_2.1</t>
  </si>
  <si>
    <t>Risk Management &amp; Trading Corp._2</t>
  </si>
  <si>
    <t>NORTHERN NATURAL GAS COMPANY</t>
  </si>
  <si>
    <t>EL PASO ENERGY MARKETING COMPANY_6</t>
  </si>
  <si>
    <t>IF-DEMARC</t>
  </si>
  <si>
    <t>EL PASO</t>
  </si>
  <si>
    <t>06/98-05/99</t>
  </si>
  <si>
    <t>10/98-12/99</t>
  </si>
  <si>
    <t>05/99-12/99</t>
  </si>
  <si>
    <t>01/01-12/01</t>
  </si>
  <si>
    <t xml:space="preserve"> 06/02-10/02 (5)</t>
  </si>
  <si>
    <t>Over-rtnd</t>
  </si>
  <si>
    <t xml:space="preserve"> 06/99-05/00</t>
  </si>
  <si>
    <t>MEC</t>
  </si>
  <si>
    <t>IF-Ventura</t>
  </si>
  <si>
    <t>NGI-Chicago</t>
  </si>
  <si>
    <t>11/99-04/00</t>
  </si>
  <si>
    <t>Index less $.104</t>
  </si>
  <si>
    <t>Speculative Gains and (Losses)</t>
  </si>
  <si>
    <t>MID-AMERICAN ENERGY COMPANY-EXPIRED</t>
  </si>
  <si>
    <t>ENA</t>
  </si>
  <si>
    <t>Enron North America_9</t>
  </si>
  <si>
    <t>Enron North America_10</t>
  </si>
  <si>
    <t>ENA-Put Option</t>
  </si>
  <si>
    <t xml:space="preserve"> </t>
  </si>
  <si>
    <t>Enron North America_11</t>
  </si>
  <si>
    <t>Financial</t>
  </si>
  <si>
    <t>Physical</t>
  </si>
  <si>
    <t>FAS 133 Income Effect</t>
  </si>
  <si>
    <t>See Note 1</t>
  </si>
  <si>
    <t>(3)Gain and Losses are a measurement of the effectiveness of meeting the stated hedge objective.</t>
  </si>
  <si>
    <t>(4)Margin call:  $   1,000,000-NNG</t>
  </si>
  <si>
    <t xml:space="preserve"> 06/02-10/02 (4)</t>
  </si>
  <si>
    <t>(3)</t>
  </si>
  <si>
    <t>Enron North America_12</t>
  </si>
  <si>
    <t>Enron North America_13</t>
  </si>
  <si>
    <t>01/00-12/00</t>
  </si>
  <si>
    <t>TransCanada</t>
  </si>
  <si>
    <t>Put #1-#8</t>
  </si>
  <si>
    <t>Swap #17-#24</t>
  </si>
  <si>
    <t>Option</t>
  </si>
  <si>
    <t>Option Payment</t>
  </si>
  <si>
    <t>Reserve</t>
  </si>
  <si>
    <t>Swap #1-#8</t>
  </si>
  <si>
    <t>NT6154.1</t>
  </si>
  <si>
    <t>Trade</t>
  </si>
  <si>
    <t>NV5358.1</t>
  </si>
  <si>
    <t>11/00-03/09</t>
  </si>
  <si>
    <t>SW01-08</t>
  </si>
  <si>
    <t>PT01-08</t>
  </si>
  <si>
    <t>NORTHERN NATUAL GAS COMPANY</t>
  </si>
  <si>
    <t>El Paso Call Option</t>
  </si>
  <si>
    <t>ENA-Call Option</t>
  </si>
  <si>
    <t>El Paso Merchant Energy_18</t>
  </si>
  <si>
    <t>Enron North America_19</t>
  </si>
  <si>
    <t xml:space="preserve">El Paso </t>
  </si>
  <si>
    <t>Q06763.1</t>
  </si>
  <si>
    <t>OTHER TRADE</t>
  </si>
  <si>
    <t>futures_103100</t>
  </si>
  <si>
    <t>Futures_103100</t>
  </si>
  <si>
    <t>Enron North America_20</t>
  </si>
  <si>
    <t>Strike</t>
  </si>
  <si>
    <t>Floating</t>
  </si>
  <si>
    <t>Q60886.1</t>
  </si>
  <si>
    <t>Currently call option is out of the money $120,000</t>
  </si>
  <si>
    <t>Note 1:  Net income effect upon adoption of FAS 133.  The effectiveness measure of TW hedges are being developed.</t>
  </si>
  <si>
    <t>AS OF OCTOBER 31,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</si>
</sst>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7" formatCode="_(&quot;$&quot;* #,##0.000_);_(&quot;$&quot;* \(#,##0.000\);_(&quot;$&quot;* &quot;-&quot;??_);_(@_)"/>
    <numFmt numFmtId="178" formatCode="&quot;$&quot;#,##0.0000"/>
  </numFmts>
  <fonts count="11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sz val="12"/>
      <name val="Arial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6" xfId="0" applyFont="1" applyFill="1" applyBorder="1" applyAlignment="1">
      <alignment horizontal="center"/>
    </xf>
    <xf numFmtId="17" fontId="0" fillId="0" borderId="3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44" fontId="0" fillId="0" borderId="7" xfId="2" applyFont="1" applyBorder="1"/>
    <xf numFmtId="164" fontId="0" fillId="0" borderId="7" xfId="1" applyNumberFormat="1" applyFont="1" applyBorder="1"/>
    <xf numFmtId="44" fontId="0" fillId="0" borderId="4" xfId="2" applyFont="1" applyBorder="1"/>
    <xf numFmtId="0" fontId="0" fillId="0" borderId="3" xfId="0" applyBorder="1"/>
    <xf numFmtId="164" fontId="1" fillId="0" borderId="8" xfId="0" applyNumberFormat="1" applyFont="1" applyBorder="1"/>
    <xf numFmtId="44" fontId="1" fillId="0" borderId="9" xfId="2" applyFont="1" applyBorder="1"/>
    <xf numFmtId="164" fontId="1" fillId="0" borderId="10" xfId="0" applyNumberFormat="1" applyFont="1" applyBorder="1"/>
    <xf numFmtId="44" fontId="1" fillId="0" borderId="10" xfId="2" applyFont="1" applyBorder="1"/>
    <xf numFmtId="0" fontId="0" fillId="0" borderId="5" xfId="0" applyBorder="1"/>
    <xf numFmtId="0" fontId="0" fillId="0" borderId="11" xfId="0" applyBorder="1"/>
    <xf numFmtId="44" fontId="0" fillId="0" borderId="12" xfId="2" applyFont="1" applyBorder="1"/>
    <xf numFmtId="44" fontId="0" fillId="0" borderId="0" xfId="2" applyFont="1"/>
    <xf numFmtId="0" fontId="5" fillId="0" borderId="0" xfId="0" applyFont="1"/>
    <xf numFmtId="44" fontId="5" fillId="0" borderId="0" xfId="2" applyFont="1"/>
    <xf numFmtId="17" fontId="0" fillId="0" borderId="7" xfId="0" applyNumberFormat="1" applyBorder="1"/>
    <xf numFmtId="165" fontId="0" fillId="0" borderId="7" xfId="2" applyNumberFormat="1" applyFont="1" applyBorder="1"/>
    <xf numFmtId="44" fontId="1" fillId="0" borderId="8" xfId="0" applyNumberFormat="1" applyFont="1" applyBorder="1"/>
    <xf numFmtId="44" fontId="1" fillId="0" borderId="10" xfId="0" applyNumberFormat="1" applyFont="1" applyBorder="1"/>
    <xf numFmtId="44" fontId="1" fillId="0" borderId="8" xfId="2" applyFont="1" applyBorder="1"/>
    <xf numFmtId="165" fontId="0" fillId="0" borderId="7" xfId="0" applyNumberFormat="1" applyBorder="1"/>
    <xf numFmtId="44" fontId="6" fillId="0" borderId="7" xfId="2" applyFont="1" applyBorder="1"/>
    <xf numFmtId="164" fontId="1" fillId="0" borderId="7" xfId="0" applyNumberFormat="1" applyFont="1" applyBorder="1"/>
    <xf numFmtId="0" fontId="0" fillId="0" borderId="4" xfId="0" applyBorder="1"/>
    <xf numFmtId="0" fontId="0" fillId="0" borderId="12" xfId="0" applyBorder="1"/>
    <xf numFmtId="44" fontId="0" fillId="0" borderId="4" xfId="0" applyNumberFormat="1" applyBorder="1"/>
    <xf numFmtId="44" fontId="4" fillId="0" borderId="0" xfId="2" applyFont="1"/>
    <xf numFmtId="44" fontId="0" fillId="0" borderId="0" xfId="0" applyNumberFormat="1"/>
    <xf numFmtId="44" fontId="3" fillId="0" borderId="0" xfId="2" applyFont="1" applyAlignment="1">
      <alignment horizontal="centerContinuous"/>
    </xf>
    <xf numFmtId="44" fontId="4" fillId="0" borderId="0" xfId="2" applyFont="1" applyAlignment="1">
      <alignment horizontal="centerContinuous"/>
    </xf>
    <xf numFmtId="0" fontId="1" fillId="2" borderId="6" xfId="0" applyFont="1" applyFill="1" applyBorder="1"/>
    <xf numFmtId="44" fontId="1" fillId="0" borderId="4" xfId="2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44" fontId="1" fillId="0" borderId="7" xfId="0" applyNumberFormat="1" applyFont="1" applyBorder="1"/>
    <xf numFmtId="44" fontId="1" fillId="0" borderId="4" xfId="0" applyNumberFormat="1" applyFont="1" applyBorder="1"/>
    <xf numFmtId="44" fontId="1" fillId="0" borderId="7" xfId="2" applyFont="1" applyBorder="1"/>
    <xf numFmtId="0" fontId="1" fillId="2" borderId="14" xfId="0" applyFont="1" applyFill="1" applyBorder="1" applyAlignment="1">
      <alignment horizontal="centerContinuous"/>
    </xf>
    <xf numFmtId="0" fontId="1" fillId="3" borderId="14" xfId="0" applyFont="1" applyFill="1" applyBorder="1" applyAlignment="1">
      <alignment horizontal="centerContinuous"/>
    </xf>
    <xf numFmtId="0" fontId="1" fillId="3" borderId="15" xfId="0" applyFont="1" applyFill="1" applyBorder="1" applyAlignment="1">
      <alignment horizontal="centerContinuous"/>
    </xf>
    <xf numFmtId="0" fontId="1" fillId="2" borderId="6" xfId="0" quotePrefix="1" applyFont="1" applyFill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44" fontId="0" fillId="0" borderId="7" xfId="2" applyFont="1" applyFill="1" applyBorder="1"/>
    <xf numFmtId="165" fontId="0" fillId="0" borderId="7" xfId="2" applyNumberFormat="1" applyFont="1" applyFill="1" applyBorder="1"/>
    <xf numFmtId="167" fontId="0" fillId="0" borderId="7" xfId="2" applyNumberFormat="1" applyFont="1" applyBorder="1"/>
    <xf numFmtId="17" fontId="0" fillId="0" borderId="3" xfId="0" quotePrefix="1" applyNumberFormat="1" applyBorder="1" applyAlignment="1">
      <alignment horizontal="right"/>
    </xf>
    <xf numFmtId="44" fontId="0" fillId="4" borderId="7" xfId="2" applyFont="1" applyFill="1" applyBorder="1"/>
    <xf numFmtId="164" fontId="0" fillId="0" borderId="11" xfId="1" applyNumberFormat="1" applyFont="1" applyBorder="1"/>
    <xf numFmtId="44" fontId="0" fillId="0" borderId="11" xfId="2" applyFont="1" applyBorder="1"/>
    <xf numFmtId="44" fontId="0" fillId="0" borderId="11" xfId="0" applyNumberFormat="1" applyBorder="1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Continuous"/>
    </xf>
    <xf numFmtId="0" fontId="7" fillId="3" borderId="2" xfId="0" applyFont="1" applyFill="1" applyBorder="1" applyAlignment="1">
      <alignment horizontal="centerContinuous"/>
    </xf>
    <xf numFmtId="0" fontId="7" fillId="3" borderId="9" xfId="0" applyFont="1" applyFill="1" applyBorder="1" applyAlignment="1">
      <alignment horizontal="centerContinuous"/>
    </xf>
    <xf numFmtId="0" fontId="7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Continuous"/>
    </xf>
    <xf numFmtId="0" fontId="7" fillId="3" borderId="6" xfId="0" applyFont="1" applyFill="1" applyBorder="1" applyAlignment="1">
      <alignment horizontal="centerContinuous"/>
    </xf>
    <xf numFmtId="0" fontId="7" fillId="3" borderId="12" xfId="0" applyFont="1" applyFill="1" applyBorder="1" applyAlignment="1">
      <alignment horizontal="centerContinuous"/>
    </xf>
    <xf numFmtId="0" fontId="7" fillId="3" borderId="0" xfId="0" quotePrefix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2" borderId="6" xfId="0" quotePrefix="1" applyFont="1" applyFill="1" applyBorder="1" applyAlignment="1">
      <alignment horizontal="center"/>
    </xf>
    <xf numFmtId="0" fontId="7" fillId="2" borderId="12" xfId="0" quotePrefix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0" borderId="7" xfId="0" applyFont="1" applyBorder="1" applyAlignment="1">
      <alignment horizontal="center" wrapText="1"/>
    </xf>
    <xf numFmtId="165" fontId="8" fillId="0" borderId="8" xfId="0" applyNumberFormat="1" applyFont="1" applyBorder="1"/>
    <xf numFmtId="165" fontId="8" fillId="0" borderId="7" xfId="2" applyNumberFormat="1" applyFont="1" applyBorder="1"/>
    <xf numFmtId="164" fontId="8" fillId="0" borderId="8" xfId="1" applyNumberFormat="1" applyFont="1" applyBorder="1"/>
    <xf numFmtId="44" fontId="8" fillId="0" borderId="8" xfId="0" applyNumberFormat="1" applyFont="1" applyBorder="1"/>
    <xf numFmtId="44" fontId="8" fillId="0" borderId="4" xfId="0" applyNumberFormat="1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4" xfId="0" applyFont="1" applyBorder="1"/>
    <xf numFmtId="165" fontId="8" fillId="0" borderId="7" xfId="0" applyNumberFormat="1" applyFont="1" applyBorder="1"/>
    <xf numFmtId="165" fontId="8" fillId="0" borderId="3" xfId="2" applyNumberFormat="1" applyFont="1" applyBorder="1"/>
    <xf numFmtId="165" fontId="8" fillId="0" borderId="11" xfId="0" applyNumberFormat="1" applyFont="1" applyFill="1" applyBorder="1"/>
    <xf numFmtId="164" fontId="8" fillId="0" borderId="4" xfId="1" applyNumberFormat="1" applyFont="1" applyBorder="1"/>
    <xf numFmtId="164" fontId="8" fillId="0" borderId="7" xfId="1" applyNumberFormat="1" applyFont="1" applyBorder="1"/>
    <xf numFmtId="44" fontId="8" fillId="0" borderId="7" xfId="0" applyNumberFormat="1" applyFont="1" applyBorder="1"/>
    <xf numFmtId="164" fontId="7" fillId="0" borderId="8" xfId="1" applyNumberFormat="1" applyFont="1" applyBorder="1"/>
    <xf numFmtId="44" fontId="7" fillId="0" borderId="8" xfId="2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44" fontId="7" fillId="0" borderId="8" xfId="0" applyNumberFormat="1" applyFont="1" applyBorder="1"/>
    <xf numFmtId="164" fontId="8" fillId="0" borderId="11" xfId="1" applyNumberFormat="1" applyFont="1" applyBorder="1"/>
    <xf numFmtId="44" fontId="8" fillId="0" borderId="11" xfId="0" applyNumberFormat="1" applyFont="1" applyBorder="1"/>
    <xf numFmtId="44" fontId="8" fillId="0" borderId="12" xfId="0" applyNumberFormat="1" applyFont="1" applyBorder="1"/>
    <xf numFmtId="44" fontId="7" fillId="0" borderId="7" xfId="0" applyNumberFormat="1" applyFont="1" applyBorder="1"/>
    <xf numFmtId="44" fontId="7" fillId="0" borderId="4" xfId="0" applyNumberFormat="1" applyFont="1" applyBorder="1"/>
    <xf numFmtId="164" fontId="8" fillId="0" borderId="7" xfId="0" applyNumberFormat="1" applyFont="1" applyBorder="1"/>
    <xf numFmtId="164" fontId="8" fillId="0" borderId="11" xfId="0" applyNumberFormat="1" applyFont="1" applyBorder="1"/>
    <xf numFmtId="164" fontId="8" fillId="0" borderId="0" xfId="1" applyNumberFormat="1" applyFont="1"/>
    <xf numFmtId="44" fontId="8" fillId="0" borderId="7" xfId="2" applyFont="1" applyBorder="1"/>
    <xf numFmtId="164" fontId="7" fillId="0" borderId="10" xfId="1" applyNumberFormat="1" applyFont="1" applyBorder="1"/>
    <xf numFmtId="44" fontId="7" fillId="0" borderId="10" xfId="0" applyNumberFormat="1" applyFont="1" applyBorder="1"/>
    <xf numFmtId="0" fontId="8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0" xfId="0" applyFont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165" fontId="8" fillId="0" borderId="11" xfId="0" applyNumberFormat="1" applyFont="1" applyBorder="1"/>
    <xf numFmtId="164" fontId="8" fillId="0" borderId="6" xfId="1" applyNumberFormat="1" applyFont="1" applyBorder="1"/>
    <xf numFmtId="44" fontId="8" fillId="0" borderId="11" xfId="2" applyFont="1" applyBorder="1"/>
    <xf numFmtId="44" fontId="9" fillId="0" borderId="7" xfId="0" applyNumberFormat="1" applyFont="1" applyBorder="1"/>
    <xf numFmtId="44" fontId="9" fillId="0" borderId="7" xfId="2" applyFont="1" applyBorder="1"/>
    <xf numFmtId="164" fontId="0" fillId="0" borderId="10" xfId="1" applyNumberFormat="1" applyFont="1" applyBorder="1"/>
    <xf numFmtId="44" fontId="0" fillId="0" borderId="10" xfId="2" applyFont="1" applyBorder="1"/>
    <xf numFmtId="165" fontId="0" fillId="0" borderId="13" xfId="2" applyNumberFormat="1" applyFont="1" applyBorder="1"/>
    <xf numFmtId="44" fontId="0" fillId="0" borderId="3" xfId="2" applyFont="1" applyBorder="1"/>
    <xf numFmtId="164" fontId="8" fillId="0" borderId="0" xfId="1" applyNumberFormat="1" applyFont="1" applyBorder="1"/>
    <xf numFmtId="164" fontId="10" fillId="0" borderId="0" xfId="0" applyNumberFormat="1" applyFont="1"/>
    <xf numFmtId="0" fontId="7" fillId="3" borderId="5" xfId="0" applyFont="1" applyFill="1" applyBorder="1" applyAlignment="1">
      <alignment horizontal="center"/>
    </xf>
    <xf numFmtId="44" fontId="0" fillId="0" borderId="12" xfId="0" applyNumberFormat="1" applyBorder="1"/>
    <xf numFmtId="0" fontId="7" fillId="2" borderId="0" xfId="0" quotePrefix="1" applyFont="1" applyFill="1" applyBorder="1" applyAlignment="1">
      <alignment horizontal="center"/>
    </xf>
    <xf numFmtId="0" fontId="7" fillId="2" borderId="4" xfId="0" quotePrefix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 shrinkToFit="1"/>
    </xf>
    <xf numFmtId="164" fontId="8" fillId="0" borderId="3" xfId="1" applyNumberFormat="1" applyFont="1" applyFill="1" applyBorder="1" applyAlignment="1">
      <alignment horizontal="center"/>
    </xf>
    <xf numFmtId="164" fontId="7" fillId="0" borderId="3" xfId="1" applyNumberFormat="1" applyFont="1" applyFill="1" applyBorder="1" applyAlignment="1">
      <alignment horizontal="center"/>
    </xf>
    <xf numFmtId="44" fontId="8" fillId="0" borderId="3" xfId="0" quotePrefix="1" applyNumberFormat="1" applyFont="1" applyFill="1" applyBorder="1" applyAlignment="1">
      <alignment horizontal="center"/>
    </xf>
    <xf numFmtId="44" fontId="7" fillId="0" borderId="3" xfId="0" quotePrefix="1" applyNumberFormat="1" applyFont="1" applyFill="1" applyBorder="1" applyAlignment="1">
      <alignment horizontal="center"/>
    </xf>
    <xf numFmtId="0" fontId="7" fillId="0" borderId="3" xfId="0" quotePrefix="1" applyFont="1" applyFill="1" applyBorder="1" applyAlignment="1">
      <alignment horizontal="center"/>
    </xf>
    <xf numFmtId="44" fontId="8" fillId="0" borderId="7" xfId="0" quotePrefix="1" applyNumberFormat="1" applyFont="1" applyFill="1" applyBorder="1" applyAlignment="1">
      <alignment horizontal="center"/>
    </xf>
    <xf numFmtId="44" fontId="8" fillId="0" borderId="3" xfId="2" applyFont="1" applyFill="1" applyBorder="1" applyAlignment="1">
      <alignment horizontal="center"/>
    </xf>
    <xf numFmtId="167" fontId="8" fillId="0" borderId="3" xfId="2" applyNumberFormat="1" applyFont="1" applyFill="1" applyBorder="1" applyAlignment="1">
      <alignment horizontal="center"/>
    </xf>
    <xf numFmtId="44" fontId="8" fillId="0" borderId="0" xfId="0" applyNumberFormat="1" applyFont="1"/>
    <xf numFmtId="44" fontId="7" fillId="0" borderId="7" xfId="0" quotePrefix="1" applyNumberFormat="1" applyFont="1" applyFill="1" applyBorder="1" applyAlignment="1">
      <alignment horizontal="center"/>
    </xf>
    <xf numFmtId="164" fontId="7" fillId="0" borderId="0" xfId="0" applyNumberFormat="1" applyFont="1" applyBorder="1"/>
    <xf numFmtId="44" fontId="8" fillId="0" borderId="11" xfId="0" quotePrefix="1" applyNumberFormat="1" applyFont="1" applyFill="1" applyBorder="1" applyAlignment="1">
      <alignment horizontal="center"/>
    </xf>
    <xf numFmtId="164" fontId="8" fillId="0" borderId="11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9" fillId="0" borderId="7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16" xfId="0" applyFont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165" fontId="0" fillId="0" borderId="0" xfId="0" applyNumberFormat="1"/>
    <xf numFmtId="178" fontId="0" fillId="0" borderId="7" xfId="0" applyNumberFormat="1" applyBorder="1"/>
    <xf numFmtId="44" fontId="9" fillId="0" borderId="0" xfId="0" applyNumberFormat="1" applyFont="1" applyBorder="1"/>
    <xf numFmtId="43" fontId="0" fillId="0" borderId="0" xfId="0" applyNumberFormat="1"/>
    <xf numFmtId="44" fontId="8" fillId="0" borderId="4" xfId="2" applyFont="1" applyBorder="1"/>
    <xf numFmtId="164" fontId="7" fillId="0" borderId="0" xfId="1" applyNumberFormat="1" applyFont="1" applyBorder="1"/>
    <xf numFmtId="44" fontId="7" fillId="0" borderId="0" xfId="0" applyNumberFormat="1" applyFont="1" applyBorder="1"/>
    <xf numFmtId="44" fontId="8" fillId="0" borderId="0" xfId="0" applyNumberFormat="1" applyFont="1" applyBorder="1"/>
    <xf numFmtId="164" fontId="7" fillId="0" borderId="4" xfId="1" applyNumberFormat="1" applyFont="1" applyBorder="1"/>
    <xf numFmtId="0" fontId="8" fillId="0" borderId="4" xfId="0" applyFont="1" applyBorder="1" applyAlignment="1">
      <alignment horizontal="center"/>
    </xf>
    <xf numFmtId="0" fontId="8" fillId="0" borderId="6" xfId="0" applyFont="1" applyBorder="1"/>
    <xf numFmtId="164" fontId="7" fillId="0" borderId="12" xfId="1" applyNumberFormat="1" applyFont="1" applyBorder="1"/>
    <xf numFmtId="44" fontId="7" fillId="0" borderId="12" xfId="0" applyNumberFormat="1" applyFont="1" applyBorder="1"/>
    <xf numFmtId="14" fontId="8" fillId="0" borderId="7" xfId="0" applyNumberFormat="1" applyFont="1" applyBorder="1" applyAlignment="1">
      <alignment horizontal="center"/>
    </xf>
    <xf numFmtId="14" fontId="8" fillId="0" borderId="7" xfId="0" applyNumberFormat="1" applyFont="1" applyBorder="1" applyAlignment="1">
      <alignment horizontal="center" wrapText="1"/>
    </xf>
    <xf numFmtId="14" fontId="8" fillId="0" borderId="7" xfId="0" applyNumberFormat="1" applyFont="1" applyBorder="1" applyAlignment="1">
      <alignment horizontal="left"/>
    </xf>
    <xf numFmtId="44" fontId="7" fillId="0" borderId="10" xfId="2" applyFont="1" applyBorder="1"/>
    <xf numFmtId="167" fontId="8" fillId="0" borderId="7" xfId="2" applyNumberFormat="1" applyFont="1" applyBorder="1"/>
    <xf numFmtId="14" fontId="8" fillId="0" borderId="4" xfId="0" applyNumberFormat="1" applyFont="1" applyBorder="1" applyAlignment="1">
      <alignment horizontal="left"/>
    </xf>
    <xf numFmtId="14" fontId="8" fillId="0" borderId="0" xfId="0" applyNumberFormat="1" applyFont="1" applyBorder="1" applyAlignment="1">
      <alignment horizontal="center" wrapText="1"/>
    </xf>
    <xf numFmtId="44" fontId="7" fillId="0" borderId="4" xfId="2" applyFont="1" applyBorder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amp;L_Curves/futu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&amp;L_Curves/futures_1031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&amp;L_Curves/ET&amp;Scurves(b)1102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paso SJ &amp; Prm"/>
      <sheetName val="Elpaso"/>
      <sheetName val="Aeco"/>
      <sheetName val="Empress"/>
      <sheetName val="Iroguois"/>
      <sheetName val="Dawn"/>
      <sheetName val="Niagara"/>
      <sheetName val="Emerson"/>
      <sheetName val="MEC-EXPIRED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paso SJ &amp; Prm"/>
      <sheetName val="Elpaso"/>
      <sheetName val="Aeco"/>
      <sheetName val="Empress"/>
      <sheetName val="Iroquois"/>
      <sheetName val="Dawn"/>
      <sheetName val="Niagara"/>
      <sheetName val="Emerson"/>
      <sheetName val="MEC-EXPIRED"/>
    </sheetNames>
    <sheetDataSet>
      <sheetData sheetId="0">
        <row r="9">
          <cell r="R9">
            <v>4.4253333333333336</v>
          </cell>
        </row>
        <row r="12">
          <cell r="R12">
            <v>4.2084999999999999</v>
          </cell>
        </row>
        <row r="13">
          <cell r="R13">
            <v>4.0018333333333329</v>
          </cell>
        </row>
        <row r="14">
          <cell r="R14">
            <v>3.7650000000000001</v>
          </cell>
        </row>
        <row r="15">
          <cell r="R15">
            <v>3.6966666666666668</v>
          </cell>
        </row>
        <row r="16">
          <cell r="R16">
            <v>3.688333333333333</v>
          </cell>
        </row>
        <row r="17">
          <cell r="R17">
            <v>3.6949999999999998</v>
          </cell>
        </row>
        <row r="18">
          <cell r="R18">
            <v>3.6966666666666668</v>
          </cell>
        </row>
        <row r="19">
          <cell r="R19">
            <v>3.7016666666666667</v>
          </cell>
        </row>
        <row r="20">
          <cell r="R20">
            <v>3.7083333333333335</v>
          </cell>
        </row>
        <row r="21">
          <cell r="R21">
            <v>3.8791666666666664</v>
          </cell>
        </row>
        <row r="22">
          <cell r="R22">
            <v>3.9924999999999997</v>
          </cell>
        </row>
        <row r="23">
          <cell r="R23">
            <v>4.0091666666666663</v>
          </cell>
        </row>
        <row r="34">
          <cell r="F34">
            <v>4.3650000000000002</v>
          </cell>
        </row>
        <row r="35">
          <cell r="F35">
            <v>4.4084999999999992</v>
          </cell>
        </row>
        <row r="36">
          <cell r="F36">
            <v>4.2510000000000003</v>
          </cell>
        </row>
        <row r="37">
          <cell r="F37">
            <v>4.0510000000000002</v>
          </cell>
        </row>
        <row r="38">
          <cell r="F38">
            <v>3.8699999999999997</v>
          </cell>
        </row>
        <row r="39">
          <cell r="F39">
            <v>3.8024999999999998</v>
          </cell>
        </row>
        <row r="40">
          <cell r="F40">
            <v>3.7949999999999999</v>
          </cell>
        </row>
        <row r="41">
          <cell r="F41">
            <v>3.7974999999999999</v>
          </cell>
        </row>
        <row r="42">
          <cell r="F42">
            <v>3.8</v>
          </cell>
        </row>
        <row r="43">
          <cell r="F43">
            <v>3.8050000000000002</v>
          </cell>
        </row>
        <row r="44">
          <cell r="F44">
            <v>3.8074999999999997</v>
          </cell>
        </row>
        <row r="45">
          <cell r="F45">
            <v>3.9249999999999994</v>
          </cell>
        </row>
        <row r="46">
          <cell r="F46">
            <v>4.04</v>
          </cell>
        </row>
        <row r="47">
          <cell r="F47">
            <v>4.0549999999999997</v>
          </cell>
        </row>
        <row r="48">
          <cell r="F48">
            <v>3.88</v>
          </cell>
        </row>
      </sheetData>
      <sheetData sheetId="1">
        <row r="9">
          <cell r="F9">
            <v>3.5469999999999997</v>
          </cell>
        </row>
        <row r="10">
          <cell r="F10">
            <v>3.5720000000000001</v>
          </cell>
        </row>
        <row r="11">
          <cell r="F11">
            <v>3.5819999999999999</v>
          </cell>
        </row>
        <row r="12">
          <cell r="F12">
            <v>3.5989999999999998</v>
          </cell>
        </row>
        <row r="13">
          <cell r="F13">
            <v>3.6100000000000003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</sheetNames>
    <sheetDataSet>
      <sheetData sheetId="0">
        <row r="20">
          <cell r="D20">
            <v>4.4059999999999997</v>
          </cell>
        </row>
        <row r="27">
          <cell r="D27">
            <v>3.871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9"/>
  <sheetViews>
    <sheetView tabSelected="1" workbookViewId="0">
      <selection sqref="A1:Q1"/>
    </sheetView>
  </sheetViews>
  <sheetFormatPr defaultColWidth="9.5703125" defaultRowHeight="11.25" x14ac:dyDescent="0.2"/>
  <cols>
    <col min="1" max="1" width="8" style="69" customWidth="1"/>
    <col min="2" max="2" width="9" style="69" bestFit="1" customWidth="1"/>
    <col min="3" max="3" width="11.5703125" style="69" bestFit="1" customWidth="1"/>
    <col min="4" max="4" width="8.42578125" style="124" bestFit="1" customWidth="1"/>
    <col min="5" max="5" width="11.7109375" style="69" bestFit="1" customWidth="1"/>
    <col min="6" max="6" width="7.42578125" style="69" bestFit="1" customWidth="1"/>
    <col min="7" max="7" width="11.28515625" style="69" bestFit="1" customWidth="1"/>
    <col min="8" max="8" width="9.7109375" style="69" bestFit="1" customWidth="1"/>
    <col min="9" max="9" width="9.42578125" style="69" customWidth="1"/>
    <col min="10" max="10" width="8.42578125" style="69" bestFit="1" customWidth="1"/>
    <col min="11" max="11" width="8.5703125" style="69" bestFit="1" customWidth="1"/>
    <col min="12" max="12" width="9.5703125" style="69" customWidth="1"/>
    <col min="13" max="13" width="12.85546875" style="69" bestFit="1" customWidth="1"/>
    <col min="14" max="14" width="9.5703125" style="69" customWidth="1"/>
    <col min="15" max="15" width="14.28515625" style="69" bestFit="1" customWidth="1"/>
    <col min="16" max="17" width="13.42578125" style="69" bestFit="1" customWidth="1"/>
    <col min="18" max="16384" width="9.5703125" style="69"/>
  </cols>
  <sheetData>
    <row r="1" spans="1:17" s="68" customFormat="1" ht="10.5" x14ac:dyDescent="0.15">
      <c r="A1" s="189" t="s">
        <v>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</row>
    <row r="2" spans="1:17" s="68" customFormat="1" ht="10.5" x14ac:dyDescent="0.15">
      <c r="A2" s="189" t="s">
        <v>1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</row>
    <row r="3" spans="1:17" s="68" customFormat="1" ht="10.5" x14ac:dyDescent="0.15">
      <c r="A3" s="189" t="s">
        <v>2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5" spans="1:17" x14ac:dyDescent="0.2">
      <c r="A5" s="189" t="s">
        <v>142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</row>
    <row r="6" spans="1:17" x14ac:dyDescent="0.2">
      <c r="A6" s="69" t="s">
        <v>100</v>
      </c>
      <c r="L6" s="70"/>
    </row>
    <row r="7" spans="1:17" s="76" customFormat="1" ht="10.5" x14ac:dyDescent="0.15">
      <c r="A7" s="71" t="s">
        <v>3</v>
      </c>
      <c r="B7" s="72" t="s">
        <v>4</v>
      </c>
      <c r="C7" s="72" t="s">
        <v>5</v>
      </c>
      <c r="D7" s="72" t="s">
        <v>5</v>
      </c>
      <c r="E7" s="72" t="s">
        <v>5</v>
      </c>
      <c r="F7" s="72" t="s">
        <v>6</v>
      </c>
      <c r="G7" s="72" t="s">
        <v>7</v>
      </c>
      <c r="H7" s="72" t="s">
        <v>8</v>
      </c>
      <c r="I7" s="72" t="s">
        <v>121</v>
      </c>
      <c r="J7" s="72" t="s">
        <v>5</v>
      </c>
      <c r="K7" s="72" t="s">
        <v>9</v>
      </c>
      <c r="L7" s="72" t="s">
        <v>10</v>
      </c>
      <c r="M7" s="72" t="s">
        <v>5</v>
      </c>
      <c r="N7" s="72" t="s">
        <v>11</v>
      </c>
      <c r="O7" s="73"/>
      <c r="P7" s="74"/>
      <c r="Q7" s="75"/>
    </row>
    <row r="8" spans="1:17" s="76" customFormat="1" ht="10.5" x14ac:dyDescent="0.15">
      <c r="A8" s="77" t="s">
        <v>12</v>
      </c>
      <c r="B8" s="78" t="s">
        <v>13</v>
      </c>
      <c r="C8" s="78" t="s">
        <v>13</v>
      </c>
      <c r="D8" s="78" t="s">
        <v>14</v>
      </c>
      <c r="E8" s="78" t="s">
        <v>15</v>
      </c>
      <c r="F8" s="78"/>
      <c r="G8" s="78" t="s">
        <v>16</v>
      </c>
      <c r="H8" s="78" t="s">
        <v>17</v>
      </c>
      <c r="I8" s="78" t="s">
        <v>56</v>
      </c>
      <c r="J8" s="78" t="s">
        <v>18</v>
      </c>
      <c r="K8" s="78" t="s">
        <v>19</v>
      </c>
      <c r="L8" s="78"/>
      <c r="M8" s="78" t="s">
        <v>20</v>
      </c>
      <c r="N8" s="78" t="s">
        <v>21</v>
      </c>
      <c r="O8" s="79" t="s">
        <v>22</v>
      </c>
      <c r="P8" s="80"/>
      <c r="Q8" s="81"/>
    </row>
    <row r="9" spans="1:17" s="76" customFormat="1" ht="10.5" x14ac:dyDescent="0.15">
      <c r="A9" s="77"/>
      <c r="B9" s="78"/>
      <c r="C9" s="78"/>
      <c r="D9" s="78"/>
      <c r="E9" s="82"/>
      <c r="F9" s="78"/>
      <c r="G9" s="78" t="s">
        <v>23</v>
      </c>
      <c r="H9" s="78"/>
      <c r="I9" s="78"/>
      <c r="J9" s="78"/>
      <c r="K9" s="78" t="s">
        <v>24</v>
      </c>
      <c r="L9" s="78"/>
      <c r="M9" s="78" t="s">
        <v>25</v>
      </c>
      <c r="N9" s="78"/>
      <c r="O9" s="83" t="s">
        <v>26</v>
      </c>
      <c r="P9" s="83" t="s">
        <v>27</v>
      </c>
      <c r="Q9" s="84" t="s">
        <v>28</v>
      </c>
    </row>
    <row r="10" spans="1:17" s="76" customFormat="1" ht="10.5" x14ac:dyDescent="0.15">
      <c r="A10" s="137"/>
      <c r="B10" s="85"/>
      <c r="C10" s="85"/>
      <c r="D10" s="85"/>
      <c r="E10" s="85"/>
      <c r="F10" s="85"/>
      <c r="G10" s="85"/>
      <c r="H10" s="85"/>
      <c r="I10" s="85"/>
      <c r="J10" s="85"/>
      <c r="K10" s="85" t="s">
        <v>29</v>
      </c>
      <c r="L10" s="85"/>
      <c r="M10" s="85" t="s">
        <v>30</v>
      </c>
      <c r="N10" s="85"/>
      <c r="O10" s="86" t="s">
        <v>109</v>
      </c>
      <c r="P10" s="86" t="s">
        <v>109</v>
      </c>
      <c r="Q10" s="87" t="s">
        <v>109</v>
      </c>
    </row>
    <row r="11" spans="1:17" hidden="1" x14ac:dyDescent="0.2">
      <c r="A11" s="88">
        <v>1</v>
      </c>
      <c r="B11" s="88" t="s">
        <v>32</v>
      </c>
      <c r="C11" s="88" t="s">
        <v>33</v>
      </c>
      <c r="D11" s="88"/>
      <c r="E11" s="88" t="s">
        <v>34</v>
      </c>
      <c r="F11" s="89"/>
      <c r="G11" s="88" t="s">
        <v>35</v>
      </c>
      <c r="H11" s="90" t="s">
        <v>82</v>
      </c>
      <c r="I11" s="89"/>
      <c r="J11" s="91">
        <f>+Avista_1_Expired!D10</f>
        <v>2.2200000000000002</v>
      </c>
      <c r="K11" s="92">
        <f>(SUM(Avista_1_Expired!G10:G21)+SUM(Avista_1_Expired!H26:H37))/12</f>
        <v>1.7525000000000004</v>
      </c>
      <c r="L11" s="91">
        <f>-O11/M11</f>
        <v>-0.46602739726027415</v>
      </c>
      <c r="M11" s="93">
        <f>-Avista_1_Expired!F22</f>
        <v>-91250</v>
      </c>
      <c r="N11" s="93">
        <f>+M11/365</f>
        <v>-250</v>
      </c>
      <c r="O11" s="94">
        <f>-Avista_1_Expired!I22</f>
        <v>-42525.000000000015</v>
      </c>
      <c r="P11" s="95">
        <f>-Avista_1_Expired!J22</f>
        <v>-42525.000000000015</v>
      </c>
      <c r="Q11" s="95">
        <f>-Avista_1_Expired!K22</f>
        <v>0</v>
      </c>
    </row>
    <row r="12" spans="1:17" hidden="1" x14ac:dyDescent="0.2">
      <c r="A12" s="96">
        <v>1</v>
      </c>
      <c r="B12" s="96" t="s">
        <v>32</v>
      </c>
      <c r="C12" s="96" t="s">
        <v>35</v>
      </c>
      <c r="D12" s="96">
        <v>26125</v>
      </c>
      <c r="E12" s="96" t="s">
        <v>36</v>
      </c>
      <c r="F12" s="96" t="s">
        <v>37</v>
      </c>
      <c r="G12" s="96" t="s">
        <v>33</v>
      </c>
      <c r="H12" s="90" t="s">
        <v>82</v>
      </c>
      <c r="I12" s="97"/>
      <c r="J12" s="99">
        <f>+Avista_1_Expired!D26</f>
        <v>2.2200000000000002</v>
      </c>
      <c r="K12" s="100">
        <f>(SUM(Avista_1_Expired!G26:G37)+SUM(Avista_1_Expired!H26:H37))/12</f>
        <v>1.8191666666666668</v>
      </c>
      <c r="L12" s="101">
        <f>+O12/M12</f>
        <v>0.36873972602739735</v>
      </c>
      <c r="M12" s="102">
        <f>-Avista_1_Expired!F38</f>
        <v>91250</v>
      </c>
      <c r="N12" s="103">
        <f>+M12/365</f>
        <v>250</v>
      </c>
      <c r="O12" s="104">
        <f>-Avista_1_Expired!I38</f>
        <v>33647.500000000007</v>
      </c>
      <c r="P12" s="95">
        <f>-Avista_1_Expired!J38</f>
        <v>33647.500000000007</v>
      </c>
      <c r="Q12" s="95">
        <f>-Avista_1_Expired!K38</f>
        <v>0</v>
      </c>
    </row>
    <row r="13" spans="1:17" hidden="1" x14ac:dyDescent="0.2">
      <c r="A13" s="96"/>
      <c r="B13" s="96"/>
      <c r="C13" s="96"/>
      <c r="D13" s="96"/>
      <c r="E13" s="96"/>
      <c r="F13" s="96"/>
      <c r="G13" s="96"/>
      <c r="H13" s="97"/>
      <c r="I13" s="97"/>
      <c r="J13" s="99"/>
      <c r="K13" s="92"/>
      <c r="L13" s="99">
        <f>+L11+L12</f>
        <v>-9.7287671232876793E-2</v>
      </c>
      <c r="M13" s="105">
        <f>SUM(M11:M12)</f>
        <v>0</v>
      </c>
      <c r="N13" s="105">
        <f>SUM(N11:N12)</f>
        <v>0</v>
      </c>
      <c r="O13" s="106">
        <f>SUM(O11:O12)</f>
        <v>-8877.5000000000073</v>
      </c>
      <c r="P13" s="106">
        <f>SUM(P11:P12)</f>
        <v>-8877.5000000000073</v>
      </c>
      <c r="Q13" s="106">
        <f>SUM(Q11:Q12)</f>
        <v>0</v>
      </c>
    </row>
    <row r="14" spans="1:17" ht="9.9499999999999993" hidden="1" customHeight="1" x14ac:dyDescent="0.2">
      <c r="A14" s="96"/>
      <c r="B14" s="96"/>
      <c r="C14" s="96"/>
      <c r="D14" s="96"/>
      <c r="E14" s="96"/>
      <c r="F14" s="96"/>
      <c r="G14" s="96"/>
      <c r="H14" s="97"/>
      <c r="I14" s="97"/>
      <c r="J14" s="99"/>
      <c r="K14" s="92"/>
      <c r="L14" s="99"/>
      <c r="M14" s="103"/>
      <c r="N14" s="103"/>
      <c r="O14" s="104"/>
      <c r="P14" s="95"/>
      <c r="Q14" s="95"/>
    </row>
    <row r="15" spans="1:17" hidden="1" x14ac:dyDescent="0.2">
      <c r="A15" s="96">
        <v>1</v>
      </c>
      <c r="B15" s="96" t="s">
        <v>32</v>
      </c>
      <c r="C15" s="96" t="s">
        <v>38</v>
      </c>
      <c r="D15" s="96"/>
      <c r="E15" s="96" t="s">
        <v>34</v>
      </c>
      <c r="F15" s="96"/>
      <c r="G15" s="96" t="s">
        <v>35</v>
      </c>
      <c r="H15" s="90" t="s">
        <v>88</v>
      </c>
      <c r="I15" s="97"/>
      <c r="J15" s="99">
        <f>+Sempra_1_Expired!D9</f>
        <v>1.9450000000000001</v>
      </c>
      <c r="K15" s="100">
        <f>(SUM(Sempra_1_Expired!G9:H20)/12)</f>
        <v>2.3858333333333333</v>
      </c>
      <c r="L15" s="99">
        <f>-O15/M15</f>
        <v>0.43923497267759554</v>
      </c>
      <c r="M15" s="102">
        <f>-Sempra_1_Expired!F21</f>
        <v>-91500</v>
      </c>
      <c r="N15" s="103">
        <f>+M15/366</f>
        <v>-250</v>
      </c>
      <c r="O15" s="104">
        <f>-Sempra_1_Expired!I21</f>
        <v>40189.999999999993</v>
      </c>
      <c r="P15" s="95">
        <f>-Sempra_1_Expired!J21</f>
        <v>40189.999999999993</v>
      </c>
      <c r="Q15" s="95">
        <f>-Sempra_1_Expired!K21</f>
        <v>0</v>
      </c>
    </row>
    <row r="16" spans="1:17" hidden="1" x14ac:dyDescent="0.2">
      <c r="A16" s="96">
        <v>1</v>
      </c>
      <c r="B16" s="96" t="s">
        <v>32</v>
      </c>
      <c r="C16" s="96" t="s">
        <v>35</v>
      </c>
      <c r="D16" s="96">
        <v>26125</v>
      </c>
      <c r="E16" s="96" t="s">
        <v>36</v>
      </c>
      <c r="F16" s="96" t="s">
        <v>37</v>
      </c>
      <c r="G16" s="96" t="s">
        <v>38</v>
      </c>
      <c r="H16" s="90" t="s">
        <v>88</v>
      </c>
      <c r="I16" s="97"/>
      <c r="J16" s="99">
        <f>+Sempra_1_Expired!D25</f>
        <v>1.9450000000000001</v>
      </c>
      <c r="K16" s="92">
        <f>(SUM(Sempra_1_Expired!G25:H36)/12)</f>
        <v>2.4591666666666661</v>
      </c>
      <c r="L16" s="101">
        <f>+O16/M16</f>
        <v>-0.51554644808743155</v>
      </c>
      <c r="M16" s="103">
        <f>-Sempra_1_Expired!F37</f>
        <v>91500</v>
      </c>
      <c r="N16" s="103">
        <f>+M16/366</f>
        <v>250</v>
      </c>
      <c r="O16" s="104">
        <f>-Sempra_1_Expired!I37</f>
        <v>-47172.499999999985</v>
      </c>
      <c r="P16" s="95">
        <f>-Sempra_1_Expired!J37</f>
        <v>-47172.499999999985</v>
      </c>
      <c r="Q16" s="95">
        <f>-Sempra_1_Expired!K37</f>
        <v>0</v>
      </c>
    </row>
    <row r="17" spans="1:17" hidden="1" x14ac:dyDescent="0.2">
      <c r="A17" s="96"/>
      <c r="B17" s="96"/>
      <c r="C17" s="96"/>
      <c r="D17" s="96"/>
      <c r="E17" s="97"/>
      <c r="F17" s="97"/>
      <c r="G17" s="97"/>
      <c r="H17" s="97"/>
      <c r="I17" s="97"/>
      <c r="J17" s="97"/>
      <c r="K17" s="107"/>
      <c r="L17" s="99">
        <f>+L15+L16</f>
        <v>-7.6311475409836016E-2</v>
      </c>
      <c r="M17" s="108">
        <f>+M11+M12</f>
        <v>0</v>
      </c>
      <c r="N17" s="108">
        <f>+N11+N12</f>
        <v>0</v>
      </c>
      <c r="O17" s="109">
        <f>+O15+O16</f>
        <v>-6982.4999999999927</v>
      </c>
      <c r="P17" s="109">
        <f>+P15+P16</f>
        <v>-6982.4999999999927</v>
      </c>
      <c r="Q17" s="109">
        <f>+Q15+Q16</f>
        <v>0</v>
      </c>
    </row>
    <row r="18" spans="1:17" ht="9.9499999999999993" hidden="1" customHeight="1" x14ac:dyDescent="0.2">
      <c r="A18" s="96"/>
      <c r="B18" s="96"/>
      <c r="C18" s="97"/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8"/>
      <c r="Q18" s="98"/>
    </row>
    <row r="19" spans="1:17" hidden="1" x14ac:dyDescent="0.2">
      <c r="A19" s="96">
        <v>2</v>
      </c>
      <c r="B19" s="96" t="s">
        <v>32</v>
      </c>
      <c r="C19" s="96" t="s">
        <v>33</v>
      </c>
      <c r="D19" s="96"/>
      <c r="E19" s="96" t="s">
        <v>34</v>
      </c>
      <c r="F19" s="97"/>
      <c r="G19" s="96" t="s">
        <v>87</v>
      </c>
      <c r="H19" s="90" t="s">
        <v>83</v>
      </c>
      <c r="I19" s="97"/>
      <c r="J19" s="92">
        <f>+Avista_2_Expired!D9</f>
        <v>2.0049999999999999</v>
      </c>
      <c r="K19" s="92">
        <f>(SUM(Avista_2_Expired!G9:G23)+SUM(Avista_2_Expired!H9:H23))/15</f>
        <v>2.0893333333333342</v>
      </c>
      <c r="L19" s="99">
        <f>-O19/M19</f>
        <v>8.5262582056892869E-2</v>
      </c>
      <c r="M19" s="103">
        <f>-Avista_2_Expired!F24</f>
        <v>1142500</v>
      </c>
      <c r="N19" s="103">
        <f>+M19/457</f>
        <v>2500</v>
      </c>
      <c r="O19" s="104">
        <f>-Avista_2_Expired!I24</f>
        <v>-97412.500000000102</v>
      </c>
      <c r="P19" s="95">
        <f>-Avista_2_Expired!J24</f>
        <v>-97412.500000000102</v>
      </c>
      <c r="Q19" s="95">
        <f>-Avista_2_Expired!K24</f>
        <v>0</v>
      </c>
    </row>
    <row r="20" spans="1:17" hidden="1" x14ac:dyDescent="0.2">
      <c r="A20" s="96">
        <v>2</v>
      </c>
      <c r="B20" s="96" t="s">
        <v>32</v>
      </c>
      <c r="C20" s="96" t="s">
        <v>87</v>
      </c>
      <c r="D20" s="96"/>
      <c r="E20" s="96" t="s">
        <v>36</v>
      </c>
      <c r="F20" s="96" t="s">
        <v>37</v>
      </c>
      <c r="G20" s="96" t="s">
        <v>33</v>
      </c>
      <c r="H20" s="90" t="s">
        <v>83</v>
      </c>
      <c r="I20" s="97"/>
      <c r="J20" s="92">
        <f>+Avista_2_Expired!D28</f>
        <v>2.0049999999999999</v>
      </c>
      <c r="K20" s="92">
        <f>(SUM(Avista_2_Expired!G28:G42)+SUM(Avista_2_Expired!H28:H42))/15</f>
        <v>2.036</v>
      </c>
      <c r="L20" s="101">
        <f>+O20/M20</f>
        <v>-3.2899343544857858E-2</v>
      </c>
      <c r="M20" s="103">
        <f>-Avista_2_Expired!F43</f>
        <v>-1142500</v>
      </c>
      <c r="N20" s="103">
        <f>+M20/457</f>
        <v>-2500</v>
      </c>
      <c r="O20" s="104">
        <f>-Avista_2_Expired!I43</f>
        <v>37587.500000000102</v>
      </c>
      <c r="P20" s="95">
        <f>-Avista_2_Expired!J43</f>
        <v>37587.500000000102</v>
      </c>
      <c r="Q20" s="95">
        <f>-Avista_2_Expired!K43</f>
        <v>0</v>
      </c>
    </row>
    <row r="21" spans="1:17" hidden="1" x14ac:dyDescent="0.2">
      <c r="A21" s="96"/>
      <c r="B21" s="96"/>
      <c r="C21" s="97"/>
      <c r="D21" s="96"/>
      <c r="E21" s="97"/>
      <c r="F21" s="97"/>
      <c r="G21" s="97"/>
      <c r="H21" s="97"/>
      <c r="I21" s="97"/>
      <c r="J21" s="97"/>
      <c r="K21" s="97"/>
      <c r="L21" s="99">
        <f>+L19+L20</f>
        <v>5.2363238512035011E-2</v>
      </c>
      <c r="M21" s="108">
        <f>+M20+M19</f>
        <v>0</v>
      </c>
      <c r="N21" s="108">
        <f>+N20+N19</f>
        <v>0</v>
      </c>
      <c r="O21" s="109">
        <f>+O20+O19</f>
        <v>-59825</v>
      </c>
      <c r="P21" s="109">
        <f>+P20+P19</f>
        <v>-59825</v>
      </c>
      <c r="Q21" s="109">
        <f>+Q20+Q19</f>
        <v>0</v>
      </c>
    </row>
    <row r="22" spans="1:17" ht="9.9499999999999993" hidden="1" customHeight="1" x14ac:dyDescent="0.2">
      <c r="A22" s="96"/>
      <c r="B22" s="96"/>
      <c r="C22" s="97"/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8"/>
      <c r="Q22" s="98"/>
    </row>
    <row r="23" spans="1:17" hidden="1" x14ac:dyDescent="0.2">
      <c r="A23" s="96">
        <v>2</v>
      </c>
      <c r="B23" s="96" t="s">
        <v>32</v>
      </c>
      <c r="C23" s="96" t="s">
        <v>38</v>
      </c>
      <c r="D23" s="96"/>
      <c r="E23" s="96" t="s">
        <v>34</v>
      </c>
      <c r="F23" s="97"/>
      <c r="G23" s="96" t="s">
        <v>87</v>
      </c>
      <c r="H23" s="90" t="s">
        <v>83</v>
      </c>
      <c r="I23" s="97"/>
      <c r="J23" s="92">
        <f>+Sempra_2_Expired!D9</f>
        <v>2.1</v>
      </c>
      <c r="K23" s="92">
        <f>(SUM(Sempra_2_Expired!G9:G23)+SUM(Sempra_2_Expired!H9:H23))/15</f>
        <v>2.0893333333333342</v>
      </c>
      <c r="L23" s="99">
        <f>-O23/M23</f>
        <v>-9.7374179431073109E-3</v>
      </c>
      <c r="M23" s="103">
        <f>-Sempra_2_Expired!F24</f>
        <v>1142500</v>
      </c>
      <c r="N23" s="103">
        <f>+M23/457</f>
        <v>2500</v>
      </c>
      <c r="O23" s="104">
        <f>-Sempra_2_Expired!I24</f>
        <v>11125.000000000104</v>
      </c>
      <c r="P23" s="95">
        <f>-Sempra_2_Expired!J24</f>
        <v>11125.000000000104</v>
      </c>
      <c r="Q23" s="95">
        <f>-Sempra_2_Expired!K24</f>
        <v>0</v>
      </c>
    </row>
    <row r="24" spans="1:17" hidden="1" x14ac:dyDescent="0.2">
      <c r="A24" s="96">
        <v>2</v>
      </c>
      <c r="B24" s="96" t="s">
        <v>32</v>
      </c>
      <c r="C24" s="96" t="s">
        <v>87</v>
      </c>
      <c r="D24" s="96"/>
      <c r="E24" s="96" t="s">
        <v>36</v>
      </c>
      <c r="F24" s="96" t="s">
        <v>37</v>
      </c>
      <c r="G24" s="96" t="s">
        <v>38</v>
      </c>
      <c r="H24" s="90" t="s">
        <v>83</v>
      </c>
      <c r="I24" s="97"/>
      <c r="J24" s="92">
        <f>+Sempra_2_Expired!D28</f>
        <v>2.1</v>
      </c>
      <c r="K24" s="92">
        <f>(SUM(Sempra_2_Expired!G28:G42)+SUM(Sempra_2_Expired!H28:H42))/15</f>
        <v>2.036</v>
      </c>
      <c r="L24" s="101">
        <f>+O24/M24</f>
        <v>6.2100656455142372E-2</v>
      </c>
      <c r="M24" s="110">
        <f>-Sempra_2_Expired!F43</f>
        <v>-1142500</v>
      </c>
      <c r="N24" s="110">
        <f>+M24/457</f>
        <v>-2500</v>
      </c>
      <c r="O24" s="111">
        <f>-Sempra_2_Expired!I43</f>
        <v>-70950.00000000016</v>
      </c>
      <c r="P24" s="112">
        <f>-Sempra_2_Expired!J43</f>
        <v>-70950.00000000016</v>
      </c>
      <c r="Q24" s="112">
        <f>-Sempra_2_Expired!K43</f>
        <v>0</v>
      </c>
    </row>
    <row r="25" spans="1:17" hidden="1" x14ac:dyDescent="0.2">
      <c r="A25" s="96"/>
      <c r="B25" s="96"/>
      <c r="C25" s="96"/>
      <c r="D25" s="96"/>
      <c r="E25" s="96"/>
      <c r="F25" s="96"/>
      <c r="G25" s="96"/>
      <c r="H25" s="97"/>
      <c r="I25" s="97"/>
      <c r="J25" s="92"/>
      <c r="K25" s="92"/>
      <c r="L25" s="99">
        <f>+L23+L24</f>
        <v>5.236323851203506E-2</v>
      </c>
      <c r="M25" s="103">
        <f>+M24+M23</f>
        <v>0</v>
      </c>
      <c r="N25" s="103">
        <f>+N24+N23</f>
        <v>0</v>
      </c>
      <c r="O25" s="113">
        <f>+O24+O23</f>
        <v>-59825.000000000058</v>
      </c>
      <c r="P25" s="113">
        <f>+P24+P23</f>
        <v>-59825.000000000058</v>
      </c>
      <c r="Q25" s="113">
        <f>+Q24+Q23</f>
        <v>0</v>
      </c>
    </row>
    <row r="26" spans="1:17" ht="9.9499999999999993" hidden="1" customHeight="1" x14ac:dyDescent="0.2">
      <c r="A26" s="96"/>
      <c r="B26" s="96"/>
      <c r="C26" s="96"/>
      <c r="D26" s="96"/>
      <c r="E26" s="96"/>
      <c r="F26" s="96"/>
      <c r="G26" s="96"/>
      <c r="H26" s="97"/>
      <c r="I26" s="97"/>
      <c r="J26" s="92"/>
      <c r="K26" s="92"/>
      <c r="L26" s="92"/>
      <c r="M26" s="103"/>
      <c r="N26" s="103"/>
      <c r="O26" s="104"/>
      <c r="P26" s="95"/>
      <c r="Q26" s="95"/>
    </row>
    <row r="27" spans="1:17" hidden="1" x14ac:dyDescent="0.2">
      <c r="A27" s="96">
        <v>2</v>
      </c>
      <c r="B27" s="96" t="s">
        <v>32</v>
      </c>
      <c r="C27" s="96" t="s">
        <v>38</v>
      </c>
      <c r="D27" s="96"/>
      <c r="E27" s="96" t="s">
        <v>34</v>
      </c>
      <c r="F27" s="97"/>
      <c r="G27" s="96" t="s">
        <v>87</v>
      </c>
      <c r="H27" s="90" t="s">
        <v>84</v>
      </c>
      <c r="I27" s="97"/>
      <c r="J27" s="92">
        <v>2.0099999999999998</v>
      </c>
      <c r="K27" s="92">
        <f>(SUM(Sempra_2.1_Expired!G9:G16)+SUM(Sempra_2.1_Expired!H9:H19))/8</f>
        <v>2.3775000000000004</v>
      </c>
      <c r="L27" s="99">
        <f>-O27/M27</f>
        <v>0.36506122448979617</v>
      </c>
      <c r="M27" s="103">
        <f>-Sempra_2.1_Expired!F17</f>
        <v>2450000</v>
      </c>
      <c r="N27" s="103">
        <f>+M27/245</f>
        <v>10000</v>
      </c>
      <c r="O27" s="104">
        <f>-Sempra_2.1_Expired!I17</f>
        <v>-894400.00000000058</v>
      </c>
      <c r="P27" s="95">
        <f>-Sempra_2.1_Expired!J17</f>
        <v>-894400.00000000058</v>
      </c>
      <c r="Q27" s="95">
        <f>-Sempra_2.1_Expired!K17</f>
        <v>0</v>
      </c>
    </row>
    <row r="28" spans="1:17" hidden="1" x14ac:dyDescent="0.2">
      <c r="A28" s="96">
        <v>2</v>
      </c>
      <c r="B28" s="96" t="s">
        <v>32</v>
      </c>
      <c r="C28" s="96" t="s">
        <v>87</v>
      </c>
      <c r="D28" s="96"/>
      <c r="E28" s="96" t="s">
        <v>36</v>
      </c>
      <c r="F28" s="96" t="s">
        <v>37</v>
      </c>
      <c r="G28" s="96" t="s">
        <v>38</v>
      </c>
      <c r="H28" s="90" t="s">
        <v>84</v>
      </c>
      <c r="I28" s="97"/>
      <c r="J28" s="92">
        <v>2.0099999999999998</v>
      </c>
      <c r="K28" s="92">
        <f>(SUM(Sempra_2.1_Expired!G21:G28)+SUM(Sempra_2.1_Expired!H21:H28))/8</f>
        <v>2.2675000000000001</v>
      </c>
      <c r="L28" s="101">
        <f>+O28/M28</f>
        <v>-0.25832653061224503</v>
      </c>
      <c r="M28" s="103">
        <f>-Sempra_2.1_Expired!F29</f>
        <v>-2450000</v>
      </c>
      <c r="N28" s="103">
        <f>+M28/245</f>
        <v>-10000</v>
      </c>
      <c r="O28" s="104">
        <f>-Sempra_2.1_Expired!I29</f>
        <v>632900.00000000035</v>
      </c>
      <c r="P28" s="95">
        <f>-Sempra_2.1_Expired!J29</f>
        <v>632900.00000000035</v>
      </c>
      <c r="Q28" s="95">
        <f>-Sempra_2.1_Expired!K29</f>
        <v>0</v>
      </c>
    </row>
    <row r="29" spans="1:17" hidden="1" x14ac:dyDescent="0.2">
      <c r="A29" s="96"/>
      <c r="B29" s="96"/>
      <c r="C29" s="97"/>
      <c r="D29" s="96"/>
      <c r="E29" s="97"/>
      <c r="F29" s="97"/>
      <c r="G29" s="97"/>
      <c r="H29" s="97"/>
      <c r="I29" s="97"/>
      <c r="J29" s="97"/>
      <c r="K29" s="97"/>
      <c r="L29" s="99">
        <f t="shared" ref="L29:Q29" si="0">+L27+L28</f>
        <v>0.10673469387755113</v>
      </c>
      <c r="M29" s="108">
        <f t="shared" si="0"/>
        <v>0</v>
      </c>
      <c r="N29" s="108">
        <f t="shared" si="0"/>
        <v>0</v>
      </c>
      <c r="O29" s="109">
        <f t="shared" si="0"/>
        <v>-261500.00000000023</v>
      </c>
      <c r="P29" s="109">
        <f t="shared" si="0"/>
        <v>-261500.00000000023</v>
      </c>
      <c r="Q29" s="109">
        <f t="shared" si="0"/>
        <v>0</v>
      </c>
    </row>
    <row r="30" spans="1:17" ht="9.9499999999999993" hidden="1" customHeight="1" x14ac:dyDescent="0.2">
      <c r="A30" s="96"/>
      <c r="B30" s="96"/>
      <c r="C30" s="97"/>
      <c r="D30" s="96"/>
      <c r="E30" s="97"/>
      <c r="F30" s="97"/>
      <c r="G30" s="97"/>
      <c r="H30" s="97"/>
      <c r="I30" s="97"/>
      <c r="J30" s="97"/>
      <c r="K30" s="97"/>
      <c r="L30" s="97"/>
      <c r="M30" s="107"/>
      <c r="N30" s="107"/>
      <c r="O30" s="113"/>
      <c r="P30" s="114"/>
      <c r="Q30" s="114"/>
    </row>
    <row r="31" spans="1:17" x14ac:dyDescent="0.2">
      <c r="A31" s="96">
        <v>2</v>
      </c>
      <c r="B31" s="96" t="s">
        <v>32</v>
      </c>
      <c r="C31" s="96" t="s">
        <v>39</v>
      </c>
      <c r="D31" s="96"/>
      <c r="E31" s="96" t="s">
        <v>102</v>
      </c>
      <c r="F31" s="97"/>
      <c r="G31" s="96" t="s">
        <v>87</v>
      </c>
      <c r="H31" s="90" t="s">
        <v>112</v>
      </c>
      <c r="I31" s="96"/>
      <c r="J31" s="92">
        <v>2.3650000000000002</v>
      </c>
      <c r="K31" s="92">
        <f>(SUM(RMTC_2!G9:G20)+SUM(RMTC_2!H9:H20))/12</f>
        <v>3.5345416666666671</v>
      </c>
      <c r="L31" s="99">
        <f>-O31/M31</f>
        <v>1.1711502732240433</v>
      </c>
      <c r="M31" s="115">
        <f>-RMTC_2!F22</f>
        <v>5490000</v>
      </c>
      <c r="N31" s="115">
        <f>+M31/366</f>
        <v>15000</v>
      </c>
      <c r="O31" s="104">
        <f>-RMTC_2!I22</f>
        <v>-6429614.9999999981</v>
      </c>
      <c r="P31" s="95">
        <f>-RMTC_2!J22</f>
        <v>-3703049.9999999991</v>
      </c>
      <c r="Q31" s="95">
        <f>-RMTC_2!K22</f>
        <v>-2726564.9999999995</v>
      </c>
    </row>
    <row r="32" spans="1:17" x14ac:dyDescent="0.2">
      <c r="A32" s="96">
        <v>2</v>
      </c>
      <c r="B32" s="96" t="s">
        <v>32</v>
      </c>
      <c r="C32" s="96" t="s">
        <v>87</v>
      </c>
      <c r="D32" s="96"/>
      <c r="E32" s="96" t="s">
        <v>103</v>
      </c>
      <c r="F32" s="96" t="s">
        <v>37</v>
      </c>
      <c r="G32" s="96" t="s">
        <v>39</v>
      </c>
      <c r="H32" s="90" t="s">
        <v>112</v>
      </c>
      <c r="I32" s="96"/>
      <c r="J32" s="92">
        <v>2.3650000000000002</v>
      </c>
      <c r="K32" s="92">
        <f>(SUM(RMTC_2!G26:G37)+SUM(RMTC_2!H26:H37))/12</f>
        <v>3.6358888888888892</v>
      </c>
      <c r="L32" s="101">
        <f>+O32/M32</f>
        <v>-1.2736484517304187</v>
      </c>
      <c r="M32" s="116">
        <f>-RMTC_2!F39</f>
        <v>-5490000</v>
      </c>
      <c r="N32" s="116">
        <f>+M32/366</f>
        <v>-15000</v>
      </c>
      <c r="O32" s="111">
        <f>-RMTC_2!I39</f>
        <v>6992329.9999999991</v>
      </c>
      <c r="P32" s="112">
        <f>-RMTC_2!J39</f>
        <v>3988799.9999999991</v>
      </c>
      <c r="Q32" s="112">
        <f>-RMTC_2!K39</f>
        <v>3003530</v>
      </c>
    </row>
    <row r="33" spans="1:17" x14ac:dyDescent="0.2">
      <c r="A33" s="96"/>
      <c r="B33" s="96"/>
      <c r="C33" s="97"/>
      <c r="D33" s="96"/>
      <c r="E33" s="97"/>
      <c r="F33" s="97"/>
      <c r="G33" s="97"/>
      <c r="H33" s="97"/>
      <c r="I33" s="96"/>
      <c r="J33" s="97"/>
      <c r="K33" s="97"/>
      <c r="L33" s="99">
        <f t="shared" ref="L33:Q33" si="1">+L31+L32</f>
        <v>-0.10249817850637544</v>
      </c>
      <c r="M33" s="107">
        <f t="shared" si="1"/>
        <v>0</v>
      </c>
      <c r="N33" s="107">
        <f t="shared" si="1"/>
        <v>0</v>
      </c>
      <c r="O33" s="113">
        <f t="shared" si="1"/>
        <v>562715.00000000093</v>
      </c>
      <c r="P33" s="113">
        <f t="shared" si="1"/>
        <v>285750</v>
      </c>
      <c r="Q33" s="113">
        <f t="shared" si="1"/>
        <v>276965.00000000047</v>
      </c>
    </row>
    <row r="34" spans="1:17" ht="9.9499999999999993" customHeight="1" x14ac:dyDescent="0.2">
      <c r="A34" s="96"/>
      <c r="B34" s="96"/>
      <c r="C34" s="97"/>
      <c r="D34" s="96"/>
      <c r="E34" s="97"/>
      <c r="F34" s="97"/>
      <c r="G34" s="97"/>
      <c r="H34" s="97"/>
      <c r="I34" s="96"/>
      <c r="J34" s="97"/>
      <c r="K34" s="97"/>
      <c r="L34" s="97"/>
      <c r="M34" s="97"/>
      <c r="N34" s="97"/>
      <c r="O34" s="97"/>
      <c r="P34" s="97"/>
      <c r="Q34" s="97"/>
    </row>
    <row r="35" spans="1:17" ht="22.5" hidden="1" x14ac:dyDescent="0.2">
      <c r="A35" s="96">
        <v>6</v>
      </c>
      <c r="B35" s="96" t="s">
        <v>40</v>
      </c>
      <c r="C35" s="96" t="s">
        <v>41</v>
      </c>
      <c r="D35" s="96">
        <v>25834</v>
      </c>
      <c r="E35" s="96" t="s">
        <v>36</v>
      </c>
      <c r="F35" s="96" t="s">
        <v>37</v>
      </c>
      <c r="G35" s="90" t="s">
        <v>42</v>
      </c>
      <c r="H35" s="90" t="s">
        <v>86</v>
      </c>
      <c r="I35" s="96"/>
      <c r="J35" s="92">
        <v>2.3199999999999998</v>
      </c>
      <c r="K35" s="92">
        <f>SUM(Elpaso_6!G9:H13)/5</f>
        <v>3.5819999999999999</v>
      </c>
      <c r="L35" s="99">
        <f>O35/M35</f>
        <v>-0.28620000000000012</v>
      </c>
      <c r="M35" s="103">
        <f>-Elpaso_6!F15</f>
        <v>15000000</v>
      </c>
      <c r="N35" s="117">
        <f>+M35/153</f>
        <v>98039.215686274503</v>
      </c>
      <c r="O35" s="104">
        <f>-Elpaso_6!I15</f>
        <v>-4293000.0000000019</v>
      </c>
      <c r="P35" s="118">
        <f>-Elpaso_6!J15</f>
        <v>0</v>
      </c>
      <c r="Q35" s="104">
        <f>-Elpaso_6!K15</f>
        <v>-4293000.0000000019</v>
      </c>
    </row>
    <row r="36" spans="1:17" ht="22.5" hidden="1" x14ac:dyDescent="0.2">
      <c r="A36" s="96">
        <v>6</v>
      </c>
      <c r="B36" s="96" t="s">
        <v>40</v>
      </c>
      <c r="C36" s="96" t="s">
        <v>41</v>
      </c>
      <c r="D36" s="96"/>
      <c r="E36" s="96" t="s">
        <v>34</v>
      </c>
      <c r="F36" s="96" t="s">
        <v>37</v>
      </c>
      <c r="G36" s="90" t="s">
        <v>42</v>
      </c>
      <c r="H36" s="90" t="s">
        <v>86</v>
      </c>
      <c r="I36" s="96"/>
      <c r="J36" s="92">
        <v>2.3199999999999998</v>
      </c>
      <c r="K36" s="92">
        <f>SUM(Elpaso_6!G9:H13)/5</f>
        <v>3.5819999999999999</v>
      </c>
      <c r="L36" s="126">
        <f>O36/M36</f>
        <v>0.28620000000000012</v>
      </c>
      <c r="M36" s="110">
        <f>-Elpaso_6!F23</f>
        <v>15000000</v>
      </c>
      <c r="N36" s="127">
        <f>+M36/153</f>
        <v>98039.215686274503</v>
      </c>
      <c r="O36" s="111">
        <f>Elpaso_6!I15</f>
        <v>4293000.0000000019</v>
      </c>
      <c r="P36" s="128">
        <f>-Elpaso_6!J26</f>
        <v>0</v>
      </c>
      <c r="Q36" s="111">
        <f>Elpaso_6!K15</f>
        <v>4293000.0000000019</v>
      </c>
    </row>
    <row r="37" spans="1:17" hidden="1" x14ac:dyDescent="0.2">
      <c r="A37" s="96"/>
      <c r="B37" s="96"/>
      <c r="C37" s="96"/>
      <c r="D37" s="96"/>
      <c r="E37" s="96"/>
      <c r="F37" s="96"/>
      <c r="G37" s="90"/>
      <c r="H37" s="90"/>
      <c r="I37" s="96"/>
      <c r="J37" s="92"/>
      <c r="K37" s="92"/>
      <c r="L37" s="99">
        <f>+L35-L36</f>
        <v>-0.57240000000000024</v>
      </c>
      <c r="M37" s="103">
        <f>+M36+M35</f>
        <v>30000000</v>
      </c>
      <c r="N37" s="103">
        <f>+N36+N35</f>
        <v>196078.43137254901</v>
      </c>
      <c r="O37" s="129">
        <f>+O36+O35</f>
        <v>0</v>
      </c>
      <c r="P37" s="130">
        <f>+P36+P35</f>
        <v>0</v>
      </c>
      <c r="Q37" s="129">
        <f>+Q36+Q35</f>
        <v>0</v>
      </c>
    </row>
    <row r="38" spans="1:17" hidden="1" x14ac:dyDescent="0.2">
      <c r="A38" s="96"/>
      <c r="B38" s="96"/>
      <c r="C38" s="96"/>
      <c r="D38" s="96"/>
      <c r="E38" s="96"/>
      <c r="F38" s="96"/>
      <c r="G38" s="90"/>
      <c r="H38" s="90"/>
      <c r="I38" s="96"/>
      <c r="J38" s="92"/>
      <c r="K38" s="92"/>
      <c r="L38" s="99"/>
      <c r="M38" s="103"/>
      <c r="N38" s="135"/>
      <c r="O38" s="129"/>
      <c r="P38" s="130"/>
      <c r="Q38" s="129"/>
    </row>
    <row r="39" spans="1:17" hidden="1" x14ac:dyDescent="0.2">
      <c r="A39" s="96">
        <v>8</v>
      </c>
      <c r="B39" s="96" t="s">
        <v>40</v>
      </c>
      <c r="C39" s="96" t="s">
        <v>89</v>
      </c>
      <c r="D39" s="96">
        <v>105706</v>
      </c>
      <c r="E39" s="96" t="s">
        <v>36</v>
      </c>
      <c r="F39" s="96" t="s">
        <v>45</v>
      </c>
      <c r="G39" s="90"/>
      <c r="H39" s="90" t="s">
        <v>92</v>
      </c>
      <c r="I39" s="90"/>
      <c r="J39" s="92"/>
      <c r="K39" s="99">
        <f>SUM(MEC_8_Expired!H9:H14)/6</f>
        <v>0</v>
      </c>
      <c r="L39" s="99">
        <f>O39/M39</f>
        <v>2.5582608695652174</v>
      </c>
      <c r="M39" s="103">
        <f>-MEC_8_Expired!F15</f>
        <v>-230000</v>
      </c>
      <c r="N39" s="135">
        <f>+M39/182</f>
        <v>-1263.7362637362637</v>
      </c>
      <c r="O39" s="104">
        <f>-MEC_8_Expired!I15</f>
        <v>-588400</v>
      </c>
      <c r="P39" s="118">
        <f>-MEC_8_Expired!J15</f>
        <v>-588400</v>
      </c>
      <c r="Q39" s="104">
        <f>-MEC_8_Expired!K15</f>
        <v>0</v>
      </c>
    </row>
    <row r="40" spans="1:17" hidden="1" x14ac:dyDescent="0.2">
      <c r="A40" s="96">
        <v>8</v>
      </c>
      <c r="B40" s="96" t="s">
        <v>40</v>
      </c>
      <c r="C40" s="96" t="s">
        <v>89</v>
      </c>
      <c r="D40" s="96">
        <v>105706</v>
      </c>
      <c r="E40" s="96" t="s">
        <v>36</v>
      </c>
      <c r="F40" s="96" t="s">
        <v>45</v>
      </c>
      <c r="G40" s="90"/>
      <c r="H40" s="90" t="s">
        <v>92</v>
      </c>
      <c r="I40" s="90"/>
      <c r="J40" s="92"/>
      <c r="K40" s="92">
        <f>SUM(MEC_8_Expired!H20:H25)/6</f>
        <v>0</v>
      </c>
      <c r="L40" s="126">
        <f>O40/M40</f>
        <v>2.6397391304347826</v>
      </c>
      <c r="M40" s="110">
        <f>-MEC_8_Expired!F26</f>
        <v>230000</v>
      </c>
      <c r="N40" s="110">
        <f>+M40/182</f>
        <v>1263.7362637362637</v>
      </c>
      <c r="O40" s="111">
        <f>-MEC_8_Expired!I26</f>
        <v>607140</v>
      </c>
      <c r="P40" s="128">
        <f>-MEC_8_Expired!J26</f>
        <v>607140</v>
      </c>
      <c r="Q40" s="111">
        <f>-MEC_8_Expired!K26</f>
        <v>0</v>
      </c>
    </row>
    <row r="41" spans="1:17" hidden="1" x14ac:dyDescent="0.2">
      <c r="A41" s="96"/>
      <c r="B41" s="96"/>
      <c r="C41" s="96"/>
      <c r="D41" s="96"/>
      <c r="E41" s="96"/>
      <c r="F41" s="96"/>
      <c r="G41" s="90"/>
      <c r="H41" s="90"/>
      <c r="I41" s="90"/>
      <c r="J41" s="92"/>
      <c r="K41" s="92"/>
      <c r="L41" s="99">
        <f>+L39-L40</f>
        <v>-8.1478260869565222E-2</v>
      </c>
      <c r="M41" s="103">
        <f>+M40+M39</f>
        <v>0</v>
      </c>
      <c r="N41" s="103">
        <f>+N40+N39</f>
        <v>0</v>
      </c>
      <c r="O41" s="104">
        <f>+O40+O39</f>
        <v>18740</v>
      </c>
      <c r="P41" s="118">
        <f>+P40+P39</f>
        <v>18740</v>
      </c>
      <c r="Q41" s="104">
        <f>+Q40+Q39</f>
        <v>0</v>
      </c>
    </row>
    <row r="42" spans="1:17" hidden="1" x14ac:dyDescent="0.2">
      <c r="A42" s="96"/>
      <c r="B42" s="96"/>
      <c r="C42" s="96"/>
      <c r="D42" s="96"/>
      <c r="E42" s="96"/>
      <c r="F42" s="96"/>
      <c r="G42" s="90"/>
      <c r="H42" s="90"/>
      <c r="I42" s="90"/>
      <c r="J42" s="92"/>
      <c r="K42" s="92"/>
      <c r="L42" s="99"/>
      <c r="M42" s="103"/>
      <c r="N42" s="135"/>
      <c r="O42" s="104"/>
      <c r="P42" s="118"/>
      <c r="Q42" s="104"/>
    </row>
    <row r="43" spans="1:17" x14ac:dyDescent="0.2">
      <c r="A43" s="96">
        <v>9</v>
      </c>
      <c r="B43" s="96" t="s">
        <v>32</v>
      </c>
      <c r="C43" s="96" t="s">
        <v>96</v>
      </c>
      <c r="D43" s="96"/>
      <c r="E43" s="96" t="s">
        <v>102</v>
      </c>
      <c r="F43" s="97"/>
      <c r="G43" s="96" t="s">
        <v>87</v>
      </c>
      <c r="H43" s="90" t="s">
        <v>85</v>
      </c>
      <c r="I43" s="96"/>
      <c r="J43" s="92">
        <v>3.23</v>
      </c>
      <c r="K43" s="92">
        <f>(SUM(ENA_9!G9:G20)+SUM(ENA_9!H9:H20))/12</f>
        <v>3.8857083333333335</v>
      </c>
      <c r="L43" s="99">
        <f>-O43/M43</f>
        <v>0.65574931506849299</v>
      </c>
      <c r="M43" s="115">
        <f>-ENA_9!F22</f>
        <v>1825000</v>
      </c>
      <c r="N43" s="115">
        <f>+M43/365</f>
        <v>5000</v>
      </c>
      <c r="O43" s="104">
        <f>-ENA_9!I22</f>
        <v>-1196742.4999999998</v>
      </c>
      <c r="P43" s="95">
        <f>-ENA_9!J22</f>
        <v>0</v>
      </c>
      <c r="Q43" s="95">
        <f>-ENA_9!K22</f>
        <v>-1196742.4999999998</v>
      </c>
    </row>
    <row r="44" spans="1:17" x14ac:dyDescent="0.2">
      <c r="A44" s="96">
        <v>9</v>
      </c>
      <c r="B44" s="96" t="s">
        <v>32</v>
      </c>
      <c r="C44" s="96" t="s">
        <v>87</v>
      </c>
      <c r="D44" s="96"/>
      <c r="E44" s="96" t="s">
        <v>103</v>
      </c>
      <c r="F44" s="96" t="s">
        <v>37</v>
      </c>
      <c r="G44" s="96" t="s">
        <v>96</v>
      </c>
      <c r="H44" s="90" t="s">
        <v>85</v>
      </c>
      <c r="I44" s="96"/>
      <c r="J44" s="92">
        <v>3.23</v>
      </c>
      <c r="K44" s="92">
        <f>(SUM(ENA_9!G26:G37)+SUM(ENA_9!H26:H37))/12</f>
        <v>3.836902777777778</v>
      </c>
      <c r="L44" s="101">
        <f>+O44/M44</f>
        <v>-0.60624611872146106</v>
      </c>
      <c r="M44" s="116">
        <f>-ENA_9!F39</f>
        <v>-1825000</v>
      </c>
      <c r="N44" s="116">
        <f>+M44/365</f>
        <v>-5000</v>
      </c>
      <c r="O44" s="111">
        <f>-ENA_9!I39</f>
        <v>1106399.1666666665</v>
      </c>
      <c r="P44" s="112">
        <f>-ENA_9!J39</f>
        <v>0</v>
      </c>
      <c r="Q44" s="112">
        <f>-ENA_9!K39</f>
        <v>1106399.1666666665</v>
      </c>
    </row>
    <row r="45" spans="1:17" x14ac:dyDescent="0.2">
      <c r="A45" s="96"/>
      <c r="B45" s="96"/>
      <c r="C45" s="97"/>
      <c r="D45" s="96"/>
      <c r="E45" s="97"/>
      <c r="F45" s="97"/>
      <c r="G45" s="97"/>
      <c r="H45" s="97"/>
      <c r="I45" s="96"/>
      <c r="J45" s="97"/>
      <c r="K45" s="97"/>
      <c r="L45" s="99">
        <f t="shared" ref="L45:Q45" si="2">+L43+L44</f>
        <v>4.950319634703193E-2</v>
      </c>
      <c r="M45" s="107">
        <f t="shared" si="2"/>
        <v>0</v>
      </c>
      <c r="N45" s="107">
        <f t="shared" si="2"/>
        <v>0</v>
      </c>
      <c r="O45" s="113">
        <f t="shared" si="2"/>
        <v>-90343.333333333256</v>
      </c>
      <c r="P45" s="113">
        <f t="shared" si="2"/>
        <v>0</v>
      </c>
      <c r="Q45" s="113">
        <f t="shared" si="2"/>
        <v>-90343.333333333256</v>
      </c>
    </row>
    <row r="46" spans="1:17" x14ac:dyDescent="0.2">
      <c r="A46" s="96"/>
      <c r="B46" s="96"/>
      <c r="C46" s="97"/>
      <c r="D46" s="96"/>
      <c r="E46" s="97"/>
      <c r="F46" s="97"/>
      <c r="G46" s="97"/>
      <c r="H46" s="97"/>
      <c r="I46" s="96"/>
      <c r="J46" s="97"/>
      <c r="K46" s="97"/>
      <c r="L46" s="99"/>
      <c r="M46" s="107"/>
      <c r="N46" s="156"/>
      <c r="O46" s="113"/>
      <c r="P46" s="113"/>
      <c r="Q46" s="113"/>
    </row>
    <row r="47" spans="1:17" x14ac:dyDescent="0.2">
      <c r="A47" s="96">
        <v>11</v>
      </c>
      <c r="B47" s="96" t="s">
        <v>32</v>
      </c>
      <c r="C47" s="96" t="s">
        <v>96</v>
      </c>
      <c r="D47" s="96"/>
      <c r="E47" s="96" t="s">
        <v>102</v>
      </c>
      <c r="F47" s="97"/>
      <c r="G47" s="96" t="s">
        <v>87</v>
      </c>
      <c r="H47" s="90" t="s">
        <v>85</v>
      </c>
      <c r="I47" s="96"/>
      <c r="J47" s="92">
        <v>3.74</v>
      </c>
      <c r="K47" s="92">
        <f>(SUM(ENA_11!G9:G20)+SUM(ENA_11!H9:H20))/12</f>
        <v>3.8857083333333335</v>
      </c>
      <c r="L47" s="99">
        <v>0.1</v>
      </c>
      <c r="M47" s="115">
        <f>-ENA_11!F22</f>
        <v>1825000</v>
      </c>
      <c r="N47" s="115">
        <f>+M47/365</f>
        <v>5000</v>
      </c>
      <c r="O47" s="104">
        <f>-ENA_11!I22</f>
        <v>-265992.4999999993</v>
      </c>
      <c r="P47" s="95">
        <f>-ENA_11!J22</f>
        <v>0</v>
      </c>
      <c r="Q47" s="95">
        <f>-ENA_11!K22</f>
        <v>-265992.4999999993</v>
      </c>
    </row>
    <row r="48" spans="1:17" x14ac:dyDescent="0.2">
      <c r="A48" s="96">
        <v>11</v>
      </c>
      <c r="B48" s="96" t="s">
        <v>32</v>
      </c>
      <c r="C48" s="96" t="s">
        <v>87</v>
      </c>
      <c r="D48" s="96"/>
      <c r="E48" s="96" t="s">
        <v>103</v>
      </c>
      <c r="F48" s="96" t="s">
        <v>37</v>
      </c>
      <c r="G48" s="96" t="s">
        <v>96</v>
      </c>
      <c r="H48" s="90" t="s">
        <v>85</v>
      </c>
      <c r="I48" s="96"/>
      <c r="J48" s="92">
        <v>3.74</v>
      </c>
      <c r="K48" s="92">
        <f>(SUM(ENA_11!G26:G37)+SUM(ENA_11!H26:H37))/12</f>
        <v>3.836902777777778</v>
      </c>
      <c r="L48" s="101">
        <f>+O48/M48</f>
        <v>-9.6246118721460883E-2</v>
      </c>
      <c r="M48" s="116">
        <f>-ENA_11!F39</f>
        <v>-1825000</v>
      </c>
      <c r="N48" s="116">
        <f>+M48/365</f>
        <v>-5000</v>
      </c>
      <c r="O48" s="111">
        <f>-ENA_11!I39</f>
        <v>175649.1666666661</v>
      </c>
      <c r="P48" s="112">
        <f>-ENA_11!J39</f>
        <v>0</v>
      </c>
      <c r="Q48" s="112">
        <f>-ENA_11!K39</f>
        <v>175649.1666666661</v>
      </c>
    </row>
    <row r="49" spans="1:17" x14ac:dyDescent="0.2">
      <c r="A49" s="96"/>
      <c r="B49" s="96"/>
      <c r="C49" s="97"/>
      <c r="D49" s="96"/>
      <c r="E49" s="97"/>
      <c r="F49" s="97"/>
      <c r="G49" s="97"/>
      <c r="H49" s="97"/>
      <c r="I49" s="96"/>
      <c r="J49" s="97"/>
      <c r="K49" s="97"/>
      <c r="L49" s="99">
        <f t="shared" ref="L49:Q49" si="3">+L47+L48</f>
        <v>3.7538812785391229E-3</v>
      </c>
      <c r="M49" s="107">
        <f t="shared" si="3"/>
        <v>0</v>
      </c>
      <c r="N49" s="107">
        <f t="shared" si="3"/>
        <v>0</v>
      </c>
      <c r="O49" s="113">
        <f t="shared" si="3"/>
        <v>-90343.333333333198</v>
      </c>
      <c r="P49" s="113">
        <f t="shared" si="3"/>
        <v>0</v>
      </c>
      <c r="Q49" s="113">
        <f t="shared" si="3"/>
        <v>-90343.333333333198</v>
      </c>
    </row>
    <row r="50" spans="1:17" x14ac:dyDescent="0.2">
      <c r="A50" s="96"/>
      <c r="B50" s="96"/>
      <c r="C50" s="97"/>
      <c r="D50" s="96"/>
      <c r="E50" s="97"/>
      <c r="F50" s="97"/>
      <c r="G50" s="97"/>
      <c r="H50" s="97"/>
      <c r="I50" s="96"/>
      <c r="J50" s="97"/>
      <c r="K50" s="97"/>
      <c r="L50" s="99"/>
      <c r="M50" s="107"/>
      <c r="N50" s="156"/>
      <c r="O50" s="113"/>
      <c r="P50" s="113"/>
      <c r="Q50" s="113"/>
    </row>
    <row r="51" spans="1:17" x14ac:dyDescent="0.2">
      <c r="A51" s="96">
        <v>12</v>
      </c>
      <c r="B51" s="96" t="s">
        <v>32</v>
      </c>
      <c r="C51" s="96" t="s">
        <v>96</v>
      </c>
      <c r="D51" s="96" t="s">
        <v>120</v>
      </c>
      <c r="E51" s="96" t="s">
        <v>102</v>
      </c>
      <c r="F51" s="97"/>
      <c r="G51" s="96" t="s">
        <v>87</v>
      </c>
      <c r="H51" s="90" t="s">
        <v>85</v>
      </c>
      <c r="I51" s="181">
        <v>36740</v>
      </c>
      <c r="J51" s="92">
        <v>3.63</v>
      </c>
      <c r="K51" s="92">
        <f>(SUM(ENA_12!G26:G37)+SUM(ENA_12!H26:H37))/12</f>
        <v>3.836902777777778</v>
      </c>
      <c r="L51" s="99">
        <v>0.1</v>
      </c>
      <c r="M51" s="115">
        <f>-ENA_12!F22</f>
        <v>1825000</v>
      </c>
      <c r="N51" s="115">
        <f>+M51/365</f>
        <v>5000</v>
      </c>
      <c r="O51" s="104">
        <f>-ENA_12!I22</f>
        <v>-466742.49999999988</v>
      </c>
      <c r="P51" s="95">
        <f>-ENA_12!J22</f>
        <v>0</v>
      </c>
      <c r="Q51" s="95">
        <f>-ENA_12!K22</f>
        <v>-466742.49999999988</v>
      </c>
    </row>
    <row r="52" spans="1:17" x14ac:dyDescent="0.2">
      <c r="A52" s="96">
        <v>12</v>
      </c>
      <c r="B52" s="96" t="s">
        <v>32</v>
      </c>
      <c r="C52" s="96" t="s">
        <v>87</v>
      </c>
      <c r="D52" s="96"/>
      <c r="E52" s="96" t="s">
        <v>103</v>
      </c>
      <c r="F52" s="96" t="s">
        <v>37</v>
      </c>
      <c r="G52" s="96" t="s">
        <v>96</v>
      </c>
      <c r="H52" s="90" t="s">
        <v>85</v>
      </c>
      <c r="I52" s="96"/>
      <c r="J52" s="92">
        <v>3.63</v>
      </c>
      <c r="K52" s="92">
        <f>(SUM(ENA_12!G26:G37)+SUM(ENA_12!H26:H37))/12</f>
        <v>3.836902777777778</v>
      </c>
      <c r="L52" s="101">
        <f>+O52/M52</f>
        <v>-0.2062461187214612</v>
      </c>
      <c r="M52" s="116">
        <f>-ENA_12!F39</f>
        <v>-1825000</v>
      </c>
      <c r="N52" s="116">
        <f>+M52/365</f>
        <v>-5000</v>
      </c>
      <c r="O52" s="111">
        <f>-ENA_12!I39</f>
        <v>376399.16666666669</v>
      </c>
      <c r="P52" s="112">
        <f>-ENA_12!J39</f>
        <v>0</v>
      </c>
      <c r="Q52" s="112">
        <f>-ENA_12!K39</f>
        <v>376399.16666666669</v>
      </c>
    </row>
    <row r="53" spans="1:17" x14ac:dyDescent="0.2">
      <c r="A53" s="96"/>
      <c r="B53" s="96"/>
      <c r="C53" s="97"/>
      <c r="D53" s="96"/>
      <c r="E53" s="97"/>
      <c r="F53" s="97"/>
      <c r="G53" s="97"/>
      <c r="H53" s="97"/>
      <c r="I53" s="96"/>
      <c r="J53" s="97"/>
      <c r="K53" s="97"/>
      <c r="L53" s="99">
        <f t="shared" ref="L53:Q53" si="4">+L51+L52</f>
        <v>-0.1062461187214612</v>
      </c>
      <c r="M53" s="107">
        <f t="shared" si="4"/>
        <v>0</v>
      </c>
      <c r="N53" s="107">
        <f t="shared" si="4"/>
        <v>0</v>
      </c>
      <c r="O53" s="113">
        <f t="shared" si="4"/>
        <v>-90343.333333333198</v>
      </c>
      <c r="P53" s="113">
        <f t="shared" si="4"/>
        <v>0</v>
      </c>
      <c r="Q53" s="113">
        <f t="shared" si="4"/>
        <v>-90343.333333333198</v>
      </c>
    </row>
    <row r="54" spans="1:17" x14ac:dyDescent="0.2">
      <c r="A54" s="96"/>
      <c r="B54" s="96"/>
      <c r="C54" s="97"/>
      <c r="D54" s="96"/>
      <c r="E54" s="97"/>
      <c r="F54" s="97"/>
      <c r="G54" s="97"/>
      <c r="H54" s="97"/>
      <c r="I54" s="96"/>
      <c r="J54" s="97"/>
      <c r="K54" s="97"/>
      <c r="L54" s="99"/>
      <c r="M54" s="107"/>
      <c r="N54" s="156"/>
      <c r="O54" s="113"/>
      <c r="P54" s="113"/>
      <c r="Q54" s="113"/>
    </row>
    <row r="55" spans="1:17" x14ac:dyDescent="0.2">
      <c r="A55" s="96">
        <v>13</v>
      </c>
      <c r="B55" s="96" t="s">
        <v>32</v>
      </c>
      <c r="C55" s="96" t="s">
        <v>96</v>
      </c>
      <c r="D55" s="96" t="s">
        <v>122</v>
      </c>
      <c r="E55" s="96" t="s">
        <v>102</v>
      </c>
      <c r="F55" s="97"/>
      <c r="G55" s="96" t="s">
        <v>87</v>
      </c>
      <c r="H55" s="90" t="s">
        <v>85</v>
      </c>
      <c r="I55" s="181">
        <v>36754</v>
      </c>
      <c r="J55" s="92">
        <v>3.585</v>
      </c>
      <c r="K55" s="92">
        <f>(SUM(ENA_13!G26:G37)+SUM(ENA_13!H26:H37))/12</f>
        <v>3.836902777777778</v>
      </c>
      <c r="L55" s="99">
        <v>0.1</v>
      </c>
      <c r="M55" s="115">
        <f>-ENA_13!F22</f>
        <v>1825000</v>
      </c>
      <c r="N55" s="115">
        <f>+M55/365</f>
        <v>5000</v>
      </c>
      <c r="O55" s="104">
        <f>-ENA_13!I22</f>
        <v>-548867.49999999965</v>
      </c>
      <c r="P55" s="95">
        <f>-ENA_13!J22</f>
        <v>0</v>
      </c>
      <c r="Q55" s="95">
        <f>-ENA_13!K22</f>
        <v>-548867.49999999965</v>
      </c>
    </row>
    <row r="56" spans="1:17" x14ac:dyDescent="0.2">
      <c r="A56" s="96">
        <v>13</v>
      </c>
      <c r="B56" s="96" t="s">
        <v>32</v>
      </c>
      <c r="C56" s="96" t="s">
        <v>87</v>
      </c>
      <c r="D56" s="96"/>
      <c r="E56" s="96" t="s">
        <v>103</v>
      </c>
      <c r="F56" s="96" t="s">
        <v>37</v>
      </c>
      <c r="G56" s="96" t="s">
        <v>96</v>
      </c>
      <c r="H56" s="90" t="s">
        <v>85</v>
      </c>
      <c r="I56" s="96"/>
      <c r="J56" s="92">
        <v>3.585</v>
      </c>
      <c r="K56" s="92">
        <f>(SUM(ENA_12!G26:G37)+SUM(ENA_12!H26:H37))/12</f>
        <v>3.836902777777778</v>
      </c>
      <c r="L56" s="101">
        <f>+O56/M56</f>
        <v>-0.25124611872146108</v>
      </c>
      <c r="M56" s="116">
        <f>-ENA_13!F39</f>
        <v>-1825000</v>
      </c>
      <c r="N56" s="116">
        <f>+M56/365</f>
        <v>-5000</v>
      </c>
      <c r="O56" s="111">
        <f>-ENA_13!I39</f>
        <v>458524.16666666651</v>
      </c>
      <c r="P56" s="112">
        <f>-ENA_13!J39</f>
        <v>0</v>
      </c>
      <c r="Q56" s="112">
        <f>-ENA_13!K39</f>
        <v>458524.16666666651</v>
      </c>
    </row>
    <row r="57" spans="1:17" x14ac:dyDescent="0.2">
      <c r="A57" s="96"/>
      <c r="B57" s="96"/>
      <c r="C57" s="97"/>
      <c r="D57" s="96"/>
      <c r="E57" s="97"/>
      <c r="F57" s="97"/>
      <c r="G57" s="97"/>
      <c r="H57" s="97"/>
      <c r="I57" s="96"/>
      <c r="J57" s="97"/>
      <c r="K57" s="97"/>
      <c r="L57" s="99">
        <f t="shared" ref="L57:Q57" si="5">+L55+L56</f>
        <v>-0.15124611872146107</v>
      </c>
      <c r="M57" s="107">
        <f t="shared" si="5"/>
        <v>0</v>
      </c>
      <c r="N57" s="107">
        <f t="shared" si="5"/>
        <v>0</v>
      </c>
      <c r="O57" s="113">
        <f t="shared" si="5"/>
        <v>-90343.333333333139</v>
      </c>
      <c r="P57" s="113">
        <f t="shared" si="5"/>
        <v>0</v>
      </c>
      <c r="Q57" s="113">
        <f t="shared" si="5"/>
        <v>-90343.333333333139</v>
      </c>
    </row>
    <row r="58" spans="1:17" x14ac:dyDescent="0.2">
      <c r="A58" s="96"/>
      <c r="B58" s="96"/>
      <c r="C58" s="97"/>
      <c r="D58" s="96"/>
      <c r="E58" s="97"/>
      <c r="F58" s="97"/>
      <c r="G58" s="97"/>
      <c r="H58" s="97"/>
      <c r="I58" s="96"/>
      <c r="J58" s="97"/>
      <c r="K58" s="97"/>
      <c r="L58" s="99"/>
      <c r="M58" s="107"/>
      <c r="N58" s="156"/>
      <c r="O58" s="113"/>
      <c r="P58" s="113"/>
      <c r="Q58" s="113"/>
    </row>
    <row r="59" spans="1:17" ht="12" thickBot="1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161" t="s">
        <v>104</v>
      </c>
      <c r="K59" s="97"/>
      <c r="L59" s="97"/>
      <c r="M59" s="119">
        <f>+M57+M53+M49+M45+M33</f>
        <v>0</v>
      </c>
      <c r="N59" s="119">
        <f>+N57+N53+N49+N45+N33</f>
        <v>0</v>
      </c>
      <c r="O59" s="120">
        <f>+O57+O53+O49+O45+O33</f>
        <v>201341.66666666814</v>
      </c>
      <c r="P59" s="120">
        <f>+P57+P53+P49+P45+P33</f>
        <v>285750</v>
      </c>
      <c r="Q59" s="120">
        <f>+Q57+Q53+Q49+Q45+Q33</f>
        <v>-84408.333333332324</v>
      </c>
    </row>
    <row r="60" spans="1:17" ht="11.1" customHeight="1" thickTop="1" x14ac:dyDescent="0.2">
      <c r="A60" s="121"/>
      <c r="B60" s="121"/>
      <c r="C60" s="122"/>
      <c r="D60" s="121"/>
      <c r="E60" s="122"/>
      <c r="F60" s="122"/>
      <c r="G60" s="122"/>
      <c r="H60" s="122"/>
      <c r="I60" s="121"/>
      <c r="J60" s="122"/>
      <c r="K60" s="122"/>
      <c r="L60" s="122"/>
      <c r="M60" s="122"/>
      <c r="N60" s="122"/>
      <c r="O60" s="122"/>
      <c r="P60" s="123"/>
      <c r="Q60" s="166" t="s">
        <v>105</v>
      </c>
    </row>
    <row r="61" spans="1:17" ht="9" customHeight="1" x14ac:dyDescent="0.2">
      <c r="A61" s="159"/>
      <c r="B61" s="159"/>
      <c r="C61" s="160"/>
      <c r="D61" s="159"/>
      <c r="E61" s="160"/>
      <c r="F61" s="160"/>
      <c r="G61" s="160"/>
      <c r="H61" s="160"/>
      <c r="I61" s="159"/>
      <c r="J61" s="160"/>
      <c r="K61" s="160"/>
      <c r="L61" s="160"/>
      <c r="M61" s="160"/>
      <c r="N61" s="160"/>
      <c r="O61" s="160"/>
      <c r="P61" s="160"/>
      <c r="Q61" s="175"/>
    </row>
    <row r="62" spans="1:17" s="162" customFormat="1" x14ac:dyDescent="0.2">
      <c r="A62" s="163" t="s">
        <v>141</v>
      </c>
      <c r="B62" s="164"/>
      <c r="C62" s="165"/>
      <c r="D62" s="164"/>
      <c r="E62" s="165"/>
      <c r="F62" s="165"/>
      <c r="G62" s="165"/>
      <c r="H62" s="165"/>
      <c r="I62" s="164"/>
      <c r="J62" s="165"/>
      <c r="K62" s="165"/>
      <c r="L62" s="165"/>
      <c r="M62" s="165"/>
      <c r="N62" s="165"/>
      <c r="O62" s="165"/>
      <c r="P62" s="170"/>
      <c r="Q62" s="165"/>
    </row>
    <row r="63" spans="1:17" ht="9" customHeight="1" x14ac:dyDescent="0.2">
      <c r="A63" s="159"/>
      <c r="B63" s="159"/>
      <c r="C63" s="160"/>
      <c r="D63" s="159"/>
      <c r="E63" s="160"/>
      <c r="F63" s="160"/>
      <c r="G63" s="160"/>
      <c r="H63" s="160"/>
      <c r="I63" s="159"/>
      <c r="J63" s="160"/>
      <c r="K63" s="160"/>
      <c r="L63" s="160"/>
      <c r="M63" s="160"/>
      <c r="N63" s="160"/>
      <c r="O63" s="160"/>
      <c r="P63" s="160"/>
      <c r="Q63" s="160"/>
    </row>
    <row r="64" spans="1:17" x14ac:dyDescent="0.2">
      <c r="A64" s="124"/>
      <c r="B64" s="124"/>
      <c r="I64" s="124"/>
      <c r="O64" s="154"/>
      <c r="P64" s="154"/>
      <c r="Q64" s="154"/>
    </row>
    <row r="65" spans="1:18" s="68" customFormat="1" ht="10.5" x14ac:dyDescent="0.15">
      <c r="A65" s="189" t="s">
        <v>133</v>
      </c>
      <c r="B65" s="189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</row>
    <row r="66" spans="1:18" s="68" customFormat="1" ht="10.5" x14ac:dyDescent="0.15">
      <c r="A66" s="189" t="s">
        <v>2</v>
      </c>
      <c r="B66" s="189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</row>
    <row r="67" spans="1:18" x14ac:dyDescent="0.2">
      <c r="B67" s="124"/>
    </row>
    <row r="68" spans="1:18" s="76" customFormat="1" ht="10.5" x14ac:dyDescent="0.15">
      <c r="A68" s="71" t="s">
        <v>3</v>
      </c>
      <c r="B68" s="72" t="s">
        <v>4</v>
      </c>
      <c r="C68" s="72" t="s">
        <v>5</v>
      </c>
      <c r="D68" s="72" t="s">
        <v>5</v>
      </c>
      <c r="E68" s="72" t="s">
        <v>5</v>
      </c>
      <c r="F68" s="72" t="s">
        <v>6</v>
      </c>
      <c r="G68" s="72" t="s">
        <v>16</v>
      </c>
      <c r="H68" s="72" t="s">
        <v>8</v>
      </c>
      <c r="I68" s="72" t="s">
        <v>121</v>
      </c>
      <c r="J68" s="72" t="s">
        <v>5</v>
      </c>
      <c r="K68" s="72" t="s">
        <v>9</v>
      </c>
      <c r="L68" s="72" t="s">
        <v>10</v>
      </c>
      <c r="M68" s="72" t="s">
        <v>5</v>
      </c>
      <c r="N68" s="72" t="s">
        <v>11</v>
      </c>
      <c r="O68" s="73"/>
      <c r="P68" s="74"/>
      <c r="Q68" s="75"/>
    </row>
    <row r="69" spans="1:18" s="76" customFormat="1" ht="10.5" x14ac:dyDescent="0.15">
      <c r="A69" s="77" t="s">
        <v>12</v>
      </c>
      <c r="B69" s="78" t="s">
        <v>13</v>
      </c>
      <c r="C69" s="78" t="s">
        <v>13</v>
      </c>
      <c r="D69" s="78" t="s">
        <v>14</v>
      </c>
      <c r="E69" s="78" t="s">
        <v>15</v>
      </c>
      <c r="F69" s="78"/>
      <c r="G69" s="78" t="s">
        <v>23</v>
      </c>
      <c r="H69" s="78" t="s">
        <v>17</v>
      </c>
      <c r="I69" s="78" t="s">
        <v>56</v>
      </c>
      <c r="J69" s="78" t="s">
        <v>18</v>
      </c>
      <c r="K69" s="78" t="s">
        <v>19</v>
      </c>
      <c r="L69" s="78"/>
      <c r="M69" s="78" t="s">
        <v>20</v>
      </c>
      <c r="N69" s="78" t="s">
        <v>21</v>
      </c>
      <c r="O69" s="79" t="s">
        <v>94</v>
      </c>
      <c r="P69" s="80"/>
      <c r="Q69" s="81"/>
    </row>
    <row r="70" spans="1:18" s="76" customFormat="1" ht="10.5" x14ac:dyDescent="0.15">
      <c r="A70" s="77"/>
      <c r="B70" s="78"/>
      <c r="C70" s="78"/>
      <c r="D70" s="78"/>
      <c r="E70" s="78"/>
      <c r="F70" s="78"/>
      <c r="G70" s="78"/>
      <c r="H70" s="78"/>
      <c r="I70" s="78"/>
      <c r="J70" s="78"/>
      <c r="K70" s="78" t="s">
        <v>24</v>
      </c>
      <c r="L70" s="78"/>
      <c r="M70" s="78" t="s">
        <v>43</v>
      </c>
      <c r="N70" s="78"/>
      <c r="O70" s="83" t="s">
        <v>26</v>
      </c>
      <c r="P70" s="83" t="s">
        <v>27</v>
      </c>
      <c r="Q70" s="84" t="s">
        <v>28</v>
      </c>
    </row>
    <row r="71" spans="1:18" s="76" customFormat="1" ht="10.5" x14ac:dyDescent="0.15">
      <c r="A71" s="77"/>
      <c r="B71" s="78"/>
      <c r="C71" s="78"/>
      <c r="D71" s="78"/>
      <c r="E71" s="78"/>
      <c r="F71" s="78"/>
      <c r="G71" s="78"/>
      <c r="H71" s="78"/>
      <c r="I71" s="78"/>
      <c r="J71" s="78"/>
      <c r="K71" s="78" t="s">
        <v>29</v>
      </c>
      <c r="L71" s="78"/>
      <c r="M71" s="78" t="s">
        <v>44</v>
      </c>
      <c r="N71" s="125"/>
      <c r="O71" s="139" t="s">
        <v>109</v>
      </c>
      <c r="P71" s="139" t="s">
        <v>109</v>
      </c>
      <c r="Q71" s="140" t="s">
        <v>109</v>
      </c>
    </row>
    <row r="72" spans="1:18" s="142" customFormat="1" ht="22.5" hidden="1" x14ac:dyDescent="0.2">
      <c r="A72" s="143">
        <v>6</v>
      </c>
      <c r="B72" s="143" t="s">
        <v>40</v>
      </c>
      <c r="C72" s="143" t="s">
        <v>41</v>
      </c>
      <c r="D72" s="143">
        <v>25834</v>
      </c>
      <c r="E72" s="143" t="s">
        <v>34</v>
      </c>
      <c r="F72" s="143" t="s">
        <v>45</v>
      </c>
      <c r="G72" s="144" t="s">
        <v>42</v>
      </c>
      <c r="H72" s="144" t="s">
        <v>86</v>
      </c>
      <c r="I72" s="141"/>
      <c r="J72" s="145" t="s">
        <v>93</v>
      </c>
      <c r="K72" s="141"/>
      <c r="L72" s="141"/>
      <c r="M72" s="146">
        <f>-Elpaso_6!F15</f>
        <v>15000000</v>
      </c>
      <c r="N72" s="147"/>
      <c r="O72" s="148">
        <f>-Elpaso_6!I15</f>
        <v>-4293000.0000000019</v>
      </c>
      <c r="P72" s="150"/>
      <c r="Q72" s="151">
        <f>+O72</f>
        <v>-4293000.0000000019</v>
      </c>
      <c r="R72" s="141"/>
    </row>
    <row r="73" spans="1:18" s="142" customFormat="1" ht="22.5" x14ac:dyDescent="0.2">
      <c r="A73" s="143">
        <v>6</v>
      </c>
      <c r="B73" s="143" t="s">
        <v>40</v>
      </c>
      <c r="C73" s="143" t="s">
        <v>96</v>
      </c>
      <c r="D73" s="143"/>
      <c r="E73" s="96" t="s">
        <v>102</v>
      </c>
      <c r="F73" s="143" t="s">
        <v>45</v>
      </c>
      <c r="G73" s="144" t="s">
        <v>42</v>
      </c>
      <c r="H73" s="144" t="s">
        <v>108</v>
      </c>
      <c r="I73" s="141"/>
      <c r="J73" s="152">
        <v>3.3</v>
      </c>
      <c r="K73" s="153">
        <f>SUM(Elpaso_6!G9:G13)+SUM(Elpaso_6!H9:H13)/5</f>
        <v>3.5819999999999999</v>
      </c>
      <c r="L73" s="153">
        <f>+J73-K73</f>
        <v>-0.28200000000000003</v>
      </c>
      <c r="M73" s="146">
        <v>15000000</v>
      </c>
      <c r="N73" s="146">
        <f>+M73/153</f>
        <v>98039.215686274503</v>
      </c>
      <c r="O73" s="148">
        <f>-Elpaso_6!I15</f>
        <v>-4293000.0000000019</v>
      </c>
      <c r="P73" s="150"/>
      <c r="Q73" s="151">
        <f>+O73</f>
        <v>-4293000.0000000019</v>
      </c>
      <c r="R73" s="167"/>
    </row>
    <row r="74" spans="1:18" s="142" customFormat="1" ht="22.5" x14ac:dyDescent="0.2">
      <c r="A74" s="143">
        <v>6</v>
      </c>
      <c r="B74" s="143" t="s">
        <v>40</v>
      </c>
      <c r="C74" s="143" t="s">
        <v>41</v>
      </c>
      <c r="D74" s="143"/>
      <c r="E74" s="96" t="s">
        <v>102</v>
      </c>
      <c r="F74" s="143" t="s">
        <v>45</v>
      </c>
      <c r="G74" s="144" t="s">
        <v>42</v>
      </c>
      <c r="H74" s="144" t="s">
        <v>108</v>
      </c>
      <c r="I74" s="141"/>
      <c r="J74" s="152">
        <v>2.3199999999999998</v>
      </c>
      <c r="K74" s="153">
        <f>SUM(Elpaso_6!G17:G21)+SUM(Elpaso_6!H17:H21)/5</f>
        <v>3.5819999999999999</v>
      </c>
      <c r="L74" s="153">
        <f>+J74-K74</f>
        <v>-1.262</v>
      </c>
      <c r="M74" s="158">
        <v>-15000000</v>
      </c>
      <c r="N74" s="158">
        <f>+M74/153</f>
        <v>-98039.215686274503</v>
      </c>
      <c r="O74" s="157">
        <f>-Elpaso_6!I23</f>
        <v>18993000</v>
      </c>
      <c r="P74" s="150"/>
      <c r="Q74" s="157">
        <f>+O74</f>
        <v>18993000</v>
      </c>
      <c r="R74" s="141"/>
    </row>
    <row r="75" spans="1:18" s="142" customFormat="1" x14ac:dyDescent="0.2">
      <c r="A75" s="143"/>
      <c r="B75" s="143"/>
      <c r="C75" s="143"/>
      <c r="D75" s="143"/>
      <c r="E75" s="143"/>
      <c r="F75" s="143"/>
      <c r="G75" s="144"/>
      <c r="H75" s="144"/>
      <c r="I75" s="141"/>
      <c r="J75" s="152"/>
      <c r="K75" s="153"/>
      <c r="L75" s="153"/>
      <c r="M75" s="146">
        <f>+M73+M74</f>
        <v>0</v>
      </c>
      <c r="N75" s="146">
        <f>+M75/153</f>
        <v>0</v>
      </c>
      <c r="O75" s="148">
        <f>+O74+O73</f>
        <v>14699999.999999998</v>
      </c>
      <c r="P75" s="150"/>
      <c r="Q75" s="151">
        <f>+Q74+Q73</f>
        <v>14699999.999999998</v>
      </c>
      <c r="R75" s="141"/>
    </row>
    <row r="76" spans="1:18" s="142" customFormat="1" x14ac:dyDescent="0.2">
      <c r="A76" s="143"/>
      <c r="B76" s="143"/>
      <c r="C76" s="143"/>
      <c r="D76" s="143"/>
      <c r="E76" s="143"/>
      <c r="F76" s="143"/>
      <c r="G76" s="144"/>
      <c r="H76" s="144"/>
      <c r="I76" s="141"/>
      <c r="J76" s="152"/>
      <c r="K76" s="153"/>
      <c r="L76" s="153"/>
      <c r="M76" s="146"/>
      <c r="N76" s="146"/>
      <c r="O76" s="148"/>
      <c r="P76" s="150"/>
      <c r="Q76" s="155"/>
      <c r="R76" s="141"/>
    </row>
    <row r="77" spans="1:18" s="142" customFormat="1" ht="9" customHeight="1" x14ac:dyDescent="0.15">
      <c r="A77" s="141"/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7"/>
      <c r="O77" s="149"/>
      <c r="P77" s="150"/>
      <c r="Q77" s="155"/>
      <c r="R77" s="141"/>
    </row>
    <row r="78" spans="1:18" x14ac:dyDescent="0.2">
      <c r="A78" s="96">
        <v>14</v>
      </c>
      <c r="B78" s="96" t="s">
        <v>32</v>
      </c>
      <c r="C78" s="96" t="s">
        <v>113</v>
      </c>
      <c r="D78" s="96" t="s">
        <v>125</v>
      </c>
      <c r="E78" s="96" t="s">
        <v>102</v>
      </c>
      <c r="F78" s="96"/>
      <c r="G78" s="96" t="s">
        <v>114</v>
      </c>
      <c r="H78" s="97" t="s">
        <v>123</v>
      </c>
      <c r="I78" s="181">
        <v>36798</v>
      </c>
      <c r="J78" s="97"/>
      <c r="K78" s="97"/>
      <c r="L78" s="97"/>
      <c r="M78" s="103">
        <v>373774472</v>
      </c>
      <c r="N78" s="103"/>
      <c r="O78" s="118">
        <v>53276588.57</v>
      </c>
      <c r="P78" s="172"/>
      <c r="Q78" s="172">
        <f>+O78+P78</f>
        <v>53276588.57</v>
      </c>
    </row>
    <row r="79" spans="1:18" x14ac:dyDescent="0.2">
      <c r="A79" s="96">
        <v>14</v>
      </c>
      <c r="B79" s="96" t="s">
        <v>32</v>
      </c>
      <c r="C79" s="96" t="s">
        <v>40</v>
      </c>
      <c r="D79" s="96"/>
      <c r="E79" s="96" t="s">
        <v>102</v>
      </c>
      <c r="F79" s="96"/>
      <c r="G79" s="96" t="s">
        <v>115</v>
      </c>
      <c r="H79" s="97"/>
      <c r="I79" s="97"/>
      <c r="J79" s="97"/>
      <c r="K79" s="97"/>
      <c r="L79" s="97"/>
      <c r="M79" s="116">
        <f>-M78</f>
        <v>-373774472</v>
      </c>
      <c r="N79" s="97"/>
      <c r="O79" s="128">
        <f>-O78</f>
        <v>-53276588.57</v>
      </c>
      <c r="P79" s="118"/>
      <c r="Q79" s="128">
        <f>+O79+P79</f>
        <v>-53276588.57</v>
      </c>
    </row>
    <row r="80" spans="1:18" x14ac:dyDescent="0.2">
      <c r="A80" s="96"/>
      <c r="B80" s="96"/>
      <c r="C80" s="96"/>
      <c r="D80" s="96"/>
      <c r="E80" s="96"/>
      <c r="F80" s="96"/>
      <c r="G80" s="97"/>
      <c r="H80" s="97"/>
      <c r="I80" s="96"/>
      <c r="J80" s="97"/>
      <c r="K80" s="97"/>
      <c r="L80" s="97"/>
      <c r="M80" s="103">
        <f>+M79+M78</f>
        <v>0</v>
      </c>
      <c r="N80" s="103"/>
      <c r="O80" s="118">
        <f>+O78+O79</f>
        <v>0</v>
      </c>
      <c r="P80" s="172"/>
      <c r="Q80" s="172">
        <f>+Q78+Q79</f>
        <v>0</v>
      </c>
    </row>
    <row r="81" spans="1:17" ht="9" customHeight="1" x14ac:dyDescent="0.2">
      <c r="A81" s="97"/>
      <c r="B81" s="97"/>
      <c r="C81" s="97"/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118"/>
      <c r="P81" s="172"/>
      <c r="Q81" s="172"/>
    </row>
    <row r="82" spans="1:17" x14ac:dyDescent="0.2">
      <c r="A82" s="96">
        <v>15</v>
      </c>
      <c r="B82" s="96" t="s">
        <v>32</v>
      </c>
      <c r="C82" s="96" t="s">
        <v>113</v>
      </c>
      <c r="D82" s="96" t="s">
        <v>125</v>
      </c>
      <c r="E82" s="96" t="s">
        <v>116</v>
      </c>
      <c r="F82" s="96"/>
      <c r="G82" s="96" t="s">
        <v>114</v>
      </c>
      <c r="H82" s="97" t="s">
        <v>123</v>
      </c>
      <c r="I82" s="181">
        <v>36798</v>
      </c>
      <c r="J82" s="97"/>
      <c r="K82" s="97"/>
      <c r="L82" s="97"/>
      <c r="M82" s="103">
        <v>-373774472</v>
      </c>
      <c r="N82" s="103"/>
      <c r="O82" s="118">
        <v>-23267645.640000001</v>
      </c>
      <c r="P82" s="172"/>
      <c r="Q82" s="172">
        <f>+O82+P82</f>
        <v>-23267645.640000001</v>
      </c>
    </row>
    <row r="83" spans="1:17" x14ac:dyDescent="0.2">
      <c r="A83" s="96">
        <v>15</v>
      </c>
      <c r="B83" s="96" t="s">
        <v>32</v>
      </c>
      <c r="C83" s="96" t="s">
        <v>40</v>
      </c>
      <c r="D83" s="96"/>
      <c r="E83" s="96" t="s">
        <v>116</v>
      </c>
      <c r="F83" s="96"/>
      <c r="G83" s="96" t="s">
        <v>115</v>
      </c>
      <c r="H83" s="97"/>
      <c r="I83" s="96"/>
      <c r="J83" s="97"/>
      <c r="K83" s="97"/>
      <c r="L83" s="97"/>
      <c r="M83" s="110">
        <v>373774472</v>
      </c>
      <c r="N83" s="97"/>
      <c r="O83" s="128">
        <f>-O82</f>
        <v>23267645.640000001</v>
      </c>
      <c r="P83" s="172"/>
      <c r="Q83" s="128">
        <f>+O83+P83</f>
        <v>23267645.640000001</v>
      </c>
    </row>
    <row r="84" spans="1:17" x14ac:dyDescent="0.2">
      <c r="A84" s="96"/>
      <c r="B84" s="96"/>
      <c r="C84" s="96"/>
      <c r="D84" s="96"/>
      <c r="E84" s="96"/>
      <c r="F84" s="96"/>
      <c r="G84" s="96"/>
      <c r="H84" s="97"/>
      <c r="I84" s="96"/>
      <c r="J84" s="97"/>
      <c r="K84" s="97"/>
      <c r="L84" s="97"/>
      <c r="M84" s="115">
        <f>+M82+M83</f>
        <v>0</v>
      </c>
      <c r="N84" s="97"/>
      <c r="O84" s="118">
        <f>+O83+O82</f>
        <v>0</v>
      </c>
      <c r="P84" s="172"/>
      <c r="Q84" s="172">
        <f>+Q83+Q82</f>
        <v>0</v>
      </c>
    </row>
    <row r="85" spans="1:17" x14ac:dyDescent="0.2">
      <c r="A85" s="96"/>
      <c r="B85" s="96"/>
      <c r="C85" s="96"/>
      <c r="D85" s="96"/>
      <c r="E85" s="96"/>
      <c r="F85" s="96"/>
      <c r="G85" s="96"/>
      <c r="H85" s="97"/>
      <c r="I85" s="96"/>
      <c r="J85" s="97"/>
      <c r="K85" s="97"/>
      <c r="L85" s="97"/>
      <c r="M85" s="115"/>
      <c r="N85" s="97"/>
      <c r="O85" s="118"/>
      <c r="P85" s="172"/>
      <c r="Q85" s="172"/>
    </row>
    <row r="86" spans="1:17" x14ac:dyDescent="0.2">
      <c r="A86" s="96">
        <v>16</v>
      </c>
      <c r="B86" s="96" t="s">
        <v>40</v>
      </c>
      <c r="C86" s="96" t="s">
        <v>113</v>
      </c>
      <c r="D86" s="96" t="s">
        <v>124</v>
      </c>
      <c r="E86" s="96" t="s">
        <v>102</v>
      </c>
      <c r="F86" s="96"/>
      <c r="G86" s="96" t="s">
        <v>119</v>
      </c>
      <c r="H86" s="97" t="s">
        <v>123</v>
      </c>
      <c r="I86" s="181">
        <v>36798</v>
      </c>
      <c r="J86" s="97"/>
      <c r="K86" s="97"/>
      <c r="L86" s="97"/>
      <c r="M86" s="103">
        <v>-373774472</v>
      </c>
      <c r="N86" s="103"/>
      <c r="O86" s="118">
        <v>-18375120.120000001</v>
      </c>
      <c r="P86" s="172"/>
      <c r="Q86" s="172">
        <f>+O86+P86</f>
        <v>-18375120.120000001</v>
      </c>
    </row>
    <row r="87" spans="1:17" x14ac:dyDescent="0.2">
      <c r="A87" s="96">
        <v>16</v>
      </c>
      <c r="B87" s="96" t="s">
        <v>40</v>
      </c>
      <c r="C87" s="96" t="s">
        <v>32</v>
      </c>
      <c r="D87" s="96"/>
      <c r="E87" s="96" t="s">
        <v>102</v>
      </c>
      <c r="F87" s="96"/>
      <c r="G87" s="96" t="s">
        <v>115</v>
      </c>
      <c r="H87" s="97" t="s">
        <v>123</v>
      </c>
      <c r="I87" s="181">
        <v>36798</v>
      </c>
      <c r="J87" s="97"/>
      <c r="K87" s="97"/>
      <c r="L87" s="97"/>
      <c r="M87" s="110">
        <f>-M86</f>
        <v>373774472</v>
      </c>
      <c r="N87" s="97"/>
      <c r="O87" s="128">
        <v>53276588.57</v>
      </c>
      <c r="P87" s="172"/>
      <c r="Q87" s="128">
        <f>+O87+P87</f>
        <v>53276588.57</v>
      </c>
    </row>
    <row r="88" spans="1:17" x14ac:dyDescent="0.2">
      <c r="A88" s="96"/>
      <c r="B88" s="96"/>
      <c r="C88" s="96"/>
      <c r="D88" s="96"/>
      <c r="E88" s="96"/>
      <c r="F88" s="96"/>
      <c r="G88" s="96"/>
      <c r="H88" s="97"/>
      <c r="I88" s="96"/>
      <c r="J88" s="97"/>
      <c r="K88" s="97"/>
      <c r="L88" s="97"/>
      <c r="M88" s="115">
        <f>+M87+M86</f>
        <v>0</v>
      </c>
      <c r="N88" s="97"/>
      <c r="O88" s="118">
        <f>+O87+O86</f>
        <v>34901468.450000003</v>
      </c>
      <c r="P88" s="172"/>
      <c r="Q88" s="172">
        <f>+Q87+Q86</f>
        <v>34901468.450000003</v>
      </c>
    </row>
    <row r="89" spans="1:17" x14ac:dyDescent="0.2">
      <c r="A89" s="96"/>
      <c r="B89" s="96"/>
      <c r="C89" s="96"/>
      <c r="D89" s="96"/>
      <c r="E89" s="96"/>
      <c r="F89" s="96"/>
      <c r="G89" s="96"/>
      <c r="H89" s="97"/>
      <c r="I89" s="96"/>
      <c r="J89" s="97"/>
      <c r="K89" s="97"/>
      <c r="L89" s="97"/>
      <c r="M89" s="97"/>
      <c r="N89" s="97"/>
      <c r="O89" s="118"/>
      <c r="P89" s="172"/>
      <c r="Q89" s="172"/>
    </row>
    <row r="90" spans="1:17" x14ac:dyDescent="0.2">
      <c r="A90" s="96">
        <v>18</v>
      </c>
      <c r="B90" s="96" t="s">
        <v>40</v>
      </c>
      <c r="C90" s="96"/>
      <c r="D90" s="96"/>
      <c r="E90" s="96" t="s">
        <v>118</v>
      </c>
      <c r="F90" s="96"/>
      <c r="G90" s="96"/>
      <c r="H90" s="97"/>
      <c r="I90" s="182">
        <v>36799</v>
      </c>
      <c r="J90" s="97"/>
      <c r="K90" s="97"/>
      <c r="L90" s="97"/>
      <c r="M90" s="103"/>
      <c r="N90" s="103"/>
      <c r="O90" s="118">
        <v>-34901468.450000003</v>
      </c>
      <c r="P90" s="172"/>
      <c r="Q90" s="172">
        <f>+O90-P90</f>
        <v>-34901468.450000003</v>
      </c>
    </row>
    <row r="91" spans="1:17" x14ac:dyDescent="0.2">
      <c r="A91" s="96"/>
      <c r="B91" s="177"/>
      <c r="C91" s="177"/>
      <c r="D91" s="96"/>
      <c r="E91" s="177"/>
      <c r="F91" s="98"/>
      <c r="G91" s="177"/>
      <c r="H91" s="186"/>
      <c r="I91" s="187"/>
      <c r="J91" s="97"/>
      <c r="K91" s="98"/>
      <c r="L91" s="98"/>
      <c r="M91" s="176"/>
      <c r="N91" s="176"/>
      <c r="O91" s="95"/>
      <c r="P91" s="114"/>
      <c r="Q91" s="95"/>
    </row>
    <row r="92" spans="1:17" x14ac:dyDescent="0.2">
      <c r="A92" s="96">
        <v>10</v>
      </c>
      <c r="B92" s="96" t="s">
        <v>32</v>
      </c>
      <c r="C92" s="96" t="s">
        <v>99</v>
      </c>
      <c r="D92" s="96"/>
      <c r="E92" s="96" t="s">
        <v>102</v>
      </c>
      <c r="F92" s="97"/>
      <c r="G92" s="96" t="s">
        <v>87</v>
      </c>
      <c r="H92" s="90" t="s">
        <v>85</v>
      </c>
      <c r="I92" s="96"/>
      <c r="J92" s="92">
        <v>3</v>
      </c>
      <c r="K92" s="92"/>
      <c r="L92" s="99">
        <v>0.1</v>
      </c>
      <c r="M92" s="115"/>
      <c r="N92" s="115"/>
      <c r="O92" s="104">
        <f>-'ENA_10-Expired'!I22</f>
        <v>-182500</v>
      </c>
      <c r="P92" s="104">
        <f>+O92</f>
        <v>-182500</v>
      </c>
      <c r="Q92" s="104"/>
    </row>
    <row r="93" spans="1:17" x14ac:dyDescent="0.2">
      <c r="A93" s="96"/>
      <c r="B93" s="177"/>
      <c r="C93" s="177"/>
      <c r="D93" s="96"/>
      <c r="E93" s="177"/>
      <c r="F93" s="98"/>
      <c r="G93" s="177"/>
      <c r="H93" s="98"/>
      <c r="I93" s="160"/>
      <c r="J93" s="97"/>
      <c r="K93" s="98"/>
      <c r="L93" s="98"/>
      <c r="M93" s="176"/>
      <c r="N93" s="176"/>
      <c r="O93" s="95"/>
      <c r="P93" s="114"/>
      <c r="Q93" s="95"/>
    </row>
    <row r="94" spans="1:17" x14ac:dyDescent="0.2">
      <c r="A94" s="96">
        <v>18</v>
      </c>
      <c r="B94" s="96" t="s">
        <v>40</v>
      </c>
      <c r="C94" s="96" t="s">
        <v>131</v>
      </c>
      <c r="D94" s="96">
        <v>1009351</v>
      </c>
      <c r="E94" s="96" t="s">
        <v>102</v>
      </c>
      <c r="F94" s="97"/>
      <c r="G94" s="97"/>
      <c r="H94" s="183">
        <v>36857</v>
      </c>
      <c r="I94" s="181">
        <v>36797</v>
      </c>
      <c r="J94" s="118">
        <v>7.0000000000000007E-2</v>
      </c>
      <c r="K94" s="97"/>
      <c r="L94" s="99"/>
      <c r="M94" s="115">
        <v>155000</v>
      </c>
      <c r="N94" s="156"/>
      <c r="O94" s="104">
        <f>+M94*J94</f>
        <v>10850.000000000002</v>
      </c>
      <c r="P94" s="104">
        <f>+O94</f>
        <v>10850.000000000002</v>
      </c>
      <c r="Q94" s="104"/>
    </row>
    <row r="95" spans="1:17" x14ac:dyDescent="0.2">
      <c r="A95" s="96"/>
      <c r="B95" s="96"/>
      <c r="C95" s="97"/>
      <c r="D95" s="96"/>
      <c r="E95" s="97"/>
      <c r="F95" s="97"/>
      <c r="G95" s="97"/>
      <c r="H95" s="97"/>
      <c r="I95" s="96"/>
      <c r="J95" s="97"/>
      <c r="K95" s="97"/>
      <c r="L95" s="99"/>
      <c r="M95" s="107"/>
      <c r="N95" s="156"/>
      <c r="O95" s="113"/>
      <c r="P95" s="113"/>
      <c r="Q95" s="113"/>
    </row>
    <row r="96" spans="1:17" x14ac:dyDescent="0.2">
      <c r="A96" s="96">
        <v>19</v>
      </c>
      <c r="B96" s="96" t="s">
        <v>40</v>
      </c>
      <c r="C96" s="96" t="s">
        <v>96</v>
      </c>
      <c r="D96" s="96" t="s">
        <v>132</v>
      </c>
      <c r="E96" s="96" t="s">
        <v>102</v>
      </c>
      <c r="F96" s="97"/>
      <c r="G96" s="97"/>
      <c r="H96" s="183">
        <v>36857</v>
      </c>
      <c r="I96" s="181">
        <v>36790</v>
      </c>
      <c r="J96" s="118">
        <v>0.05</v>
      </c>
      <c r="K96" s="97"/>
      <c r="L96" s="99"/>
      <c r="M96" s="115">
        <v>-155000</v>
      </c>
      <c r="N96" s="156"/>
      <c r="O96" s="104">
        <f>+M96*J96</f>
        <v>-7750</v>
      </c>
      <c r="P96" s="104">
        <f>+O96</f>
        <v>-7750</v>
      </c>
      <c r="Q96" s="104"/>
    </row>
    <row r="97" spans="1:17" x14ac:dyDescent="0.2">
      <c r="A97" s="96"/>
      <c r="B97" s="96"/>
      <c r="C97" s="96"/>
      <c r="D97" s="96"/>
      <c r="E97" s="96"/>
      <c r="F97" s="97"/>
      <c r="G97" s="97"/>
      <c r="H97" s="183"/>
      <c r="I97" s="181"/>
      <c r="J97" s="118"/>
      <c r="K97" s="97"/>
      <c r="L97" s="99"/>
      <c r="M97" s="115"/>
      <c r="N97" s="156"/>
      <c r="O97" s="104"/>
      <c r="P97" s="114"/>
      <c r="Q97" s="95"/>
    </row>
    <row r="98" spans="1:17" x14ac:dyDescent="0.2">
      <c r="A98" s="96">
        <v>20</v>
      </c>
      <c r="B98" s="96" t="s">
        <v>40</v>
      </c>
      <c r="C98" s="96" t="s">
        <v>96</v>
      </c>
      <c r="D98" s="96" t="s">
        <v>139</v>
      </c>
      <c r="E98" s="96" t="s">
        <v>102</v>
      </c>
      <c r="F98" s="97"/>
      <c r="G98" s="97"/>
      <c r="H98" s="183">
        <v>36857</v>
      </c>
      <c r="I98" s="181">
        <v>36815</v>
      </c>
      <c r="J98" s="185">
        <v>0.77500000000000002</v>
      </c>
      <c r="K98" s="97"/>
      <c r="L98" s="99"/>
      <c r="M98" s="115">
        <v>-500000</v>
      </c>
      <c r="N98" s="156"/>
      <c r="O98" s="104">
        <v>-17500</v>
      </c>
      <c r="P98" s="95">
        <v>-17500</v>
      </c>
      <c r="Q98" s="95"/>
    </row>
    <row r="99" spans="1:17" x14ac:dyDescent="0.2">
      <c r="A99" s="96"/>
      <c r="B99" s="96"/>
      <c r="C99" s="96"/>
      <c r="D99" s="96"/>
      <c r="E99" s="96"/>
      <c r="F99" s="96"/>
      <c r="G99" s="97"/>
      <c r="J99" s="96" t="s">
        <v>140</v>
      </c>
      <c r="K99" s="97"/>
      <c r="L99" s="97"/>
      <c r="M99" s="103"/>
      <c r="N99" s="103"/>
      <c r="O99" s="118"/>
      <c r="P99" s="172"/>
      <c r="Q99" s="172"/>
    </row>
    <row r="100" spans="1:17" ht="12" thickBot="1" x14ac:dyDescent="0.25">
      <c r="A100" s="96"/>
      <c r="B100" s="177"/>
      <c r="C100" s="177"/>
      <c r="D100" s="96"/>
      <c r="E100" s="177"/>
      <c r="F100" s="98"/>
      <c r="G100" s="177"/>
      <c r="H100" s="98"/>
      <c r="I100" s="160"/>
      <c r="J100" s="97"/>
      <c r="K100" s="98"/>
      <c r="L100" s="98"/>
      <c r="M100" s="119">
        <f>+M98+M96+M94+M102+M90+M88+M84+M80+M75</f>
        <v>-500000</v>
      </c>
      <c r="N100" s="176"/>
      <c r="O100" s="184">
        <f>+O98+O96+O94+O92+O90+O88+O84+O80+O75</f>
        <v>14503099.999999998</v>
      </c>
      <c r="P100" s="184">
        <f>+P98+P96+P94+P92+P90+P88+P84+P80+P75</f>
        <v>-196900</v>
      </c>
      <c r="Q100" s="184">
        <f>+Q98+Q96+Q94+Q92+Q90+Q88+Q84+Q80+Q75</f>
        <v>14699999.999999998</v>
      </c>
    </row>
    <row r="101" spans="1:17" ht="12" thickTop="1" x14ac:dyDescent="0.2">
      <c r="A101" s="96"/>
      <c r="B101" s="177"/>
      <c r="C101" s="177"/>
      <c r="D101" s="96"/>
      <c r="E101" s="177"/>
      <c r="F101" s="98"/>
      <c r="G101" s="177"/>
      <c r="H101" s="98"/>
      <c r="I101" s="160"/>
      <c r="J101" s="97"/>
      <c r="K101" s="98"/>
      <c r="L101" s="98"/>
      <c r="M101" s="176"/>
      <c r="N101" s="176"/>
      <c r="O101" s="188"/>
      <c r="P101" s="188"/>
      <c r="Q101" s="188"/>
    </row>
    <row r="102" spans="1:17" x14ac:dyDescent="0.2">
      <c r="A102" s="96">
        <v>17</v>
      </c>
      <c r="B102" s="177" t="s">
        <v>40</v>
      </c>
      <c r="C102" s="177" t="s">
        <v>32</v>
      </c>
      <c r="D102" s="96"/>
      <c r="E102" s="177" t="s">
        <v>117</v>
      </c>
      <c r="F102" s="98"/>
      <c r="G102" s="177" t="s">
        <v>115</v>
      </c>
      <c r="H102" s="186">
        <v>36887</v>
      </c>
      <c r="I102" s="182">
        <v>36799</v>
      </c>
      <c r="J102" s="97"/>
      <c r="K102" s="98"/>
      <c r="L102" s="98"/>
      <c r="M102" s="176"/>
      <c r="N102" s="176"/>
      <c r="O102" s="95">
        <v>-23267645.640000001</v>
      </c>
      <c r="P102" s="114"/>
      <c r="Q102" s="95">
        <f>+O102</f>
        <v>-23267645.640000001</v>
      </c>
    </row>
    <row r="103" spans="1:17" x14ac:dyDescent="0.2">
      <c r="A103" s="122"/>
      <c r="B103" s="123"/>
      <c r="C103" s="123"/>
      <c r="D103" s="121"/>
      <c r="E103" s="123"/>
      <c r="F103" s="123"/>
      <c r="G103" s="123"/>
      <c r="H103" s="123"/>
      <c r="I103" s="178"/>
      <c r="J103" s="122"/>
      <c r="K103" s="123"/>
      <c r="L103" s="123"/>
      <c r="M103" s="179"/>
      <c r="N103" s="179"/>
      <c r="O103" s="180"/>
      <c r="P103" s="180"/>
      <c r="Q103" s="180"/>
    </row>
    <row r="104" spans="1:17" x14ac:dyDescent="0.2">
      <c r="A104" s="160"/>
      <c r="B104" s="160"/>
      <c r="C104" s="160"/>
      <c r="D104" s="159"/>
      <c r="E104" s="160"/>
      <c r="F104" s="160"/>
      <c r="G104" s="160"/>
      <c r="H104" s="160"/>
      <c r="I104" s="160"/>
      <c r="J104" s="160"/>
      <c r="K104" s="160"/>
      <c r="L104" s="160"/>
      <c r="M104" s="173"/>
      <c r="N104" s="173"/>
      <c r="O104" s="174"/>
      <c r="P104" s="174"/>
      <c r="Q104" s="174"/>
    </row>
    <row r="105" spans="1:17" x14ac:dyDescent="0.2">
      <c r="A105" s="160"/>
      <c r="B105" s="160"/>
      <c r="C105" s="160"/>
      <c r="D105" s="159"/>
      <c r="E105" s="160"/>
      <c r="F105" s="160"/>
      <c r="G105" s="160"/>
      <c r="H105" s="160"/>
      <c r="I105" s="160"/>
      <c r="J105" s="160"/>
      <c r="K105" s="160"/>
      <c r="L105" s="160"/>
      <c r="M105" s="173"/>
      <c r="N105" s="173"/>
      <c r="O105" s="174"/>
      <c r="P105" s="174"/>
      <c r="Q105" s="174"/>
    </row>
    <row r="106" spans="1:17" ht="12" customHeight="1" x14ac:dyDescent="0.2">
      <c r="M106" s="136"/>
    </row>
    <row r="107" spans="1:17" x14ac:dyDescent="0.2">
      <c r="A107" s="29" t="s">
        <v>106</v>
      </c>
    </row>
    <row r="108" spans="1:17" x14ac:dyDescent="0.2">
      <c r="A108" s="29" t="s">
        <v>107</v>
      </c>
      <c r="B108" s="29"/>
      <c r="C108" s="29"/>
    </row>
    <row r="109" spans="1:17" x14ac:dyDescent="0.2">
      <c r="A109" s="29" t="s">
        <v>48</v>
      </c>
      <c r="B109" s="29"/>
      <c r="C109" s="29"/>
    </row>
  </sheetData>
  <mergeCells count="6">
    <mergeCell ref="A65:Q65"/>
    <mergeCell ref="A66:Q66"/>
    <mergeCell ref="A1:Q1"/>
    <mergeCell ref="A2:Q2"/>
    <mergeCell ref="A3:Q3"/>
    <mergeCell ref="A5:Q5"/>
  </mergeCells>
  <printOptions horizontalCentered="1" verticalCentered="1"/>
  <pageMargins left="0.25" right="0.25" top="0.18" bottom="0.35" header="0.5" footer="0.22"/>
  <pageSetup scale="64" orientation="landscape" horizontalDpi="300" verticalDpi="300" r:id="rId1"/>
  <headerFooter alignWithMargins="0">
    <oddFooter xml:space="preserve">&amp;L&amp;"Arial,Italic"&amp;8&amp;D&amp;T&amp;R&amp;"Arial,Italic"&amp;8G:/Common/TW Fuel Hedge/Fixed2_Summary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activeCell="G9" sqref="G9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136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137</v>
      </c>
      <c r="E6" s="6"/>
      <c r="F6" s="6" t="s">
        <v>11</v>
      </c>
      <c r="G6" s="6" t="s">
        <v>138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36831</v>
      </c>
      <c r="B9" s="15"/>
      <c r="C9" s="16" t="s">
        <v>128</v>
      </c>
      <c r="D9" s="32">
        <v>0.77500000000000002</v>
      </c>
      <c r="E9" s="15"/>
      <c r="F9" s="18">
        <v>500000</v>
      </c>
      <c r="G9" s="32">
        <f>+[3]Basis!$D$20-[3]Basis!$D$27</f>
        <v>0.5349999999999997</v>
      </c>
      <c r="H9" s="32"/>
      <c r="I9" s="17">
        <f>(-G9+D9)*F9</f>
        <v>120000.00000000016</v>
      </c>
      <c r="J9" s="41">
        <f>+I9</f>
        <v>120000.00000000016</v>
      </c>
      <c r="K9" s="41"/>
    </row>
    <row r="10" spans="1:11" x14ac:dyDescent="0.2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SUM(F9:F11)</f>
        <v>500000</v>
      </c>
      <c r="G12" s="15"/>
      <c r="H12" s="169"/>
      <c r="I12" s="24">
        <f>SUM(I9:I11)</f>
        <v>120000.00000000016</v>
      </c>
      <c r="J12" s="24">
        <f>SUM(J9:J11)</f>
        <v>120000.00000000016</v>
      </c>
      <c r="K12" s="24">
        <f>SUM(K9:K11)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">
      <c r="A17" s="29" t="s">
        <v>47</v>
      </c>
    </row>
  </sheetData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activeCell="H9" sqref="H9:H20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98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99</v>
      </c>
      <c r="D9" s="32">
        <v>0.1</v>
      </c>
      <c r="E9" s="15"/>
      <c r="F9" s="18">
        <f>-5000*31</f>
        <v>-155000</v>
      </c>
      <c r="G9" s="32"/>
      <c r="H9" s="32"/>
      <c r="I9" s="17">
        <f>-F9*D9</f>
        <v>15500</v>
      </c>
      <c r="J9" s="41">
        <f>+I9</f>
        <v>15500</v>
      </c>
      <c r="K9" s="41"/>
    </row>
    <row r="10" spans="1:11" x14ac:dyDescent="0.2">
      <c r="A10" s="31">
        <v>36923</v>
      </c>
      <c r="B10" s="15"/>
      <c r="C10" s="16" t="s">
        <v>99</v>
      </c>
      <c r="D10" s="32">
        <v>0.1</v>
      </c>
      <c r="E10" s="15"/>
      <c r="F10" s="18">
        <f>-5000*28</f>
        <v>-140000</v>
      </c>
      <c r="G10" s="32"/>
      <c r="H10" s="32"/>
      <c r="I10" s="17">
        <f t="shared" ref="I10:I20" si="0">-F10*D10</f>
        <v>14000</v>
      </c>
      <c r="J10" s="41">
        <f t="shared" ref="J10:J20" si="1">+I10</f>
        <v>14000</v>
      </c>
      <c r="K10" s="41"/>
    </row>
    <row r="11" spans="1:11" x14ac:dyDescent="0.2">
      <c r="A11" s="31">
        <v>36951</v>
      </c>
      <c r="B11" s="15"/>
      <c r="C11" s="16" t="s">
        <v>99</v>
      </c>
      <c r="D11" s="32">
        <v>0.1</v>
      </c>
      <c r="E11" s="15"/>
      <c r="F11" s="18">
        <f>-5000*31</f>
        <v>-155000</v>
      </c>
      <c r="G11" s="32"/>
      <c r="H11" s="32"/>
      <c r="I11" s="17">
        <f t="shared" si="0"/>
        <v>15500</v>
      </c>
      <c r="J11" s="41">
        <f t="shared" si="1"/>
        <v>15500</v>
      </c>
      <c r="K11" s="41"/>
    </row>
    <row r="12" spans="1:11" x14ac:dyDescent="0.2">
      <c r="A12" s="31">
        <v>36982</v>
      </c>
      <c r="B12" s="15"/>
      <c r="C12" s="16" t="s">
        <v>99</v>
      </c>
      <c r="D12" s="32">
        <v>0.1</v>
      </c>
      <c r="E12" s="15"/>
      <c r="F12" s="18">
        <f>-5000*30</f>
        <v>-150000</v>
      </c>
      <c r="G12" s="32"/>
      <c r="H12" s="32"/>
      <c r="I12" s="17">
        <f t="shared" si="0"/>
        <v>15000</v>
      </c>
      <c r="J12" s="41">
        <f t="shared" si="1"/>
        <v>15000</v>
      </c>
      <c r="K12" s="41"/>
    </row>
    <row r="13" spans="1:11" x14ac:dyDescent="0.2">
      <c r="A13" s="31">
        <v>37012</v>
      </c>
      <c r="B13" s="15"/>
      <c r="C13" s="16" t="s">
        <v>99</v>
      </c>
      <c r="D13" s="32">
        <v>0.1</v>
      </c>
      <c r="E13" s="15"/>
      <c r="F13" s="18">
        <f>-5000*31</f>
        <v>-155000</v>
      </c>
      <c r="G13" s="15"/>
      <c r="H13" s="32"/>
      <c r="I13" s="17">
        <f t="shared" si="0"/>
        <v>15500</v>
      </c>
      <c r="J13" s="41">
        <f t="shared" si="1"/>
        <v>15500</v>
      </c>
      <c r="K13" s="41"/>
    </row>
    <row r="14" spans="1:11" x14ac:dyDescent="0.2">
      <c r="A14" s="31">
        <v>37043</v>
      </c>
      <c r="B14" s="15"/>
      <c r="C14" s="16" t="s">
        <v>99</v>
      </c>
      <c r="D14" s="32">
        <v>0.1</v>
      </c>
      <c r="E14" s="15"/>
      <c r="F14" s="18">
        <f>-5000*30</f>
        <v>-150000</v>
      </c>
      <c r="G14" s="15"/>
      <c r="H14" s="32"/>
      <c r="I14" s="17">
        <f t="shared" si="0"/>
        <v>15000</v>
      </c>
      <c r="J14" s="41">
        <f t="shared" si="1"/>
        <v>15000</v>
      </c>
      <c r="K14" s="41"/>
    </row>
    <row r="15" spans="1:11" x14ac:dyDescent="0.2">
      <c r="A15" s="31">
        <v>37073</v>
      </c>
      <c r="B15" s="15"/>
      <c r="C15" s="16" t="s">
        <v>99</v>
      </c>
      <c r="D15" s="32">
        <v>0.1</v>
      </c>
      <c r="E15" s="15"/>
      <c r="F15" s="18">
        <f>-5000*31</f>
        <v>-155000</v>
      </c>
      <c r="G15" s="15"/>
      <c r="H15" s="32"/>
      <c r="I15" s="17">
        <f t="shared" si="0"/>
        <v>15500</v>
      </c>
      <c r="J15" s="41">
        <f t="shared" si="1"/>
        <v>15500</v>
      </c>
      <c r="K15" s="41"/>
    </row>
    <row r="16" spans="1:11" x14ac:dyDescent="0.2">
      <c r="A16" s="31">
        <v>37104</v>
      </c>
      <c r="B16" s="15"/>
      <c r="C16" s="16" t="s">
        <v>99</v>
      </c>
      <c r="D16" s="32">
        <v>0.1</v>
      </c>
      <c r="E16" s="15"/>
      <c r="F16" s="18">
        <f>-5000*31</f>
        <v>-155000</v>
      </c>
      <c r="G16" s="15"/>
      <c r="H16" s="32"/>
      <c r="I16" s="17">
        <f t="shared" si="0"/>
        <v>15500</v>
      </c>
      <c r="J16" s="41">
        <f t="shared" si="1"/>
        <v>15500</v>
      </c>
      <c r="K16" s="41"/>
    </row>
    <row r="17" spans="1:11" x14ac:dyDescent="0.2">
      <c r="A17" s="31">
        <v>37135</v>
      </c>
      <c r="B17" s="15"/>
      <c r="C17" s="16" t="s">
        <v>99</v>
      </c>
      <c r="D17" s="32">
        <v>0.1</v>
      </c>
      <c r="E17" s="15"/>
      <c r="F17" s="18">
        <f>-5000*30</f>
        <v>-150000</v>
      </c>
      <c r="G17" s="15"/>
      <c r="H17" s="32"/>
      <c r="I17" s="17">
        <f t="shared" si="0"/>
        <v>15000</v>
      </c>
      <c r="J17" s="41">
        <f t="shared" si="1"/>
        <v>15000</v>
      </c>
      <c r="K17" s="41"/>
    </row>
    <row r="18" spans="1:11" x14ac:dyDescent="0.2">
      <c r="A18" s="31">
        <v>37165</v>
      </c>
      <c r="B18" s="15"/>
      <c r="C18" s="16" t="s">
        <v>99</v>
      </c>
      <c r="D18" s="32">
        <v>0.1</v>
      </c>
      <c r="E18" s="15"/>
      <c r="F18" s="18">
        <f>-5000*31</f>
        <v>-155000</v>
      </c>
      <c r="G18" s="15"/>
      <c r="H18" s="32"/>
      <c r="I18" s="17">
        <f t="shared" si="0"/>
        <v>15500</v>
      </c>
      <c r="J18" s="41">
        <f t="shared" si="1"/>
        <v>15500</v>
      </c>
      <c r="K18" s="41"/>
    </row>
    <row r="19" spans="1:11" x14ac:dyDescent="0.2">
      <c r="A19" s="31">
        <v>37196</v>
      </c>
      <c r="B19" s="15"/>
      <c r="C19" s="16" t="s">
        <v>99</v>
      </c>
      <c r="D19" s="32">
        <v>0.1</v>
      </c>
      <c r="E19" s="15"/>
      <c r="F19" s="18">
        <f>-5000*30</f>
        <v>-150000</v>
      </c>
      <c r="G19" s="15"/>
      <c r="H19" s="32"/>
      <c r="I19" s="17">
        <f t="shared" si="0"/>
        <v>15000</v>
      </c>
      <c r="J19" s="41">
        <f t="shared" si="1"/>
        <v>15000</v>
      </c>
      <c r="K19" s="41"/>
    </row>
    <row r="20" spans="1:11" x14ac:dyDescent="0.2">
      <c r="A20" s="31">
        <v>37226</v>
      </c>
      <c r="B20" s="15"/>
      <c r="C20" s="16" t="s">
        <v>99</v>
      </c>
      <c r="D20" s="32">
        <v>0.1</v>
      </c>
      <c r="E20" s="15"/>
      <c r="F20" s="18">
        <f>-5000*31</f>
        <v>-155000</v>
      </c>
      <c r="G20" s="15"/>
      <c r="H20" s="32"/>
      <c r="I20" s="17">
        <f t="shared" si="0"/>
        <v>15500</v>
      </c>
      <c r="J20" s="41">
        <f t="shared" si="1"/>
        <v>15500</v>
      </c>
      <c r="K20" s="41"/>
    </row>
    <row r="21" spans="1:11" x14ac:dyDescent="0.2">
      <c r="A21" s="31"/>
      <c r="B21" s="15"/>
      <c r="C21" s="16"/>
      <c r="D21" s="32"/>
      <c r="E21" s="15"/>
      <c r="F21" s="18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69"/>
      <c r="I22" s="35">
        <f>SUM(I9:I20)</f>
        <v>182500</v>
      </c>
      <c r="J22" s="35">
        <f>SUM(J9:J20)</f>
        <v>182500</v>
      </c>
      <c r="K22" s="35">
        <f>SUM(K9:K20)</f>
        <v>0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</v>
      </c>
      <c r="E26" s="15"/>
      <c r="F26" s="18">
        <f>5000*31</f>
        <v>155000</v>
      </c>
      <c r="G26" s="32"/>
      <c r="H26" s="32" t="e">
        <f>+#REF!</f>
        <v>#REF!</v>
      </c>
      <c r="I26" s="17" t="e">
        <f>(+D26-H26)*F26</f>
        <v>#REF!</v>
      </c>
      <c r="J26" s="41"/>
      <c r="K26" s="41" t="e">
        <f t="shared" ref="K26:K37" si="2">+I26</f>
        <v>#REF!</v>
      </c>
    </row>
    <row r="27" spans="1:11" x14ac:dyDescent="0.2">
      <c r="A27" s="31">
        <v>36923</v>
      </c>
      <c r="B27" s="15"/>
      <c r="C27" s="16" t="s">
        <v>46</v>
      </c>
      <c r="D27" s="32">
        <v>3</v>
      </c>
      <c r="E27" s="15"/>
      <c r="F27" s="18">
        <f>5000*28</f>
        <v>140000</v>
      </c>
      <c r="G27" s="61"/>
      <c r="H27" s="32" t="e">
        <f>+#REF!</f>
        <v>#REF!</v>
      </c>
      <c r="I27" s="17" t="e">
        <f t="shared" ref="I27:I37" si="3">(+D27-H27)*F27</f>
        <v>#REF!</v>
      </c>
      <c r="J27" s="41"/>
      <c r="K27" s="41" t="e">
        <f t="shared" si="2"/>
        <v>#REF!</v>
      </c>
    </row>
    <row r="28" spans="1:11" x14ac:dyDescent="0.2">
      <c r="A28" s="31">
        <v>36951</v>
      </c>
      <c r="B28" s="15"/>
      <c r="C28" s="16" t="s">
        <v>46</v>
      </c>
      <c r="D28" s="32">
        <v>3</v>
      </c>
      <c r="E28" s="15"/>
      <c r="F28" s="18">
        <f>5000*31</f>
        <v>155000</v>
      </c>
      <c r="G28" s="61"/>
      <c r="H28" s="32" t="e">
        <f>+#REF!</f>
        <v>#REF!</v>
      </c>
      <c r="I28" s="17" t="e">
        <f t="shared" si="3"/>
        <v>#REF!</v>
      </c>
      <c r="J28" s="41"/>
      <c r="K28" s="41" t="e">
        <f t="shared" si="2"/>
        <v>#REF!</v>
      </c>
    </row>
    <row r="29" spans="1:11" x14ac:dyDescent="0.2">
      <c r="A29" s="31">
        <v>36982</v>
      </c>
      <c r="B29" s="15"/>
      <c r="C29" s="16" t="s">
        <v>46</v>
      </c>
      <c r="D29" s="32">
        <v>3</v>
      </c>
      <c r="E29" s="15"/>
      <c r="F29" s="18">
        <f>5000*30</f>
        <v>150000</v>
      </c>
      <c r="G29" s="61"/>
      <c r="H29" s="32" t="e">
        <f>+#REF!</f>
        <v>#REF!</v>
      </c>
      <c r="I29" s="17" t="e">
        <f t="shared" si="3"/>
        <v>#REF!</v>
      </c>
      <c r="J29" s="41"/>
      <c r="K29" s="41" t="e">
        <f t="shared" si="2"/>
        <v>#REF!</v>
      </c>
    </row>
    <row r="30" spans="1:11" x14ac:dyDescent="0.2">
      <c r="A30" s="31">
        <v>37012</v>
      </c>
      <c r="B30" s="15"/>
      <c r="C30" s="16" t="s">
        <v>46</v>
      </c>
      <c r="D30" s="32">
        <v>3</v>
      </c>
      <c r="E30" s="15"/>
      <c r="F30" s="18">
        <f>5000*31</f>
        <v>155000</v>
      </c>
      <c r="G30" s="15"/>
      <c r="H30" s="32" t="e">
        <f>+#REF!</f>
        <v>#REF!</v>
      </c>
      <c r="I30" s="17" t="e">
        <f t="shared" si="3"/>
        <v>#REF!</v>
      </c>
      <c r="J30" s="39"/>
      <c r="K30" s="41" t="e">
        <f t="shared" si="2"/>
        <v>#REF!</v>
      </c>
    </row>
    <row r="31" spans="1:11" x14ac:dyDescent="0.2">
      <c r="A31" s="31">
        <v>37043</v>
      </c>
      <c r="B31" s="15"/>
      <c r="C31" s="16" t="s">
        <v>46</v>
      </c>
      <c r="D31" s="32">
        <v>3</v>
      </c>
      <c r="E31" s="15"/>
      <c r="F31" s="18">
        <f>5000*30</f>
        <v>150000</v>
      </c>
      <c r="G31" s="15"/>
      <c r="H31" s="32" t="e">
        <f>+#REF!</f>
        <v>#REF!</v>
      </c>
      <c r="I31" s="17" t="e">
        <f t="shared" si="3"/>
        <v>#REF!</v>
      </c>
      <c r="J31" s="39"/>
      <c r="K31" s="41" t="e">
        <f t="shared" si="2"/>
        <v>#REF!</v>
      </c>
    </row>
    <row r="32" spans="1:11" x14ac:dyDescent="0.2">
      <c r="A32" s="31">
        <v>37073</v>
      </c>
      <c r="B32" s="15"/>
      <c r="C32" s="16" t="s">
        <v>46</v>
      </c>
      <c r="D32" s="32">
        <v>3</v>
      </c>
      <c r="E32" s="15"/>
      <c r="F32" s="18">
        <f>5000*31</f>
        <v>155000</v>
      </c>
      <c r="G32" s="15"/>
      <c r="H32" s="32" t="e">
        <f>+#REF!</f>
        <v>#REF!</v>
      </c>
      <c r="I32" s="17" t="e">
        <f t="shared" si="3"/>
        <v>#REF!</v>
      </c>
      <c r="J32" s="39"/>
      <c r="K32" s="41" t="e">
        <f t="shared" si="2"/>
        <v>#REF!</v>
      </c>
    </row>
    <row r="33" spans="1:11" x14ac:dyDescent="0.2">
      <c r="A33" s="31">
        <v>37104</v>
      </c>
      <c r="B33" s="15"/>
      <c r="C33" s="16" t="s">
        <v>46</v>
      </c>
      <c r="D33" s="32">
        <v>3</v>
      </c>
      <c r="E33" s="15"/>
      <c r="F33" s="18">
        <f>5000*31</f>
        <v>155000</v>
      </c>
      <c r="G33" s="15"/>
      <c r="H33" s="32" t="e">
        <f>+#REF!</f>
        <v>#REF!</v>
      </c>
      <c r="I33" s="17" t="e">
        <f t="shared" si="3"/>
        <v>#REF!</v>
      </c>
      <c r="J33" s="39"/>
      <c r="K33" s="41" t="e">
        <f t="shared" si="2"/>
        <v>#REF!</v>
      </c>
    </row>
    <row r="34" spans="1:11" x14ac:dyDescent="0.2">
      <c r="A34" s="31">
        <v>37135</v>
      </c>
      <c r="B34" s="15"/>
      <c r="C34" s="16" t="s">
        <v>46</v>
      </c>
      <c r="D34" s="32">
        <v>3</v>
      </c>
      <c r="E34" s="15"/>
      <c r="F34" s="18">
        <f>5000*30</f>
        <v>150000</v>
      </c>
      <c r="G34" s="15"/>
      <c r="H34" s="32" t="e">
        <f>+#REF!</f>
        <v>#REF!</v>
      </c>
      <c r="I34" s="17" t="e">
        <f t="shared" si="3"/>
        <v>#REF!</v>
      </c>
      <c r="J34" s="39"/>
      <c r="K34" s="41" t="e">
        <f t="shared" si="2"/>
        <v>#REF!</v>
      </c>
    </row>
    <row r="35" spans="1:11" x14ac:dyDescent="0.2">
      <c r="A35" s="31">
        <v>37165</v>
      </c>
      <c r="B35" s="15"/>
      <c r="C35" s="16" t="s">
        <v>46</v>
      </c>
      <c r="D35" s="32">
        <v>3</v>
      </c>
      <c r="E35" s="15"/>
      <c r="F35" s="18">
        <f>5000*31</f>
        <v>155000</v>
      </c>
      <c r="G35" s="15"/>
      <c r="H35" s="32" t="e">
        <f>+#REF!</f>
        <v>#REF!</v>
      </c>
      <c r="I35" s="17" t="e">
        <f t="shared" si="3"/>
        <v>#REF!</v>
      </c>
      <c r="J35" s="39"/>
      <c r="K35" s="41" t="e">
        <f t="shared" si="2"/>
        <v>#REF!</v>
      </c>
    </row>
    <row r="36" spans="1:11" x14ac:dyDescent="0.2">
      <c r="A36" s="31">
        <v>37196</v>
      </c>
      <c r="B36" s="15"/>
      <c r="C36" s="16" t="s">
        <v>46</v>
      </c>
      <c r="D36" s="32">
        <v>3</v>
      </c>
      <c r="E36" s="15"/>
      <c r="F36" s="18">
        <f>5000*30</f>
        <v>150000</v>
      </c>
      <c r="G36" s="15"/>
      <c r="H36" s="32" t="e">
        <f>+#REF!</f>
        <v>#REF!</v>
      </c>
      <c r="I36" s="17" t="e">
        <f t="shared" si="3"/>
        <v>#REF!</v>
      </c>
      <c r="J36" s="39"/>
      <c r="K36" s="41" t="e">
        <f t="shared" si="2"/>
        <v>#REF!</v>
      </c>
    </row>
    <row r="37" spans="1:11" x14ac:dyDescent="0.2">
      <c r="A37" s="31">
        <v>37226</v>
      </c>
      <c r="B37" s="15"/>
      <c r="C37" s="16" t="s">
        <v>46</v>
      </c>
      <c r="D37" s="32">
        <v>3</v>
      </c>
      <c r="E37" s="15"/>
      <c r="F37" s="18">
        <f>5000*31</f>
        <v>155000</v>
      </c>
      <c r="G37" s="15"/>
      <c r="H37" s="32" t="e">
        <f>+#REF!</f>
        <v>#REF!</v>
      </c>
      <c r="I37" s="17" t="e">
        <f t="shared" si="3"/>
        <v>#REF!</v>
      </c>
      <c r="J37" s="39"/>
      <c r="K37" s="41" t="e">
        <f t="shared" si="2"/>
        <v>#REF!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 t="e">
        <f>SUM(I26:I38)</f>
        <v>#REF!</v>
      </c>
      <c r="J39" s="33">
        <f>SUM(J26:J38)</f>
        <v>0</v>
      </c>
      <c r="K39" s="33" t="e">
        <f>SUM(K26:K38)</f>
        <v>#REF!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 t="e">
        <f>+I39+I22</f>
        <v>#REF!</v>
      </c>
      <c r="J41" s="34">
        <f>+J39+J22</f>
        <v>182500</v>
      </c>
      <c r="K41" s="34" t="e">
        <f>+K39+K22</f>
        <v>#REF!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2"/>
  <sheetViews>
    <sheetView topLeftCell="B1" workbookViewId="0">
      <selection activeCell="K17" sqref="K17"/>
    </sheetView>
  </sheetViews>
  <sheetFormatPr defaultRowHeight="12.75" x14ac:dyDescent="0.2"/>
  <cols>
    <col min="1" max="4" width="10.7109375" customWidth="1"/>
    <col min="5" max="5" width="10.7109375" hidden="1" customWidth="1"/>
    <col min="6" max="8" width="10.7109375" customWidth="1"/>
    <col min="9" max="9" width="13.7109375" customWidth="1"/>
    <col min="10" max="10" width="12.140625" style="28" customWidth="1"/>
    <col min="11" max="11" width="13.7109375" style="28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60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  <c r="J4" s="42"/>
      <c r="K4" s="42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46" t="s">
        <v>58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63" t="s">
        <v>61</v>
      </c>
      <c r="B9" s="15"/>
      <c r="C9" s="16"/>
      <c r="D9" s="62">
        <v>1.9450000000000001</v>
      </c>
      <c r="E9" s="17"/>
      <c r="F9" s="18">
        <f>250*30</f>
        <v>7500</v>
      </c>
      <c r="G9" s="62">
        <v>1.96</v>
      </c>
      <c r="H9" s="62"/>
      <c r="I9" s="19">
        <f t="shared" ref="I9:I20" si="0">SUM(D9-G9)*F9</f>
        <v>-112.49999999999926</v>
      </c>
      <c r="J9" s="19">
        <f t="shared" ref="J9:J20" si="1">+I9</f>
        <v>-112.49999999999926</v>
      </c>
      <c r="K9" s="19"/>
    </row>
    <row r="10" spans="1:11" x14ac:dyDescent="0.2">
      <c r="A10" s="63" t="s">
        <v>62</v>
      </c>
      <c r="B10" s="15"/>
      <c r="C10" s="16"/>
      <c r="D10" s="62">
        <v>1.9450000000000001</v>
      </c>
      <c r="E10" s="17"/>
      <c r="F10" s="18">
        <f>250*31</f>
        <v>7750</v>
      </c>
      <c r="G10" s="62">
        <v>2.0499999999999998</v>
      </c>
      <c r="H10" s="62"/>
      <c r="I10" s="19">
        <f t="shared" si="0"/>
        <v>-813.74999999999818</v>
      </c>
      <c r="J10" s="19">
        <f t="shared" si="1"/>
        <v>-813.74999999999818</v>
      </c>
      <c r="K10" s="19"/>
    </row>
    <row r="11" spans="1:11" x14ac:dyDescent="0.2">
      <c r="A11" s="63" t="s">
        <v>63</v>
      </c>
      <c r="B11" s="15"/>
      <c r="C11" s="16"/>
      <c r="D11" s="62">
        <v>1.9450000000000001</v>
      </c>
      <c r="E11" s="17"/>
      <c r="F11" s="18">
        <f>250*31</f>
        <v>7750</v>
      </c>
      <c r="G11" s="62">
        <v>2.2599999999999998</v>
      </c>
      <c r="H11" s="32"/>
      <c r="I11" s="19">
        <f t="shared" si="0"/>
        <v>-2441.2499999999977</v>
      </c>
      <c r="J11" s="19">
        <f t="shared" si="1"/>
        <v>-2441.2499999999977</v>
      </c>
      <c r="K11" s="19"/>
    </row>
    <row r="12" spans="1:11" x14ac:dyDescent="0.2">
      <c r="A12" s="63" t="s">
        <v>64</v>
      </c>
      <c r="B12" s="15"/>
      <c r="C12" s="16"/>
      <c r="D12" s="62">
        <v>1.9450000000000001</v>
      </c>
      <c r="E12" s="17"/>
      <c r="F12" s="18">
        <f>250*30</f>
        <v>7500</v>
      </c>
      <c r="G12" s="62">
        <v>2.63</v>
      </c>
      <c r="H12" s="32"/>
      <c r="I12" s="19">
        <f t="shared" si="0"/>
        <v>-5137.4999999999991</v>
      </c>
      <c r="J12" s="19">
        <f t="shared" si="1"/>
        <v>-5137.4999999999991</v>
      </c>
      <c r="K12" s="19"/>
    </row>
    <row r="13" spans="1:11" x14ac:dyDescent="0.2">
      <c r="A13" s="63" t="s">
        <v>65</v>
      </c>
      <c r="B13" s="15"/>
      <c r="C13" s="16"/>
      <c r="D13" s="62">
        <v>1.9450000000000001</v>
      </c>
      <c r="E13" s="17"/>
      <c r="F13" s="18">
        <f>250*31</f>
        <v>7750</v>
      </c>
      <c r="G13" s="32">
        <v>2.37</v>
      </c>
      <c r="H13" s="32"/>
      <c r="I13" s="19">
        <f t="shared" si="0"/>
        <v>-3293.7500000000005</v>
      </c>
      <c r="J13" s="19">
        <f t="shared" si="1"/>
        <v>-3293.7500000000005</v>
      </c>
      <c r="K13" s="19"/>
    </row>
    <row r="14" spans="1:11" x14ac:dyDescent="0.2">
      <c r="A14" s="63" t="s">
        <v>66</v>
      </c>
      <c r="B14" s="15"/>
      <c r="C14" s="16"/>
      <c r="D14" s="62">
        <v>1.9450000000000001</v>
      </c>
      <c r="E14" s="17"/>
      <c r="F14" s="18">
        <f>250*30</f>
        <v>7500</v>
      </c>
      <c r="G14" s="32">
        <v>2.84</v>
      </c>
      <c r="H14" s="32"/>
      <c r="I14" s="19">
        <f t="shared" si="0"/>
        <v>-6712.4999999999982</v>
      </c>
      <c r="J14" s="19">
        <f t="shared" si="1"/>
        <v>-6712.4999999999982</v>
      </c>
      <c r="K14" s="19"/>
    </row>
    <row r="15" spans="1:11" x14ac:dyDescent="0.2">
      <c r="A15" s="63" t="s">
        <v>67</v>
      </c>
      <c r="B15" s="15"/>
      <c r="C15" s="16"/>
      <c r="D15" s="62">
        <v>1.9450000000000001</v>
      </c>
      <c r="E15" s="17"/>
      <c r="F15" s="18">
        <f>250*31</f>
        <v>7750</v>
      </c>
      <c r="G15" s="32">
        <v>2.08</v>
      </c>
      <c r="H15" s="32"/>
      <c r="I15" s="19">
        <f t="shared" si="0"/>
        <v>-1046.25</v>
      </c>
      <c r="J15" s="19">
        <f t="shared" si="1"/>
        <v>-1046.25</v>
      </c>
      <c r="K15" s="19"/>
    </row>
    <row r="16" spans="1:11" x14ac:dyDescent="0.2">
      <c r="A16" s="63" t="s">
        <v>68</v>
      </c>
      <c r="B16" s="15"/>
      <c r="C16" s="16"/>
      <c r="D16" s="62">
        <v>1.9450000000000001</v>
      </c>
      <c r="E16" s="17"/>
      <c r="F16" s="18">
        <f>250*31</f>
        <v>7750</v>
      </c>
      <c r="G16" s="32">
        <v>2.1800000000000002</v>
      </c>
      <c r="H16" s="32"/>
      <c r="I16" s="19">
        <f t="shared" si="0"/>
        <v>-1821.2500000000007</v>
      </c>
      <c r="J16" s="19">
        <f t="shared" si="1"/>
        <v>-1821.2500000000007</v>
      </c>
      <c r="K16" s="19"/>
    </row>
    <row r="17" spans="1:12" x14ac:dyDescent="0.2">
      <c r="A17" s="63" t="s">
        <v>69</v>
      </c>
      <c r="B17" s="15"/>
      <c r="C17" s="16"/>
      <c r="D17" s="62">
        <v>1.9450000000000001</v>
      </c>
      <c r="E17" s="17"/>
      <c r="F17" s="18">
        <f>250*29</f>
        <v>7250</v>
      </c>
      <c r="G17" s="32">
        <v>2.36</v>
      </c>
      <c r="H17" s="32"/>
      <c r="I17" s="19">
        <f t="shared" si="0"/>
        <v>-3008.7499999999986</v>
      </c>
      <c r="J17" s="19">
        <f t="shared" si="1"/>
        <v>-3008.7499999999986</v>
      </c>
      <c r="K17" s="19"/>
    </row>
    <row r="18" spans="1:12" x14ac:dyDescent="0.2">
      <c r="A18" s="63" t="s">
        <v>70</v>
      </c>
      <c r="B18" s="15"/>
      <c r="C18" s="16"/>
      <c r="D18" s="62">
        <v>1.9450000000000001</v>
      </c>
      <c r="E18" s="17"/>
      <c r="F18" s="18">
        <f>250*31</f>
        <v>7750</v>
      </c>
      <c r="G18" s="32">
        <v>2.37</v>
      </c>
      <c r="H18" s="32"/>
      <c r="I18" s="19">
        <f t="shared" si="0"/>
        <v>-3293.7500000000005</v>
      </c>
      <c r="J18" s="19">
        <f t="shared" si="1"/>
        <v>-3293.7500000000005</v>
      </c>
      <c r="K18" s="19"/>
    </row>
    <row r="19" spans="1:12" x14ac:dyDescent="0.2">
      <c r="A19" s="63" t="s">
        <v>71</v>
      </c>
      <c r="B19" s="15"/>
      <c r="C19" s="16"/>
      <c r="D19" s="62">
        <v>1.9450000000000001</v>
      </c>
      <c r="E19" s="17"/>
      <c r="F19" s="18">
        <f>250*30</f>
        <v>7500</v>
      </c>
      <c r="G19" s="32">
        <v>2.75</v>
      </c>
      <c r="H19" s="32"/>
      <c r="I19" s="19">
        <f t="shared" si="0"/>
        <v>-6037.4999999999991</v>
      </c>
      <c r="J19" s="19">
        <f t="shared" si="1"/>
        <v>-6037.4999999999991</v>
      </c>
      <c r="K19" s="19"/>
    </row>
    <row r="20" spans="1:12" x14ac:dyDescent="0.2">
      <c r="A20" s="63" t="s">
        <v>72</v>
      </c>
      <c r="B20" s="15"/>
      <c r="C20" s="16"/>
      <c r="D20" s="62">
        <v>1.9450000000000001</v>
      </c>
      <c r="E20" s="17"/>
      <c r="F20" s="18">
        <f>250*31</f>
        <v>7750</v>
      </c>
      <c r="G20" s="32">
        <v>2.78</v>
      </c>
      <c r="H20" s="32"/>
      <c r="I20" s="19">
        <f t="shared" si="0"/>
        <v>-6471.2499999999982</v>
      </c>
      <c r="J20" s="19">
        <f t="shared" si="1"/>
        <v>-6471.2499999999982</v>
      </c>
      <c r="K20" s="19"/>
    </row>
    <row r="21" spans="1:12" x14ac:dyDescent="0.2">
      <c r="A21" s="20"/>
      <c r="B21" s="15"/>
      <c r="C21" s="15"/>
      <c r="D21" s="15"/>
      <c r="E21" s="15"/>
      <c r="F21" s="21">
        <f>SUM(F9:F20)</f>
        <v>91500</v>
      </c>
      <c r="G21" s="15"/>
      <c r="H21" s="15"/>
      <c r="I21" s="22">
        <f>SUM(I9:I20)</f>
        <v>-40189.999999999993</v>
      </c>
      <c r="J21" s="22">
        <f>SUM(J9:J20)</f>
        <v>-40189.999999999993</v>
      </c>
      <c r="K21" s="22">
        <f>SUM(K9:K20)</f>
        <v>0</v>
      </c>
      <c r="L21" s="43">
        <f>+J21+K21-I21</f>
        <v>0</v>
      </c>
    </row>
    <row r="22" spans="1:12" x14ac:dyDescent="0.2">
      <c r="A22" s="20"/>
      <c r="B22" s="15"/>
      <c r="C22" s="15"/>
      <c r="D22" s="15"/>
      <c r="E22" s="15"/>
      <c r="F22" s="38"/>
      <c r="G22" s="15"/>
      <c r="H22" s="15"/>
      <c r="I22" s="47"/>
      <c r="J22" s="47"/>
      <c r="K22" s="47"/>
      <c r="L22" s="43"/>
    </row>
    <row r="23" spans="1:12" x14ac:dyDescent="0.2">
      <c r="A23" s="20"/>
      <c r="B23" s="15"/>
      <c r="C23" s="15"/>
      <c r="D23" s="15"/>
      <c r="E23" s="15"/>
      <c r="F23" s="15"/>
      <c r="G23" s="50" t="s">
        <v>59</v>
      </c>
      <c r="H23" s="15"/>
      <c r="I23" s="19"/>
      <c r="J23" s="19"/>
      <c r="K23" s="19"/>
    </row>
    <row r="24" spans="1:12" x14ac:dyDescent="0.2">
      <c r="A24" s="20"/>
      <c r="B24" s="15"/>
      <c r="C24" s="15"/>
      <c r="D24" s="15"/>
      <c r="E24" s="15"/>
      <c r="F24" s="15"/>
      <c r="G24" s="48"/>
      <c r="H24" s="15"/>
      <c r="I24" s="19"/>
      <c r="J24" s="19"/>
      <c r="K24" s="19"/>
    </row>
    <row r="25" spans="1:12" x14ac:dyDescent="0.2">
      <c r="A25" s="63" t="s">
        <v>61</v>
      </c>
      <c r="B25" s="16">
        <f>26125</f>
        <v>26125</v>
      </c>
      <c r="C25" s="16" t="s">
        <v>35</v>
      </c>
      <c r="D25" s="62">
        <v>1.9450000000000001</v>
      </c>
      <c r="E25" s="18">
        <f>-8600*30</f>
        <v>-258000</v>
      </c>
      <c r="F25" s="18">
        <f>-F9</f>
        <v>-7500</v>
      </c>
      <c r="G25" s="62">
        <v>2.0699999999999998</v>
      </c>
      <c r="H25" s="62"/>
      <c r="I25" s="19">
        <f t="shared" ref="I25:I36" si="2">SUM(D25-G25)*F25</f>
        <v>937.49999999999829</v>
      </c>
      <c r="J25" s="19">
        <f t="shared" ref="J25:J36" si="3">+I25</f>
        <v>937.49999999999829</v>
      </c>
      <c r="K25" s="19"/>
    </row>
    <row r="26" spans="1:12" x14ac:dyDescent="0.2">
      <c r="A26" s="63" t="s">
        <v>62</v>
      </c>
      <c r="B26" s="16">
        <f>26125</f>
        <v>26125</v>
      </c>
      <c r="C26" s="16" t="s">
        <v>35</v>
      </c>
      <c r="D26" s="62">
        <v>1.9450000000000001</v>
      </c>
      <c r="E26" s="18">
        <f>-8600*31</f>
        <v>-266600</v>
      </c>
      <c r="F26" s="18">
        <f t="shared" ref="F26:F36" si="4">-F10</f>
        <v>-7750</v>
      </c>
      <c r="G26" s="62">
        <v>2.11</v>
      </c>
      <c r="H26" s="62"/>
      <c r="I26" s="19">
        <f t="shared" si="2"/>
        <v>1278.7499999999986</v>
      </c>
      <c r="J26" s="19">
        <f t="shared" si="3"/>
        <v>1278.7499999999986</v>
      </c>
      <c r="K26" s="19"/>
    </row>
    <row r="27" spans="1:12" x14ac:dyDescent="0.2">
      <c r="A27" s="63" t="s">
        <v>63</v>
      </c>
      <c r="B27" s="16">
        <f>26125</f>
        <v>26125</v>
      </c>
      <c r="C27" s="16" t="s">
        <v>35</v>
      </c>
      <c r="D27" s="62">
        <v>1.9450000000000001</v>
      </c>
      <c r="E27" s="18">
        <f>-8600*31</f>
        <v>-266600</v>
      </c>
      <c r="F27" s="18">
        <f t="shared" si="4"/>
        <v>-7750</v>
      </c>
      <c r="G27" s="62">
        <v>2.5099999999999998</v>
      </c>
      <c r="H27" s="32"/>
      <c r="I27" s="19">
        <f t="shared" si="2"/>
        <v>4378.7499999999982</v>
      </c>
      <c r="J27" s="19">
        <f t="shared" si="3"/>
        <v>4378.7499999999982</v>
      </c>
      <c r="K27" s="19"/>
    </row>
    <row r="28" spans="1:12" x14ac:dyDescent="0.2">
      <c r="A28" s="63" t="s">
        <v>64</v>
      </c>
      <c r="B28" s="16">
        <f>26125</f>
        <v>26125</v>
      </c>
      <c r="C28" s="16" t="s">
        <v>35</v>
      </c>
      <c r="D28" s="62">
        <v>1.9450000000000001</v>
      </c>
      <c r="E28" s="18">
        <f>-8600*30</f>
        <v>-258000</v>
      </c>
      <c r="F28" s="18">
        <f t="shared" si="4"/>
        <v>-7500</v>
      </c>
      <c r="G28" s="62">
        <v>2.36</v>
      </c>
      <c r="H28" s="32"/>
      <c r="I28" s="19">
        <f t="shared" si="2"/>
        <v>3112.4999999999986</v>
      </c>
      <c r="J28" s="19">
        <f t="shared" si="3"/>
        <v>3112.4999999999986</v>
      </c>
      <c r="K28" s="19"/>
    </row>
    <row r="29" spans="1:12" x14ac:dyDescent="0.2">
      <c r="A29" s="63" t="s">
        <v>65</v>
      </c>
      <c r="B29" s="16">
        <f>26125</f>
        <v>26125</v>
      </c>
      <c r="C29" s="16" t="s">
        <v>35</v>
      </c>
      <c r="D29" s="62">
        <v>1.9450000000000001</v>
      </c>
      <c r="E29" s="18">
        <f>-8600*31</f>
        <v>-266600</v>
      </c>
      <c r="F29" s="18">
        <f t="shared" si="4"/>
        <v>-7750</v>
      </c>
      <c r="G29" s="62">
        <v>2.62</v>
      </c>
      <c r="H29" s="32"/>
      <c r="I29" s="19">
        <f t="shared" si="2"/>
        <v>5231.25</v>
      </c>
      <c r="J29" s="19">
        <f t="shared" si="3"/>
        <v>5231.25</v>
      </c>
      <c r="K29" s="19"/>
    </row>
    <row r="30" spans="1:12" x14ac:dyDescent="0.2">
      <c r="A30" s="63" t="s">
        <v>66</v>
      </c>
      <c r="B30" s="16">
        <f>26125</f>
        <v>26125</v>
      </c>
      <c r="C30" s="16" t="s">
        <v>35</v>
      </c>
      <c r="D30" s="62">
        <v>1.9450000000000001</v>
      </c>
      <c r="E30" s="18">
        <f>-8600*30</f>
        <v>-258000</v>
      </c>
      <c r="F30" s="18">
        <f t="shared" si="4"/>
        <v>-7500</v>
      </c>
      <c r="G30" s="62">
        <v>2.17</v>
      </c>
      <c r="H30" s="32"/>
      <c r="I30" s="19">
        <f t="shared" si="2"/>
        <v>1687.4999999999991</v>
      </c>
      <c r="J30" s="19">
        <f t="shared" si="3"/>
        <v>1687.4999999999991</v>
      </c>
      <c r="K30" s="19"/>
    </row>
    <row r="31" spans="1:12" x14ac:dyDescent="0.2">
      <c r="A31" s="63" t="s">
        <v>67</v>
      </c>
      <c r="B31" s="16">
        <f>26125</f>
        <v>26125</v>
      </c>
      <c r="C31" s="16" t="s">
        <v>35</v>
      </c>
      <c r="D31" s="62">
        <v>1.9450000000000001</v>
      </c>
      <c r="E31" s="18">
        <f>-8600*31</f>
        <v>-266600</v>
      </c>
      <c r="F31" s="18">
        <f t="shared" si="4"/>
        <v>-7750</v>
      </c>
      <c r="G31" s="62">
        <v>2.2400000000000002</v>
      </c>
      <c r="H31" s="32"/>
      <c r="I31" s="19">
        <f t="shared" si="2"/>
        <v>2286.2500000000014</v>
      </c>
      <c r="J31" s="19">
        <f t="shared" si="3"/>
        <v>2286.2500000000014</v>
      </c>
      <c r="K31" s="19"/>
    </row>
    <row r="32" spans="1:12" x14ac:dyDescent="0.2">
      <c r="A32" s="63" t="s">
        <v>68</v>
      </c>
      <c r="B32" s="16">
        <f>26125</f>
        <v>26125</v>
      </c>
      <c r="C32" s="16" t="s">
        <v>35</v>
      </c>
      <c r="D32" s="62">
        <v>1.9450000000000001</v>
      </c>
      <c r="E32" s="18">
        <f>-8600*31</f>
        <v>-266600</v>
      </c>
      <c r="F32" s="18">
        <f t="shared" si="4"/>
        <v>-7750</v>
      </c>
      <c r="G32" s="62">
        <v>2.2599999999999998</v>
      </c>
      <c r="H32" s="32"/>
      <c r="I32" s="19">
        <f t="shared" si="2"/>
        <v>2441.2499999999977</v>
      </c>
      <c r="J32" s="19">
        <f t="shared" si="3"/>
        <v>2441.2499999999977</v>
      </c>
      <c r="K32" s="19"/>
    </row>
    <row r="33" spans="1:12" x14ac:dyDescent="0.2">
      <c r="A33" s="63" t="s">
        <v>69</v>
      </c>
      <c r="B33" s="16">
        <f>26125</f>
        <v>26125</v>
      </c>
      <c r="C33" s="16" t="s">
        <v>35</v>
      </c>
      <c r="D33" s="62">
        <v>1.9450000000000001</v>
      </c>
      <c r="E33" s="18">
        <f>-8600*28</f>
        <v>-240800</v>
      </c>
      <c r="F33" s="18">
        <f t="shared" si="4"/>
        <v>-7250</v>
      </c>
      <c r="G33" s="32">
        <v>2.4300000000000002</v>
      </c>
      <c r="H33" s="32"/>
      <c r="I33" s="19">
        <f t="shared" si="2"/>
        <v>3516.2500000000009</v>
      </c>
      <c r="J33" s="19">
        <f t="shared" si="3"/>
        <v>3516.2500000000009</v>
      </c>
      <c r="K33" s="19"/>
    </row>
    <row r="34" spans="1:12" x14ac:dyDescent="0.2">
      <c r="A34" s="63" t="s">
        <v>70</v>
      </c>
      <c r="B34" s="16">
        <f>26125</f>
        <v>26125</v>
      </c>
      <c r="C34" s="16" t="s">
        <v>35</v>
      </c>
      <c r="D34" s="62">
        <v>1.9450000000000001</v>
      </c>
      <c r="E34" s="18">
        <f>-8600*31</f>
        <v>-266600</v>
      </c>
      <c r="F34" s="18">
        <f t="shared" si="4"/>
        <v>-7750</v>
      </c>
      <c r="G34" s="32">
        <v>2.64</v>
      </c>
      <c r="H34" s="32"/>
      <c r="I34" s="19">
        <f t="shared" si="2"/>
        <v>5386.2500000000009</v>
      </c>
      <c r="J34" s="19">
        <f t="shared" si="3"/>
        <v>5386.2500000000009</v>
      </c>
      <c r="K34" s="19"/>
    </row>
    <row r="35" spans="1:12" x14ac:dyDescent="0.2">
      <c r="A35" s="63" t="s">
        <v>71</v>
      </c>
      <c r="B35" s="16">
        <f>26125</f>
        <v>26125</v>
      </c>
      <c r="C35" s="16" t="s">
        <v>35</v>
      </c>
      <c r="D35" s="62">
        <v>1.9450000000000001</v>
      </c>
      <c r="E35" s="18">
        <f>-8600*30</f>
        <v>-258000</v>
      </c>
      <c r="F35" s="18">
        <f t="shared" si="4"/>
        <v>-7500</v>
      </c>
      <c r="G35" s="32">
        <v>2.79</v>
      </c>
      <c r="H35" s="32"/>
      <c r="I35" s="19">
        <f t="shared" si="2"/>
        <v>6337.5</v>
      </c>
      <c r="J35" s="19">
        <f t="shared" si="3"/>
        <v>6337.5</v>
      </c>
      <c r="K35" s="19"/>
    </row>
    <row r="36" spans="1:12" x14ac:dyDescent="0.2">
      <c r="A36" s="63" t="s">
        <v>72</v>
      </c>
      <c r="B36" s="16">
        <f>26125</f>
        <v>26125</v>
      </c>
      <c r="C36" s="16" t="s">
        <v>35</v>
      </c>
      <c r="D36" s="62">
        <v>1.9450000000000001</v>
      </c>
      <c r="E36" s="18">
        <f>-8600*31</f>
        <v>-266600</v>
      </c>
      <c r="F36" s="18">
        <f t="shared" si="4"/>
        <v>-7750</v>
      </c>
      <c r="G36" s="17">
        <v>3.31</v>
      </c>
      <c r="H36" s="32"/>
      <c r="I36" s="19">
        <f t="shared" si="2"/>
        <v>10578.75</v>
      </c>
      <c r="J36" s="19">
        <f t="shared" si="3"/>
        <v>10578.75</v>
      </c>
      <c r="K36" s="19"/>
    </row>
    <row r="37" spans="1:12" x14ac:dyDescent="0.2">
      <c r="A37" s="20"/>
      <c r="B37" s="15"/>
      <c r="C37" s="15"/>
      <c r="D37" s="15"/>
      <c r="E37" s="15"/>
      <c r="F37" s="21">
        <f>SUM(F25:F36)</f>
        <v>-91500</v>
      </c>
      <c r="G37" s="15"/>
      <c r="H37" s="62"/>
      <c r="I37" s="22">
        <f>SUM(I25:I36)</f>
        <v>47172.499999999985</v>
      </c>
      <c r="J37" s="22">
        <f>SUM(J25:J36)</f>
        <v>47172.499999999985</v>
      </c>
      <c r="K37" s="22">
        <f>SUM(K25:K36)</f>
        <v>0</v>
      </c>
      <c r="L37" s="43">
        <f>+J37+K37-I37</f>
        <v>0</v>
      </c>
    </row>
    <row r="38" spans="1:12" x14ac:dyDescent="0.2">
      <c r="A38" s="20"/>
      <c r="B38" s="15"/>
      <c r="C38" s="15"/>
      <c r="D38" s="15"/>
      <c r="E38" s="15"/>
      <c r="F38" s="15"/>
      <c r="G38" s="15"/>
      <c r="H38" s="15"/>
      <c r="I38" s="19"/>
      <c r="J38" s="19"/>
      <c r="K38" s="19"/>
    </row>
    <row r="39" spans="1:12" ht="13.5" thickBot="1" x14ac:dyDescent="0.25">
      <c r="A39" s="20"/>
      <c r="B39" s="15"/>
      <c r="C39" s="15"/>
      <c r="D39" s="15"/>
      <c r="E39" s="15"/>
      <c r="F39" s="23">
        <f>+F21+F37</f>
        <v>0</v>
      </c>
      <c r="G39" s="15"/>
      <c r="H39" s="15"/>
      <c r="I39" s="24">
        <f>+I21+I37</f>
        <v>6982.4999999999927</v>
      </c>
      <c r="J39" s="24">
        <f>+J21+J37</f>
        <v>6982.4999999999927</v>
      </c>
      <c r="K39" s="24">
        <f>+K21+K37</f>
        <v>0</v>
      </c>
      <c r="L39" s="43">
        <f>+J39+K39-I39</f>
        <v>0</v>
      </c>
    </row>
    <row r="40" spans="1:12" ht="13.5" thickTop="1" x14ac:dyDescent="0.2">
      <c r="A40" s="25"/>
      <c r="B40" s="26"/>
      <c r="C40" s="26"/>
      <c r="D40" s="26"/>
      <c r="E40" s="26"/>
      <c r="F40" s="26"/>
      <c r="G40" s="26"/>
      <c r="H40" s="26"/>
      <c r="I40" s="27"/>
      <c r="J40" s="27"/>
      <c r="K40" s="27"/>
    </row>
    <row r="41" spans="1:12" x14ac:dyDescent="0.2">
      <c r="I41" s="28"/>
    </row>
    <row r="42" spans="1:12" x14ac:dyDescent="0.2">
      <c r="A42" s="29" t="s">
        <v>47</v>
      </c>
      <c r="J42"/>
      <c r="K42"/>
    </row>
    <row r="43" spans="1:12" s="29" customFormat="1" ht="11.25" x14ac:dyDescent="0.2">
      <c r="I43" s="30"/>
      <c r="J43" s="30"/>
      <c r="K43" s="30"/>
    </row>
    <row r="44" spans="1:12" x14ac:dyDescent="0.2">
      <c r="I44" s="28"/>
    </row>
    <row r="45" spans="1:12" x14ac:dyDescent="0.2">
      <c r="I45" s="28"/>
    </row>
    <row r="46" spans="1:12" x14ac:dyDescent="0.2">
      <c r="I46" s="28"/>
    </row>
    <row r="47" spans="1:12" x14ac:dyDescent="0.2">
      <c r="I47" s="28"/>
    </row>
    <row r="48" spans="1:12" x14ac:dyDescent="0.2">
      <c r="I48" s="28"/>
    </row>
    <row r="49" spans="9:9" x14ac:dyDescent="0.2">
      <c r="I49" s="28"/>
    </row>
    <row r="50" spans="9:9" x14ac:dyDescent="0.2">
      <c r="I50" s="28"/>
    </row>
    <row r="51" spans="9:9" x14ac:dyDescent="0.2">
      <c r="I51" s="28"/>
    </row>
    <row r="52" spans="9:9" x14ac:dyDescent="0.2">
      <c r="I52" s="28"/>
    </row>
    <row r="53" spans="9:9" x14ac:dyDescent="0.2">
      <c r="I53" s="28"/>
    </row>
    <row r="54" spans="9:9" x14ac:dyDescent="0.2">
      <c r="I54" s="28"/>
    </row>
    <row r="55" spans="9:9" x14ac:dyDescent="0.2">
      <c r="I55" s="28"/>
    </row>
    <row r="56" spans="9:9" x14ac:dyDescent="0.2">
      <c r="I56" s="28"/>
    </row>
    <row r="57" spans="9:9" x14ac:dyDescent="0.2">
      <c r="I57" s="28"/>
    </row>
    <row r="58" spans="9:9" x14ac:dyDescent="0.2">
      <c r="I58" s="28"/>
    </row>
    <row r="59" spans="9:9" x14ac:dyDescent="0.2">
      <c r="I59" s="28"/>
    </row>
    <row r="60" spans="9:9" x14ac:dyDescent="0.2">
      <c r="I60" s="28"/>
    </row>
    <row r="61" spans="9:9" x14ac:dyDescent="0.2">
      <c r="I61" s="28"/>
    </row>
    <row r="62" spans="9:9" x14ac:dyDescent="0.2">
      <c r="I62" s="28"/>
    </row>
    <row r="63" spans="9:9" x14ac:dyDescent="0.2">
      <c r="I63" s="28"/>
    </row>
    <row r="64" spans="9:9" x14ac:dyDescent="0.2">
      <c r="I64" s="28"/>
    </row>
    <row r="65" spans="9:9" x14ac:dyDescent="0.2">
      <c r="I65" s="28"/>
    </row>
    <row r="66" spans="9:9" x14ac:dyDescent="0.2">
      <c r="I66" s="28"/>
    </row>
    <row r="67" spans="9:9" x14ac:dyDescent="0.2">
      <c r="I67" s="28"/>
    </row>
    <row r="68" spans="9:9" x14ac:dyDescent="0.2">
      <c r="I68" s="28"/>
    </row>
    <row r="69" spans="9:9" x14ac:dyDescent="0.2">
      <c r="I69" s="28"/>
    </row>
    <row r="70" spans="9:9" x14ac:dyDescent="0.2">
      <c r="I70" s="28"/>
    </row>
    <row r="71" spans="9:9" x14ac:dyDescent="0.2">
      <c r="I71" s="28"/>
    </row>
    <row r="72" spans="9:9" x14ac:dyDescent="0.2">
      <c r="I72" s="28"/>
    </row>
    <row r="73" spans="9:9" x14ac:dyDescent="0.2">
      <c r="I73" s="28"/>
    </row>
    <row r="74" spans="9:9" x14ac:dyDescent="0.2">
      <c r="I74" s="28"/>
    </row>
    <row r="75" spans="9:9" x14ac:dyDescent="0.2">
      <c r="I75" s="28"/>
    </row>
    <row r="76" spans="9:9" x14ac:dyDescent="0.2">
      <c r="I76" s="28"/>
    </row>
    <row r="77" spans="9:9" x14ac:dyDescent="0.2">
      <c r="I77" s="28"/>
    </row>
    <row r="78" spans="9:9" x14ac:dyDescent="0.2">
      <c r="I78" s="28"/>
    </row>
    <row r="79" spans="9:9" x14ac:dyDescent="0.2">
      <c r="I79" s="28"/>
    </row>
    <row r="80" spans="9:9" x14ac:dyDescent="0.2">
      <c r="I80" s="28"/>
    </row>
    <row r="81" spans="9:9" x14ac:dyDescent="0.2">
      <c r="I81" s="28"/>
    </row>
    <row r="82" spans="9:9" x14ac:dyDescent="0.2">
      <c r="I82" s="28"/>
    </row>
    <row r="83" spans="9:9" x14ac:dyDescent="0.2">
      <c r="I83" s="28"/>
    </row>
    <row r="84" spans="9:9" x14ac:dyDescent="0.2">
      <c r="I84" s="28"/>
    </row>
    <row r="85" spans="9:9" x14ac:dyDescent="0.2">
      <c r="I85" s="28"/>
    </row>
    <row r="86" spans="9:9" x14ac:dyDescent="0.2">
      <c r="I86" s="28"/>
    </row>
    <row r="87" spans="9:9" x14ac:dyDescent="0.2">
      <c r="I87" s="28"/>
    </row>
    <row r="88" spans="9:9" x14ac:dyDescent="0.2">
      <c r="I88" s="28"/>
    </row>
    <row r="89" spans="9:9" x14ac:dyDescent="0.2">
      <c r="I89" s="28"/>
    </row>
    <row r="90" spans="9:9" x14ac:dyDescent="0.2">
      <c r="I90" s="28"/>
    </row>
    <row r="91" spans="9:9" x14ac:dyDescent="0.2">
      <c r="I91" s="28"/>
    </row>
    <row r="92" spans="9:9" x14ac:dyDescent="0.2">
      <c r="I92" s="28"/>
    </row>
    <row r="93" spans="9:9" x14ac:dyDescent="0.2">
      <c r="I93" s="28"/>
    </row>
    <row r="94" spans="9:9" x14ac:dyDescent="0.2">
      <c r="I94" s="28"/>
    </row>
    <row r="95" spans="9:9" x14ac:dyDescent="0.2">
      <c r="I95" s="28"/>
    </row>
    <row r="96" spans="9:9" x14ac:dyDescent="0.2">
      <c r="I96" s="28"/>
    </row>
    <row r="97" spans="9:9" x14ac:dyDescent="0.2">
      <c r="I97" s="28"/>
    </row>
    <row r="98" spans="9:9" x14ac:dyDescent="0.2">
      <c r="I98" s="28"/>
    </row>
    <row r="99" spans="9:9" x14ac:dyDescent="0.2">
      <c r="I99" s="28"/>
    </row>
    <row r="100" spans="9:9" x14ac:dyDescent="0.2">
      <c r="I100" s="28"/>
    </row>
    <row r="101" spans="9:9" x14ac:dyDescent="0.2">
      <c r="I101" s="28"/>
    </row>
    <row r="102" spans="9:9" x14ac:dyDescent="0.2">
      <c r="I102" s="28"/>
    </row>
    <row r="103" spans="9:9" x14ac:dyDescent="0.2">
      <c r="I103" s="28"/>
    </row>
    <row r="104" spans="9:9" x14ac:dyDescent="0.2">
      <c r="I104" s="28"/>
    </row>
    <row r="105" spans="9:9" x14ac:dyDescent="0.2">
      <c r="I105" s="28"/>
    </row>
    <row r="106" spans="9:9" x14ac:dyDescent="0.2">
      <c r="I106" s="28"/>
    </row>
    <row r="107" spans="9:9" x14ac:dyDescent="0.2">
      <c r="I107" s="28"/>
    </row>
    <row r="108" spans="9:9" x14ac:dyDescent="0.2">
      <c r="I108" s="28"/>
    </row>
    <row r="109" spans="9:9" x14ac:dyDescent="0.2">
      <c r="I109" s="28"/>
    </row>
    <row r="110" spans="9:9" x14ac:dyDescent="0.2">
      <c r="I110" s="28"/>
    </row>
    <row r="111" spans="9:9" x14ac:dyDescent="0.2">
      <c r="I111" s="28"/>
    </row>
    <row r="112" spans="9:9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  <row r="127" spans="9:9" x14ac:dyDescent="0.2">
      <c r="I127" s="28"/>
    </row>
    <row r="128" spans="9:9" x14ac:dyDescent="0.2">
      <c r="I128" s="28"/>
    </row>
    <row r="129" spans="9:9" x14ac:dyDescent="0.2">
      <c r="I129" s="28"/>
    </row>
    <row r="130" spans="9:9" x14ac:dyDescent="0.2">
      <c r="I130" s="28"/>
    </row>
    <row r="131" spans="9:9" x14ac:dyDescent="0.2">
      <c r="I131" s="28"/>
    </row>
    <row r="132" spans="9:9" x14ac:dyDescent="0.2">
      <c r="I132" s="28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>
    <oddFooter xml:space="preserve">&amp;L&amp;"Arial,Italic"&amp;8&amp;D&amp;T&amp;R&amp;"Arial,Italic"&amp;8G:/Common/TW Fuel Hedge/Fixed2_?
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workbookViewId="0">
      <selection activeCell="A4" sqref="A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2.5703125" bestFit="1" customWidth="1"/>
    <col min="9" max="9" width="14.42578125" customWidth="1"/>
    <col min="10" max="10" width="13.42578125" customWidth="1"/>
    <col min="11" max="11" width="14.4257812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90" t="s">
        <v>95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20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90</v>
      </c>
      <c r="H8" s="51" t="s">
        <v>90</v>
      </c>
      <c r="I8" s="58" t="s">
        <v>31</v>
      </c>
      <c r="J8" s="58" t="s">
        <v>31</v>
      </c>
      <c r="K8" s="59" t="s">
        <v>31</v>
      </c>
    </row>
    <row r="9" spans="1:11" x14ac:dyDescent="0.2">
      <c r="A9" s="31">
        <v>36465</v>
      </c>
      <c r="B9" s="15">
        <v>105706</v>
      </c>
      <c r="C9" s="16" t="s">
        <v>89</v>
      </c>
      <c r="D9" s="32"/>
      <c r="E9" s="15"/>
      <c r="F9" s="18">
        <v>40000</v>
      </c>
      <c r="G9" s="32">
        <v>3.04</v>
      </c>
      <c r="H9" s="32"/>
      <c r="I9" s="17">
        <f t="shared" ref="I9:I14" si="0">+G9*F9</f>
        <v>121600</v>
      </c>
      <c r="J9" s="41">
        <f t="shared" ref="J9:J14" si="1">+I9</f>
        <v>121600</v>
      </c>
      <c r="K9" s="41"/>
    </row>
    <row r="10" spans="1:11" x14ac:dyDescent="0.2">
      <c r="A10" s="31">
        <v>36495</v>
      </c>
      <c r="B10" s="15">
        <v>105706</v>
      </c>
      <c r="C10" s="16" t="s">
        <v>89</v>
      </c>
      <c r="D10" s="32"/>
      <c r="E10" s="15"/>
      <c r="F10" s="18">
        <v>40000</v>
      </c>
      <c r="G10" s="32">
        <v>2.11</v>
      </c>
      <c r="H10" s="32"/>
      <c r="I10" s="17">
        <f t="shared" si="0"/>
        <v>84400</v>
      </c>
      <c r="J10" s="41">
        <f t="shared" si="1"/>
        <v>84400</v>
      </c>
      <c r="K10" s="41"/>
    </row>
    <row r="11" spans="1:11" x14ac:dyDescent="0.2">
      <c r="A11" s="31">
        <v>36526</v>
      </c>
      <c r="B11" s="15">
        <v>105706</v>
      </c>
      <c r="C11" s="16" t="s">
        <v>89</v>
      </c>
      <c r="D11" s="32"/>
      <c r="E11" s="15"/>
      <c r="F11" s="18">
        <v>40000</v>
      </c>
      <c r="G11" s="32">
        <v>2.33</v>
      </c>
      <c r="H11" s="32"/>
      <c r="I11" s="17">
        <f t="shared" si="0"/>
        <v>93200</v>
      </c>
      <c r="J11" s="41">
        <f t="shared" si="1"/>
        <v>93200</v>
      </c>
      <c r="K11" s="41"/>
    </row>
    <row r="12" spans="1:11" x14ac:dyDescent="0.2">
      <c r="A12" s="31">
        <v>36557</v>
      </c>
      <c r="B12" s="15">
        <v>105706</v>
      </c>
      <c r="C12" s="16" t="s">
        <v>89</v>
      </c>
      <c r="D12" s="32"/>
      <c r="E12" s="15"/>
      <c r="F12" s="18">
        <v>40000</v>
      </c>
      <c r="G12" s="32">
        <v>2.58</v>
      </c>
      <c r="H12" s="32"/>
      <c r="I12" s="17">
        <f t="shared" si="0"/>
        <v>103200</v>
      </c>
      <c r="J12" s="41">
        <f t="shared" si="1"/>
        <v>103200</v>
      </c>
      <c r="K12" s="41"/>
    </row>
    <row r="13" spans="1:11" x14ac:dyDescent="0.2">
      <c r="A13" s="31">
        <v>36586</v>
      </c>
      <c r="B13" s="15">
        <v>105706</v>
      </c>
      <c r="C13" s="16" t="s">
        <v>89</v>
      </c>
      <c r="D13" s="32"/>
      <c r="E13" s="15"/>
      <c r="F13" s="18">
        <v>40000</v>
      </c>
      <c r="G13" s="32">
        <v>2.5499999999999998</v>
      </c>
      <c r="H13" s="32"/>
      <c r="I13" s="17">
        <f t="shared" si="0"/>
        <v>102000</v>
      </c>
      <c r="J13" s="41">
        <f t="shared" si="1"/>
        <v>102000</v>
      </c>
      <c r="K13" s="41"/>
    </row>
    <row r="14" spans="1:11" x14ac:dyDescent="0.2">
      <c r="A14" s="31">
        <v>36617</v>
      </c>
      <c r="B14" s="15">
        <v>105706</v>
      </c>
      <c r="C14" s="16" t="s">
        <v>89</v>
      </c>
      <c r="D14" s="32"/>
      <c r="E14" s="15"/>
      <c r="F14" s="65">
        <v>30000</v>
      </c>
      <c r="G14" s="32">
        <v>2.8</v>
      </c>
      <c r="H14" s="32"/>
      <c r="I14" s="66">
        <f t="shared" si="0"/>
        <v>84000</v>
      </c>
      <c r="J14" s="138">
        <f t="shared" si="1"/>
        <v>84000</v>
      </c>
      <c r="K14" s="67"/>
    </row>
    <row r="15" spans="1:11" x14ac:dyDescent="0.2">
      <c r="A15" s="31"/>
      <c r="B15" s="15"/>
      <c r="C15" s="16"/>
      <c r="D15" s="32"/>
      <c r="E15" s="15"/>
      <c r="F15" s="18">
        <f>SUM(F9:F14)</f>
        <v>230000</v>
      </c>
      <c r="G15" s="15"/>
      <c r="H15" s="32"/>
      <c r="I15" s="17">
        <f>SUM(I9:I14)</f>
        <v>588400</v>
      </c>
      <c r="J15" s="17">
        <f>SUM(J9:J14)</f>
        <v>588400</v>
      </c>
      <c r="K15" s="17">
        <f>SUM(K9:K14)</f>
        <v>0</v>
      </c>
    </row>
    <row r="16" spans="1:11" x14ac:dyDescent="0.2">
      <c r="A16" s="31"/>
      <c r="B16" s="15"/>
      <c r="C16" s="16"/>
      <c r="D16" s="32"/>
      <c r="E16" s="15"/>
      <c r="G16" s="15"/>
      <c r="H16" s="32"/>
      <c r="I16" s="17"/>
      <c r="J16" s="17"/>
      <c r="K16" s="17"/>
    </row>
    <row r="17" spans="1:12" x14ac:dyDescent="0.2">
      <c r="A17" s="31"/>
      <c r="B17" s="15"/>
      <c r="C17" s="16"/>
      <c r="D17" s="32"/>
      <c r="E17" s="15"/>
      <c r="G17" s="15"/>
      <c r="H17" s="32"/>
      <c r="I17" s="17"/>
      <c r="J17" s="19"/>
      <c r="K17" s="19"/>
    </row>
    <row r="18" spans="1:12" x14ac:dyDescent="0.2">
      <c r="A18" s="31"/>
      <c r="B18" s="15"/>
      <c r="C18" s="16"/>
      <c r="D18" s="32"/>
      <c r="E18" s="15"/>
      <c r="F18" s="18"/>
      <c r="G18" s="15"/>
      <c r="H18" s="133" t="s">
        <v>91</v>
      </c>
      <c r="I18" s="17"/>
      <c r="J18" s="39"/>
      <c r="K18" s="19"/>
    </row>
    <row r="19" spans="1:12" x14ac:dyDescent="0.2">
      <c r="A19" s="31"/>
      <c r="B19" s="15"/>
      <c r="C19" s="16"/>
      <c r="D19" s="32"/>
      <c r="E19" s="15"/>
      <c r="F19" s="18"/>
      <c r="G19" s="15"/>
      <c r="H19" s="32"/>
      <c r="I19" s="17"/>
      <c r="J19" s="39"/>
      <c r="K19" s="19"/>
    </row>
    <row r="20" spans="1:12" x14ac:dyDescent="0.2">
      <c r="A20" s="31">
        <v>36465</v>
      </c>
      <c r="B20" s="15">
        <v>105706</v>
      </c>
      <c r="C20" s="16" t="s">
        <v>89</v>
      </c>
      <c r="D20" s="32"/>
      <c r="E20" s="15"/>
      <c r="F20" s="18">
        <v>-40000</v>
      </c>
      <c r="G20" s="32">
        <v>3.1309999999999998</v>
      </c>
      <c r="H20" s="32"/>
      <c r="I20" s="17">
        <f t="shared" ref="I20:I25" si="2">+G20*F20</f>
        <v>-125239.99999999999</v>
      </c>
      <c r="J20" s="41">
        <f t="shared" ref="J20:J25" si="3">+I20</f>
        <v>-125239.99999999999</v>
      </c>
      <c r="K20" s="41"/>
    </row>
    <row r="21" spans="1:12" x14ac:dyDescent="0.2">
      <c r="A21" s="31">
        <v>36495</v>
      </c>
      <c r="B21" s="15">
        <v>105706</v>
      </c>
      <c r="C21" s="16" t="s">
        <v>89</v>
      </c>
      <c r="D21" s="32"/>
      <c r="E21" s="15"/>
      <c r="F21" s="18">
        <v>-40000</v>
      </c>
      <c r="G21" s="32">
        <v>2.2000000000000002</v>
      </c>
      <c r="H21" s="32"/>
      <c r="I21" s="17">
        <f t="shared" si="2"/>
        <v>-88000</v>
      </c>
      <c r="J21" s="41">
        <f t="shared" si="3"/>
        <v>-88000</v>
      </c>
      <c r="K21" s="41"/>
    </row>
    <row r="22" spans="1:12" x14ac:dyDescent="0.2">
      <c r="A22" s="31">
        <v>36526</v>
      </c>
      <c r="B22" s="15">
        <v>105706</v>
      </c>
      <c r="C22" s="16" t="s">
        <v>89</v>
      </c>
      <c r="D22" s="32"/>
      <c r="E22" s="15"/>
      <c r="F22" s="18">
        <v>-40000</v>
      </c>
      <c r="G22" s="32">
        <v>2.44</v>
      </c>
      <c r="H22" s="32"/>
      <c r="I22" s="17">
        <f t="shared" si="2"/>
        <v>-97600</v>
      </c>
      <c r="J22" s="41">
        <f t="shared" si="3"/>
        <v>-97600</v>
      </c>
      <c r="K22" s="41"/>
    </row>
    <row r="23" spans="1:12" x14ac:dyDescent="0.2">
      <c r="A23" s="31">
        <v>36557</v>
      </c>
      <c r="B23" s="15">
        <v>105706</v>
      </c>
      <c r="C23" s="16" t="s">
        <v>89</v>
      </c>
      <c r="D23" s="32"/>
      <c r="E23" s="15"/>
      <c r="F23" s="18">
        <v>-40000</v>
      </c>
      <c r="G23" s="32">
        <v>2.68</v>
      </c>
      <c r="H23" s="32"/>
      <c r="I23" s="17">
        <f t="shared" si="2"/>
        <v>-107200</v>
      </c>
      <c r="J23" s="41">
        <f t="shared" si="3"/>
        <v>-107200</v>
      </c>
      <c r="K23" s="41"/>
    </row>
    <row r="24" spans="1:12" x14ac:dyDescent="0.2">
      <c r="A24" s="31">
        <v>36586</v>
      </c>
      <c r="B24" s="15">
        <v>105706</v>
      </c>
      <c r="C24" s="16" t="s">
        <v>89</v>
      </c>
      <c r="D24" s="32"/>
      <c r="E24" s="15"/>
      <c r="F24" s="18">
        <v>-40000</v>
      </c>
      <c r="G24" s="32">
        <v>2.5299999999999998</v>
      </c>
      <c r="H24" s="32"/>
      <c r="I24" s="17">
        <f t="shared" si="2"/>
        <v>-101199.99999999999</v>
      </c>
      <c r="J24" s="41">
        <f t="shared" si="3"/>
        <v>-101199.99999999999</v>
      </c>
      <c r="K24" s="41"/>
    </row>
    <row r="25" spans="1:12" x14ac:dyDescent="0.2">
      <c r="A25" s="31">
        <v>36617</v>
      </c>
      <c r="B25" s="15">
        <v>105706</v>
      </c>
      <c r="C25" s="16" t="s">
        <v>89</v>
      </c>
      <c r="D25" s="32"/>
      <c r="E25" s="15"/>
      <c r="F25" s="65">
        <v>-30000</v>
      </c>
      <c r="G25" s="32">
        <v>2.93</v>
      </c>
      <c r="H25" s="32"/>
      <c r="I25" s="66">
        <f t="shared" si="2"/>
        <v>-87900</v>
      </c>
      <c r="J25" s="138">
        <f t="shared" si="3"/>
        <v>-87900</v>
      </c>
      <c r="K25" s="67"/>
    </row>
    <row r="26" spans="1:12" x14ac:dyDescent="0.2">
      <c r="A26" s="31"/>
      <c r="B26" s="15"/>
      <c r="C26" s="16"/>
      <c r="D26" s="32"/>
      <c r="E26" s="15"/>
      <c r="F26" s="18">
        <f>SUM(F20:F25)</f>
        <v>-230000</v>
      </c>
      <c r="G26" s="15"/>
      <c r="H26" s="32"/>
      <c r="I26" s="134">
        <f>SUM(I20:I25)</f>
        <v>-607140</v>
      </c>
      <c r="J26" s="134">
        <f>SUM(J20:J25)</f>
        <v>-607140</v>
      </c>
      <c r="K26" s="134">
        <f>SUM(K20:K25)</f>
        <v>0</v>
      </c>
      <c r="L26" s="20"/>
    </row>
    <row r="27" spans="1:12" x14ac:dyDescent="0.2">
      <c r="A27" s="31"/>
      <c r="B27" s="15"/>
      <c r="C27" s="16"/>
      <c r="D27" s="32"/>
      <c r="E27" s="15"/>
      <c r="F27" s="18"/>
      <c r="G27" s="15"/>
      <c r="H27" s="32"/>
      <c r="I27" s="17"/>
      <c r="J27" s="39"/>
      <c r="K27" s="19"/>
    </row>
    <row r="28" spans="1:12" ht="13.5" thickBot="1" x14ac:dyDescent="0.25">
      <c r="A28" s="31"/>
      <c r="B28" s="15"/>
      <c r="C28" s="16"/>
      <c r="D28" s="32"/>
      <c r="E28" s="15"/>
      <c r="F28" s="131">
        <f>+F26+F15</f>
        <v>0</v>
      </c>
      <c r="G28" s="15"/>
      <c r="H28" s="32"/>
      <c r="I28" s="132">
        <f>+I26+I15</f>
        <v>-18740</v>
      </c>
      <c r="J28" s="132">
        <f>+J26+J15</f>
        <v>-18740</v>
      </c>
      <c r="K28" s="132">
        <f>+K26+K15</f>
        <v>0</v>
      </c>
    </row>
    <row r="29" spans="1:12" ht="13.5" thickTop="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40"/>
      <c r="K29" s="40"/>
    </row>
    <row r="31" spans="1:12" x14ac:dyDescent="0.2">
      <c r="A31" s="29" t="s">
        <v>47</v>
      </c>
    </row>
  </sheetData>
  <mergeCells count="1">
    <mergeCell ref="A3:K3"/>
  </mergeCells>
  <pageMargins left="0.75" right="0.75" top="1" bottom="1" header="0.5" footer="0.5"/>
  <pageSetup scale="9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3"/>
  <sheetViews>
    <sheetView topLeftCell="A3" workbookViewId="0">
      <selection activeCell="A4" sqref="A4:IV4"/>
    </sheetView>
  </sheetViews>
  <sheetFormatPr defaultRowHeight="12.75" x14ac:dyDescent="0.2"/>
  <cols>
    <col min="1" max="4" width="10.7109375" customWidth="1"/>
    <col min="5" max="5" width="10.7109375" hidden="1" customWidth="1"/>
    <col min="6" max="8" width="10.7109375" customWidth="1"/>
    <col min="9" max="9" width="13.7109375" customWidth="1"/>
    <col min="10" max="10" width="12.140625" style="28" customWidth="1"/>
    <col min="11" max="11" width="13.7109375" style="28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50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5" spans="1:11" s="4" customFormat="1" ht="15.75" x14ac:dyDescent="0.25">
      <c r="A5" s="3"/>
      <c r="B5" s="3"/>
      <c r="C5" s="3"/>
      <c r="D5" s="3"/>
      <c r="E5" s="3"/>
      <c r="F5" s="3"/>
      <c r="G5" s="3"/>
      <c r="H5" s="3"/>
      <c r="I5" s="3"/>
      <c r="J5" s="42"/>
      <c r="K5" s="42"/>
    </row>
    <row r="7" spans="1:11" s="7" customFormat="1" x14ac:dyDescent="0.2">
      <c r="A7" s="5" t="s">
        <v>52</v>
      </c>
      <c r="B7" s="6" t="s">
        <v>5</v>
      </c>
      <c r="C7" s="6" t="s">
        <v>5</v>
      </c>
      <c r="D7" s="6" t="s">
        <v>53</v>
      </c>
      <c r="E7" s="6"/>
      <c r="F7" s="6" t="s">
        <v>11</v>
      </c>
      <c r="G7" s="6" t="s">
        <v>54</v>
      </c>
      <c r="H7" s="6" t="s">
        <v>24</v>
      </c>
      <c r="I7" s="55" t="s">
        <v>55</v>
      </c>
      <c r="J7" s="56"/>
      <c r="K7" s="57"/>
    </row>
    <row r="8" spans="1:11" s="7" customFormat="1" x14ac:dyDescent="0.2">
      <c r="A8" s="8" t="s">
        <v>56</v>
      </c>
      <c r="B8" s="9" t="s">
        <v>14</v>
      </c>
      <c r="C8" s="9" t="s">
        <v>13</v>
      </c>
      <c r="D8" s="9" t="s">
        <v>18</v>
      </c>
      <c r="E8" s="9"/>
      <c r="F8" s="9" t="s">
        <v>57</v>
      </c>
      <c r="G8" s="9" t="s">
        <v>18</v>
      </c>
      <c r="H8" s="9" t="s">
        <v>18</v>
      </c>
      <c r="I8" s="9" t="s">
        <v>26</v>
      </c>
      <c r="J8" s="9" t="s">
        <v>27</v>
      </c>
      <c r="K8" s="10" t="s">
        <v>28</v>
      </c>
    </row>
    <row r="9" spans="1:11" x14ac:dyDescent="0.2">
      <c r="A9" s="11"/>
      <c r="B9" s="12"/>
      <c r="C9" s="12"/>
      <c r="D9" s="12"/>
      <c r="E9" s="12"/>
      <c r="F9" s="12"/>
      <c r="G9" s="46" t="s">
        <v>58</v>
      </c>
      <c r="H9" s="13"/>
      <c r="I9" s="58" t="s">
        <v>31</v>
      </c>
      <c r="J9" s="58" t="s">
        <v>31</v>
      </c>
      <c r="K9" s="59" t="s">
        <v>31</v>
      </c>
    </row>
    <row r="10" spans="1:11" x14ac:dyDescent="0.2">
      <c r="A10" s="14">
        <v>35947</v>
      </c>
      <c r="B10" s="15"/>
      <c r="C10" s="16" t="s">
        <v>33</v>
      </c>
      <c r="D10" s="17">
        <f>2.22</f>
        <v>2.2200000000000002</v>
      </c>
      <c r="E10" s="17"/>
      <c r="F10" s="18">
        <f>250*30</f>
        <v>7500</v>
      </c>
      <c r="G10" s="17">
        <f>1.82</f>
        <v>1.82</v>
      </c>
      <c r="H10" s="17"/>
      <c r="I10" s="19">
        <f>SUM(D10-G10)*F10</f>
        <v>3000.0000000000009</v>
      </c>
      <c r="J10" s="19">
        <f t="shared" ref="J10:J21" si="0">+I10</f>
        <v>3000.0000000000009</v>
      </c>
      <c r="K10" s="19"/>
    </row>
    <row r="11" spans="1:11" x14ac:dyDescent="0.2">
      <c r="A11" s="14">
        <v>35977</v>
      </c>
      <c r="B11" s="15"/>
      <c r="C11" s="16" t="s">
        <v>33</v>
      </c>
      <c r="D11" s="17">
        <f t="shared" ref="D11:D21" si="1">2.22</f>
        <v>2.2200000000000002</v>
      </c>
      <c r="E11" s="17"/>
      <c r="F11" s="18">
        <f>250*31</f>
        <v>7750</v>
      </c>
      <c r="G11" s="17">
        <f>1.86</f>
        <v>1.86</v>
      </c>
      <c r="H11" s="17"/>
      <c r="I11" s="19">
        <f t="shared" ref="I11:I21" si="2">SUM(D11-G11)*F11</f>
        <v>2790.0000000000009</v>
      </c>
      <c r="J11" s="19">
        <f t="shared" si="0"/>
        <v>2790.0000000000009</v>
      </c>
      <c r="K11" s="19"/>
    </row>
    <row r="12" spans="1:11" x14ac:dyDescent="0.2">
      <c r="A12" s="14">
        <v>36008</v>
      </c>
      <c r="B12" s="15"/>
      <c r="C12" s="16" t="s">
        <v>33</v>
      </c>
      <c r="D12" s="17">
        <f t="shared" si="1"/>
        <v>2.2200000000000002</v>
      </c>
      <c r="E12" s="17"/>
      <c r="F12" s="18">
        <f>250*31</f>
        <v>7750</v>
      </c>
      <c r="G12" s="17">
        <f>1.81</f>
        <v>1.81</v>
      </c>
      <c r="H12" s="17"/>
      <c r="I12" s="19">
        <f t="shared" si="2"/>
        <v>3177.5000000000009</v>
      </c>
      <c r="J12" s="19">
        <f t="shared" si="0"/>
        <v>3177.5000000000009</v>
      </c>
      <c r="K12" s="19"/>
    </row>
    <row r="13" spans="1:11" x14ac:dyDescent="0.2">
      <c r="A13" s="14">
        <v>36039</v>
      </c>
      <c r="B13" s="15"/>
      <c r="C13" s="16" t="s">
        <v>33</v>
      </c>
      <c r="D13" s="17">
        <f t="shared" si="1"/>
        <v>2.2200000000000002</v>
      </c>
      <c r="E13" s="17"/>
      <c r="F13" s="18">
        <f>250*30</f>
        <v>7500</v>
      </c>
      <c r="G13" s="17">
        <f>1.55</f>
        <v>1.55</v>
      </c>
      <c r="H13" s="17"/>
      <c r="I13" s="19">
        <f t="shared" si="2"/>
        <v>5025.0000000000009</v>
      </c>
      <c r="J13" s="19">
        <f t="shared" si="0"/>
        <v>5025.0000000000009</v>
      </c>
      <c r="K13" s="19"/>
    </row>
    <row r="14" spans="1:11" x14ac:dyDescent="0.2">
      <c r="A14" s="14">
        <v>36069</v>
      </c>
      <c r="B14" s="15"/>
      <c r="C14" s="16" t="s">
        <v>33</v>
      </c>
      <c r="D14" s="17">
        <f t="shared" si="1"/>
        <v>2.2200000000000002</v>
      </c>
      <c r="E14" s="17"/>
      <c r="F14" s="18">
        <f>250*31</f>
        <v>7750</v>
      </c>
      <c r="G14" s="17">
        <f>1.67</f>
        <v>1.67</v>
      </c>
      <c r="H14" s="17"/>
      <c r="I14" s="19">
        <f t="shared" si="2"/>
        <v>4262.5000000000018</v>
      </c>
      <c r="J14" s="19">
        <f t="shared" si="0"/>
        <v>4262.5000000000018</v>
      </c>
      <c r="K14" s="19"/>
    </row>
    <row r="15" spans="1:11" x14ac:dyDescent="0.2">
      <c r="A15" s="14">
        <v>36100</v>
      </c>
      <c r="B15" s="15"/>
      <c r="C15" s="16" t="s">
        <v>33</v>
      </c>
      <c r="D15" s="17">
        <f t="shared" si="1"/>
        <v>2.2200000000000002</v>
      </c>
      <c r="E15" s="17"/>
      <c r="F15" s="18">
        <f>250*30</f>
        <v>7500</v>
      </c>
      <c r="G15" s="17">
        <v>1.88</v>
      </c>
      <c r="H15" s="17"/>
      <c r="I15" s="19">
        <f t="shared" si="2"/>
        <v>2550.0000000000023</v>
      </c>
      <c r="J15" s="19">
        <f t="shared" si="0"/>
        <v>2550.0000000000023</v>
      </c>
      <c r="K15" s="19"/>
    </row>
    <row r="16" spans="1:11" x14ac:dyDescent="0.2">
      <c r="A16" s="14">
        <v>36130</v>
      </c>
      <c r="B16" s="15"/>
      <c r="C16" s="16" t="s">
        <v>33</v>
      </c>
      <c r="D16" s="17">
        <f t="shared" si="1"/>
        <v>2.2200000000000002</v>
      </c>
      <c r="E16" s="17"/>
      <c r="F16" s="18">
        <f>250*31</f>
        <v>7750</v>
      </c>
      <c r="G16" s="17">
        <v>1.96</v>
      </c>
      <c r="H16" s="17"/>
      <c r="I16" s="19">
        <f t="shared" si="2"/>
        <v>2015.0000000000018</v>
      </c>
      <c r="J16" s="19">
        <f t="shared" si="0"/>
        <v>2015.0000000000018</v>
      </c>
      <c r="K16" s="19"/>
    </row>
    <row r="17" spans="1:12" x14ac:dyDescent="0.2">
      <c r="A17" s="14">
        <v>36161</v>
      </c>
      <c r="B17" s="15"/>
      <c r="C17" s="16" t="s">
        <v>33</v>
      </c>
      <c r="D17" s="17">
        <f t="shared" si="1"/>
        <v>2.2200000000000002</v>
      </c>
      <c r="E17" s="17"/>
      <c r="F17" s="18">
        <f>250*31</f>
        <v>7750</v>
      </c>
      <c r="G17" s="17">
        <v>1.72</v>
      </c>
      <c r="H17" s="17"/>
      <c r="I17" s="19">
        <f t="shared" si="2"/>
        <v>3875.0000000000018</v>
      </c>
      <c r="J17" s="19">
        <f t="shared" si="0"/>
        <v>3875.0000000000018</v>
      </c>
      <c r="K17" s="19"/>
    </row>
    <row r="18" spans="1:12" x14ac:dyDescent="0.2">
      <c r="A18" s="14">
        <v>36192</v>
      </c>
      <c r="B18" s="15"/>
      <c r="C18" s="16" t="s">
        <v>33</v>
      </c>
      <c r="D18" s="17">
        <f t="shared" si="1"/>
        <v>2.2200000000000002</v>
      </c>
      <c r="E18" s="17"/>
      <c r="F18" s="18">
        <f>250*28</f>
        <v>7000</v>
      </c>
      <c r="G18" s="17">
        <v>1.63</v>
      </c>
      <c r="H18" s="17"/>
      <c r="I18" s="19">
        <f t="shared" si="2"/>
        <v>4130.0000000000018</v>
      </c>
      <c r="J18" s="19">
        <f t="shared" si="0"/>
        <v>4130.0000000000018</v>
      </c>
      <c r="K18" s="19"/>
    </row>
    <row r="19" spans="1:12" x14ac:dyDescent="0.2">
      <c r="A19" s="14">
        <v>36220</v>
      </c>
      <c r="B19" s="15"/>
      <c r="C19" s="16" t="s">
        <v>33</v>
      </c>
      <c r="D19" s="17">
        <f t="shared" si="1"/>
        <v>2.2200000000000002</v>
      </c>
      <c r="E19" s="17"/>
      <c r="F19" s="18">
        <f>250*31</f>
        <v>7750</v>
      </c>
      <c r="G19" s="17">
        <v>1.51</v>
      </c>
      <c r="H19" s="17"/>
      <c r="I19" s="19">
        <f t="shared" si="2"/>
        <v>5502.5000000000018</v>
      </c>
      <c r="J19" s="19">
        <f t="shared" si="0"/>
        <v>5502.5000000000018</v>
      </c>
      <c r="K19" s="19"/>
    </row>
    <row r="20" spans="1:12" x14ac:dyDescent="0.2">
      <c r="A20" s="14">
        <v>36251</v>
      </c>
      <c r="B20" s="15"/>
      <c r="C20" s="16" t="s">
        <v>33</v>
      </c>
      <c r="D20" s="17">
        <f t="shared" si="1"/>
        <v>2.2200000000000002</v>
      </c>
      <c r="E20" s="17"/>
      <c r="F20" s="18">
        <f>250*30</f>
        <v>7500</v>
      </c>
      <c r="G20" s="17">
        <v>1.59</v>
      </c>
      <c r="H20" s="17"/>
      <c r="I20" s="19">
        <f t="shared" si="2"/>
        <v>4725.0000000000009</v>
      </c>
      <c r="J20" s="19">
        <f t="shared" si="0"/>
        <v>4725.0000000000009</v>
      </c>
      <c r="K20" s="19"/>
    </row>
    <row r="21" spans="1:12" x14ac:dyDescent="0.2">
      <c r="A21" s="14">
        <v>36281</v>
      </c>
      <c r="B21" s="15"/>
      <c r="C21" s="16" t="s">
        <v>33</v>
      </c>
      <c r="D21" s="17">
        <f t="shared" si="1"/>
        <v>2.2200000000000002</v>
      </c>
      <c r="E21" s="17"/>
      <c r="F21" s="18">
        <f>250*31</f>
        <v>7750</v>
      </c>
      <c r="G21" s="17">
        <v>2.0299999999999998</v>
      </c>
      <c r="H21" s="17"/>
      <c r="I21" s="19">
        <f t="shared" si="2"/>
        <v>1472.500000000003</v>
      </c>
      <c r="J21" s="19">
        <f t="shared" si="0"/>
        <v>1472.500000000003</v>
      </c>
      <c r="K21" s="19"/>
    </row>
    <row r="22" spans="1:12" x14ac:dyDescent="0.2">
      <c r="A22" s="20"/>
      <c r="B22" s="15"/>
      <c r="C22" s="15"/>
      <c r="D22" s="15"/>
      <c r="E22" s="15"/>
      <c r="F22" s="21">
        <f>SUM(F10:F21)</f>
        <v>91250</v>
      </c>
      <c r="G22" s="15"/>
      <c r="H22" s="15"/>
      <c r="I22" s="22">
        <f>SUM(I10:I21)</f>
        <v>42525.000000000015</v>
      </c>
      <c r="J22" s="22">
        <f>SUM(J10:J21)</f>
        <v>42525.000000000015</v>
      </c>
      <c r="K22" s="22">
        <f>SUM(K10:K21)</f>
        <v>0</v>
      </c>
      <c r="L22" s="43">
        <f>+J22+K22-I22</f>
        <v>0</v>
      </c>
    </row>
    <row r="23" spans="1:12" x14ac:dyDescent="0.2">
      <c r="A23" s="20"/>
      <c r="B23" s="15"/>
      <c r="C23" s="15"/>
      <c r="D23" s="15"/>
      <c r="E23" s="15"/>
      <c r="F23" s="38"/>
      <c r="G23" s="15"/>
      <c r="H23" s="15"/>
      <c r="I23" s="47"/>
      <c r="J23" s="47"/>
      <c r="K23" s="47"/>
      <c r="L23" s="43"/>
    </row>
    <row r="24" spans="1:12" x14ac:dyDescent="0.2">
      <c r="A24" s="20"/>
      <c r="B24" s="15"/>
      <c r="C24" s="15"/>
      <c r="D24" s="15"/>
      <c r="E24" s="15"/>
      <c r="F24" s="15"/>
      <c r="G24" s="50" t="s">
        <v>59</v>
      </c>
      <c r="H24" s="15"/>
      <c r="I24" s="19"/>
      <c r="J24" s="19"/>
      <c r="K24" s="19"/>
    </row>
    <row r="25" spans="1:12" x14ac:dyDescent="0.2">
      <c r="A25" s="20"/>
      <c r="B25" s="15"/>
      <c r="C25" s="15"/>
      <c r="D25" s="15"/>
      <c r="E25" s="15"/>
      <c r="F25" s="15"/>
      <c r="G25" s="48"/>
      <c r="H25" s="15"/>
      <c r="I25" s="19"/>
      <c r="J25" s="19"/>
      <c r="K25" s="19"/>
    </row>
    <row r="26" spans="1:12" x14ac:dyDescent="0.2">
      <c r="A26" s="14">
        <v>35947</v>
      </c>
      <c r="B26" s="16">
        <f>26125</f>
        <v>26125</v>
      </c>
      <c r="C26" s="16" t="s">
        <v>35</v>
      </c>
      <c r="D26" s="17">
        <f t="shared" ref="D26:D37" si="3">2.22</f>
        <v>2.2200000000000002</v>
      </c>
      <c r="E26" s="18">
        <f>-8600*30</f>
        <v>-258000</v>
      </c>
      <c r="F26" s="18">
        <v>-7500</v>
      </c>
      <c r="G26" s="17">
        <f>1.84</f>
        <v>1.84</v>
      </c>
      <c r="H26" s="17"/>
      <c r="K26" s="19"/>
    </row>
    <row r="27" spans="1:12" x14ac:dyDescent="0.2">
      <c r="A27" s="14">
        <v>35977</v>
      </c>
      <c r="B27" s="16">
        <f>26125</f>
        <v>26125</v>
      </c>
      <c r="C27" s="16" t="s">
        <v>35</v>
      </c>
      <c r="D27" s="17">
        <f t="shared" si="3"/>
        <v>2.2200000000000002</v>
      </c>
      <c r="E27" s="18">
        <f>-8600*31</f>
        <v>-266600</v>
      </c>
      <c r="F27" s="18">
        <v>-7750</v>
      </c>
      <c r="G27" s="17">
        <f>2.02</f>
        <v>2.02</v>
      </c>
      <c r="H27" s="17"/>
      <c r="I27" s="19">
        <f t="shared" ref="I27:I37" si="4">SUM(D27-G27)*F27</f>
        <v>-1550.0000000000014</v>
      </c>
      <c r="J27" s="19">
        <f t="shared" ref="J27:J37" si="5">+I27</f>
        <v>-1550.0000000000014</v>
      </c>
      <c r="K27" s="19"/>
    </row>
    <row r="28" spans="1:12" x14ac:dyDescent="0.2">
      <c r="A28" s="14">
        <v>36008</v>
      </c>
      <c r="B28" s="16">
        <f>26125</f>
        <v>26125</v>
      </c>
      <c r="C28" s="16" t="s">
        <v>35</v>
      </c>
      <c r="D28" s="17">
        <f t="shared" si="3"/>
        <v>2.2200000000000002</v>
      </c>
      <c r="E28" s="18">
        <f>-8600*31</f>
        <v>-266600</v>
      </c>
      <c r="F28" s="18">
        <v>-7750</v>
      </c>
      <c r="G28" s="17">
        <f>1.75</f>
        <v>1.75</v>
      </c>
      <c r="H28" s="17"/>
      <c r="I28" s="19">
        <f t="shared" si="4"/>
        <v>-3642.5000000000014</v>
      </c>
      <c r="J28" s="19">
        <f t="shared" si="5"/>
        <v>-3642.5000000000014</v>
      </c>
      <c r="K28" s="19"/>
    </row>
    <row r="29" spans="1:12" x14ac:dyDescent="0.2">
      <c r="A29" s="14">
        <v>36039</v>
      </c>
      <c r="B29" s="16">
        <f>26125</f>
        <v>26125</v>
      </c>
      <c r="C29" s="16" t="s">
        <v>35</v>
      </c>
      <c r="D29" s="17">
        <f t="shared" si="3"/>
        <v>2.2200000000000002</v>
      </c>
      <c r="E29" s="18">
        <f>-8600*30</f>
        <v>-258000</v>
      </c>
      <c r="F29" s="18">
        <v>-7500</v>
      </c>
      <c r="G29" s="17">
        <f>1.76</f>
        <v>1.76</v>
      </c>
      <c r="H29" s="17"/>
      <c r="I29" s="19">
        <f t="shared" si="4"/>
        <v>-3450.0000000000014</v>
      </c>
      <c r="J29" s="19">
        <f t="shared" si="5"/>
        <v>-3450.0000000000014</v>
      </c>
      <c r="K29" s="19"/>
    </row>
    <row r="30" spans="1:12" x14ac:dyDescent="0.2">
      <c r="A30" s="14">
        <v>36069</v>
      </c>
      <c r="B30" s="16">
        <f>26125</f>
        <v>26125</v>
      </c>
      <c r="C30" s="16" t="s">
        <v>35</v>
      </c>
      <c r="D30" s="17">
        <f t="shared" si="3"/>
        <v>2.2200000000000002</v>
      </c>
      <c r="E30" s="18">
        <f>-8600*31</f>
        <v>-266600</v>
      </c>
      <c r="F30" s="18">
        <v>-7750</v>
      </c>
      <c r="G30" s="17">
        <v>1.78</v>
      </c>
      <c r="H30" s="17"/>
      <c r="I30" s="19">
        <f t="shared" si="4"/>
        <v>-3410.0000000000014</v>
      </c>
      <c r="J30" s="19">
        <f t="shared" si="5"/>
        <v>-3410.0000000000014</v>
      </c>
      <c r="K30" s="19"/>
    </row>
    <row r="31" spans="1:12" x14ac:dyDescent="0.2">
      <c r="A31" s="14">
        <v>36100</v>
      </c>
      <c r="B31" s="16">
        <f>26125</f>
        <v>26125</v>
      </c>
      <c r="C31" s="16" t="s">
        <v>35</v>
      </c>
      <c r="D31" s="17">
        <f t="shared" si="3"/>
        <v>2.2200000000000002</v>
      </c>
      <c r="E31" s="18">
        <f>-8600*30</f>
        <v>-258000</v>
      </c>
      <c r="F31" s="18">
        <v>-7500</v>
      </c>
      <c r="G31" s="17">
        <v>1.99</v>
      </c>
      <c r="H31" s="60"/>
      <c r="I31" s="19">
        <f t="shared" si="4"/>
        <v>-1725.0000000000016</v>
      </c>
      <c r="J31" s="19">
        <f t="shared" si="5"/>
        <v>-1725.0000000000016</v>
      </c>
      <c r="K31" s="19"/>
    </row>
    <row r="32" spans="1:12" x14ac:dyDescent="0.2">
      <c r="A32" s="14">
        <v>36130</v>
      </c>
      <c r="B32" s="16">
        <f>26125</f>
        <v>26125</v>
      </c>
      <c r="C32" s="16" t="s">
        <v>35</v>
      </c>
      <c r="D32" s="17">
        <f t="shared" si="3"/>
        <v>2.2200000000000002</v>
      </c>
      <c r="E32" s="18">
        <f>-8600*31</f>
        <v>-266600</v>
      </c>
      <c r="F32" s="18">
        <v>-7750</v>
      </c>
      <c r="G32" s="17">
        <v>1.74</v>
      </c>
      <c r="H32" s="60"/>
      <c r="I32" s="19">
        <f t="shared" si="4"/>
        <v>-3720.0000000000014</v>
      </c>
      <c r="J32" s="19">
        <f t="shared" si="5"/>
        <v>-3720.0000000000014</v>
      </c>
      <c r="K32" s="19"/>
    </row>
    <row r="33" spans="1:12" x14ac:dyDescent="0.2">
      <c r="A33" s="14">
        <v>36161</v>
      </c>
      <c r="B33" s="16">
        <f>26125</f>
        <v>26125</v>
      </c>
      <c r="C33" s="16" t="s">
        <v>35</v>
      </c>
      <c r="D33" s="17">
        <f t="shared" si="3"/>
        <v>2.2200000000000002</v>
      </c>
      <c r="E33" s="18">
        <f>-8600*31</f>
        <v>-266600</v>
      </c>
      <c r="F33" s="18">
        <v>-7750</v>
      </c>
      <c r="G33" s="60">
        <v>1.73</v>
      </c>
      <c r="H33" s="60"/>
      <c r="I33" s="19">
        <f t="shared" si="4"/>
        <v>-3797.5000000000018</v>
      </c>
      <c r="J33" s="19">
        <f t="shared" si="5"/>
        <v>-3797.5000000000018</v>
      </c>
      <c r="K33" s="19"/>
    </row>
    <row r="34" spans="1:12" x14ac:dyDescent="0.2">
      <c r="A34" s="14">
        <v>36192</v>
      </c>
      <c r="B34" s="16">
        <f>26125</f>
        <v>26125</v>
      </c>
      <c r="C34" s="16" t="s">
        <v>35</v>
      </c>
      <c r="D34" s="17">
        <f t="shared" si="3"/>
        <v>2.2200000000000002</v>
      </c>
      <c r="E34" s="18">
        <f>-8600*28</f>
        <v>-240800</v>
      </c>
      <c r="F34" s="18">
        <v>-7000</v>
      </c>
      <c r="G34" s="60">
        <v>1.63</v>
      </c>
      <c r="H34" s="60"/>
      <c r="I34" s="19">
        <f t="shared" si="4"/>
        <v>-4130.0000000000018</v>
      </c>
      <c r="J34" s="19">
        <f t="shared" si="5"/>
        <v>-4130.0000000000018</v>
      </c>
      <c r="K34" s="19"/>
    </row>
    <row r="35" spans="1:12" x14ac:dyDescent="0.2">
      <c r="A35" s="14">
        <v>36220</v>
      </c>
      <c r="B35" s="16">
        <f>26125</f>
        <v>26125</v>
      </c>
      <c r="C35" s="16" t="s">
        <v>35</v>
      </c>
      <c r="D35" s="17">
        <f t="shared" si="3"/>
        <v>2.2200000000000002</v>
      </c>
      <c r="E35" s="18">
        <f>-8600*31</f>
        <v>-266600</v>
      </c>
      <c r="F35" s="18">
        <v>-7750</v>
      </c>
      <c r="G35" s="60">
        <v>1.59</v>
      </c>
      <c r="H35" s="60"/>
      <c r="I35" s="19">
        <f t="shared" si="4"/>
        <v>-4882.5000000000009</v>
      </c>
      <c r="J35" s="19">
        <f t="shared" si="5"/>
        <v>-4882.5000000000009</v>
      </c>
      <c r="K35" s="19"/>
    </row>
    <row r="36" spans="1:12" x14ac:dyDescent="0.2">
      <c r="A36" s="14">
        <v>36251</v>
      </c>
      <c r="B36" s="16">
        <f>26125</f>
        <v>26125</v>
      </c>
      <c r="C36" s="16" t="s">
        <v>35</v>
      </c>
      <c r="D36" s="17">
        <f t="shared" si="3"/>
        <v>2.2200000000000002</v>
      </c>
      <c r="E36" s="18">
        <f>-8600*30</f>
        <v>-258000</v>
      </c>
      <c r="F36" s="18">
        <v>-7500</v>
      </c>
      <c r="G36" s="64">
        <v>1.94</v>
      </c>
      <c r="H36" s="64"/>
      <c r="I36" s="19">
        <f t="shared" si="4"/>
        <v>-2100.0000000000018</v>
      </c>
      <c r="J36" s="19">
        <f t="shared" si="5"/>
        <v>-2100.0000000000018</v>
      </c>
      <c r="K36" s="19"/>
    </row>
    <row r="37" spans="1:12" x14ac:dyDescent="0.2">
      <c r="A37" s="14">
        <v>36281</v>
      </c>
      <c r="B37" s="16">
        <f>26125</f>
        <v>26125</v>
      </c>
      <c r="C37" s="16" t="s">
        <v>35</v>
      </c>
      <c r="D37" s="17">
        <f t="shared" si="3"/>
        <v>2.2200000000000002</v>
      </c>
      <c r="E37" s="18">
        <f>-8600*31</f>
        <v>-266600</v>
      </c>
      <c r="F37" s="18">
        <v>-7750</v>
      </c>
      <c r="G37" s="17">
        <v>2.06</v>
      </c>
      <c r="H37" s="60"/>
      <c r="I37" s="19">
        <f t="shared" si="4"/>
        <v>-1240.0000000000011</v>
      </c>
      <c r="J37" s="19">
        <f t="shared" si="5"/>
        <v>-1240.0000000000011</v>
      </c>
      <c r="K37" s="19"/>
    </row>
    <row r="38" spans="1:12" x14ac:dyDescent="0.2">
      <c r="A38" s="20"/>
      <c r="B38" s="15"/>
      <c r="C38" s="15"/>
      <c r="D38" s="15"/>
      <c r="E38" s="15"/>
      <c r="F38" s="21">
        <f>SUM(F26:F37)</f>
        <v>-91250</v>
      </c>
      <c r="G38" s="15"/>
      <c r="H38" s="15"/>
      <c r="I38" s="22">
        <f>SUM(I27:I37)</f>
        <v>-33647.500000000007</v>
      </c>
      <c r="J38" s="22">
        <f>SUM(J27:J37)</f>
        <v>-33647.500000000007</v>
      </c>
      <c r="K38" s="22">
        <f>SUM(K27:K37)</f>
        <v>0</v>
      </c>
      <c r="L38" s="43">
        <f>+J38+K38-I38</f>
        <v>0</v>
      </c>
    </row>
    <row r="39" spans="1:12" x14ac:dyDescent="0.2">
      <c r="A39" s="20"/>
      <c r="B39" s="15"/>
      <c r="C39" s="15"/>
      <c r="D39" s="15"/>
      <c r="E39" s="15"/>
      <c r="F39" s="15"/>
      <c r="G39" s="15"/>
      <c r="H39" s="15"/>
      <c r="I39" s="19"/>
      <c r="J39" s="19"/>
      <c r="K39" s="19"/>
    </row>
    <row r="40" spans="1:12" ht="13.5" thickBot="1" x14ac:dyDescent="0.25">
      <c r="A40" s="20"/>
      <c r="B40" s="15"/>
      <c r="C40" s="15"/>
      <c r="D40" s="15"/>
      <c r="E40" s="15"/>
      <c r="F40" s="23">
        <f>+F22+F38</f>
        <v>0</v>
      </c>
      <c r="G40" s="15"/>
      <c r="H40" s="15"/>
      <c r="I40" s="24">
        <f>+I22+I38</f>
        <v>8877.5000000000073</v>
      </c>
      <c r="J40" s="24">
        <f>+J22+J38</f>
        <v>8877.5000000000073</v>
      </c>
      <c r="K40" s="24">
        <f>+K22+K38</f>
        <v>0</v>
      </c>
      <c r="L40" s="43">
        <f>+J40+K40-I40</f>
        <v>0</v>
      </c>
    </row>
    <row r="41" spans="1:12" ht="13.5" thickTop="1" x14ac:dyDescent="0.2">
      <c r="A41" s="25"/>
      <c r="B41" s="26"/>
      <c r="C41" s="26"/>
      <c r="D41" s="26"/>
      <c r="E41" s="26"/>
      <c r="F41" s="26"/>
      <c r="G41" s="26"/>
      <c r="H41" s="26"/>
      <c r="I41" s="27"/>
      <c r="J41" s="27"/>
      <c r="K41" s="27"/>
    </row>
    <row r="42" spans="1:12" x14ac:dyDescent="0.2">
      <c r="I42" s="28"/>
    </row>
    <row r="43" spans="1:12" x14ac:dyDescent="0.2">
      <c r="A43" s="29" t="s">
        <v>47</v>
      </c>
      <c r="J43"/>
      <c r="K43"/>
    </row>
    <row r="44" spans="1:12" s="29" customFormat="1" ht="11.25" x14ac:dyDescent="0.2">
      <c r="I44" s="30"/>
      <c r="J44" s="30"/>
      <c r="K44" s="30"/>
    </row>
    <row r="45" spans="1:12" x14ac:dyDescent="0.2">
      <c r="I45" s="28"/>
    </row>
    <row r="46" spans="1:12" x14ac:dyDescent="0.2">
      <c r="I46" s="28"/>
    </row>
    <row r="47" spans="1:12" x14ac:dyDescent="0.2">
      <c r="I47" s="28"/>
    </row>
    <row r="48" spans="1:12" x14ac:dyDescent="0.2">
      <c r="I48" s="28"/>
    </row>
    <row r="49" spans="9:9" x14ac:dyDescent="0.2">
      <c r="I49" s="28"/>
    </row>
    <row r="50" spans="9:9" x14ac:dyDescent="0.2">
      <c r="I50" s="28"/>
    </row>
    <row r="51" spans="9:9" x14ac:dyDescent="0.2">
      <c r="I51" s="28"/>
    </row>
    <row r="52" spans="9:9" x14ac:dyDescent="0.2">
      <c r="I52" s="28"/>
    </row>
    <row r="53" spans="9:9" x14ac:dyDescent="0.2">
      <c r="I53" s="28"/>
    </row>
    <row r="54" spans="9:9" x14ac:dyDescent="0.2">
      <c r="I54" s="28"/>
    </row>
    <row r="55" spans="9:9" x14ac:dyDescent="0.2">
      <c r="I55" s="28"/>
    </row>
    <row r="56" spans="9:9" x14ac:dyDescent="0.2">
      <c r="I56" s="28"/>
    </row>
    <row r="57" spans="9:9" x14ac:dyDescent="0.2">
      <c r="I57" s="28"/>
    </row>
    <row r="58" spans="9:9" x14ac:dyDescent="0.2">
      <c r="I58" s="28"/>
    </row>
    <row r="59" spans="9:9" x14ac:dyDescent="0.2">
      <c r="I59" s="28"/>
    </row>
    <row r="60" spans="9:9" x14ac:dyDescent="0.2">
      <c r="I60" s="28"/>
    </row>
    <row r="61" spans="9:9" x14ac:dyDescent="0.2">
      <c r="I61" s="28"/>
    </row>
    <row r="62" spans="9:9" x14ac:dyDescent="0.2">
      <c r="I62" s="28"/>
    </row>
    <row r="63" spans="9:9" x14ac:dyDescent="0.2">
      <c r="I63" s="28"/>
    </row>
    <row r="64" spans="9:9" x14ac:dyDescent="0.2">
      <c r="I64" s="28"/>
    </row>
    <row r="65" spans="9:9" x14ac:dyDescent="0.2">
      <c r="I65" s="28"/>
    </row>
    <row r="66" spans="9:9" x14ac:dyDescent="0.2">
      <c r="I66" s="28"/>
    </row>
    <row r="67" spans="9:9" x14ac:dyDescent="0.2">
      <c r="I67" s="28"/>
    </row>
    <row r="68" spans="9:9" x14ac:dyDescent="0.2">
      <c r="I68" s="28"/>
    </row>
    <row r="69" spans="9:9" x14ac:dyDescent="0.2">
      <c r="I69" s="28"/>
    </row>
    <row r="70" spans="9:9" x14ac:dyDescent="0.2">
      <c r="I70" s="28"/>
    </row>
    <row r="71" spans="9:9" x14ac:dyDescent="0.2">
      <c r="I71" s="28"/>
    </row>
    <row r="72" spans="9:9" x14ac:dyDescent="0.2">
      <c r="I72" s="28"/>
    </row>
    <row r="73" spans="9:9" x14ac:dyDescent="0.2">
      <c r="I73" s="28"/>
    </row>
    <row r="74" spans="9:9" x14ac:dyDescent="0.2">
      <c r="I74" s="28"/>
    </row>
    <row r="75" spans="9:9" x14ac:dyDescent="0.2">
      <c r="I75" s="28"/>
    </row>
    <row r="76" spans="9:9" x14ac:dyDescent="0.2">
      <c r="I76" s="28"/>
    </row>
    <row r="77" spans="9:9" x14ac:dyDescent="0.2">
      <c r="I77" s="28"/>
    </row>
    <row r="78" spans="9:9" x14ac:dyDescent="0.2">
      <c r="I78" s="28"/>
    </row>
    <row r="79" spans="9:9" x14ac:dyDescent="0.2">
      <c r="I79" s="28"/>
    </row>
    <row r="80" spans="9:9" x14ac:dyDescent="0.2">
      <c r="I80" s="28"/>
    </row>
    <row r="81" spans="9:9" x14ac:dyDescent="0.2">
      <c r="I81" s="28"/>
    </row>
    <row r="82" spans="9:9" x14ac:dyDescent="0.2">
      <c r="I82" s="28"/>
    </row>
    <row r="83" spans="9:9" x14ac:dyDescent="0.2">
      <c r="I83" s="28"/>
    </row>
    <row r="84" spans="9:9" x14ac:dyDescent="0.2">
      <c r="I84" s="28"/>
    </row>
    <row r="85" spans="9:9" x14ac:dyDescent="0.2">
      <c r="I85" s="28"/>
    </row>
    <row r="86" spans="9:9" x14ac:dyDescent="0.2">
      <c r="I86" s="28"/>
    </row>
    <row r="87" spans="9:9" x14ac:dyDescent="0.2">
      <c r="I87" s="28"/>
    </row>
    <row r="88" spans="9:9" x14ac:dyDescent="0.2">
      <c r="I88" s="28"/>
    </row>
    <row r="89" spans="9:9" x14ac:dyDescent="0.2">
      <c r="I89" s="28"/>
    </row>
    <row r="90" spans="9:9" x14ac:dyDescent="0.2">
      <c r="I90" s="28"/>
    </row>
    <row r="91" spans="9:9" x14ac:dyDescent="0.2">
      <c r="I91" s="28"/>
    </row>
    <row r="92" spans="9:9" x14ac:dyDescent="0.2">
      <c r="I92" s="28"/>
    </row>
    <row r="93" spans="9:9" x14ac:dyDescent="0.2">
      <c r="I93" s="28"/>
    </row>
    <row r="94" spans="9:9" x14ac:dyDescent="0.2">
      <c r="I94" s="28"/>
    </row>
    <row r="95" spans="9:9" x14ac:dyDescent="0.2">
      <c r="I95" s="28"/>
    </row>
    <row r="96" spans="9:9" x14ac:dyDescent="0.2">
      <c r="I96" s="28"/>
    </row>
    <row r="97" spans="9:9" x14ac:dyDescent="0.2">
      <c r="I97" s="28"/>
    </row>
    <row r="98" spans="9:9" x14ac:dyDescent="0.2">
      <c r="I98" s="28"/>
    </row>
    <row r="99" spans="9:9" x14ac:dyDescent="0.2">
      <c r="I99" s="28"/>
    </row>
    <row r="100" spans="9:9" x14ac:dyDescent="0.2">
      <c r="I100" s="28"/>
    </row>
    <row r="101" spans="9:9" x14ac:dyDescent="0.2">
      <c r="I101" s="28"/>
    </row>
    <row r="102" spans="9:9" x14ac:dyDescent="0.2">
      <c r="I102" s="28"/>
    </row>
    <row r="103" spans="9:9" x14ac:dyDescent="0.2">
      <c r="I103" s="28"/>
    </row>
    <row r="104" spans="9:9" x14ac:dyDescent="0.2">
      <c r="I104" s="28"/>
    </row>
    <row r="105" spans="9:9" x14ac:dyDescent="0.2">
      <c r="I105" s="28"/>
    </row>
    <row r="106" spans="9:9" x14ac:dyDescent="0.2">
      <c r="I106" s="28"/>
    </row>
    <row r="107" spans="9:9" x14ac:dyDescent="0.2">
      <c r="I107" s="28"/>
    </row>
    <row r="108" spans="9:9" x14ac:dyDescent="0.2">
      <c r="I108" s="28"/>
    </row>
    <row r="109" spans="9:9" x14ac:dyDescent="0.2">
      <c r="I109" s="28"/>
    </row>
    <row r="110" spans="9:9" x14ac:dyDescent="0.2">
      <c r="I110" s="28"/>
    </row>
    <row r="111" spans="9:9" x14ac:dyDescent="0.2">
      <c r="I111" s="28"/>
    </row>
    <row r="112" spans="9:9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  <row r="127" spans="9:9" x14ac:dyDescent="0.2">
      <c r="I127" s="28"/>
    </row>
    <row r="128" spans="9:9" x14ac:dyDescent="0.2">
      <c r="I128" s="28"/>
    </row>
    <row r="129" spans="9:9" x14ac:dyDescent="0.2">
      <c r="I129" s="28"/>
    </row>
    <row r="130" spans="9:9" x14ac:dyDescent="0.2">
      <c r="I130" s="28"/>
    </row>
    <row r="131" spans="9:9" x14ac:dyDescent="0.2">
      <c r="I131" s="28"/>
    </row>
    <row r="132" spans="9:9" x14ac:dyDescent="0.2">
      <c r="I132" s="28"/>
    </row>
    <row r="133" spans="9:9" x14ac:dyDescent="0.2">
      <c r="I133" s="28"/>
    </row>
  </sheetData>
  <printOptions horizontalCentered="1" verticalCentered="1"/>
  <pageMargins left="0.75" right="0.75" top="1" bottom="1" header="0.5" footer="0.5"/>
  <pageSetup scale="88" orientation="landscape" horizontalDpi="300" verticalDpi="300" r:id="rId1"/>
  <headerFooter alignWithMargins="0">
    <oddFooter xml:space="preserve">&amp;L&amp;"Arial,Italic"&amp;8&amp;D&amp;T&amp;R&amp;"Arial,Italic"&amp;8G:/Common/Tw Fuel Hedge/Fixed2_Avista_1
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workbookViewId="0">
      <selection activeCell="A4" sqref="A4:IV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140625" customWidth="1"/>
    <col min="7" max="7" width="14.28515625" customWidth="1"/>
    <col min="8" max="8" width="10.7109375" customWidth="1"/>
    <col min="9" max="9" width="13.7109375" customWidth="1"/>
    <col min="10" max="10" width="13.42578125" style="28" customWidth="1"/>
    <col min="11" max="11" width="13.7109375" style="28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73</v>
      </c>
      <c r="B3" s="3"/>
      <c r="C3" s="3"/>
      <c r="D3" s="3"/>
      <c r="E3" s="3"/>
      <c r="F3" s="3"/>
      <c r="G3" s="3"/>
      <c r="H3" s="3"/>
      <c r="I3" s="3"/>
      <c r="J3" s="45"/>
      <c r="K3" s="45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36069</v>
      </c>
      <c r="B9" s="15"/>
      <c r="C9" s="16" t="s">
        <v>33</v>
      </c>
      <c r="D9" s="32">
        <f>2.005</f>
        <v>2.0049999999999999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-14337.499999999987</v>
      </c>
      <c r="J9" s="19">
        <f t="shared" ref="J9:J23" si="1">+I9</f>
        <v>-14337.499999999987</v>
      </c>
      <c r="K9" s="19"/>
    </row>
    <row r="10" spans="1:11" x14ac:dyDescent="0.2">
      <c r="A10" s="31">
        <v>36100</v>
      </c>
      <c r="B10" s="15"/>
      <c r="C10" s="16" t="s">
        <v>33</v>
      </c>
      <c r="D10" s="32">
        <f t="shared" ref="D10:D23" si="2">2.005</f>
        <v>2.0049999999999999</v>
      </c>
      <c r="E10" s="15"/>
      <c r="F10" s="18">
        <f>-2500*30</f>
        <v>-75000</v>
      </c>
      <c r="G10" s="32">
        <v>1.92</v>
      </c>
      <c r="H10" s="32"/>
      <c r="I10" s="17">
        <f t="shared" si="0"/>
        <v>-6374.9999999999973</v>
      </c>
      <c r="J10" s="19">
        <f t="shared" si="1"/>
        <v>-6374.9999999999973</v>
      </c>
      <c r="K10" s="19"/>
    </row>
    <row r="11" spans="1:11" x14ac:dyDescent="0.2">
      <c r="A11" s="31">
        <v>36130</v>
      </c>
      <c r="B11" s="15"/>
      <c r="C11" s="16" t="s">
        <v>33</v>
      </c>
      <c r="D11" s="32">
        <f t="shared" si="2"/>
        <v>2.0049999999999999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-1162.4999999999925</v>
      </c>
      <c r="J11" s="19">
        <f t="shared" si="1"/>
        <v>-1162.4999999999925</v>
      </c>
      <c r="K11" s="19"/>
    </row>
    <row r="12" spans="1:11" x14ac:dyDescent="0.2">
      <c r="A12" s="31">
        <v>36161</v>
      </c>
      <c r="B12" s="15"/>
      <c r="C12" s="16" t="s">
        <v>33</v>
      </c>
      <c r="D12" s="32">
        <f t="shared" si="2"/>
        <v>2.0049999999999999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-21312.499999999993</v>
      </c>
      <c r="J12" s="19">
        <f t="shared" si="1"/>
        <v>-21312.499999999993</v>
      </c>
      <c r="K12" s="19"/>
    </row>
    <row r="13" spans="1:11" x14ac:dyDescent="0.2">
      <c r="A13" s="31">
        <v>36192</v>
      </c>
      <c r="B13" s="15"/>
      <c r="C13" s="16" t="s">
        <v>33</v>
      </c>
      <c r="D13" s="32">
        <f t="shared" si="2"/>
        <v>2.0049999999999999</v>
      </c>
      <c r="E13" s="15"/>
      <c r="F13" s="18">
        <f>-2500*28</f>
        <v>-70000</v>
      </c>
      <c r="G13" s="32">
        <v>1.66</v>
      </c>
      <c r="H13" s="32"/>
      <c r="I13" s="17">
        <f t="shared" si="0"/>
        <v>-24149.999999999996</v>
      </c>
      <c r="J13" s="19">
        <f t="shared" si="1"/>
        <v>-24149.999999999996</v>
      </c>
      <c r="K13" s="19"/>
    </row>
    <row r="14" spans="1:11" x14ac:dyDescent="0.2">
      <c r="A14" s="31">
        <v>36220</v>
      </c>
      <c r="B14" s="15"/>
      <c r="C14" s="16" t="s">
        <v>33</v>
      </c>
      <c r="D14" s="32">
        <f t="shared" si="2"/>
        <v>2.0049999999999999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-36037.499999999985</v>
      </c>
      <c r="J14" s="19">
        <f t="shared" si="1"/>
        <v>-36037.499999999985</v>
      </c>
      <c r="K14" s="19"/>
    </row>
    <row r="15" spans="1:11" x14ac:dyDescent="0.2">
      <c r="A15" s="31">
        <v>36251</v>
      </c>
      <c r="B15" s="15"/>
      <c r="C15" s="16" t="s">
        <v>33</v>
      </c>
      <c r="D15" s="32">
        <f t="shared" si="2"/>
        <v>2.0049999999999999</v>
      </c>
      <c r="E15" s="15"/>
      <c r="F15" s="18">
        <f>-2500*30</f>
        <v>-75000</v>
      </c>
      <c r="G15" s="32">
        <v>1.66</v>
      </c>
      <c r="H15" s="32"/>
      <c r="I15" s="17">
        <f t="shared" si="0"/>
        <v>-25874.999999999996</v>
      </c>
      <c r="J15" s="19">
        <f t="shared" si="1"/>
        <v>-25874.999999999996</v>
      </c>
      <c r="K15" s="19"/>
    </row>
    <row r="16" spans="1:11" x14ac:dyDescent="0.2">
      <c r="A16" s="31">
        <v>36281</v>
      </c>
      <c r="B16" s="15"/>
      <c r="C16" s="16" t="s">
        <v>33</v>
      </c>
      <c r="D16" s="32">
        <f t="shared" si="2"/>
        <v>2.0049999999999999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12012.50000000002</v>
      </c>
      <c r="J16" s="19">
        <f t="shared" si="1"/>
        <v>12012.50000000002</v>
      </c>
      <c r="K16" s="19"/>
    </row>
    <row r="17" spans="1:12" x14ac:dyDescent="0.2">
      <c r="A17" s="31">
        <v>36312</v>
      </c>
      <c r="B17" s="15"/>
      <c r="C17" s="16" t="s">
        <v>33</v>
      </c>
      <c r="D17" s="32">
        <f t="shared" si="2"/>
        <v>2.0049999999999999</v>
      </c>
      <c r="E17" s="15"/>
      <c r="F17" s="18">
        <f>-2500*30</f>
        <v>-75000</v>
      </c>
      <c r="G17" s="32">
        <v>2.08</v>
      </c>
      <c r="H17" s="32"/>
      <c r="I17" s="17">
        <f t="shared" si="0"/>
        <v>5625.0000000000136</v>
      </c>
      <c r="J17" s="19">
        <f t="shared" si="1"/>
        <v>5625.0000000000136</v>
      </c>
      <c r="K17" s="19"/>
    </row>
    <row r="18" spans="1:12" x14ac:dyDescent="0.2">
      <c r="A18" s="31">
        <v>36342</v>
      </c>
      <c r="B18" s="15"/>
      <c r="C18" s="16" t="s">
        <v>33</v>
      </c>
      <c r="D18" s="32">
        <f t="shared" si="2"/>
        <v>2.0049999999999999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12787.500000000004</v>
      </c>
      <c r="J18" s="19">
        <f t="shared" si="1"/>
        <v>12787.500000000004</v>
      </c>
      <c r="K18" s="19"/>
    </row>
    <row r="19" spans="1:12" x14ac:dyDescent="0.2">
      <c r="A19" s="31">
        <v>36373</v>
      </c>
      <c r="B19" s="15"/>
      <c r="C19" s="16" t="s">
        <v>33</v>
      </c>
      <c r="D19" s="32">
        <f t="shared" si="2"/>
        <v>2.0049999999999999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35262.500000000007</v>
      </c>
      <c r="J19" s="19">
        <f t="shared" si="1"/>
        <v>35262.500000000007</v>
      </c>
      <c r="K19" s="19"/>
    </row>
    <row r="20" spans="1:12" x14ac:dyDescent="0.2">
      <c r="A20" s="31">
        <v>36404</v>
      </c>
      <c r="B20" s="15"/>
      <c r="C20" s="16" t="s">
        <v>33</v>
      </c>
      <c r="D20" s="32">
        <f t="shared" si="2"/>
        <v>2.0049999999999999</v>
      </c>
      <c r="E20" s="15"/>
      <c r="F20" s="18">
        <f>-2500*30</f>
        <v>-75000</v>
      </c>
      <c r="G20" s="32">
        <v>2.78</v>
      </c>
      <c r="H20" s="32"/>
      <c r="I20" s="17">
        <f>SUM(D20-G20)*F20</f>
        <v>58124.999999999993</v>
      </c>
      <c r="J20" s="19">
        <f t="shared" si="1"/>
        <v>58124.999999999993</v>
      </c>
      <c r="K20" s="19"/>
    </row>
    <row r="21" spans="1:12" x14ac:dyDescent="0.2">
      <c r="A21" s="31">
        <v>36434</v>
      </c>
      <c r="B21" s="15"/>
      <c r="C21" s="16" t="s">
        <v>33</v>
      </c>
      <c r="D21" s="32">
        <f t="shared" si="2"/>
        <v>2.0049999999999999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32162.500000000004</v>
      </c>
      <c r="J21" s="19">
        <f t="shared" si="1"/>
        <v>32162.500000000004</v>
      </c>
      <c r="K21" s="19"/>
    </row>
    <row r="22" spans="1:12" x14ac:dyDescent="0.2">
      <c r="A22" s="31">
        <v>36465</v>
      </c>
      <c r="B22" s="15"/>
      <c r="C22" s="16" t="s">
        <v>33</v>
      </c>
      <c r="D22" s="32">
        <f t="shared" si="2"/>
        <v>2.0049999999999999</v>
      </c>
      <c r="E22" s="15"/>
      <c r="F22" s="18">
        <f>-2500*30</f>
        <v>-75000</v>
      </c>
      <c r="G22" s="32">
        <v>2.87</v>
      </c>
      <c r="H22" s="32"/>
      <c r="I22" s="17">
        <f>SUM(D22-G22)*F22</f>
        <v>64875.000000000015</v>
      </c>
      <c r="J22" s="19">
        <f t="shared" si="1"/>
        <v>64875.000000000015</v>
      </c>
      <c r="K22" s="19"/>
    </row>
    <row r="23" spans="1:12" x14ac:dyDescent="0.2">
      <c r="A23" s="31">
        <v>36495</v>
      </c>
      <c r="B23" s="15"/>
      <c r="C23" s="16" t="s">
        <v>33</v>
      </c>
      <c r="D23" s="32">
        <f t="shared" si="2"/>
        <v>2.0049999999999999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5812.5000000000136</v>
      </c>
      <c r="J23" s="19">
        <f t="shared" si="1"/>
        <v>5812.5000000000136</v>
      </c>
      <c r="K23" s="19"/>
    </row>
    <row r="24" spans="1:12" x14ac:dyDescent="0.2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3">
        <f>SUM(I9:I23)</f>
        <v>97412.500000000102</v>
      </c>
      <c r="J24" s="33">
        <f>SUM(J9:J23)</f>
        <v>97412.500000000102</v>
      </c>
      <c r="K24" s="33">
        <f>SUM(K9:K23)</f>
        <v>0</v>
      </c>
      <c r="L24" s="43">
        <f>+J24+K24-I24</f>
        <v>0</v>
      </c>
    </row>
    <row r="25" spans="1:12" x14ac:dyDescent="0.2">
      <c r="A25" s="15"/>
      <c r="B25" s="15"/>
      <c r="C25" s="15"/>
      <c r="D25" s="15"/>
      <c r="E25" s="15"/>
      <c r="F25" s="38"/>
      <c r="G25" s="15"/>
      <c r="H25" s="15"/>
      <c r="I25" s="52"/>
      <c r="J25" s="53"/>
      <c r="K25" s="53"/>
      <c r="L25" s="43"/>
    </row>
    <row r="26" spans="1:12" x14ac:dyDescent="0.2">
      <c r="A26" s="15"/>
      <c r="B26" s="15"/>
      <c r="C26" s="15"/>
      <c r="D26" s="15"/>
      <c r="E26" s="15"/>
      <c r="F26" s="38"/>
      <c r="G26" s="50" t="s">
        <v>59</v>
      </c>
      <c r="H26" s="15"/>
      <c r="I26" s="52"/>
      <c r="J26" s="53"/>
      <c r="K26" s="53"/>
      <c r="L26" s="43"/>
    </row>
    <row r="27" spans="1:12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9"/>
      <c r="K27" s="19"/>
    </row>
    <row r="28" spans="1:12" x14ac:dyDescent="0.2">
      <c r="A28" s="31">
        <v>36069</v>
      </c>
      <c r="B28" s="15"/>
      <c r="C28" s="16" t="s">
        <v>46</v>
      </c>
      <c r="D28" s="32">
        <f>2.005</f>
        <v>2.0049999999999999</v>
      </c>
      <c r="E28" s="15"/>
      <c r="F28" s="18">
        <f>2500*31</f>
        <v>77500</v>
      </c>
      <c r="G28" s="32">
        <v>1.78</v>
      </c>
      <c r="H28" s="32"/>
      <c r="I28" s="17">
        <f t="shared" ref="I28:I38" si="4">SUM(D28-G28)*F28</f>
        <v>17437.499999999989</v>
      </c>
      <c r="J28" s="19">
        <f t="shared" ref="J28:J42" si="5">+I28</f>
        <v>17437.499999999989</v>
      </c>
      <c r="K28" s="19"/>
    </row>
    <row r="29" spans="1:12" x14ac:dyDescent="0.2">
      <c r="A29" s="31">
        <v>36100</v>
      </c>
      <c r="B29" s="15"/>
      <c r="C29" s="16" t="s">
        <v>46</v>
      </c>
      <c r="D29" s="32">
        <f t="shared" ref="D29:D42" si="6">2.005</f>
        <v>2.0049999999999999</v>
      </c>
      <c r="E29" s="15"/>
      <c r="F29" s="18">
        <f>2500*30</f>
        <v>75000</v>
      </c>
      <c r="G29" s="32">
        <v>1.99</v>
      </c>
      <c r="H29" s="61"/>
      <c r="I29" s="17">
        <f t="shared" si="4"/>
        <v>1124.9999999999927</v>
      </c>
      <c r="J29" s="19">
        <f t="shared" si="5"/>
        <v>1124.9999999999927</v>
      </c>
      <c r="K29" s="19"/>
    </row>
    <row r="30" spans="1:12" x14ac:dyDescent="0.2">
      <c r="A30" s="31">
        <v>36130</v>
      </c>
      <c r="B30" s="15"/>
      <c r="C30" s="16" t="s">
        <v>46</v>
      </c>
      <c r="D30" s="32">
        <f t="shared" si="6"/>
        <v>2.0049999999999999</v>
      </c>
      <c r="E30" s="15"/>
      <c r="F30" s="18">
        <f>2500*31</f>
        <v>77500</v>
      </c>
      <c r="G30" s="32">
        <v>1.74</v>
      </c>
      <c r="H30" s="61"/>
      <c r="I30" s="17">
        <f t="shared" si="4"/>
        <v>20537.499999999993</v>
      </c>
      <c r="J30" s="19">
        <f t="shared" si="5"/>
        <v>20537.499999999993</v>
      </c>
      <c r="K30" s="19"/>
    </row>
    <row r="31" spans="1:12" x14ac:dyDescent="0.2">
      <c r="A31" s="31">
        <v>36161</v>
      </c>
      <c r="B31" s="15"/>
      <c r="C31" s="16" t="s">
        <v>46</v>
      </c>
      <c r="D31" s="32">
        <f t="shared" si="6"/>
        <v>2.0049999999999999</v>
      </c>
      <c r="E31" s="15"/>
      <c r="F31" s="18">
        <f>2500*31</f>
        <v>77500</v>
      </c>
      <c r="G31" s="61">
        <v>1.73</v>
      </c>
      <c r="H31" s="61"/>
      <c r="I31" s="17">
        <f t="shared" si="4"/>
        <v>21312.499999999993</v>
      </c>
      <c r="J31" s="19">
        <f t="shared" si="5"/>
        <v>21312.499999999993</v>
      </c>
      <c r="K31" s="19"/>
    </row>
    <row r="32" spans="1:12" x14ac:dyDescent="0.2">
      <c r="A32" s="31">
        <v>36192</v>
      </c>
      <c r="B32" s="15"/>
      <c r="C32" s="16" t="s">
        <v>46</v>
      </c>
      <c r="D32" s="32">
        <f t="shared" si="6"/>
        <v>2.0049999999999999</v>
      </c>
      <c r="E32" s="15"/>
      <c r="F32" s="18">
        <f>2500*28</f>
        <v>70000</v>
      </c>
      <c r="G32" s="61">
        <v>1.63</v>
      </c>
      <c r="H32" s="61"/>
      <c r="I32" s="17">
        <f t="shared" si="4"/>
        <v>26250</v>
      </c>
      <c r="J32" s="19">
        <f t="shared" si="5"/>
        <v>26250</v>
      </c>
      <c r="K32" s="19"/>
    </row>
    <row r="33" spans="1:12" x14ac:dyDescent="0.2">
      <c r="A33" s="31">
        <v>36220</v>
      </c>
      <c r="B33" s="15"/>
      <c r="C33" s="16" t="s">
        <v>46</v>
      </c>
      <c r="D33" s="32">
        <f t="shared" si="6"/>
        <v>2.0049999999999999</v>
      </c>
      <c r="E33" s="15"/>
      <c r="F33" s="18">
        <f>2500*31</f>
        <v>77500</v>
      </c>
      <c r="G33" s="61">
        <v>1.59</v>
      </c>
      <c r="H33" s="61"/>
      <c r="I33" s="17">
        <f t="shared" si="4"/>
        <v>32162.499999999985</v>
      </c>
      <c r="J33" s="19">
        <f t="shared" si="5"/>
        <v>32162.499999999985</v>
      </c>
      <c r="K33" s="19"/>
    </row>
    <row r="34" spans="1:12" x14ac:dyDescent="0.2">
      <c r="A34" s="31">
        <v>36251</v>
      </c>
      <c r="B34" s="15"/>
      <c r="C34" s="16" t="s">
        <v>46</v>
      </c>
      <c r="D34" s="32">
        <f t="shared" si="6"/>
        <v>2.0049999999999999</v>
      </c>
      <c r="E34" s="15"/>
      <c r="F34" s="18">
        <f>2500*30</f>
        <v>75000</v>
      </c>
      <c r="G34" s="32">
        <v>1.94</v>
      </c>
      <c r="H34" s="61"/>
      <c r="I34" s="17">
        <f t="shared" si="4"/>
        <v>4874.9999999999964</v>
      </c>
      <c r="J34" s="19">
        <f t="shared" si="5"/>
        <v>4874.9999999999964</v>
      </c>
      <c r="K34" s="19"/>
    </row>
    <row r="35" spans="1:12" x14ac:dyDescent="0.2">
      <c r="A35" s="31">
        <v>36281</v>
      </c>
      <c r="B35" s="15"/>
      <c r="C35" s="16" t="s">
        <v>46</v>
      </c>
      <c r="D35" s="32">
        <f t="shared" si="6"/>
        <v>2.0049999999999999</v>
      </c>
      <c r="E35" s="15"/>
      <c r="F35" s="18">
        <f>2500*31</f>
        <v>77500</v>
      </c>
      <c r="G35" s="32">
        <v>2.06</v>
      </c>
      <c r="H35" s="61"/>
      <c r="I35" s="17">
        <f t="shared" si="4"/>
        <v>-4262.5000000000127</v>
      </c>
      <c r="J35" s="19">
        <f t="shared" si="5"/>
        <v>-4262.5000000000127</v>
      </c>
      <c r="K35" s="19"/>
    </row>
    <row r="36" spans="1:12" x14ac:dyDescent="0.2">
      <c r="A36" s="31">
        <v>36312</v>
      </c>
      <c r="B36" s="15"/>
      <c r="C36" s="16" t="s">
        <v>46</v>
      </c>
      <c r="D36" s="32">
        <f t="shared" si="6"/>
        <v>2.0049999999999999</v>
      </c>
      <c r="E36" s="15"/>
      <c r="F36" s="18">
        <f>2500*30</f>
        <v>75000</v>
      </c>
      <c r="G36" s="32">
        <v>2.0699999999999998</v>
      </c>
      <c r="H36" s="32"/>
      <c r="I36" s="17">
        <f t="shared" si="4"/>
        <v>-4874.9999999999964</v>
      </c>
      <c r="J36" s="19">
        <f t="shared" si="5"/>
        <v>-4874.9999999999964</v>
      </c>
      <c r="K36" s="19"/>
    </row>
    <row r="37" spans="1:12" x14ac:dyDescent="0.2">
      <c r="A37" s="31">
        <v>36342</v>
      </c>
      <c r="B37" s="15"/>
      <c r="C37" s="16" t="s">
        <v>46</v>
      </c>
      <c r="D37" s="32">
        <f t="shared" si="6"/>
        <v>2.0049999999999999</v>
      </c>
      <c r="E37" s="15"/>
      <c r="F37" s="18">
        <f>2500*31</f>
        <v>77500</v>
      </c>
      <c r="G37" s="32">
        <v>2.11</v>
      </c>
      <c r="H37" s="32"/>
      <c r="I37" s="17">
        <f t="shared" si="4"/>
        <v>-8137.4999999999982</v>
      </c>
      <c r="J37" s="19">
        <f t="shared" si="5"/>
        <v>-8137.4999999999982</v>
      </c>
      <c r="K37" s="19"/>
    </row>
    <row r="38" spans="1:12" x14ac:dyDescent="0.2">
      <c r="A38" s="31">
        <v>36373</v>
      </c>
      <c r="B38" s="15"/>
      <c r="C38" s="16" t="s">
        <v>46</v>
      </c>
      <c r="D38" s="32">
        <f t="shared" si="6"/>
        <v>2.0049999999999999</v>
      </c>
      <c r="E38" s="15"/>
      <c r="F38" s="18">
        <f>2500*31</f>
        <v>77500</v>
      </c>
      <c r="G38" s="32">
        <v>2.5099999999999998</v>
      </c>
      <c r="H38" s="32"/>
      <c r="I38" s="17">
        <f t="shared" si="4"/>
        <v>-39137.499999999993</v>
      </c>
      <c r="J38" s="19">
        <f t="shared" si="5"/>
        <v>-39137.499999999993</v>
      </c>
      <c r="K38" s="19"/>
    </row>
    <row r="39" spans="1:12" x14ac:dyDescent="0.2">
      <c r="A39" s="31">
        <v>36404</v>
      </c>
      <c r="B39" s="15"/>
      <c r="C39" s="16" t="s">
        <v>46</v>
      </c>
      <c r="D39" s="32">
        <f t="shared" si="6"/>
        <v>2.0049999999999999</v>
      </c>
      <c r="E39" s="15"/>
      <c r="F39" s="18">
        <f>2500*30</f>
        <v>75000</v>
      </c>
      <c r="G39" s="32">
        <v>2.36</v>
      </c>
      <c r="H39" s="32"/>
      <c r="I39" s="17">
        <f>SUM(D39-G39)*F39</f>
        <v>-26625</v>
      </c>
      <c r="J39" s="19">
        <f t="shared" si="5"/>
        <v>-26625</v>
      </c>
      <c r="K39" s="19"/>
    </row>
    <row r="40" spans="1:12" x14ac:dyDescent="0.2">
      <c r="A40" s="31">
        <v>36434</v>
      </c>
      <c r="B40" s="15"/>
      <c r="C40" s="16" t="s">
        <v>46</v>
      </c>
      <c r="D40" s="32">
        <f t="shared" si="6"/>
        <v>2.0049999999999999</v>
      </c>
      <c r="E40" s="15"/>
      <c r="F40" s="18">
        <f>2500*31</f>
        <v>77500</v>
      </c>
      <c r="G40" s="32">
        <v>2.62</v>
      </c>
      <c r="H40" s="32"/>
      <c r="I40" s="17">
        <f>SUM(D40-G40)*F40</f>
        <v>-47662.500000000015</v>
      </c>
      <c r="J40" s="19">
        <f t="shared" si="5"/>
        <v>-47662.500000000015</v>
      </c>
      <c r="K40" s="19"/>
    </row>
    <row r="41" spans="1:12" x14ac:dyDescent="0.2">
      <c r="A41" s="31">
        <v>36465</v>
      </c>
      <c r="B41" s="15"/>
      <c r="C41" s="16" t="s">
        <v>46</v>
      </c>
      <c r="D41" s="32">
        <f t="shared" si="6"/>
        <v>2.0049999999999999</v>
      </c>
      <c r="E41" s="15"/>
      <c r="F41" s="18">
        <f>2500*30</f>
        <v>75000</v>
      </c>
      <c r="G41" s="32">
        <v>2.17</v>
      </c>
      <c r="H41" s="32"/>
      <c r="I41" s="17">
        <f>SUM(D41-G41)*F41</f>
        <v>-12375.000000000002</v>
      </c>
      <c r="J41" s="19">
        <f t="shared" si="5"/>
        <v>-12375.000000000002</v>
      </c>
      <c r="K41" s="19"/>
    </row>
    <row r="42" spans="1:12" x14ac:dyDescent="0.2">
      <c r="A42" s="31">
        <v>36495</v>
      </c>
      <c r="B42" s="15"/>
      <c r="C42" s="16" t="s">
        <v>46</v>
      </c>
      <c r="D42" s="32">
        <f t="shared" si="6"/>
        <v>2.0049999999999999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-18212.500000000025</v>
      </c>
      <c r="J42" s="19">
        <f t="shared" si="5"/>
        <v>-18212.500000000025</v>
      </c>
      <c r="K42" s="19"/>
    </row>
    <row r="43" spans="1:12" x14ac:dyDescent="0.2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-37587.500000000102</v>
      </c>
      <c r="J43" s="33">
        <f>SUM(J28:J42)</f>
        <v>-37587.500000000102</v>
      </c>
      <c r="K43" s="33">
        <f>SUM(K28:K42)</f>
        <v>0</v>
      </c>
      <c r="L43" s="43">
        <f>+J43+K43-I43</f>
        <v>0</v>
      </c>
    </row>
    <row r="44" spans="1:12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9"/>
      <c r="K44" s="19"/>
    </row>
    <row r="45" spans="1:12" ht="13.5" thickBot="1" x14ac:dyDescent="0.25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</v>
      </c>
      <c r="J45" s="34">
        <f>+J43+J24</f>
        <v>59825</v>
      </c>
      <c r="K45" s="34">
        <f>+K43+K24</f>
        <v>0</v>
      </c>
      <c r="L45" s="43">
        <f>+J45+K45-I45</f>
        <v>0</v>
      </c>
    </row>
    <row r="46" spans="1:12" ht="13.5" thickTop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7"/>
      <c r="K46" s="27"/>
    </row>
    <row r="48" spans="1:12" x14ac:dyDescent="0.2">
      <c r="A48" s="29" t="s">
        <v>47</v>
      </c>
      <c r="J48"/>
      <c r="K48"/>
    </row>
  </sheetData>
  <printOptions horizontalCentered="1" verticalCentered="1"/>
  <pageMargins left="0.25" right="0.25" top="1" bottom="1" header="0.5" footer="0.5"/>
  <pageSetup scale="79" orientation="landscape" horizontalDpi="300" verticalDpi="300" r:id="rId1"/>
  <headerFooter alignWithMargins="0">
    <oddFooter xml:space="preserve">&amp;L&amp;"Arial,Italic"&amp;8&amp;D&amp;T&amp;R&amp;"Arial,Italic"&amp;8G:/Common/TW Fuel Hedge/Fixed2_Avista_2
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topLeftCell="I33" workbookViewId="0">
      <pane xSplit="9165" topLeftCell="I1"/>
      <selection activeCell="A4" sqref="A4:IV4"/>
      <selection pane="topRight" activeCell="I1" sqref="I1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3.7109375" customWidth="1"/>
    <col min="10" max="11" width="13.4257812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36069</v>
      </c>
      <c r="B9" s="15"/>
      <c r="C9" s="16" t="s">
        <v>38</v>
      </c>
      <c r="D9" s="32">
        <f>2.1</f>
        <v>2.1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-21700.000000000004</v>
      </c>
      <c r="J9" s="41">
        <f t="shared" ref="J9:J23" si="1">+I9</f>
        <v>-21700.000000000004</v>
      </c>
      <c r="K9" s="41"/>
    </row>
    <row r="10" spans="1:11" x14ac:dyDescent="0.2">
      <c r="A10" s="31">
        <v>36100</v>
      </c>
      <c r="B10" s="15"/>
      <c r="C10" s="16" t="s">
        <v>38</v>
      </c>
      <c r="D10" s="32">
        <f t="shared" ref="D10:D23" si="2">2.1</f>
        <v>2.1</v>
      </c>
      <c r="E10" s="15"/>
      <c r="F10" s="18">
        <f>-2500*30</f>
        <v>-75000</v>
      </c>
      <c r="G10" s="32">
        <v>1.92</v>
      </c>
      <c r="H10" s="32"/>
      <c r="I10" s="17">
        <f t="shared" si="0"/>
        <v>-13500.000000000013</v>
      </c>
      <c r="J10" s="41">
        <f t="shared" si="1"/>
        <v>-13500.000000000013</v>
      </c>
      <c r="K10" s="41"/>
    </row>
    <row r="11" spans="1:11" x14ac:dyDescent="0.2">
      <c r="A11" s="31">
        <v>36130</v>
      </c>
      <c r="B11" s="15"/>
      <c r="C11" s="16" t="s">
        <v>38</v>
      </c>
      <c r="D11" s="32">
        <f t="shared" si="2"/>
        <v>2.1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-8525.0000000000073</v>
      </c>
      <c r="J11" s="41">
        <f t="shared" si="1"/>
        <v>-8525.0000000000073</v>
      </c>
      <c r="K11" s="41"/>
    </row>
    <row r="12" spans="1:11" x14ac:dyDescent="0.2">
      <c r="A12" s="31">
        <v>36161</v>
      </c>
      <c r="B12" s="15"/>
      <c r="C12" s="16" t="s">
        <v>38</v>
      </c>
      <c r="D12" s="32">
        <f t="shared" si="2"/>
        <v>2.1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-28675.000000000007</v>
      </c>
      <c r="J12" s="41">
        <f t="shared" si="1"/>
        <v>-28675.000000000007</v>
      </c>
      <c r="K12" s="41"/>
    </row>
    <row r="13" spans="1:11" x14ac:dyDescent="0.2">
      <c r="A13" s="31">
        <v>36192</v>
      </c>
      <c r="B13" s="15"/>
      <c r="C13" s="16" t="s">
        <v>38</v>
      </c>
      <c r="D13" s="32">
        <f t="shared" si="2"/>
        <v>2.1</v>
      </c>
      <c r="E13" s="15"/>
      <c r="F13" s="18">
        <f>-2500*28</f>
        <v>-70000</v>
      </c>
      <c r="G13" s="32">
        <v>1.66</v>
      </c>
      <c r="H13" s="32"/>
      <c r="I13" s="17">
        <f t="shared" si="0"/>
        <v>-30800.000000000011</v>
      </c>
      <c r="J13" s="41">
        <f t="shared" si="1"/>
        <v>-30800.000000000011</v>
      </c>
      <c r="K13" s="41"/>
    </row>
    <row r="14" spans="1:11" x14ac:dyDescent="0.2">
      <c r="A14" s="31">
        <v>36220</v>
      </c>
      <c r="B14" s="15"/>
      <c r="C14" s="16" t="s">
        <v>38</v>
      </c>
      <c r="D14" s="32">
        <f t="shared" si="2"/>
        <v>2.1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-43400.000000000007</v>
      </c>
      <c r="J14" s="41">
        <f t="shared" si="1"/>
        <v>-43400.000000000007</v>
      </c>
      <c r="K14" s="41"/>
    </row>
    <row r="15" spans="1:11" x14ac:dyDescent="0.2">
      <c r="A15" s="31">
        <v>36251</v>
      </c>
      <c r="B15" s="15"/>
      <c r="C15" s="16" t="s">
        <v>38</v>
      </c>
      <c r="D15" s="32">
        <f t="shared" si="2"/>
        <v>2.1</v>
      </c>
      <c r="E15" s="15"/>
      <c r="F15" s="18">
        <f>-2500*30</f>
        <v>-75000</v>
      </c>
      <c r="G15" s="32">
        <v>1.66</v>
      </c>
      <c r="H15" s="32"/>
      <c r="I15" s="17">
        <f t="shared" si="0"/>
        <v>-33000.000000000015</v>
      </c>
      <c r="J15" s="41">
        <f t="shared" si="1"/>
        <v>-33000.000000000015</v>
      </c>
      <c r="K15" s="41"/>
    </row>
    <row r="16" spans="1:11" x14ac:dyDescent="0.2">
      <c r="A16" s="31">
        <v>36281</v>
      </c>
      <c r="B16" s="15"/>
      <c r="C16" s="16" t="s">
        <v>38</v>
      </c>
      <c r="D16" s="32">
        <f t="shared" si="2"/>
        <v>2.1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4650.0000000000045</v>
      </c>
      <c r="J16" s="41">
        <f t="shared" si="1"/>
        <v>4650.0000000000045</v>
      </c>
      <c r="K16" s="41"/>
    </row>
    <row r="17" spans="1:11" x14ac:dyDescent="0.2">
      <c r="A17" s="31">
        <v>36312</v>
      </c>
      <c r="B17" s="15"/>
      <c r="C17" s="16" t="s">
        <v>38</v>
      </c>
      <c r="D17" s="32">
        <f t="shared" si="2"/>
        <v>2.1</v>
      </c>
      <c r="E17" s="15"/>
      <c r="F17" s="18">
        <f>-2500*30</f>
        <v>-75000</v>
      </c>
      <c r="G17" s="32">
        <v>2.08</v>
      </c>
      <c r="H17" s="32"/>
      <c r="I17" s="17">
        <f t="shared" si="0"/>
        <v>-1500.0000000000014</v>
      </c>
      <c r="J17" s="41">
        <f t="shared" si="1"/>
        <v>-1500.0000000000014</v>
      </c>
      <c r="K17" s="41"/>
    </row>
    <row r="18" spans="1:11" x14ac:dyDescent="0.2">
      <c r="A18" s="31">
        <v>36342</v>
      </c>
      <c r="B18" s="15"/>
      <c r="C18" s="16" t="s">
        <v>38</v>
      </c>
      <c r="D18" s="32">
        <f t="shared" si="2"/>
        <v>2.1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5424.9999999999873</v>
      </c>
      <c r="J18" s="41">
        <f t="shared" si="1"/>
        <v>5424.9999999999873</v>
      </c>
      <c r="K18" s="41"/>
    </row>
    <row r="19" spans="1:11" x14ac:dyDescent="0.2">
      <c r="A19" s="31">
        <v>36373</v>
      </c>
      <c r="B19" s="15"/>
      <c r="C19" s="16" t="s">
        <v>38</v>
      </c>
      <c r="D19" s="32">
        <f t="shared" si="2"/>
        <v>2.1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27899.999999999989</v>
      </c>
      <c r="J19" s="41">
        <f t="shared" si="1"/>
        <v>27899.999999999989</v>
      </c>
      <c r="K19" s="41"/>
    </row>
    <row r="20" spans="1:11" x14ac:dyDescent="0.2">
      <c r="A20" s="31">
        <v>36404</v>
      </c>
      <c r="B20" s="15"/>
      <c r="C20" s="16" t="s">
        <v>38</v>
      </c>
      <c r="D20" s="32">
        <f t="shared" si="2"/>
        <v>2.1</v>
      </c>
      <c r="E20" s="15"/>
      <c r="F20" s="18">
        <f>-2500*30</f>
        <v>-75000</v>
      </c>
      <c r="G20" s="32">
        <v>2.78</v>
      </c>
      <c r="H20" s="32"/>
      <c r="I20" s="17">
        <f>SUM(D20-G20)*F20</f>
        <v>50999.999999999978</v>
      </c>
      <c r="J20" s="41">
        <f t="shared" si="1"/>
        <v>50999.999999999978</v>
      </c>
      <c r="K20" s="41"/>
    </row>
    <row r="21" spans="1:11" x14ac:dyDescent="0.2">
      <c r="A21" s="31">
        <v>36434</v>
      </c>
      <c r="B21" s="15"/>
      <c r="C21" s="16" t="s">
        <v>38</v>
      </c>
      <c r="D21" s="32">
        <f t="shared" si="2"/>
        <v>2.1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24799.999999999989</v>
      </c>
      <c r="J21" s="41">
        <f t="shared" si="1"/>
        <v>24799.999999999989</v>
      </c>
      <c r="K21" s="41"/>
    </row>
    <row r="22" spans="1:11" x14ac:dyDescent="0.2">
      <c r="A22" s="31">
        <v>36465</v>
      </c>
      <c r="B22" s="15"/>
      <c r="C22" s="16" t="s">
        <v>38</v>
      </c>
      <c r="D22" s="32">
        <f t="shared" si="2"/>
        <v>2.1</v>
      </c>
      <c r="E22" s="15"/>
      <c r="F22" s="18">
        <f>-2500*30</f>
        <v>-75000</v>
      </c>
      <c r="G22" s="32">
        <v>2.87</v>
      </c>
      <c r="H22" s="32"/>
      <c r="I22" s="17">
        <f>SUM(D22-G22)*F22</f>
        <v>57750</v>
      </c>
      <c r="J22" s="41">
        <f t="shared" si="1"/>
        <v>57750</v>
      </c>
      <c r="K22" s="41"/>
    </row>
    <row r="23" spans="1:11" x14ac:dyDescent="0.2">
      <c r="A23" s="31">
        <v>36495</v>
      </c>
      <c r="B23" s="15"/>
      <c r="C23" s="16" t="s">
        <v>38</v>
      </c>
      <c r="D23" s="32">
        <f t="shared" si="2"/>
        <v>2.1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-1550.0000000000014</v>
      </c>
      <c r="J23" s="41">
        <f t="shared" si="1"/>
        <v>-1550.0000000000014</v>
      </c>
      <c r="K23" s="41"/>
    </row>
    <row r="24" spans="1:11" x14ac:dyDescent="0.2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5">
        <f>SUM(I9:I23)</f>
        <v>-11125.000000000104</v>
      </c>
      <c r="J24" s="35">
        <f>SUM(J9:J23)</f>
        <v>-11125.000000000104</v>
      </c>
      <c r="K24" s="35">
        <f>SUM(K9:K23)</f>
        <v>0</v>
      </c>
    </row>
    <row r="25" spans="1:11" x14ac:dyDescent="0.2">
      <c r="A25" s="15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">
      <c r="A26" s="15"/>
      <c r="B26" s="15"/>
      <c r="C26" s="15"/>
      <c r="D26" s="15"/>
      <c r="E26" s="15"/>
      <c r="F26" s="15"/>
      <c r="G26" s="50" t="s">
        <v>59</v>
      </c>
      <c r="H26" s="36"/>
      <c r="I26" s="15"/>
      <c r="J26" s="39"/>
      <c r="K26" s="39"/>
    </row>
    <row r="27" spans="1:11" x14ac:dyDescent="0.2">
      <c r="A27" s="15"/>
      <c r="B27" s="15"/>
      <c r="C27" s="15"/>
      <c r="D27" s="15"/>
      <c r="E27" s="15"/>
      <c r="F27" s="15"/>
      <c r="G27" s="49"/>
      <c r="H27" s="36"/>
      <c r="I27" s="15"/>
      <c r="J27" s="39"/>
      <c r="K27" s="39"/>
    </row>
    <row r="28" spans="1:11" x14ac:dyDescent="0.2">
      <c r="A28" s="31">
        <v>36069</v>
      </c>
      <c r="B28" s="15"/>
      <c r="C28" s="16" t="s">
        <v>46</v>
      </c>
      <c r="D28" s="32">
        <f t="shared" ref="D28:D42" si="4">2.1</f>
        <v>2.1</v>
      </c>
      <c r="E28" s="15"/>
      <c r="F28" s="18">
        <f>2500*31</f>
        <v>77500</v>
      </c>
      <c r="G28" s="32">
        <v>1.78</v>
      </c>
      <c r="H28" s="32"/>
      <c r="I28" s="17">
        <f t="shared" ref="I28:I38" si="5">SUM(D28-G28)*F28</f>
        <v>24800.000000000004</v>
      </c>
      <c r="J28" s="41">
        <f t="shared" ref="J28:J42" si="6">+I28</f>
        <v>24800.000000000004</v>
      </c>
      <c r="K28" s="41"/>
    </row>
    <row r="29" spans="1:11" x14ac:dyDescent="0.2">
      <c r="A29" s="31">
        <v>36100</v>
      </c>
      <c r="B29" s="15"/>
      <c r="C29" s="16" t="s">
        <v>46</v>
      </c>
      <c r="D29" s="32">
        <f t="shared" si="4"/>
        <v>2.1</v>
      </c>
      <c r="E29" s="15"/>
      <c r="F29" s="18">
        <f>2500*30</f>
        <v>75000</v>
      </c>
      <c r="G29" s="32">
        <v>1.99</v>
      </c>
      <c r="H29" s="61"/>
      <c r="I29" s="17">
        <f t="shared" si="5"/>
        <v>8250.0000000000073</v>
      </c>
      <c r="J29" s="41">
        <f t="shared" si="6"/>
        <v>8250.0000000000073</v>
      </c>
      <c r="K29" s="41"/>
    </row>
    <row r="30" spans="1:11" x14ac:dyDescent="0.2">
      <c r="A30" s="31">
        <v>36130</v>
      </c>
      <c r="B30" s="15"/>
      <c r="C30" s="16" t="s">
        <v>46</v>
      </c>
      <c r="D30" s="32">
        <f t="shared" si="4"/>
        <v>2.1</v>
      </c>
      <c r="E30" s="15"/>
      <c r="F30" s="18">
        <f>2500*31</f>
        <v>77500</v>
      </c>
      <c r="G30" s="32">
        <v>1.74</v>
      </c>
      <c r="H30" s="61"/>
      <c r="I30" s="17">
        <f t="shared" si="5"/>
        <v>27900.000000000007</v>
      </c>
      <c r="J30" s="41">
        <f t="shared" si="6"/>
        <v>27900.000000000007</v>
      </c>
      <c r="K30" s="41"/>
    </row>
    <row r="31" spans="1:11" x14ac:dyDescent="0.2">
      <c r="A31" s="31">
        <v>36161</v>
      </c>
      <c r="B31" s="15"/>
      <c r="C31" s="16" t="s">
        <v>46</v>
      </c>
      <c r="D31" s="32">
        <f t="shared" si="4"/>
        <v>2.1</v>
      </c>
      <c r="E31" s="15"/>
      <c r="F31" s="18">
        <f>2500*31</f>
        <v>77500</v>
      </c>
      <c r="G31" s="61">
        <v>1.73</v>
      </c>
      <c r="H31" s="61"/>
      <c r="I31" s="17">
        <f t="shared" si="5"/>
        <v>28675.000000000007</v>
      </c>
      <c r="J31" s="41">
        <f t="shared" si="6"/>
        <v>28675.000000000007</v>
      </c>
      <c r="K31" s="41"/>
    </row>
    <row r="32" spans="1:11" x14ac:dyDescent="0.2">
      <c r="A32" s="31">
        <v>36192</v>
      </c>
      <c r="B32" s="15"/>
      <c r="C32" s="16" t="s">
        <v>46</v>
      </c>
      <c r="D32" s="32">
        <f t="shared" si="4"/>
        <v>2.1</v>
      </c>
      <c r="E32" s="15"/>
      <c r="F32" s="18">
        <f>2500*28</f>
        <v>70000</v>
      </c>
      <c r="G32" s="61">
        <v>1.63</v>
      </c>
      <c r="H32" s="61"/>
      <c r="I32" s="17">
        <f t="shared" si="5"/>
        <v>32900.000000000015</v>
      </c>
      <c r="J32" s="41">
        <f t="shared" si="6"/>
        <v>32900.000000000015</v>
      </c>
      <c r="K32" s="41"/>
    </row>
    <row r="33" spans="1:11" x14ac:dyDescent="0.2">
      <c r="A33" s="31">
        <v>36220</v>
      </c>
      <c r="B33" s="15"/>
      <c r="C33" s="16" t="s">
        <v>46</v>
      </c>
      <c r="D33" s="32">
        <f t="shared" si="4"/>
        <v>2.1</v>
      </c>
      <c r="E33" s="15"/>
      <c r="F33" s="18">
        <f>2500*31</f>
        <v>77500</v>
      </c>
      <c r="G33" s="61">
        <v>1.59</v>
      </c>
      <c r="H33" s="61"/>
      <c r="I33" s="17">
        <f t="shared" si="5"/>
        <v>39525</v>
      </c>
      <c r="J33" s="41">
        <f t="shared" si="6"/>
        <v>39525</v>
      </c>
      <c r="K33" s="41"/>
    </row>
    <row r="34" spans="1:11" x14ac:dyDescent="0.2">
      <c r="A34" s="31">
        <v>36251</v>
      </c>
      <c r="B34" s="15"/>
      <c r="C34" s="16" t="s">
        <v>46</v>
      </c>
      <c r="D34" s="32">
        <f t="shared" si="4"/>
        <v>2.1</v>
      </c>
      <c r="E34" s="15"/>
      <c r="F34" s="18">
        <f>2500*30</f>
        <v>75000</v>
      </c>
      <c r="G34" s="32">
        <v>1.94</v>
      </c>
      <c r="H34" s="61"/>
      <c r="I34" s="17">
        <f t="shared" si="5"/>
        <v>12000.000000000011</v>
      </c>
      <c r="J34" s="41">
        <f t="shared" si="6"/>
        <v>12000.000000000011</v>
      </c>
      <c r="K34" s="41"/>
    </row>
    <row r="35" spans="1:11" x14ac:dyDescent="0.2">
      <c r="A35" s="31">
        <v>36281</v>
      </c>
      <c r="B35" s="15"/>
      <c r="C35" s="16" t="s">
        <v>46</v>
      </c>
      <c r="D35" s="32">
        <f t="shared" si="4"/>
        <v>2.1</v>
      </c>
      <c r="E35" s="15"/>
      <c r="F35" s="18">
        <f>2500*31</f>
        <v>77500</v>
      </c>
      <c r="G35" s="32">
        <v>2.06</v>
      </c>
      <c r="H35" s="61"/>
      <c r="I35" s="17">
        <f t="shared" si="5"/>
        <v>3100.0000000000027</v>
      </c>
      <c r="J35" s="41">
        <f t="shared" si="6"/>
        <v>3100.0000000000027</v>
      </c>
      <c r="K35" s="41"/>
    </row>
    <row r="36" spans="1:11" x14ac:dyDescent="0.2">
      <c r="A36" s="31">
        <v>36312</v>
      </c>
      <c r="B36" s="15"/>
      <c r="C36" s="16" t="s">
        <v>46</v>
      </c>
      <c r="D36" s="32">
        <f t="shared" si="4"/>
        <v>2.1</v>
      </c>
      <c r="E36" s="15"/>
      <c r="F36" s="18">
        <f>2500*30</f>
        <v>75000</v>
      </c>
      <c r="G36" s="32">
        <v>2.0699999999999998</v>
      </c>
      <c r="H36" s="32"/>
      <c r="I36" s="17">
        <f t="shared" si="5"/>
        <v>2250.0000000000186</v>
      </c>
      <c r="J36" s="41">
        <f t="shared" si="6"/>
        <v>2250.0000000000186</v>
      </c>
      <c r="K36" s="41"/>
    </row>
    <row r="37" spans="1:11" x14ac:dyDescent="0.2">
      <c r="A37" s="31">
        <v>36342</v>
      </c>
      <c r="B37" s="15"/>
      <c r="C37" s="16" t="s">
        <v>46</v>
      </c>
      <c r="D37" s="32">
        <f t="shared" si="4"/>
        <v>2.1</v>
      </c>
      <c r="E37" s="15"/>
      <c r="F37" s="18">
        <f>2500*31</f>
        <v>77500</v>
      </c>
      <c r="G37" s="32">
        <v>2.11</v>
      </c>
      <c r="H37" s="32"/>
      <c r="I37" s="17">
        <f t="shared" si="5"/>
        <v>-774.99999999998352</v>
      </c>
      <c r="J37" s="41">
        <f t="shared" si="6"/>
        <v>-774.99999999998352</v>
      </c>
      <c r="K37" s="41"/>
    </row>
    <row r="38" spans="1:11" x14ac:dyDescent="0.2">
      <c r="A38" s="31">
        <v>36373</v>
      </c>
      <c r="B38" s="15"/>
      <c r="C38" s="16" t="s">
        <v>46</v>
      </c>
      <c r="D38" s="32">
        <f t="shared" si="4"/>
        <v>2.1</v>
      </c>
      <c r="E38" s="15"/>
      <c r="F38" s="18">
        <f>2500*31</f>
        <v>77500</v>
      </c>
      <c r="G38" s="32">
        <v>2.5099999999999998</v>
      </c>
      <c r="H38" s="32"/>
      <c r="I38" s="17">
        <f t="shared" si="5"/>
        <v>-31774.999999999978</v>
      </c>
      <c r="J38" s="41">
        <f t="shared" si="6"/>
        <v>-31774.999999999978</v>
      </c>
      <c r="K38" s="41"/>
    </row>
    <row r="39" spans="1:11" x14ac:dyDescent="0.2">
      <c r="A39" s="31">
        <v>36404</v>
      </c>
      <c r="B39" s="15"/>
      <c r="C39" s="16" t="s">
        <v>46</v>
      </c>
      <c r="D39" s="32">
        <f t="shared" si="4"/>
        <v>2.1</v>
      </c>
      <c r="E39" s="15"/>
      <c r="F39" s="18">
        <f>2500*30</f>
        <v>75000</v>
      </c>
      <c r="G39" s="32">
        <v>2.36</v>
      </c>
      <c r="H39" s="32"/>
      <c r="I39" s="17">
        <f>SUM(D39-G39)*F39</f>
        <v>-19499.999999999985</v>
      </c>
      <c r="J39" s="41">
        <f t="shared" si="6"/>
        <v>-19499.999999999985</v>
      </c>
      <c r="K39" s="41"/>
    </row>
    <row r="40" spans="1:11" x14ac:dyDescent="0.2">
      <c r="A40" s="31">
        <v>36434</v>
      </c>
      <c r="B40" s="15"/>
      <c r="C40" s="16" t="s">
        <v>46</v>
      </c>
      <c r="D40" s="32">
        <f t="shared" si="4"/>
        <v>2.1</v>
      </c>
      <c r="E40" s="15"/>
      <c r="F40" s="18">
        <f>2500*31</f>
        <v>77500</v>
      </c>
      <c r="G40" s="32">
        <v>2.62</v>
      </c>
      <c r="H40" s="32"/>
      <c r="I40" s="17">
        <f>SUM(D40-G40)*F40</f>
        <v>-40300</v>
      </c>
      <c r="J40" s="41">
        <f t="shared" si="6"/>
        <v>-40300</v>
      </c>
      <c r="K40" s="41"/>
    </row>
    <row r="41" spans="1:11" x14ac:dyDescent="0.2">
      <c r="A41" s="31">
        <v>36465</v>
      </c>
      <c r="B41" s="15"/>
      <c r="C41" s="16" t="s">
        <v>46</v>
      </c>
      <c r="D41" s="32">
        <f t="shared" si="4"/>
        <v>2.1</v>
      </c>
      <c r="E41" s="15"/>
      <c r="F41" s="18">
        <f>2500*30</f>
        <v>75000</v>
      </c>
      <c r="G41" s="32">
        <v>2.17</v>
      </c>
      <c r="H41" s="32"/>
      <c r="I41" s="17">
        <f>SUM(D41-G41)*F41</f>
        <v>-5249.9999999999882</v>
      </c>
      <c r="J41" s="41">
        <f t="shared" si="6"/>
        <v>-5249.9999999999882</v>
      </c>
      <c r="K41" s="41"/>
    </row>
    <row r="42" spans="1:11" x14ac:dyDescent="0.2">
      <c r="A42" s="31">
        <v>36495</v>
      </c>
      <c r="B42" s="15"/>
      <c r="C42" s="16" t="s">
        <v>46</v>
      </c>
      <c r="D42" s="32">
        <f t="shared" si="4"/>
        <v>2.1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-10850.000000000009</v>
      </c>
      <c r="J42" s="41">
        <f t="shared" si="6"/>
        <v>-10850.000000000009</v>
      </c>
      <c r="K42" s="41"/>
    </row>
    <row r="43" spans="1:11" x14ac:dyDescent="0.2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70950.00000000016</v>
      </c>
      <c r="J43" s="33">
        <f>SUM(J28:J42)</f>
        <v>70950.00000000016</v>
      </c>
      <c r="K43" s="33">
        <f>SUM(K28:K42)</f>
        <v>0</v>
      </c>
    </row>
    <row r="44" spans="1:1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39"/>
      <c r="K44" s="39"/>
    </row>
    <row r="45" spans="1:11" ht="13.5" thickBot="1" x14ac:dyDescent="0.25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59825.000000000058</v>
      </c>
      <c r="J45" s="34">
        <f>+J43+J24</f>
        <v>59825.000000000058</v>
      </c>
      <c r="K45" s="34">
        <f>+K43+K24</f>
        <v>0</v>
      </c>
    </row>
    <row r="46" spans="1:11" ht="13.5" thickTop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40"/>
      <c r="K46" s="40"/>
    </row>
    <row r="48" spans="1:11" x14ac:dyDescent="0.2">
      <c r="A48" s="29" t="s">
        <v>47</v>
      </c>
    </row>
  </sheetData>
  <printOptions horizontalCentered="1" verticalCentered="1"/>
  <pageMargins left="0.75" right="0.75" top="1" bottom="1" header="0.5" footer="0.5"/>
  <pageSetup scale="75" orientation="landscape" horizontalDpi="300" verticalDpi="300" r:id="rId1"/>
  <headerFooter alignWithMargins="0">
    <oddFooter xml:space="preserve">&amp;L&amp;"Arial,Italic"&amp;8&amp;D&amp;T&amp;R&amp;"Arial,Italic"&amp;8G:/Common/TW Fuel Hedge/Fixed2_Sempra_2
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opLeftCell="C1" workbookViewId="0">
      <selection activeCell="F17" sqref="F17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36281</v>
      </c>
      <c r="B9" s="15"/>
      <c r="C9" s="16" t="s">
        <v>38</v>
      </c>
      <c r="D9" s="32">
        <v>2.0099999999999998</v>
      </c>
      <c r="E9" s="15"/>
      <c r="F9" s="18">
        <f>-10000*31</f>
        <v>-310000</v>
      </c>
      <c r="G9" s="32">
        <v>2.16</v>
      </c>
      <c r="H9" s="32"/>
      <c r="I9" s="17">
        <f t="shared" ref="I9:I16" si="0">SUM(D9-G9)*F9</f>
        <v>46500.000000000109</v>
      </c>
      <c r="J9" s="41">
        <f t="shared" ref="J9:J16" si="1">+I9</f>
        <v>46500.000000000109</v>
      </c>
      <c r="K9" s="41"/>
    </row>
    <row r="10" spans="1:11" x14ac:dyDescent="0.2">
      <c r="A10" s="31">
        <v>36312</v>
      </c>
      <c r="B10" s="15"/>
      <c r="C10" s="16" t="s">
        <v>38</v>
      </c>
      <c r="D10" s="32">
        <v>2.0099999999999998</v>
      </c>
      <c r="E10" s="15"/>
      <c r="F10" s="18">
        <f>-10000*30</f>
        <v>-300000</v>
      </c>
      <c r="G10" s="32">
        <v>2.08</v>
      </c>
      <c r="H10" s="32"/>
      <c r="I10" s="17">
        <f t="shared" si="0"/>
        <v>21000.000000000084</v>
      </c>
      <c r="J10" s="41">
        <f t="shared" si="1"/>
        <v>21000.000000000084</v>
      </c>
      <c r="K10" s="41"/>
    </row>
    <row r="11" spans="1:11" x14ac:dyDescent="0.2">
      <c r="A11" s="31">
        <v>36342</v>
      </c>
      <c r="B11" s="15"/>
      <c r="C11" s="16" t="s">
        <v>38</v>
      </c>
      <c r="D11" s="32">
        <v>2.0099999999999998</v>
      </c>
      <c r="E11" s="15"/>
      <c r="F11" s="18">
        <f t="shared" ref="F11:F16" si="2">-10000*31</f>
        <v>-310000</v>
      </c>
      <c r="G11" s="32">
        <v>2.17</v>
      </c>
      <c r="H11" s="32"/>
      <c r="I11" s="17">
        <f t="shared" si="0"/>
        <v>49600.000000000044</v>
      </c>
      <c r="J11" s="41">
        <f t="shared" si="1"/>
        <v>49600.000000000044</v>
      </c>
      <c r="K11" s="41"/>
    </row>
    <row r="12" spans="1:11" x14ac:dyDescent="0.2">
      <c r="A12" s="31">
        <v>36373</v>
      </c>
      <c r="B12" s="15"/>
      <c r="C12" s="16" t="s">
        <v>38</v>
      </c>
      <c r="D12" s="32">
        <v>2.0099999999999998</v>
      </c>
      <c r="E12" s="15"/>
      <c r="F12" s="18">
        <f t="shared" si="2"/>
        <v>-310000</v>
      </c>
      <c r="G12" s="32">
        <v>2.46</v>
      </c>
      <c r="H12" s="32"/>
      <c r="I12" s="17">
        <f t="shared" si="0"/>
        <v>139500.00000000006</v>
      </c>
      <c r="J12" s="41">
        <f t="shared" si="1"/>
        <v>139500.00000000006</v>
      </c>
      <c r="K12" s="41"/>
    </row>
    <row r="13" spans="1:11" x14ac:dyDescent="0.2">
      <c r="A13" s="31">
        <v>36404</v>
      </c>
      <c r="B13" s="15"/>
      <c r="C13" s="16" t="s">
        <v>38</v>
      </c>
      <c r="D13" s="32">
        <v>2.0099999999999998</v>
      </c>
      <c r="E13" s="15"/>
      <c r="F13" s="18">
        <f>-10000*30</f>
        <v>-300000</v>
      </c>
      <c r="G13" s="32">
        <v>2.78</v>
      </c>
      <c r="H13" s="32"/>
      <c r="I13" s="17">
        <f t="shared" si="0"/>
        <v>231000</v>
      </c>
      <c r="J13" s="41">
        <f t="shared" si="1"/>
        <v>231000</v>
      </c>
      <c r="K13" s="41"/>
    </row>
    <row r="14" spans="1:11" x14ac:dyDescent="0.2">
      <c r="A14" s="31">
        <v>36434</v>
      </c>
      <c r="B14" s="15"/>
      <c r="C14" s="16" t="s">
        <v>38</v>
      </c>
      <c r="D14" s="32">
        <v>2.0099999999999998</v>
      </c>
      <c r="E14" s="15"/>
      <c r="F14" s="18">
        <f t="shared" si="2"/>
        <v>-310000</v>
      </c>
      <c r="G14" s="32">
        <v>2.42</v>
      </c>
      <c r="H14" s="32"/>
      <c r="I14" s="17">
        <f t="shared" si="0"/>
        <v>127100.00000000004</v>
      </c>
      <c r="J14" s="41">
        <f t="shared" si="1"/>
        <v>127100.00000000004</v>
      </c>
      <c r="K14" s="41"/>
    </row>
    <row r="15" spans="1:11" x14ac:dyDescent="0.2">
      <c r="A15" s="31">
        <v>36465</v>
      </c>
      <c r="B15" s="15"/>
      <c r="C15" s="16" t="s">
        <v>38</v>
      </c>
      <c r="D15" s="32">
        <v>2.0099999999999998</v>
      </c>
      <c r="E15" s="15"/>
      <c r="F15" s="18">
        <f>-10000*30</f>
        <v>-300000</v>
      </c>
      <c r="G15" s="32">
        <v>2.87</v>
      </c>
      <c r="H15" s="32"/>
      <c r="I15" s="17">
        <f t="shared" si="0"/>
        <v>258000.00000000009</v>
      </c>
      <c r="J15" s="41">
        <f t="shared" si="1"/>
        <v>258000.00000000009</v>
      </c>
      <c r="K15" s="41"/>
    </row>
    <row r="16" spans="1:11" x14ac:dyDescent="0.2">
      <c r="A16" s="31">
        <v>36495</v>
      </c>
      <c r="B16" s="15"/>
      <c r="C16" s="16" t="s">
        <v>38</v>
      </c>
      <c r="D16" s="32">
        <v>2.0099999999999998</v>
      </c>
      <c r="E16" s="15"/>
      <c r="F16" s="18">
        <f t="shared" si="2"/>
        <v>-310000</v>
      </c>
      <c r="G16" s="32">
        <v>2.08</v>
      </c>
      <c r="H16" s="32"/>
      <c r="I16" s="17">
        <f t="shared" si="0"/>
        <v>21700.000000000087</v>
      </c>
      <c r="J16" s="41">
        <f t="shared" si="1"/>
        <v>21700.000000000087</v>
      </c>
      <c r="K16" s="41"/>
    </row>
    <row r="17" spans="1:11" x14ac:dyDescent="0.2">
      <c r="A17" s="15"/>
      <c r="B17" s="15"/>
      <c r="C17" s="15"/>
      <c r="D17" s="15"/>
      <c r="E17" s="15"/>
      <c r="F17" s="21">
        <f>SUM(F9:F16)</f>
        <v>-2450000</v>
      </c>
      <c r="G17" s="15"/>
      <c r="H17" s="15"/>
      <c r="I17" s="35">
        <f>SUM(I9:I16)</f>
        <v>894400.00000000058</v>
      </c>
      <c r="J17" s="35">
        <f>SUM(J9:J16)</f>
        <v>894400.00000000058</v>
      </c>
      <c r="K17" s="35">
        <f>SUM(K9:K16)</f>
        <v>0</v>
      </c>
    </row>
    <row r="18" spans="1:11" x14ac:dyDescent="0.2">
      <c r="A18" s="15"/>
      <c r="B18" s="15"/>
      <c r="C18" s="15"/>
      <c r="D18" s="15"/>
      <c r="E18" s="15"/>
      <c r="F18" s="38"/>
      <c r="G18" s="15"/>
      <c r="H18" s="15"/>
      <c r="I18" s="54"/>
      <c r="J18" s="47"/>
      <c r="K18" s="47"/>
    </row>
    <row r="19" spans="1:11" x14ac:dyDescent="0.2">
      <c r="A19" s="15"/>
      <c r="B19" s="15"/>
      <c r="C19" s="15"/>
      <c r="D19" s="15"/>
      <c r="E19" s="15"/>
      <c r="F19" s="15"/>
      <c r="G19" s="50" t="s">
        <v>59</v>
      </c>
      <c r="H19" s="36"/>
      <c r="I19" s="15"/>
      <c r="J19" s="39"/>
      <c r="K19" s="39"/>
    </row>
    <row r="20" spans="1:11" x14ac:dyDescent="0.2">
      <c r="A20" s="15"/>
      <c r="B20" s="15"/>
      <c r="C20" s="15"/>
      <c r="D20" s="32"/>
      <c r="E20" s="15"/>
      <c r="F20" s="15"/>
      <c r="G20" s="49"/>
      <c r="H20" s="36"/>
      <c r="I20" s="15"/>
      <c r="J20" s="39"/>
      <c r="K20" s="39"/>
    </row>
    <row r="21" spans="1:11" x14ac:dyDescent="0.2">
      <c r="A21" s="31">
        <v>36281</v>
      </c>
      <c r="B21" s="15"/>
      <c r="C21" s="16" t="s">
        <v>46</v>
      </c>
      <c r="D21" s="32">
        <v>2.0099999999999998</v>
      </c>
      <c r="E21" s="15"/>
      <c r="F21" s="18">
        <f>10000*31</f>
        <v>310000</v>
      </c>
      <c r="G21" s="32">
        <v>2.06</v>
      </c>
      <c r="H21" s="61"/>
      <c r="I21" s="17">
        <f t="shared" ref="I21:I28" si="3">SUM(D21-G21)*F21</f>
        <v>-15500.000000000082</v>
      </c>
      <c r="J21" s="41">
        <f t="shared" ref="J21:J28" si="4">+I21</f>
        <v>-15500.000000000082</v>
      </c>
      <c r="K21" s="41"/>
    </row>
    <row r="22" spans="1:11" x14ac:dyDescent="0.2">
      <c r="A22" s="31">
        <v>36312</v>
      </c>
      <c r="B22" s="15"/>
      <c r="C22" s="16" t="s">
        <v>46</v>
      </c>
      <c r="D22" s="32">
        <v>2.0099999999999998</v>
      </c>
      <c r="E22" s="15"/>
      <c r="F22" s="18">
        <f>10000*30</f>
        <v>300000</v>
      </c>
      <c r="G22" s="32">
        <v>2.0699999999999998</v>
      </c>
      <c r="H22" s="32"/>
      <c r="I22" s="17">
        <f t="shared" si="3"/>
        <v>-18000.000000000015</v>
      </c>
      <c r="J22" s="41">
        <f t="shared" si="4"/>
        <v>-18000.000000000015</v>
      </c>
      <c r="K22" s="41"/>
    </row>
    <row r="23" spans="1:11" x14ac:dyDescent="0.2">
      <c r="A23" s="31">
        <v>36342</v>
      </c>
      <c r="B23" s="15"/>
      <c r="C23" s="16" t="s">
        <v>46</v>
      </c>
      <c r="D23" s="32">
        <v>2.0099999999999998</v>
      </c>
      <c r="E23" s="15"/>
      <c r="F23" s="18">
        <f>10000*31</f>
        <v>310000</v>
      </c>
      <c r="G23" s="32">
        <v>2.11</v>
      </c>
      <c r="H23" s="32"/>
      <c r="I23" s="17">
        <f t="shared" si="3"/>
        <v>-31000.000000000029</v>
      </c>
      <c r="J23" s="41">
        <f t="shared" si="4"/>
        <v>-31000.000000000029</v>
      </c>
      <c r="K23" s="41"/>
    </row>
    <row r="24" spans="1:11" x14ac:dyDescent="0.2">
      <c r="A24" s="31">
        <v>36373</v>
      </c>
      <c r="B24" s="15"/>
      <c r="C24" s="16" t="s">
        <v>46</v>
      </c>
      <c r="D24" s="32">
        <v>2.0099999999999998</v>
      </c>
      <c r="E24" s="15"/>
      <c r="F24" s="18">
        <f>10000*31</f>
        <v>310000</v>
      </c>
      <c r="G24" s="32">
        <v>2.5099999999999998</v>
      </c>
      <c r="H24" s="32"/>
      <c r="I24" s="17">
        <f t="shared" si="3"/>
        <v>-155000</v>
      </c>
      <c r="J24" s="41">
        <f t="shared" si="4"/>
        <v>-155000</v>
      </c>
      <c r="K24" s="41"/>
    </row>
    <row r="25" spans="1:11" x14ac:dyDescent="0.2">
      <c r="A25" s="31">
        <v>36404</v>
      </c>
      <c r="B25" s="15"/>
      <c r="C25" s="16" t="s">
        <v>46</v>
      </c>
      <c r="D25" s="32">
        <v>2.0099999999999998</v>
      </c>
      <c r="E25" s="15"/>
      <c r="F25" s="18">
        <f>10000*30</f>
        <v>300000</v>
      </c>
      <c r="G25" s="32">
        <v>2.36</v>
      </c>
      <c r="H25" s="32"/>
      <c r="I25" s="17">
        <f t="shared" si="3"/>
        <v>-105000.00000000003</v>
      </c>
      <c r="J25" s="41">
        <f t="shared" si="4"/>
        <v>-105000.00000000003</v>
      </c>
      <c r="K25" s="41"/>
    </row>
    <row r="26" spans="1:11" x14ac:dyDescent="0.2">
      <c r="A26" s="31">
        <v>36434</v>
      </c>
      <c r="B26" s="15"/>
      <c r="C26" s="16" t="s">
        <v>46</v>
      </c>
      <c r="D26" s="32">
        <v>2.0099999999999998</v>
      </c>
      <c r="E26" s="15"/>
      <c r="F26" s="18">
        <f>10000*31</f>
        <v>310000</v>
      </c>
      <c r="G26" s="32">
        <v>2.62</v>
      </c>
      <c r="H26" s="32"/>
      <c r="I26" s="17">
        <f t="shared" si="3"/>
        <v>-189100.00000000009</v>
      </c>
      <c r="J26" s="41">
        <f t="shared" si="4"/>
        <v>-189100.00000000009</v>
      </c>
      <c r="K26" s="41"/>
    </row>
    <row r="27" spans="1:11" x14ac:dyDescent="0.2">
      <c r="A27" s="31">
        <v>36465</v>
      </c>
      <c r="B27" s="15"/>
      <c r="C27" s="16" t="s">
        <v>46</v>
      </c>
      <c r="D27" s="32">
        <v>2.0099999999999998</v>
      </c>
      <c r="E27" s="15"/>
      <c r="F27" s="18">
        <f>10000*30</f>
        <v>300000</v>
      </c>
      <c r="G27" s="32">
        <v>2.17</v>
      </c>
      <c r="H27" s="32"/>
      <c r="I27" s="17">
        <f t="shared" si="3"/>
        <v>-48000.000000000044</v>
      </c>
      <c r="J27" s="41">
        <f t="shared" si="4"/>
        <v>-48000.000000000044</v>
      </c>
      <c r="K27" s="41"/>
    </row>
    <row r="28" spans="1:11" x14ac:dyDescent="0.2">
      <c r="A28" s="31">
        <v>36495</v>
      </c>
      <c r="B28" s="15"/>
      <c r="C28" s="16" t="s">
        <v>46</v>
      </c>
      <c r="D28" s="32">
        <v>2.0099999999999998</v>
      </c>
      <c r="E28" s="15"/>
      <c r="F28" s="18">
        <f>10000*31</f>
        <v>310000</v>
      </c>
      <c r="G28" s="32">
        <v>2.2400000000000002</v>
      </c>
      <c r="H28" s="32"/>
      <c r="I28" s="17">
        <f t="shared" si="3"/>
        <v>-71300.000000000131</v>
      </c>
      <c r="J28" s="41">
        <f t="shared" si="4"/>
        <v>-71300.000000000131</v>
      </c>
      <c r="K28" s="41"/>
    </row>
    <row r="29" spans="1:11" x14ac:dyDescent="0.2">
      <c r="A29" s="15"/>
      <c r="B29" s="15"/>
      <c r="C29" s="15"/>
      <c r="D29" s="15"/>
      <c r="E29" s="15"/>
      <c r="F29" s="21">
        <f>SUM(F21:F28)</f>
        <v>2450000</v>
      </c>
      <c r="G29" s="15"/>
      <c r="H29" s="15"/>
      <c r="I29" s="33">
        <f>SUM(I21:I28)</f>
        <v>-632900.00000000035</v>
      </c>
      <c r="J29" s="33">
        <f>SUM(J21:J28)</f>
        <v>-632900.00000000035</v>
      </c>
      <c r="K29" s="33">
        <f>SUM(K21:K28)</f>
        <v>0</v>
      </c>
    </row>
    <row r="30" spans="1:1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39"/>
      <c r="K30" s="39"/>
    </row>
    <row r="31" spans="1:11" ht="13.5" thickBot="1" x14ac:dyDescent="0.25">
      <c r="A31" s="15"/>
      <c r="B31" s="15"/>
      <c r="C31" s="15"/>
      <c r="D31" s="15"/>
      <c r="E31" s="15"/>
      <c r="F31" s="23">
        <f>+F29+F17</f>
        <v>0</v>
      </c>
      <c r="G31" s="15"/>
      <c r="H31" s="15"/>
      <c r="I31" s="34">
        <f>+I29+I17</f>
        <v>261500.00000000023</v>
      </c>
      <c r="J31" s="34">
        <f>+J29+J17</f>
        <v>261500.00000000023</v>
      </c>
      <c r="K31" s="34">
        <f>+K29+K17</f>
        <v>0</v>
      </c>
    </row>
    <row r="32" spans="1:11" ht="13.5" thickTop="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40"/>
      <c r="K32" s="40"/>
    </row>
    <row r="34" spans="1:1" x14ac:dyDescent="0.2">
      <c r="A34" s="29" t="s">
        <v>47</v>
      </c>
    </row>
  </sheetData>
  <printOptions horizontalCentered="1" verticalCentered="1"/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topLeftCell="A19" workbookViewId="0">
      <selection activeCell="H37" sqref="H37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4.5703125" bestFit="1" customWidth="1"/>
    <col min="9" max="11" width="15" bestFit="1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135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36526</v>
      </c>
      <c r="B9" s="15"/>
      <c r="C9" s="16" t="s">
        <v>39</v>
      </c>
      <c r="D9" s="32">
        <v>2.3650000000000002</v>
      </c>
      <c r="E9" s="15"/>
      <c r="F9" s="18">
        <f>-15000*31</f>
        <v>-465000</v>
      </c>
      <c r="G9" s="32">
        <v>2.19</v>
      </c>
      <c r="H9" s="32"/>
      <c r="I9" s="17">
        <f t="shared" ref="I9:I16" si="0">(+D9-G9)*F9</f>
        <v>-81375.000000000131</v>
      </c>
      <c r="J9" s="41">
        <f t="shared" ref="J9:J17" si="1">+I9</f>
        <v>-81375.000000000131</v>
      </c>
      <c r="K9" s="41"/>
    </row>
    <row r="10" spans="1:11" x14ac:dyDescent="0.2">
      <c r="A10" s="31">
        <v>36557</v>
      </c>
      <c r="B10" s="15"/>
      <c r="C10" s="16" t="s">
        <v>39</v>
      </c>
      <c r="D10" s="32">
        <v>2.3650000000000002</v>
      </c>
      <c r="E10" s="15"/>
      <c r="F10" s="18">
        <f>-15000*29</f>
        <v>-435000</v>
      </c>
      <c r="G10" s="32">
        <v>2.41</v>
      </c>
      <c r="H10" s="32"/>
      <c r="I10" s="17">
        <f t="shared" si="0"/>
        <v>19574.999999999971</v>
      </c>
      <c r="J10" s="41">
        <f t="shared" si="1"/>
        <v>19574.999999999971</v>
      </c>
      <c r="K10" s="41"/>
    </row>
    <row r="11" spans="1:11" x14ac:dyDescent="0.2">
      <c r="A11" s="31">
        <v>36586</v>
      </c>
      <c r="B11" s="15"/>
      <c r="C11" s="16" t="s">
        <v>39</v>
      </c>
      <c r="D11" s="32">
        <v>2.3650000000000002</v>
      </c>
      <c r="E11" s="15"/>
      <c r="F11" s="18">
        <f t="shared" ref="F11:F20" si="2">-15000*31</f>
        <v>-465000</v>
      </c>
      <c r="G11" s="32">
        <v>2.41</v>
      </c>
      <c r="H11" s="32"/>
      <c r="I11" s="17">
        <f t="shared" si="0"/>
        <v>20924.999999999967</v>
      </c>
      <c r="J11" s="41">
        <f t="shared" si="1"/>
        <v>20924.999999999967</v>
      </c>
      <c r="K11" s="41"/>
    </row>
    <row r="12" spans="1:11" x14ac:dyDescent="0.2">
      <c r="A12" s="31">
        <v>36617</v>
      </c>
      <c r="B12" s="15"/>
      <c r="C12" s="16" t="s">
        <v>39</v>
      </c>
      <c r="D12" s="32">
        <v>2.3650000000000002</v>
      </c>
      <c r="E12" s="15"/>
      <c r="F12" s="18">
        <f>-15000*30</f>
        <v>-450000</v>
      </c>
      <c r="G12" s="32">
        <v>2.79</v>
      </c>
      <c r="H12" s="32"/>
      <c r="I12" s="17">
        <f t="shared" si="0"/>
        <v>191249.99999999991</v>
      </c>
      <c r="J12" s="41">
        <f t="shared" si="1"/>
        <v>191249.99999999991</v>
      </c>
      <c r="K12" s="41"/>
    </row>
    <row r="13" spans="1:11" x14ac:dyDescent="0.2">
      <c r="A13" s="31">
        <v>36647</v>
      </c>
      <c r="B13" s="15"/>
      <c r="C13" s="16" t="s">
        <v>39</v>
      </c>
      <c r="D13" s="32">
        <v>2.3650000000000002</v>
      </c>
      <c r="E13" s="15"/>
      <c r="F13" s="18">
        <f t="shared" si="2"/>
        <v>-465000</v>
      </c>
      <c r="G13" s="32">
        <v>2.87</v>
      </c>
      <c r="H13" s="32"/>
      <c r="I13" s="17">
        <f t="shared" si="0"/>
        <v>234824.99999999994</v>
      </c>
      <c r="J13" s="41">
        <f t="shared" si="1"/>
        <v>234824.99999999994</v>
      </c>
      <c r="K13" s="41"/>
    </row>
    <row r="14" spans="1:11" x14ac:dyDescent="0.2">
      <c r="A14" s="31">
        <v>36678</v>
      </c>
      <c r="B14" s="15"/>
      <c r="C14" s="16" t="s">
        <v>39</v>
      </c>
      <c r="D14" s="32">
        <v>2.3650000000000002</v>
      </c>
      <c r="E14" s="15"/>
      <c r="F14" s="18">
        <f>-15000*30</f>
        <v>-450000</v>
      </c>
      <c r="G14" s="32">
        <v>4.0999999999999996</v>
      </c>
      <c r="H14" s="32"/>
      <c r="I14" s="17">
        <f t="shared" si="0"/>
        <v>780749.99999999977</v>
      </c>
      <c r="J14" s="41">
        <f t="shared" si="1"/>
        <v>780749.99999999977</v>
      </c>
      <c r="K14" s="41"/>
    </row>
    <row r="15" spans="1:11" x14ac:dyDescent="0.2">
      <c r="A15" s="31">
        <v>36708</v>
      </c>
      <c r="B15" s="15"/>
      <c r="C15" s="16" t="s">
        <v>39</v>
      </c>
      <c r="D15" s="32">
        <v>2.3650000000000002</v>
      </c>
      <c r="E15" s="15"/>
      <c r="F15" s="18">
        <f t="shared" si="2"/>
        <v>-465000</v>
      </c>
      <c r="G15" s="32">
        <v>4.3499999999999996</v>
      </c>
      <c r="H15" s="32"/>
      <c r="I15" s="17">
        <f t="shared" si="0"/>
        <v>923024.99999999977</v>
      </c>
      <c r="J15" s="41">
        <f t="shared" si="1"/>
        <v>923024.99999999977</v>
      </c>
      <c r="K15" s="41"/>
    </row>
    <row r="16" spans="1:11" x14ac:dyDescent="0.2">
      <c r="A16" s="31">
        <v>36739</v>
      </c>
      <c r="B16" s="15"/>
      <c r="C16" s="16" t="s">
        <v>39</v>
      </c>
      <c r="D16" s="32">
        <v>2.3650000000000002</v>
      </c>
      <c r="E16" s="15"/>
      <c r="F16" s="18">
        <f t="shared" si="2"/>
        <v>-465000</v>
      </c>
      <c r="G16" s="32">
        <v>3.77</v>
      </c>
      <c r="H16" s="32"/>
      <c r="I16" s="17">
        <f t="shared" si="0"/>
        <v>653324.99999999988</v>
      </c>
      <c r="J16" s="41">
        <f t="shared" si="1"/>
        <v>653324.99999999988</v>
      </c>
      <c r="K16" s="41"/>
    </row>
    <row r="17" spans="1:11" x14ac:dyDescent="0.2">
      <c r="A17" s="31">
        <v>36770</v>
      </c>
      <c r="B17" s="15"/>
      <c r="C17" s="16" t="s">
        <v>39</v>
      </c>
      <c r="D17" s="32">
        <v>2.3650000000000002</v>
      </c>
      <c r="E17" s="15"/>
      <c r="F17" s="18">
        <f>-15000*30</f>
        <v>-450000</v>
      </c>
      <c r="G17" s="15"/>
      <c r="H17" s="32">
        <v>4.5</v>
      </c>
      <c r="I17" s="17">
        <f>SUM(D17-H17)*F17</f>
        <v>960749.99999999988</v>
      </c>
      <c r="J17" s="41">
        <f t="shared" si="1"/>
        <v>960749.99999999988</v>
      </c>
      <c r="K17" s="41"/>
    </row>
    <row r="18" spans="1:11" x14ac:dyDescent="0.2">
      <c r="A18" s="31">
        <v>36800</v>
      </c>
      <c r="B18" s="15"/>
      <c r="C18" s="16" t="s">
        <v>39</v>
      </c>
      <c r="D18" s="32">
        <v>2.3650000000000002</v>
      </c>
      <c r="E18" s="15"/>
      <c r="F18" s="18">
        <f t="shared" si="2"/>
        <v>-465000</v>
      </c>
      <c r="G18" s="15"/>
      <c r="H18" s="32">
        <f>+'[2]ELpaso SJ &amp; Prm'!$F34</f>
        <v>4.3650000000000002</v>
      </c>
      <c r="I18" s="17">
        <f>SUM(D18-H18)*F18</f>
        <v>930000</v>
      </c>
      <c r="J18" s="39"/>
      <c r="K18" s="41">
        <f>+I18</f>
        <v>930000</v>
      </c>
    </row>
    <row r="19" spans="1:11" x14ac:dyDescent="0.2">
      <c r="A19" s="31">
        <v>36831</v>
      </c>
      <c r="B19" s="15"/>
      <c r="C19" s="16" t="s">
        <v>39</v>
      </c>
      <c r="D19" s="32">
        <v>2.3650000000000002</v>
      </c>
      <c r="E19" s="15"/>
      <c r="F19" s="18">
        <f>-15000*30</f>
        <v>-450000</v>
      </c>
      <c r="G19" s="15"/>
      <c r="H19" s="32">
        <f>+'[2]ELpaso SJ &amp; Prm'!$F35</f>
        <v>4.4084999999999992</v>
      </c>
      <c r="I19" s="17">
        <f>SUM(D19-H19)*F19</f>
        <v>919574.99999999953</v>
      </c>
      <c r="J19" s="39"/>
      <c r="K19" s="41">
        <f>+I19</f>
        <v>919574.99999999953</v>
      </c>
    </row>
    <row r="20" spans="1:11" x14ac:dyDescent="0.2">
      <c r="A20" s="31">
        <v>36861</v>
      </c>
      <c r="B20" s="15"/>
      <c r="C20" s="16" t="s">
        <v>39</v>
      </c>
      <c r="D20" s="32">
        <v>2.3650000000000002</v>
      </c>
      <c r="E20" s="15"/>
      <c r="F20" s="18">
        <f t="shared" si="2"/>
        <v>-465000</v>
      </c>
      <c r="G20" s="15"/>
      <c r="H20" s="32">
        <f>+'[2]ELpaso SJ &amp; Prm'!$F36</f>
        <v>4.2510000000000003</v>
      </c>
      <c r="I20" s="17">
        <f>SUM(D20-H20)*F20</f>
        <v>876990</v>
      </c>
      <c r="J20" s="39"/>
      <c r="K20" s="41">
        <f>+I20</f>
        <v>876990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-5490000</v>
      </c>
      <c r="G22" s="15"/>
      <c r="H22" s="15"/>
      <c r="I22" s="35">
        <f>SUM(I9:I20)</f>
        <v>6429614.9999999981</v>
      </c>
      <c r="J22" s="35">
        <f>SUM(J9:J20)</f>
        <v>3703049.9999999991</v>
      </c>
      <c r="K22" s="35">
        <f>SUM(K9:K20)</f>
        <v>2726564.9999999995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36526</v>
      </c>
      <c r="B26" s="15"/>
      <c r="C26" s="16" t="s">
        <v>46</v>
      </c>
      <c r="D26" s="32">
        <v>2.3650000000000002</v>
      </c>
      <c r="E26" s="15"/>
      <c r="F26" s="18">
        <f>15000*31</f>
        <v>465000</v>
      </c>
      <c r="G26" s="32">
        <v>2.2599999999999998</v>
      </c>
      <c r="H26" s="61"/>
      <c r="I26" s="17">
        <f t="shared" ref="I26:I33" si="3">(+D26-G26)*F26</f>
        <v>48825.000000000196</v>
      </c>
      <c r="J26" s="41">
        <f t="shared" ref="J26:J34" si="4">+I26</f>
        <v>48825.000000000196</v>
      </c>
      <c r="K26" s="41"/>
    </row>
    <row r="27" spans="1:11" x14ac:dyDescent="0.2">
      <c r="A27" s="31">
        <v>36557</v>
      </c>
      <c r="B27" s="15"/>
      <c r="C27" s="16" t="s">
        <v>46</v>
      </c>
      <c r="D27" s="32">
        <v>2.3650000000000002</v>
      </c>
      <c r="E27" s="15"/>
      <c r="F27" s="18">
        <f>15000*29</f>
        <v>435000</v>
      </c>
      <c r="G27" s="61">
        <v>2.4300000000000002</v>
      </c>
      <c r="H27" s="61"/>
      <c r="I27" s="17">
        <f t="shared" si="3"/>
        <v>-28274.999999999978</v>
      </c>
      <c r="J27" s="41">
        <f t="shared" si="4"/>
        <v>-28274.999999999978</v>
      </c>
      <c r="K27" s="41"/>
    </row>
    <row r="28" spans="1:11" x14ac:dyDescent="0.2">
      <c r="A28" s="31">
        <v>36586</v>
      </c>
      <c r="B28" s="15"/>
      <c r="C28" s="16" t="s">
        <v>46</v>
      </c>
      <c r="D28" s="32">
        <v>2.3650000000000002</v>
      </c>
      <c r="E28" s="15"/>
      <c r="F28" s="18">
        <f>15000*31</f>
        <v>465000</v>
      </c>
      <c r="G28" s="61">
        <v>2.64</v>
      </c>
      <c r="H28" s="61"/>
      <c r="I28" s="17">
        <f t="shared" si="3"/>
        <v>-127874.99999999996</v>
      </c>
      <c r="J28" s="41">
        <f t="shared" si="4"/>
        <v>-127874.99999999996</v>
      </c>
      <c r="K28" s="41"/>
    </row>
    <row r="29" spans="1:11" x14ac:dyDescent="0.2">
      <c r="A29" s="31">
        <v>36617</v>
      </c>
      <c r="B29" s="15"/>
      <c r="C29" s="16" t="s">
        <v>46</v>
      </c>
      <c r="D29" s="32">
        <v>2.3650000000000002</v>
      </c>
      <c r="E29" s="15"/>
      <c r="F29" s="18">
        <f>15000*30</f>
        <v>450000</v>
      </c>
      <c r="G29" s="61">
        <v>2.79</v>
      </c>
      <c r="H29" s="61"/>
      <c r="I29" s="17">
        <f t="shared" si="3"/>
        <v>-191249.99999999991</v>
      </c>
      <c r="J29" s="41">
        <f t="shared" si="4"/>
        <v>-191249.99999999991</v>
      </c>
      <c r="K29" s="41"/>
    </row>
    <row r="30" spans="1:11" x14ac:dyDescent="0.2">
      <c r="A30" s="31">
        <v>36647</v>
      </c>
      <c r="B30" s="15"/>
      <c r="C30" s="16" t="s">
        <v>46</v>
      </c>
      <c r="D30" s="32">
        <v>2.3650000000000002</v>
      </c>
      <c r="E30" s="15"/>
      <c r="F30" s="18">
        <f>15000*31</f>
        <v>465000</v>
      </c>
      <c r="G30" s="32">
        <v>3.31</v>
      </c>
      <c r="H30" s="61"/>
      <c r="I30" s="17">
        <f t="shared" si="3"/>
        <v>-439424.99999999994</v>
      </c>
      <c r="J30" s="41">
        <f t="shared" si="4"/>
        <v>-439424.99999999994</v>
      </c>
      <c r="K30" s="41"/>
    </row>
    <row r="31" spans="1:11" x14ac:dyDescent="0.2">
      <c r="A31" s="31">
        <v>36678</v>
      </c>
      <c r="B31" s="15"/>
      <c r="C31" s="16" t="s">
        <v>46</v>
      </c>
      <c r="D31" s="32">
        <v>2.3650000000000002</v>
      </c>
      <c r="E31" s="15"/>
      <c r="F31" s="18">
        <f>15000*30</f>
        <v>450000</v>
      </c>
      <c r="G31" s="61">
        <v>4.09</v>
      </c>
      <c r="H31" s="61"/>
      <c r="I31" s="17">
        <f t="shared" si="3"/>
        <v>-776249.99999999988</v>
      </c>
      <c r="J31" s="41">
        <f t="shared" si="4"/>
        <v>-776249.99999999988</v>
      </c>
      <c r="K31" s="41"/>
    </row>
    <row r="32" spans="1:11" x14ac:dyDescent="0.2">
      <c r="A32" s="31">
        <v>36708</v>
      </c>
      <c r="B32" s="15"/>
      <c r="C32" s="16" t="s">
        <v>46</v>
      </c>
      <c r="D32" s="32">
        <v>2.3650000000000002</v>
      </c>
      <c r="E32" s="15"/>
      <c r="F32" s="18">
        <f>15000*31</f>
        <v>465000</v>
      </c>
      <c r="G32" s="32">
        <v>3.85</v>
      </c>
      <c r="H32" s="61"/>
      <c r="I32" s="17">
        <f t="shared" si="3"/>
        <v>-690525</v>
      </c>
      <c r="J32" s="41">
        <f t="shared" si="4"/>
        <v>-690525</v>
      </c>
      <c r="K32" s="41"/>
    </row>
    <row r="33" spans="1:11" x14ac:dyDescent="0.2">
      <c r="A33" s="31">
        <v>36739</v>
      </c>
      <c r="B33" s="15"/>
      <c r="C33" s="16" t="s">
        <v>46</v>
      </c>
      <c r="D33" s="32">
        <v>2.3650000000000002</v>
      </c>
      <c r="E33" s="15"/>
      <c r="F33" s="18">
        <f>15000*31</f>
        <v>465000</v>
      </c>
      <c r="G33" s="61">
        <v>4</v>
      </c>
      <c r="H33" s="61"/>
      <c r="I33" s="17">
        <f t="shared" si="3"/>
        <v>-760274.99999999988</v>
      </c>
      <c r="J33" s="41">
        <f t="shared" si="4"/>
        <v>-760274.99999999988</v>
      </c>
      <c r="K33" s="41"/>
    </row>
    <row r="34" spans="1:11" x14ac:dyDescent="0.2">
      <c r="A34" s="31">
        <v>36770</v>
      </c>
      <c r="B34" s="15"/>
      <c r="C34" s="16" t="s">
        <v>46</v>
      </c>
      <c r="D34" s="32">
        <v>2.3650000000000002</v>
      </c>
      <c r="E34" s="15"/>
      <c r="F34" s="18">
        <f>15000*30</f>
        <v>450000</v>
      </c>
      <c r="G34" s="15"/>
      <c r="H34" s="61">
        <v>4.6399999999999997</v>
      </c>
      <c r="I34" s="17">
        <f>SUM(D34-H34)*F34</f>
        <v>-1023749.9999999998</v>
      </c>
      <c r="J34" s="41">
        <f t="shared" si="4"/>
        <v>-1023749.9999999998</v>
      </c>
      <c r="K34" s="41"/>
    </row>
    <row r="35" spans="1:11" x14ac:dyDescent="0.2">
      <c r="A35" s="31">
        <v>36800</v>
      </c>
      <c r="B35" s="15"/>
      <c r="C35" s="16" t="s">
        <v>46</v>
      </c>
      <c r="D35" s="32">
        <v>2.3650000000000002</v>
      </c>
      <c r="E35" s="15"/>
      <c r="F35" s="18">
        <f>15000*31</f>
        <v>465000</v>
      </c>
      <c r="G35" s="15"/>
      <c r="H35" s="61">
        <v>4.7699999999999996</v>
      </c>
      <c r="I35" s="17">
        <f>SUM(D35-H35)*F35</f>
        <v>-1118324.9999999998</v>
      </c>
      <c r="J35" s="39"/>
      <c r="K35" s="41">
        <f>+I35</f>
        <v>-1118324.9999999998</v>
      </c>
    </row>
    <row r="36" spans="1:11" x14ac:dyDescent="0.2">
      <c r="A36" s="31">
        <v>36831</v>
      </c>
      <c r="B36" s="15"/>
      <c r="C36" s="16" t="s">
        <v>46</v>
      </c>
      <c r="D36" s="32">
        <v>2.3650000000000002</v>
      </c>
      <c r="E36" s="15"/>
      <c r="F36" s="18">
        <f>15000*30</f>
        <v>450000</v>
      </c>
      <c r="G36" s="15"/>
      <c r="H36" s="61">
        <f>+'[2]ELpaso SJ &amp; Prm'!$R$9</f>
        <v>4.4253333333333336</v>
      </c>
      <c r="I36" s="17">
        <f>SUM(D36-H36)*F36</f>
        <v>-927150</v>
      </c>
      <c r="J36" s="39"/>
      <c r="K36" s="41">
        <f>+I36</f>
        <v>-927150</v>
      </c>
    </row>
    <row r="37" spans="1:11" x14ac:dyDescent="0.2">
      <c r="A37" s="31">
        <v>36861</v>
      </c>
      <c r="B37" s="15"/>
      <c r="C37" s="16" t="s">
        <v>46</v>
      </c>
      <c r="D37" s="32">
        <v>2.3650000000000002</v>
      </c>
      <c r="E37" s="15"/>
      <c r="F37" s="18">
        <f>15000*31</f>
        <v>465000</v>
      </c>
      <c r="G37" s="15"/>
      <c r="H37" s="61">
        <f>+'[2]ELpaso SJ &amp; Prm'!$R$9</f>
        <v>4.4253333333333336</v>
      </c>
      <c r="I37" s="17">
        <f>SUM(D37-H37)*F37</f>
        <v>-958055</v>
      </c>
      <c r="J37" s="39"/>
      <c r="K37" s="41">
        <f>+I37</f>
        <v>-958055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5490000</v>
      </c>
      <c r="G39" s="15"/>
      <c r="H39" s="15"/>
      <c r="I39" s="33">
        <f>SUM(I26:I38)</f>
        <v>-6992329.9999999991</v>
      </c>
      <c r="J39" s="33">
        <f>SUM(J26:J38)</f>
        <v>-3988799.9999999991</v>
      </c>
      <c r="K39" s="33">
        <f>SUM(K26:K38)</f>
        <v>-3003530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-562715.00000000093</v>
      </c>
      <c r="J41" s="34">
        <f>+J39+J22</f>
        <v>-285750</v>
      </c>
      <c r="K41" s="34">
        <f>+K39+K22</f>
        <v>-276965.00000000047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  <row r="45" spans="1:11" x14ac:dyDescent="0.2">
      <c r="I45" s="171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>
      <selection activeCell="A40" sqref="A40"/>
    </sheetView>
  </sheetViews>
  <sheetFormatPr defaultRowHeight="12.75" x14ac:dyDescent="0.2"/>
  <cols>
    <col min="1" max="2" width="10.7109375" customWidth="1"/>
    <col min="3" max="3" width="13.7109375" customWidth="1"/>
    <col min="4" max="4" width="15.7109375" bestFit="1" customWidth="1"/>
    <col min="5" max="5" width="0" hidden="1" customWidth="1"/>
    <col min="6" max="6" width="12.7109375" customWidth="1"/>
    <col min="7" max="7" width="13.140625" bestFit="1" customWidth="1"/>
    <col min="8" max="8" width="10.7109375" customWidth="1"/>
    <col min="9" max="9" width="15.42578125" bestFit="1" customWidth="1"/>
    <col min="10" max="10" width="13.42578125" customWidth="1"/>
    <col min="11" max="11" width="15.42578125" bestFit="1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</row>
    <row r="5" spans="1:11" x14ac:dyDescent="0.2">
      <c r="G5" s="168"/>
      <c r="H5" s="168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80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37408</v>
      </c>
      <c r="B9" s="15"/>
      <c r="C9" s="16" t="s">
        <v>96</v>
      </c>
      <c r="D9" s="32">
        <v>3.3</v>
      </c>
      <c r="E9" s="15"/>
      <c r="F9" s="18">
        <v>-2000000</v>
      </c>
      <c r="G9" s="32"/>
      <c r="H9" s="32">
        <f>+[2]Elpaso!$F9</f>
        <v>3.5469999999999997</v>
      </c>
      <c r="I9" s="17">
        <f>(-H9+D9)*F9</f>
        <v>493999.99999999977</v>
      </c>
      <c r="J9" s="41"/>
      <c r="K9" s="41">
        <f>+I9</f>
        <v>493999.99999999977</v>
      </c>
    </row>
    <row r="10" spans="1:11" x14ac:dyDescent="0.2">
      <c r="A10" s="31">
        <v>37438</v>
      </c>
      <c r="B10" s="15"/>
      <c r="C10" s="16" t="s">
        <v>96</v>
      </c>
      <c r="D10" s="32">
        <v>3.3</v>
      </c>
      <c r="E10" s="15"/>
      <c r="F10" s="18">
        <v>-3000000</v>
      </c>
      <c r="G10" s="32"/>
      <c r="H10" s="32">
        <f>+[2]Elpaso!$F10</f>
        <v>3.5720000000000001</v>
      </c>
      <c r="I10" s="17">
        <f>(-H10+D10)*F10</f>
        <v>816000.0000000007</v>
      </c>
      <c r="J10" s="41"/>
      <c r="K10" s="41">
        <f>+I10</f>
        <v>816000.0000000007</v>
      </c>
    </row>
    <row r="11" spans="1:11" x14ac:dyDescent="0.2">
      <c r="A11" s="31">
        <v>37469</v>
      </c>
      <c r="B11" s="15"/>
      <c r="C11" s="16" t="s">
        <v>96</v>
      </c>
      <c r="D11" s="32">
        <v>3.3</v>
      </c>
      <c r="E11" s="15"/>
      <c r="F11" s="18">
        <v>-3000000</v>
      </c>
      <c r="G11" s="15"/>
      <c r="H11" s="32">
        <f>+[2]Elpaso!$F11</f>
        <v>3.5819999999999999</v>
      </c>
      <c r="I11" s="17">
        <f>(-H11+D11)*F11</f>
        <v>846000.00000000012</v>
      </c>
      <c r="J11" s="39"/>
      <c r="K11" s="41">
        <f>+I11</f>
        <v>846000.00000000012</v>
      </c>
    </row>
    <row r="12" spans="1:11" x14ac:dyDescent="0.2">
      <c r="A12" s="31">
        <v>37500</v>
      </c>
      <c r="B12" s="15"/>
      <c r="C12" s="16" t="s">
        <v>96</v>
      </c>
      <c r="D12" s="32">
        <v>3.3</v>
      </c>
      <c r="E12" s="15"/>
      <c r="F12" s="18">
        <v>-3000000</v>
      </c>
      <c r="G12" s="15"/>
      <c r="H12" s="32">
        <f>+[2]Elpaso!$F12</f>
        <v>3.5989999999999998</v>
      </c>
      <c r="I12" s="17">
        <f>(-H12+D12)*F12</f>
        <v>896999.99999999977</v>
      </c>
      <c r="J12" s="39"/>
      <c r="K12" s="41">
        <f>+I12</f>
        <v>896999.99999999977</v>
      </c>
    </row>
    <row r="13" spans="1:11" x14ac:dyDescent="0.2">
      <c r="A13" s="31">
        <v>37530</v>
      </c>
      <c r="B13" s="15"/>
      <c r="C13" s="16" t="s">
        <v>96</v>
      </c>
      <c r="D13" s="32">
        <v>3.3</v>
      </c>
      <c r="E13" s="15"/>
      <c r="F13" s="18">
        <v>-4000000</v>
      </c>
      <c r="G13" s="15"/>
      <c r="H13" s="32">
        <f>+[2]Elpaso!$F13</f>
        <v>3.6100000000000003</v>
      </c>
      <c r="I13" s="17">
        <f>(-H13+D13)*F13</f>
        <v>1240000.0000000021</v>
      </c>
      <c r="J13" s="39"/>
      <c r="K13" s="41">
        <f>+I13</f>
        <v>1240000.0000000021</v>
      </c>
    </row>
    <row r="14" spans="1:11" x14ac:dyDescent="0.2">
      <c r="A14" s="31"/>
      <c r="B14" s="15"/>
      <c r="C14" s="16"/>
      <c r="D14" s="32"/>
      <c r="E14" s="15"/>
      <c r="F14" s="65"/>
      <c r="G14" s="15"/>
      <c r="H14" s="32"/>
      <c r="I14" s="66"/>
      <c r="J14" s="39"/>
      <c r="K14" s="67"/>
    </row>
    <row r="15" spans="1:11" x14ac:dyDescent="0.2">
      <c r="A15" s="31"/>
      <c r="B15" s="15"/>
      <c r="C15" s="16"/>
      <c r="D15" s="32"/>
      <c r="E15" s="15"/>
      <c r="F15" s="18">
        <f>SUM(F9:F14)</f>
        <v>-15000000</v>
      </c>
      <c r="G15" s="15"/>
      <c r="H15" s="32"/>
      <c r="I15" s="17">
        <f>SUM(I9:I14)</f>
        <v>4293000.0000000019</v>
      </c>
      <c r="J15" s="39"/>
      <c r="K15" s="17">
        <f>SUM(K9:K14)</f>
        <v>4293000.0000000019</v>
      </c>
    </row>
    <row r="16" spans="1:11" x14ac:dyDescent="0.2">
      <c r="A16" s="31"/>
      <c r="B16" s="15"/>
      <c r="C16" s="16"/>
      <c r="D16" s="32"/>
      <c r="E16" s="15"/>
      <c r="F16" s="18"/>
      <c r="G16" s="15"/>
      <c r="H16" s="32"/>
      <c r="I16" s="17"/>
      <c r="J16" s="39"/>
      <c r="K16" s="19"/>
    </row>
    <row r="17" spans="1:11" x14ac:dyDescent="0.2">
      <c r="A17" s="31">
        <v>37408</v>
      </c>
      <c r="B17" s="15"/>
      <c r="C17" s="16" t="s">
        <v>81</v>
      </c>
      <c r="D17" s="32">
        <v>2.3199999999999998</v>
      </c>
      <c r="E17" s="15"/>
      <c r="F17" s="18">
        <v>-2000000</v>
      </c>
      <c r="G17" s="15"/>
      <c r="H17" s="32">
        <f>+[2]Elpaso!$F9</f>
        <v>3.5469999999999997</v>
      </c>
      <c r="I17" s="17">
        <f>(+H17-D17)*F17</f>
        <v>-2453999.9999999995</v>
      </c>
      <c r="J17" s="39"/>
      <c r="K17" s="41">
        <f>+I17</f>
        <v>-2453999.9999999995</v>
      </c>
    </row>
    <row r="18" spans="1:11" x14ac:dyDescent="0.2">
      <c r="A18" s="31">
        <v>37438</v>
      </c>
      <c r="B18" s="15"/>
      <c r="C18" s="16" t="s">
        <v>81</v>
      </c>
      <c r="D18" s="32">
        <v>2.3199999999999998</v>
      </c>
      <c r="E18" s="15"/>
      <c r="F18" s="18">
        <v>-3000000</v>
      </c>
      <c r="G18" s="15"/>
      <c r="H18" s="32">
        <f>+[2]Elpaso!$F10</f>
        <v>3.5720000000000001</v>
      </c>
      <c r="I18" s="17">
        <f>(+H18-D18)*F18</f>
        <v>-3756000.0000000005</v>
      </c>
      <c r="J18" s="39"/>
      <c r="K18" s="41">
        <f>+I18</f>
        <v>-3756000.0000000005</v>
      </c>
    </row>
    <row r="19" spans="1:11" x14ac:dyDescent="0.2">
      <c r="A19" s="31">
        <v>37469</v>
      </c>
      <c r="B19" s="15"/>
      <c r="C19" s="16" t="s">
        <v>81</v>
      </c>
      <c r="D19" s="32">
        <v>2.3199999999999998</v>
      </c>
      <c r="E19" s="15"/>
      <c r="F19" s="18">
        <v>-3000000</v>
      </c>
      <c r="G19" s="15"/>
      <c r="H19" s="32">
        <f>+[2]Elpaso!$F11</f>
        <v>3.5819999999999999</v>
      </c>
      <c r="I19" s="17">
        <f>(+H19-D19)*F19</f>
        <v>-3786000</v>
      </c>
      <c r="J19" s="39"/>
      <c r="K19" s="41">
        <f>+I19</f>
        <v>-3786000</v>
      </c>
    </row>
    <row r="20" spans="1:11" x14ac:dyDescent="0.2">
      <c r="A20" s="31">
        <v>37500</v>
      </c>
      <c r="B20" s="15"/>
      <c r="C20" s="16" t="s">
        <v>81</v>
      </c>
      <c r="D20" s="32">
        <v>2.3199999999999998</v>
      </c>
      <c r="E20" s="15"/>
      <c r="F20" s="18">
        <v>-3000000</v>
      </c>
      <c r="G20" s="15"/>
      <c r="H20" s="32">
        <f>+[2]Elpaso!$F12</f>
        <v>3.5989999999999998</v>
      </c>
      <c r="I20" s="17">
        <f>(+H20-D20)*F20</f>
        <v>-3836999.9999999995</v>
      </c>
      <c r="J20" s="39"/>
      <c r="K20" s="41">
        <f>+I20</f>
        <v>-3836999.9999999995</v>
      </c>
    </row>
    <row r="21" spans="1:11" x14ac:dyDescent="0.2">
      <c r="A21" s="31">
        <v>37530</v>
      </c>
      <c r="B21" s="15"/>
      <c r="C21" s="16" t="s">
        <v>81</v>
      </c>
      <c r="D21" s="32">
        <v>2.3199999999999998</v>
      </c>
      <c r="E21" s="15"/>
      <c r="F21" s="18">
        <v>-4000000</v>
      </c>
      <c r="G21" s="15"/>
      <c r="H21" s="32">
        <f>+[2]Elpaso!$F13</f>
        <v>3.6100000000000003</v>
      </c>
      <c r="I21" s="17">
        <f>(+H21-D21)*F21</f>
        <v>-5160000.0000000019</v>
      </c>
      <c r="J21" s="39"/>
      <c r="K21" s="41">
        <f>+I21</f>
        <v>-5160000.0000000019</v>
      </c>
    </row>
    <row r="22" spans="1:11" x14ac:dyDescent="0.2">
      <c r="A22" s="31"/>
      <c r="B22" s="15"/>
      <c r="C22" s="16"/>
      <c r="D22" s="32"/>
      <c r="E22" s="15"/>
      <c r="F22" s="65"/>
      <c r="G22" s="15"/>
      <c r="H22" s="32"/>
      <c r="I22" s="66"/>
      <c r="J22" s="39"/>
      <c r="K22" s="67"/>
    </row>
    <row r="23" spans="1:11" x14ac:dyDescent="0.2">
      <c r="A23" s="31"/>
      <c r="B23" s="15"/>
      <c r="C23" s="16"/>
      <c r="D23" s="32"/>
      <c r="E23" s="15"/>
      <c r="F23" s="18">
        <f>SUM(F17:F22)</f>
        <v>-15000000</v>
      </c>
      <c r="G23" s="15"/>
      <c r="H23" s="32"/>
      <c r="I23" s="17">
        <f>SUM(I17:I22)</f>
        <v>-18993000</v>
      </c>
      <c r="J23" s="39"/>
      <c r="K23" s="17">
        <f>SUM(K17:K22)</f>
        <v>-18993000</v>
      </c>
    </row>
    <row r="24" spans="1:11" x14ac:dyDescent="0.2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5" thickBot="1" x14ac:dyDescent="0.25">
      <c r="A25" s="31"/>
      <c r="B25" s="15"/>
      <c r="C25" s="16"/>
      <c r="D25" s="32"/>
      <c r="E25" s="15"/>
      <c r="F25" s="131"/>
      <c r="G25" s="15"/>
      <c r="H25" s="32"/>
      <c r="I25" s="132">
        <f>+I23+I15</f>
        <v>-14699999.999999998</v>
      </c>
      <c r="J25" s="39"/>
      <c r="K25" s="132">
        <f>+K23+K15</f>
        <v>-14699999.999999998</v>
      </c>
    </row>
    <row r="26" spans="1:11" ht="13.5" thickTop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">
      <c r="A28" s="29" t="s">
        <v>47</v>
      </c>
    </row>
  </sheetData>
  <mergeCells count="1">
    <mergeCell ref="A4:K4"/>
  </mergeCells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pane xSplit="11655" topLeftCell="J1"/>
      <selection activeCell="I9" sqref="I9"/>
      <selection pane="topRight" activeCell="J24" sqref="J2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4.5703125" bestFit="1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97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134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3.23</v>
      </c>
      <c r="E9" s="15"/>
      <c r="F9" s="18">
        <f>-5000*31</f>
        <v>-155000</v>
      </c>
      <c r="G9" s="32"/>
      <c r="H9" s="32">
        <f>+'[2]ELpaso SJ &amp; Prm'!$F37</f>
        <v>4.0510000000000002</v>
      </c>
      <c r="I9" s="17">
        <f t="shared" ref="I9:I20" si="0">SUM(D9-H9)*F9</f>
        <v>127255.00000000003</v>
      </c>
      <c r="J9" s="41"/>
      <c r="K9" s="41">
        <f t="shared" ref="K9:K20" si="1">+I9</f>
        <v>127255.00000000003</v>
      </c>
    </row>
    <row r="10" spans="1:11" x14ac:dyDescent="0.2">
      <c r="A10" s="31">
        <v>36923</v>
      </c>
      <c r="B10" s="15"/>
      <c r="C10" s="16" t="s">
        <v>96</v>
      </c>
      <c r="D10" s="32">
        <v>3.23</v>
      </c>
      <c r="E10" s="15"/>
      <c r="F10" s="18">
        <f>-5000*28</f>
        <v>-140000</v>
      </c>
      <c r="G10" s="32"/>
      <c r="H10" s="32">
        <f>+'[2]ELpaso SJ &amp; Prm'!$F38</f>
        <v>3.8699999999999997</v>
      </c>
      <c r="I10" s="17">
        <f t="shared" si="0"/>
        <v>89599.999999999956</v>
      </c>
      <c r="J10" s="41"/>
      <c r="K10" s="41">
        <f t="shared" si="1"/>
        <v>89599.999999999956</v>
      </c>
    </row>
    <row r="11" spans="1:11" x14ac:dyDescent="0.2">
      <c r="A11" s="31">
        <v>36951</v>
      </c>
      <c r="B11" s="15"/>
      <c r="C11" s="16" t="s">
        <v>96</v>
      </c>
      <c r="D11" s="32">
        <v>3.23</v>
      </c>
      <c r="E11" s="15"/>
      <c r="F11" s="18">
        <f>-5000*31</f>
        <v>-155000</v>
      </c>
      <c r="G11" s="32"/>
      <c r="H11" s="32">
        <f>+'[2]ELpaso SJ &amp; Prm'!$F39</f>
        <v>3.8024999999999998</v>
      </c>
      <c r="I11" s="17">
        <f t="shared" si="0"/>
        <v>88737.499999999971</v>
      </c>
      <c r="J11" s="41"/>
      <c r="K11" s="41">
        <f t="shared" si="1"/>
        <v>88737.499999999971</v>
      </c>
    </row>
    <row r="12" spans="1:11" x14ac:dyDescent="0.2">
      <c r="A12" s="31">
        <v>36982</v>
      </c>
      <c r="B12" s="15"/>
      <c r="C12" s="16" t="s">
        <v>96</v>
      </c>
      <c r="D12" s="32">
        <v>3.23</v>
      </c>
      <c r="E12" s="15"/>
      <c r="F12" s="18">
        <f>-5000*30</f>
        <v>-150000</v>
      </c>
      <c r="G12" s="32"/>
      <c r="H12" s="32">
        <f>+'[2]ELpaso SJ &amp; Prm'!$F40</f>
        <v>3.7949999999999999</v>
      </c>
      <c r="I12" s="17">
        <f t="shared" si="0"/>
        <v>84749.999999999985</v>
      </c>
      <c r="J12" s="41"/>
      <c r="K12" s="41">
        <f t="shared" si="1"/>
        <v>84749.999999999985</v>
      </c>
    </row>
    <row r="13" spans="1:11" x14ac:dyDescent="0.2">
      <c r="A13" s="31">
        <v>37012</v>
      </c>
      <c r="B13" s="15"/>
      <c r="C13" s="16" t="s">
        <v>96</v>
      </c>
      <c r="D13" s="32">
        <v>3.23</v>
      </c>
      <c r="E13" s="15"/>
      <c r="F13" s="18">
        <f>-5000*31</f>
        <v>-155000</v>
      </c>
      <c r="G13" s="15"/>
      <c r="H13" s="32">
        <f>+'[2]ELpaso SJ &amp; Prm'!$F41</f>
        <v>3.7974999999999999</v>
      </c>
      <c r="I13" s="17">
        <f t="shared" si="0"/>
        <v>87962.499999999985</v>
      </c>
      <c r="J13" s="39"/>
      <c r="K13" s="41">
        <f t="shared" si="1"/>
        <v>87962.499999999985</v>
      </c>
    </row>
    <row r="14" spans="1:11" x14ac:dyDescent="0.2">
      <c r="A14" s="31">
        <v>37043</v>
      </c>
      <c r="B14" s="15"/>
      <c r="C14" s="16" t="s">
        <v>96</v>
      </c>
      <c r="D14" s="32">
        <v>3.23</v>
      </c>
      <c r="E14" s="15"/>
      <c r="F14" s="18">
        <f>-5000*30</f>
        <v>-150000</v>
      </c>
      <c r="G14" s="15"/>
      <c r="H14" s="32">
        <f>+'[2]ELpaso SJ &amp; Prm'!$F42</f>
        <v>3.8</v>
      </c>
      <c r="I14" s="17">
        <f t="shared" si="0"/>
        <v>85499.999999999971</v>
      </c>
      <c r="J14" s="39"/>
      <c r="K14" s="41">
        <f t="shared" si="1"/>
        <v>85499.999999999971</v>
      </c>
    </row>
    <row r="15" spans="1:11" x14ac:dyDescent="0.2">
      <c r="A15" s="31">
        <v>37073</v>
      </c>
      <c r="B15" s="15"/>
      <c r="C15" s="16" t="s">
        <v>96</v>
      </c>
      <c r="D15" s="32">
        <v>3.23</v>
      </c>
      <c r="E15" s="15"/>
      <c r="F15" s="18">
        <f>-5000*31</f>
        <v>-155000</v>
      </c>
      <c r="G15" s="15"/>
      <c r="H15" s="32">
        <f>+'[2]ELpaso SJ &amp; Prm'!$F43</f>
        <v>3.8050000000000002</v>
      </c>
      <c r="I15" s="17">
        <f t="shared" si="0"/>
        <v>89125.000000000029</v>
      </c>
      <c r="J15" s="39"/>
      <c r="K15" s="41">
        <f t="shared" si="1"/>
        <v>89125.000000000029</v>
      </c>
    </row>
    <row r="16" spans="1:11" x14ac:dyDescent="0.2">
      <c r="A16" s="31">
        <v>37104</v>
      </c>
      <c r="B16" s="15"/>
      <c r="C16" s="16" t="s">
        <v>96</v>
      </c>
      <c r="D16" s="32">
        <v>3.23</v>
      </c>
      <c r="E16" s="15"/>
      <c r="F16" s="18">
        <f>-5000*31</f>
        <v>-155000</v>
      </c>
      <c r="G16" s="15"/>
      <c r="H16" s="32">
        <f>+'[2]ELpaso SJ &amp; Prm'!$F44</f>
        <v>3.8074999999999997</v>
      </c>
      <c r="I16" s="17">
        <f t="shared" si="0"/>
        <v>89512.499999999956</v>
      </c>
      <c r="J16" s="39"/>
      <c r="K16" s="41">
        <f t="shared" si="1"/>
        <v>89512.499999999956</v>
      </c>
    </row>
    <row r="17" spans="1:11" x14ac:dyDescent="0.2">
      <c r="A17" s="31">
        <v>37135</v>
      </c>
      <c r="B17" s="15"/>
      <c r="C17" s="16" t="s">
        <v>96</v>
      </c>
      <c r="D17" s="32">
        <v>3.23</v>
      </c>
      <c r="E17" s="15"/>
      <c r="F17" s="18">
        <f>-5000*30</f>
        <v>-150000</v>
      </c>
      <c r="G17" s="15"/>
      <c r="H17" s="32">
        <f>+'[2]ELpaso SJ &amp; Prm'!$F45</f>
        <v>3.9249999999999994</v>
      </c>
      <c r="I17" s="17">
        <f t="shared" si="0"/>
        <v>104249.99999999991</v>
      </c>
      <c r="J17" s="39"/>
      <c r="K17" s="41">
        <f t="shared" si="1"/>
        <v>104249.99999999991</v>
      </c>
    </row>
    <row r="18" spans="1:11" x14ac:dyDescent="0.2">
      <c r="A18" s="31">
        <v>37165</v>
      </c>
      <c r="B18" s="15"/>
      <c r="C18" s="16" t="s">
        <v>96</v>
      </c>
      <c r="D18" s="32">
        <v>3.23</v>
      </c>
      <c r="E18" s="15"/>
      <c r="F18" s="18">
        <f>-5000*31</f>
        <v>-155000</v>
      </c>
      <c r="G18" s="15"/>
      <c r="H18" s="32">
        <f>+'[2]ELpaso SJ &amp; Prm'!$F46</f>
        <v>4.04</v>
      </c>
      <c r="I18" s="17">
        <f t="shared" si="0"/>
        <v>125550.00000000001</v>
      </c>
      <c r="J18" s="39"/>
      <c r="K18" s="41">
        <f t="shared" si="1"/>
        <v>125550.00000000001</v>
      </c>
    </row>
    <row r="19" spans="1:11" x14ac:dyDescent="0.2">
      <c r="A19" s="31">
        <v>37196</v>
      </c>
      <c r="B19" s="15"/>
      <c r="C19" s="16" t="s">
        <v>96</v>
      </c>
      <c r="D19" s="32">
        <v>3.23</v>
      </c>
      <c r="E19" s="15"/>
      <c r="F19" s="18">
        <f>-5000*30</f>
        <v>-150000</v>
      </c>
      <c r="G19" s="15"/>
      <c r="H19" s="32">
        <f>+'[2]ELpaso SJ &amp; Prm'!$F47</f>
        <v>4.0549999999999997</v>
      </c>
      <c r="I19" s="17">
        <f t="shared" si="0"/>
        <v>123749.99999999996</v>
      </c>
      <c r="J19" s="39"/>
      <c r="K19" s="41">
        <f t="shared" si="1"/>
        <v>123749.99999999996</v>
      </c>
    </row>
    <row r="20" spans="1:11" x14ac:dyDescent="0.2">
      <c r="A20" s="31">
        <v>37226</v>
      </c>
      <c r="B20" s="15"/>
      <c r="C20" s="16" t="s">
        <v>96</v>
      </c>
      <c r="D20" s="32">
        <v>3.23</v>
      </c>
      <c r="E20" s="15"/>
      <c r="F20" s="18">
        <f>-5000*31</f>
        <v>-155000</v>
      </c>
      <c r="G20" s="15"/>
      <c r="H20" s="32">
        <f>+'[2]ELpaso SJ &amp; Prm'!$F48</f>
        <v>3.88</v>
      </c>
      <c r="I20" s="17">
        <f t="shared" si="0"/>
        <v>100749.99999999999</v>
      </c>
      <c r="J20" s="39"/>
      <c r="K20" s="41">
        <f t="shared" si="1"/>
        <v>100749.99999999999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1196742.4999999998</v>
      </c>
      <c r="J22" s="35">
        <f>SUM(J9:J20)</f>
        <v>0</v>
      </c>
      <c r="K22" s="35">
        <f>SUM(K9:K20)</f>
        <v>1196742.4999999998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3.23</v>
      </c>
      <c r="E26" s="15"/>
      <c r="F26" s="18">
        <f>5000*31</f>
        <v>155000</v>
      </c>
      <c r="G26" s="32"/>
      <c r="H26" s="32">
        <f>+'[2]ELpaso SJ &amp; Prm'!$R12</f>
        <v>4.2084999999999999</v>
      </c>
      <c r="I26" s="17">
        <f>(+D26-H26)*F26</f>
        <v>-151667.5</v>
      </c>
      <c r="J26" s="41"/>
      <c r="K26" s="41">
        <f t="shared" ref="K26:K37" si="2">+I26</f>
        <v>-151667.5</v>
      </c>
    </row>
    <row r="27" spans="1:11" x14ac:dyDescent="0.2">
      <c r="A27" s="31">
        <v>36923</v>
      </c>
      <c r="B27" s="15"/>
      <c r="C27" s="16" t="s">
        <v>46</v>
      </c>
      <c r="D27" s="32">
        <v>3.23</v>
      </c>
      <c r="E27" s="15"/>
      <c r="F27" s="18">
        <f>5000*28</f>
        <v>140000</v>
      </c>
      <c r="G27" s="61"/>
      <c r="H27" s="32">
        <f>+'[2]ELpaso SJ &amp; Prm'!$R13</f>
        <v>4.0018333333333329</v>
      </c>
      <c r="I27" s="17">
        <f t="shared" ref="I27:I37" si="3">(+D27-H27)*F27</f>
        <v>-108056.66666666661</v>
      </c>
      <c r="J27" s="41"/>
      <c r="K27" s="41">
        <f t="shared" si="2"/>
        <v>-108056.66666666661</v>
      </c>
    </row>
    <row r="28" spans="1:11" x14ac:dyDescent="0.2">
      <c r="A28" s="31">
        <v>36951</v>
      </c>
      <c r="B28" s="15"/>
      <c r="C28" s="16" t="s">
        <v>46</v>
      </c>
      <c r="D28" s="32">
        <v>3.23</v>
      </c>
      <c r="E28" s="15"/>
      <c r="F28" s="18">
        <f>5000*31</f>
        <v>155000</v>
      </c>
      <c r="G28" s="61"/>
      <c r="H28" s="32">
        <f>+'[2]ELpaso SJ &amp; Prm'!$R14</f>
        <v>3.7650000000000001</v>
      </c>
      <c r="I28" s="17">
        <f t="shared" si="3"/>
        <v>-82925.000000000029</v>
      </c>
      <c r="J28" s="41"/>
      <c r="K28" s="41">
        <f t="shared" si="2"/>
        <v>-82925.000000000029</v>
      </c>
    </row>
    <row r="29" spans="1:11" x14ac:dyDescent="0.2">
      <c r="A29" s="31">
        <v>36982</v>
      </c>
      <c r="B29" s="15"/>
      <c r="C29" s="16" t="s">
        <v>46</v>
      </c>
      <c r="D29" s="32">
        <v>3.23</v>
      </c>
      <c r="E29" s="15"/>
      <c r="F29" s="18">
        <f>5000*30</f>
        <v>150000</v>
      </c>
      <c r="G29" s="61"/>
      <c r="H29" s="32">
        <f>+'[2]ELpaso SJ &amp; Prm'!$R15</f>
        <v>3.6966666666666668</v>
      </c>
      <c r="I29" s="17">
        <f t="shared" si="3"/>
        <v>-70000.000000000015</v>
      </c>
      <c r="J29" s="41"/>
      <c r="K29" s="41">
        <f t="shared" si="2"/>
        <v>-70000.000000000015</v>
      </c>
    </row>
    <row r="30" spans="1:11" x14ac:dyDescent="0.2">
      <c r="A30" s="31">
        <v>37012</v>
      </c>
      <c r="B30" s="15"/>
      <c r="C30" s="16" t="s">
        <v>46</v>
      </c>
      <c r="D30" s="32">
        <v>3.23</v>
      </c>
      <c r="E30" s="15"/>
      <c r="F30" s="18">
        <f>5000*31</f>
        <v>155000</v>
      </c>
      <c r="G30" s="15"/>
      <c r="H30" s="32">
        <f>+'[2]ELpaso SJ &amp; Prm'!$R16</f>
        <v>3.688333333333333</v>
      </c>
      <c r="I30" s="17">
        <f t="shared" si="3"/>
        <v>-71041.666666666628</v>
      </c>
      <c r="J30" s="39"/>
      <c r="K30" s="41">
        <f t="shared" si="2"/>
        <v>-71041.666666666628</v>
      </c>
    </row>
    <row r="31" spans="1:11" x14ac:dyDescent="0.2">
      <c r="A31" s="31">
        <v>37043</v>
      </c>
      <c r="B31" s="15"/>
      <c r="C31" s="16" t="s">
        <v>46</v>
      </c>
      <c r="D31" s="32">
        <v>3.23</v>
      </c>
      <c r="E31" s="15"/>
      <c r="F31" s="18">
        <f>5000*30</f>
        <v>150000</v>
      </c>
      <c r="G31" s="15"/>
      <c r="H31" s="32">
        <f>+'[2]ELpaso SJ &amp; Prm'!$R17</f>
        <v>3.6949999999999998</v>
      </c>
      <c r="I31" s="17">
        <f t="shared" si="3"/>
        <v>-69749.999999999985</v>
      </c>
      <c r="J31" s="39"/>
      <c r="K31" s="41">
        <f t="shared" si="2"/>
        <v>-69749.999999999985</v>
      </c>
    </row>
    <row r="32" spans="1:11" x14ac:dyDescent="0.2">
      <c r="A32" s="31">
        <v>37073</v>
      </c>
      <c r="B32" s="15"/>
      <c r="C32" s="16" t="s">
        <v>46</v>
      </c>
      <c r="D32" s="32">
        <v>3.23</v>
      </c>
      <c r="E32" s="15"/>
      <c r="F32" s="18">
        <f>5000*31</f>
        <v>155000</v>
      </c>
      <c r="G32" s="15"/>
      <c r="H32" s="32">
        <f>+'[2]ELpaso SJ &amp; Prm'!$R18</f>
        <v>3.6966666666666668</v>
      </c>
      <c r="I32" s="17">
        <f t="shared" si="3"/>
        <v>-72333.333333333358</v>
      </c>
      <c r="J32" s="39"/>
      <c r="K32" s="41">
        <f t="shared" si="2"/>
        <v>-72333.333333333358</v>
      </c>
    </row>
    <row r="33" spans="1:11" x14ac:dyDescent="0.2">
      <c r="A33" s="31">
        <v>37104</v>
      </c>
      <c r="B33" s="15"/>
      <c r="C33" s="16" t="s">
        <v>46</v>
      </c>
      <c r="D33" s="32">
        <v>3.23</v>
      </c>
      <c r="E33" s="15"/>
      <c r="F33" s="18">
        <f>5000*31</f>
        <v>155000</v>
      </c>
      <c r="G33" s="15"/>
      <c r="H33" s="32">
        <f>+'[2]ELpaso SJ &amp; Prm'!$R19</f>
        <v>3.7016666666666667</v>
      </c>
      <c r="I33" s="17">
        <f t="shared" si="3"/>
        <v>-73108.333333333328</v>
      </c>
      <c r="J33" s="39"/>
      <c r="K33" s="41">
        <f t="shared" si="2"/>
        <v>-73108.333333333328</v>
      </c>
    </row>
    <row r="34" spans="1:11" x14ac:dyDescent="0.2">
      <c r="A34" s="31">
        <v>37135</v>
      </c>
      <c r="B34" s="15"/>
      <c r="C34" s="16" t="s">
        <v>46</v>
      </c>
      <c r="D34" s="32">
        <v>3.23</v>
      </c>
      <c r="E34" s="15"/>
      <c r="F34" s="18">
        <f>5000*30</f>
        <v>150000</v>
      </c>
      <c r="G34" s="15"/>
      <c r="H34" s="32">
        <f>+'[2]ELpaso SJ &amp; Prm'!$R20</f>
        <v>3.7083333333333335</v>
      </c>
      <c r="I34" s="17">
        <f t="shared" si="3"/>
        <v>-71750.000000000029</v>
      </c>
      <c r="J34" s="39"/>
      <c r="K34" s="41">
        <f t="shared" si="2"/>
        <v>-71750.000000000029</v>
      </c>
    </row>
    <row r="35" spans="1:11" x14ac:dyDescent="0.2">
      <c r="A35" s="31">
        <v>37165</v>
      </c>
      <c r="B35" s="15"/>
      <c r="C35" s="16" t="s">
        <v>46</v>
      </c>
      <c r="D35" s="32">
        <v>3.23</v>
      </c>
      <c r="E35" s="15"/>
      <c r="F35" s="18">
        <f>5000*31</f>
        <v>155000</v>
      </c>
      <c r="G35" s="15"/>
      <c r="H35" s="32">
        <f>+'[2]ELpaso SJ &amp; Prm'!$R21</f>
        <v>3.8791666666666664</v>
      </c>
      <c r="I35" s="17">
        <f t="shared" si="3"/>
        <v>-100620.8333333333</v>
      </c>
      <c r="J35" s="39"/>
      <c r="K35" s="41">
        <f t="shared" si="2"/>
        <v>-100620.8333333333</v>
      </c>
    </row>
    <row r="36" spans="1:11" x14ac:dyDescent="0.2">
      <c r="A36" s="31">
        <v>37196</v>
      </c>
      <c r="B36" s="15"/>
      <c r="C36" s="16" t="s">
        <v>46</v>
      </c>
      <c r="D36" s="32">
        <v>3.23</v>
      </c>
      <c r="E36" s="15"/>
      <c r="F36" s="18">
        <f>5000*30</f>
        <v>150000</v>
      </c>
      <c r="G36" s="15"/>
      <c r="H36" s="32">
        <f>+'[2]ELpaso SJ &amp; Prm'!$R22</f>
        <v>3.9924999999999997</v>
      </c>
      <c r="I36" s="17">
        <f t="shared" si="3"/>
        <v>-114374.99999999996</v>
      </c>
      <c r="J36" s="39"/>
      <c r="K36" s="41">
        <f t="shared" si="2"/>
        <v>-114374.99999999996</v>
      </c>
    </row>
    <row r="37" spans="1:11" x14ac:dyDescent="0.2">
      <c r="A37" s="31">
        <v>37226</v>
      </c>
      <c r="B37" s="15"/>
      <c r="C37" s="16" t="s">
        <v>46</v>
      </c>
      <c r="D37" s="32">
        <v>3.23</v>
      </c>
      <c r="E37" s="15"/>
      <c r="F37" s="18">
        <f>5000*31</f>
        <v>155000</v>
      </c>
      <c r="G37" s="15"/>
      <c r="H37" s="32">
        <f>+'[2]ELpaso SJ &amp; Prm'!$R23</f>
        <v>4.0091666666666663</v>
      </c>
      <c r="I37" s="17">
        <f t="shared" si="3"/>
        <v>-120770.83333333328</v>
      </c>
      <c r="J37" s="39"/>
      <c r="K37" s="41">
        <f t="shared" si="2"/>
        <v>-120770.83333333328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-1106399.1666666665</v>
      </c>
      <c r="J39" s="33">
        <f>SUM(J26:J38)</f>
        <v>0</v>
      </c>
      <c r="K39" s="33">
        <f>SUM(K26:K38)</f>
        <v>-1106399.1666666665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90343.333333333256</v>
      </c>
      <c r="J41" s="34">
        <f>+J39+J22</f>
        <v>0</v>
      </c>
      <c r="K41" s="34">
        <f>+K39+K22</f>
        <v>90343.333333333256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101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134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3.74</v>
      </c>
      <c r="E9" s="15"/>
      <c r="F9" s="18">
        <f>-5000*31</f>
        <v>-155000</v>
      </c>
      <c r="G9" s="32"/>
      <c r="H9" s="32">
        <f>+'[2]ELpaso SJ &amp; Prm'!$F37</f>
        <v>4.0510000000000002</v>
      </c>
      <c r="I9" s="17">
        <f t="shared" ref="I9:I20" si="0">SUM(D9-H9)*F9</f>
        <v>48204.999999999993</v>
      </c>
      <c r="J9" s="41"/>
      <c r="K9" s="41">
        <f t="shared" ref="K9:K20" si="1">+I9</f>
        <v>48204.999999999993</v>
      </c>
    </row>
    <row r="10" spans="1:11" x14ac:dyDescent="0.2">
      <c r="A10" s="31">
        <v>36923</v>
      </c>
      <c r="B10" s="15"/>
      <c r="C10" s="16" t="s">
        <v>96</v>
      </c>
      <c r="D10" s="32">
        <v>3.74</v>
      </c>
      <c r="E10" s="15"/>
      <c r="F10" s="18">
        <f>-5000*28</f>
        <v>-140000</v>
      </c>
      <c r="G10" s="32"/>
      <c r="H10" s="32">
        <f>+'[2]ELpaso SJ &amp; Prm'!$F38</f>
        <v>3.8699999999999997</v>
      </c>
      <c r="I10" s="17">
        <f t="shared" si="0"/>
        <v>18199.999999999924</v>
      </c>
      <c r="J10" s="41"/>
      <c r="K10" s="41">
        <f t="shared" si="1"/>
        <v>18199.999999999924</v>
      </c>
    </row>
    <row r="11" spans="1:11" x14ac:dyDescent="0.2">
      <c r="A11" s="31">
        <v>36951</v>
      </c>
      <c r="B11" s="15"/>
      <c r="C11" s="16" t="s">
        <v>96</v>
      </c>
      <c r="D11" s="32">
        <v>3.74</v>
      </c>
      <c r="E11" s="15"/>
      <c r="F11" s="18">
        <f>-5000*31</f>
        <v>-155000</v>
      </c>
      <c r="G11" s="32"/>
      <c r="H11" s="32">
        <f>+'[2]ELpaso SJ &amp; Prm'!$F39</f>
        <v>3.8024999999999998</v>
      </c>
      <c r="I11" s="17">
        <f t="shared" si="0"/>
        <v>9687.4999999999309</v>
      </c>
      <c r="J11" s="41"/>
      <c r="K11" s="41">
        <f t="shared" si="1"/>
        <v>9687.4999999999309</v>
      </c>
    </row>
    <row r="12" spans="1:11" x14ac:dyDescent="0.2">
      <c r="A12" s="31">
        <v>36982</v>
      </c>
      <c r="B12" s="15"/>
      <c r="C12" s="16" t="s">
        <v>96</v>
      </c>
      <c r="D12" s="32">
        <v>3.74</v>
      </c>
      <c r="E12" s="15"/>
      <c r="F12" s="18">
        <f>-5000*30</f>
        <v>-150000</v>
      </c>
      <c r="G12" s="32"/>
      <c r="H12" s="32">
        <f>+'[2]ELpaso SJ &amp; Prm'!$F40</f>
        <v>3.7949999999999999</v>
      </c>
      <c r="I12" s="17">
        <f t="shared" si="0"/>
        <v>8249.9999999999582</v>
      </c>
      <c r="J12" s="41"/>
      <c r="K12" s="41">
        <f t="shared" si="1"/>
        <v>8249.9999999999582</v>
      </c>
    </row>
    <row r="13" spans="1:11" x14ac:dyDescent="0.2">
      <c r="A13" s="31">
        <v>37012</v>
      </c>
      <c r="B13" s="15"/>
      <c r="C13" s="16" t="s">
        <v>96</v>
      </c>
      <c r="D13" s="32">
        <v>3.74</v>
      </c>
      <c r="E13" s="15"/>
      <c r="F13" s="18">
        <f>-5000*31</f>
        <v>-155000</v>
      </c>
      <c r="G13" s="15"/>
      <c r="H13" s="32">
        <f>+'[2]ELpaso SJ &amp; Prm'!$F41</f>
        <v>3.7974999999999999</v>
      </c>
      <c r="I13" s="17">
        <f t="shared" si="0"/>
        <v>8912.4999999999472</v>
      </c>
      <c r="J13" s="39"/>
      <c r="K13" s="41">
        <f t="shared" si="1"/>
        <v>8912.4999999999472</v>
      </c>
    </row>
    <row r="14" spans="1:11" x14ac:dyDescent="0.2">
      <c r="A14" s="31">
        <v>37043</v>
      </c>
      <c r="B14" s="15"/>
      <c r="C14" s="16" t="s">
        <v>96</v>
      </c>
      <c r="D14" s="32">
        <v>3.74</v>
      </c>
      <c r="E14" s="15"/>
      <c r="F14" s="18">
        <f>-5000*30</f>
        <v>-150000</v>
      </c>
      <c r="G14" s="15"/>
      <c r="H14" s="32">
        <f>+'[2]ELpaso SJ &amp; Prm'!$F42</f>
        <v>3.8</v>
      </c>
      <c r="I14" s="17">
        <f t="shared" si="0"/>
        <v>8999.9999999999418</v>
      </c>
      <c r="J14" s="39"/>
      <c r="K14" s="41">
        <f t="shared" si="1"/>
        <v>8999.9999999999418</v>
      </c>
    </row>
    <row r="15" spans="1:11" x14ac:dyDescent="0.2">
      <c r="A15" s="31">
        <v>37073</v>
      </c>
      <c r="B15" s="15"/>
      <c r="C15" s="16" t="s">
        <v>96</v>
      </c>
      <c r="D15" s="32">
        <v>3.74</v>
      </c>
      <c r="E15" s="15"/>
      <c r="F15" s="18">
        <f>-5000*31</f>
        <v>-155000</v>
      </c>
      <c r="G15" s="15"/>
      <c r="H15" s="32">
        <f>+'[2]ELpaso SJ &amp; Prm'!$F43</f>
        <v>3.8050000000000002</v>
      </c>
      <c r="I15" s="17">
        <f t="shared" si="0"/>
        <v>10074.999999999991</v>
      </c>
      <c r="J15" s="39"/>
      <c r="K15" s="41">
        <f t="shared" si="1"/>
        <v>10074.999999999991</v>
      </c>
    </row>
    <row r="16" spans="1:11" x14ac:dyDescent="0.2">
      <c r="A16" s="31">
        <v>37104</v>
      </c>
      <c r="B16" s="15"/>
      <c r="C16" s="16" t="s">
        <v>96</v>
      </c>
      <c r="D16" s="32">
        <v>3.74</v>
      </c>
      <c r="E16" s="15"/>
      <c r="F16" s="18">
        <f>-5000*31</f>
        <v>-155000</v>
      </c>
      <c r="G16" s="15"/>
      <c r="H16" s="32">
        <f>+'[2]ELpaso SJ &amp; Prm'!$F44</f>
        <v>3.8074999999999997</v>
      </c>
      <c r="I16" s="17">
        <f t="shared" si="0"/>
        <v>10462.499999999915</v>
      </c>
      <c r="J16" s="39"/>
      <c r="K16" s="41">
        <f t="shared" si="1"/>
        <v>10462.499999999915</v>
      </c>
    </row>
    <row r="17" spans="1:11" x14ac:dyDescent="0.2">
      <c r="A17" s="31">
        <v>37135</v>
      </c>
      <c r="B17" s="15"/>
      <c r="C17" s="16" t="s">
        <v>96</v>
      </c>
      <c r="D17" s="32">
        <v>3.74</v>
      </c>
      <c r="E17" s="15"/>
      <c r="F17" s="18">
        <f>-5000*30</f>
        <v>-150000</v>
      </c>
      <c r="G17" s="15"/>
      <c r="H17" s="32">
        <f>+'[2]ELpaso SJ &amp; Prm'!$F45</f>
        <v>3.9249999999999994</v>
      </c>
      <c r="I17" s="17">
        <f t="shared" si="0"/>
        <v>27749.999999999876</v>
      </c>
      <c r="J17" s="39"/>
      <c r="K17" s="41">
        <f t="shared" si="1"/>
        <v>27749.999999999876</v>
      </c>
    </row>
    <row r="18" spans="1:11" x14ac:dyDescent="0.2">
      <c r="A18" s="31">
        <v>37165</v>
      </c>
      <c r="B18" s="15"/>
      <c r="C18" s="16" t="s">
        <v>96</v>
      </c>
      <c r="D18" s="32">
        <v>3.74</v>
      </c>
      <c r="E18" s="15"/>
      <c r="F18" s="18">
        <f>-5000*31</f>
        <v>-155000</v>
      </c>
      <c r="G18" s="15"/>
      <c r="H18" s="32">
        <f>+'[2]ELpaso SJ &amp; Prm'!$F46</f>
        <v>4.04</v>
      </c>
      <c r="I18" s="17">
        <f t="shared" si="0"/>
        <v>46499.999999999971</v>
      </c>
      <c r="J18" s="39"/>
      <c r="K18" s="41">
        <f t="shared" si="1"/>
        <v>46499.999999999971</v>
      </c>
    </row>
    <row r="19" spans="1:11" x14ac:dyDescent="0.2">
      <c r="A19" s="31">
        <v>37196</v>
      </c>
      <c r="B19" s="15"/>
      <c r="C19" s="16" t="s">
        <v>96</v>
      </c>
      <c r="D19" s="32">
        <v>3.74</v>
      </c>
      <c r="E19" s="15"/>
      <c r="F19" s="18">
        <f>-5000*30</f>
        <v>-150000</v>
      </c>
      <c r="G19" s="15"/>
      <c r="H19" s="32">
        <f>+'[2]ELpaso SJ &amp; Prm'!$F47</f>
        <v>4.0549999999999997</v>
      </c>
      <c r="I19" s="17">
        <f t="shared" si="0"/>
        <v>47249.999999999927</v>
      </c>
      <c r="J19" s="39"/>
      <c r="K19" s="41">
        <f t="shared" si="1"/>
        <v>47249.999999999927</v>
      </c>
    </row>
    <row r="20" spans="1:11" x14ac:dyDescent="0.2">
      <c r="A20" s="31">
        <v>37226</v>
      </c>
      <c r="B20" s="15"/>
      <c r="C20" s="16" t="s">
        <v>96</v>
      </c>
      <c r="D20" s="32">
        <v>3.74</v>
      </c>
      <c r="E20" s="15"/>
      <c r="F20" s="18">
        <f>-5000*31</f>
        <v>-155000</v>
      </c>
      <c r="G20" s="15"/>
      <c r="H20" s="32">
        <f>+'[2]ELpaso SJ &amp; Prm'!$F48</f>
        <v>3.88</v>
      </c>
      <c r="I20" s="17">
        <f t="shared" si="0"/>
        <v>21699.999999999949</v>
      </c>
      <c r="J20" s="39"/>
      <c r="K20" s="41">
        <f t="shared" si="1"/>
        <v>21699.999999999949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265992.4999999993</v>
      </c>
      <c r="J22" s="35">
        <f>SUM(J9:J20)</f>
        <v>0</v>
      </c>
      <c r="K22" s="35">
        <f>SUM(K9:K20)</f>
        <v>265992.4999999993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3.74</v>
      </c>
      <c r="E26" s="15"/>
      <c r="F26" s="18">
        <f>5000*31</f>
        <v>155000</v>
      </c>
      <c r="G26" s="32"/>
      <c r="H26" s="32">
        <f>+'[2]ELpaso SJ &amp; Prm'!$R12</f>
        <v>4.2084999999999999</v>
      </c>
      <c r="I26" s="17">
        <f>(+D26-H26)*F26</f>
        <v>-72617.499999999956</v>
      </c>
      <c r="J26" s="41"/>
      <c r="K26" s="41">
        <f t="shared" ref="K26:K37" si="2">+I26</f>
        <v>-72617.499999999956</v>
      </c>
    </row>
    <row r="27" spans="1:11" x14ac:dyDescent="0.2">
      <c r="A27" s="31">
        <v>36923</v>
      </c>
      <c r="B27" s="15"/>
      <c r="C27" s="16" t="s">
        <v>46</v>
      </c>
      <c r="D27" s="32">
        <v>3.74</v>
      </c>
      <c r="E27" s="15"/>
      <c r="F27" s="18">
        <f>5000*28</f>
        <v>140000</v>
      </c>
      <c r="G27" s="61"/>
      <c r="H27" s="32">
        <f>+'[2]ELpaso SJ &amp; Prm'!$R13</f>
        <v>4.0018333333333329</v>
      </c>
      <c r="I27" s="17">
        <f t="shared" ref="I27:I37" si="3">(+D27-H27)*F27</f>
        <v>-36656.666666666577</v>
      </c>
      <c r="J27" s="41"/>
      <c r="K27" s="41">
        <f t="shared" si="2"/>
        <v>-36656.666666666577</v>
      </c>
    </row>
    <row r="28" spans="1:11" x14ac:dyDescent="0.2">
      <c r="A28" s="31">
        <v>36951</v>
      </c>
      <c r="B28" s="15"/>
      <c r="C28" s="16" t="s">
        <v>46</v>
      </c>
      <c r="D28" s="32">
        <v>3.74</v>
      </c>
      <c r="E28" s="15"/>
      <c r="F28" s="18">
        <f>5000*31</f>
        <v>155000</v>
      </c>
      <c r="G28" s="61"/>
      <c r="H28" s="32">
        <f>+'[2]ELpaso SJ &amp; Prm'!$R14</f>
        <v>3.7650000000000001</v>
      </c>
      <c r="I28" s="17">
        <f t="shared" si="3"/>
        <v>-3874.9999999999864</v>
      </c>
      <c r="J28" s="41"/>
      <c r="K28" s="41">
        <f t="shared" si="2"/>
        <v>-3874.9999999999864</v>
      </c>
    </row>
    <row r="29" spans="1:11" x14ac:dyDescent="0.2">
      <c r="A29" s="31">
        <v>36982</v>
      </c>
      <c r="B29" s="15"/>
      <c r="C29" s="16" t="s">
        <v>46</v>
      </c>
      <c r="D29" s="32">
        <v>3.74</v>
      </c>
      <c r="E29" s="15"/>
      <c r="F29" s="18">
        <f>5000*30</f>
        <v>150000</v>
      </c>
      <c r="G29" s="61"/>
      <c r="H29" s="32">
        <f>+'[2]ELpaso SJ &amp; Prm'!$R15</f>
        <v>3.6966666666666668</v>
      </c>
      <c r="I29" s="17">
        <f t="shared" si="3"/>
        <v>6500.0000000000173</v>
      </c>
      <c r="J29" s="41"/>
      <c r="K29" s="41">
        <f t="shared" si="2"/>
        <v>6500.0000000000173</v>
      </c>
    </row>
    <row r="30" spans="1:11" x14ac:dyDescent="0.2">
      <c r="A30" s="31">
        <v>37012</v>
      </c>
      <c r="B30" s="15"/>
      <c r="C30" s="16" t="s">
        <v>46</v>
      </c>
      <c r="D30" s="32">
        <v>3.74</v>
      </c>
      <c r="E30" s="15"/>
      <c r="F30" s="18">
        <f>5000*31</f>
        <v>155000</v>
      </c>
      <c r="G30" s="15"/>
      <c r="H30" s="32">
        <f>+'[2]ELpaso SJ &amp; Prm'!$R16</f>
        <v>3.688333333333333</v>
      </c>
      <c r="I30" s="17">
        <f t="shared" si="3"/>
        <v>8008.3333333334149</v>
      </c>
      <c r="J30" s="39"/>
      <c r="K30" s="41">
        <f t="shared" si="2"/>
        <v>8008.3333333334149</v>
      </c>
    </row>
    <row r="31" spans="1:11" x14ac:dyDescent="0.2">
      <c r="A31" s="31">
        <v>37043</v>
      </c>
      <c r="B31" s="15"/>
      <c r="C31" s="16" t="s">
        <v>46</v>
      </c>
      <c r="D31" s="32">
        <v>3.74</v>
      </c>
      <c r="E31" s="15"/>
      <c r="F31" s="18">
        <f>5000*30</f>
        <v>150000</v>
      </c>
      <c r="G31" s="15"/>
      <c r="H31" s="32">
        <f>+'[2]ELpaso SJ &amp; Prm'!$R17</f>
        <v>3.6949999999999998</v>
      </c>
      <c r="I31" s="17">
        <f t="shared" si="3"/>
        <v>6750.0000000000564</v>
      </c>
      <c r="J31" s="39"/>
      <c r="K31" s="41">
        <f t="shared" si="2"/>
        <v>6750.0000000000564</v>
      </c>
    </row>
    <row r="32" spans="1:11" x14ac:dyDescent="0.2">
      <c r="A32" s="31">
        <v>37073</v>
      </c>
      <c r="B32" s="15"/>
      <c r="C32" s="16" t="s">
        <v>46</v>
      </c>
      <c r="D32" s="32">
        <v>3.74</v>
      </c>
      <c r="E32" s="15"/>
      <c r="F32" s="18">
        <f>5000*31</f>
        <v>155000</v>
      </c>
      <c r="G32" s="15"/>
      <c r="H32" s="32">
        <f>+'[2]ELpaso SJ &amp; Prm'!$R18</f>
        <v>3.6966666666666668</v>
      </c>
      <c r="I32" s="17">
        <f t="shared" si="3"/>
        <v>6716.6666666666843</v>
      </c>
      <c r="J32" s="39"/>
      <c r="K32" s="41">
        <f t="shared" si="2"/>
        <v>6716.6666666666843</v>
      </c>
    </row>
    <row r="33" spans="1:11" x14ac:dyDescent="0.2">
      <c r="A33" s="31">
        <v>37104</v>
      </c>
      <c r="B33" s="15"/>
      <c r="C33" s="16" t="s">
        <v>46</v>
      </c>
      <c r="D33" s="32">
        <v>3.74</v>
      </c>
      <c r="E33" s="15"/>
      <c r="F33" s="18">
        <f>5000*31</f>
        <v>155000</v>
      </c>
      <c r="G33" s="15"/>
      <c r="H33" s="32">
        <f>+'[2]ELpaso SJ &amp; Prm'!$R19</f>
        <v>3.7016666666666667</v>
      </c>
      <c r="I33" s="17">
        <f t="shared" si="3"/>
        <v>5941.6666666667006</v>
      </c>
      <c r="J33" s="39"/>
      <c r="K33" s="41">
        <f t="shared" si="2"/>
        <v>5941.6666666667006</v>
      </c>
    </row>
    <row r="34" spans="1:11" x14ac:dyDescent="0.2">
      <c r="A34" s="31">
        <v>37135</v>
      </c>
      <c r="B34" s="15"/>
      <c r="C34" s="16" t="s">
        <v>46</v>
      </c>
      <c r="D34" s="32">
        <v>3.74</v>
      </c>
      <c r="E34" s="15"/>
      <c r="F34" s="18">
        <f>5000*30</f>
        <v>150000</v>
      </c>
      <c r="G34" s="15"/>
      <c r="H34" s="32">
        <f>+'[2]ELpaso SJ &amp; Prm'!$R20</f>
        <v>3.7083333333333335</v>
      </c>
      <c r="I34" s="17">
        <f t="shared" si="3"/>
        <v>4750.00000000001</v>
      </c>
      <c r="J34" s="39"/>
      <c r="K34" s="41">
        <f t="shared" si="2"/>
        <v>4750.00000000001</v>
      </c>
    </row>
    <row r="35" spans="1:11" x14ac:dyDescent="0.2">
      <c r="A35" s="31">
        <v>37165</v>
      </c>
      <c r="B35" s="15"/>
      <c r="C35" s="16" t="s">
        <v>46</v>
      </c>
      <c r="D35" s="32">
        <v>3.74</v>
      </c>
      <c r="E35" s="15"/>
      <c r="F35" s="18">
        <f>5000*31</f>
        <v>155000</v>
      </c>
      <c r="G35" s="15"/>
      <c r="H35" s="32">
        <f>+'[2]ELpaso SJ &amp; Prm'!$R21</f>
        <v>3.8791666666666664</v>
      </c>
      <c r="I35" s="17">
        <f t="shared" si="3"/>
        <v>-21570.833333333263</v>
      </c>
      <c r="J35" s="39"/>
      <c r="K35" s="41">
        <f t="shared" si="2"/>
        <v>-21570.833333333263</v>
      </c>
    </row>
    <row r="36" spans="1:11" x14ac:dyDescent="0.2">
      <c r="A36" s="31">
        <v>37196</v>
      </c>
      <c r="B36" s="15"/>
      <c r="C36" s="16" t="s">
        <v>46</v>
      </c>
      <c r="D36" s="32">
        <v>3.74</v>
      </c>
      <c r="E36" s="15"/>
      <c r="F36" s="18">
        <f>5000*30</f>
        <v>150000</v>
      </c>
      <c r="G36" s="15"/>
      <c r="H36" s="32">
        <f>+'[2]ELpaso SJ &amp; Prm'!$R22</f>
        <v>3.9924999999999997</v>
      </c>
      <c r="I36" s="17">
        <f t="shared" si="3"/>
        <v>-37874.999999999927</v>
      </c>
      <c r="J36" s="39"/>
      <c r="K36" s="41">
        <f t="shared" si="2"/>
        <v>-37874.999999999927</v>
      </c>
    </row>
    <row r="37" spans="1:11" x14ac:dyDescent="0.2">
      <c r="A37" s="31">
        <v>37226</v>
      </c>
      <c r="B37" s="15"/>
      <c r="C37" s="16" t="s">
        <v>46</v>
      </c>
      <c r="D37" s="32">
        <v>3.74</v>
      </c>
      <c r="E37" s="15"/>
      <c r="F37" s="18">
        <f>5000*31</f>
        <v>155000</v>
      </c>
      <c r="G37" s="15"/>
      <c r="H37" s="32">
        <f>+'[2]ELpaso SJ &amp; Prm'!$R23</f>
        <v>4.0091666666666663</v>
      </c>
      <c r="I37" s="17">
        <f t="shared" si="3"/>
        <v>-41720.833333333248</v>
      </c>
      <c r="J37" s="39"/>
      <c r="K37" s="41">
        <f t="shared" si="2"/>
        <v>-41720.833333333248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-175649.1666666661</v>
      </c>
      <c r="J39" s="33">
        <f>SUM(J26:J38)</f>
        <v>0</v>
      </c>
      <c r="K39" s="33">
        <f>SUM(K26:K38)</f>
        <v>-175649.1666666661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90343.333333333198</v>
      </c>
      <c r="J41" s="34">
        <f>+J39+J22</f>
        <v>0</v>
      </c>
      <c r="K41" s="34">
        <f>+K39+K22</f>
        <v>90343.333333333198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110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134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3.63</v>
      </c>
      <c r="E9" s="15"/>
      <c r="F9" s="18">
        <f>-5000*31</f>
        <v>-155000</v>
      </c>
      <c r="G9" s="32"/>
      <c r="H9" s="32">
        <f>+'[2]ELpaso SJ &amp; Prm'!$F37</f>
        <v>4.0510000000000002</v>
      </c>
      <c r="I9" s="17">
        <f t="shared" ref="I9:I20" si="0">SUM(D9-H9)*F9</f>
        <v>65255.000000000044</v>
      </c>
      <c r="J9" s="41"/>
      <c r="K9" s="41">
        <f t="shared" ref="K9:K20" si="1">+I9</f>
        <v>65255.000000000044</v>
      </c>
    </row>
    <row r="10" spans="1:11" x14ac:dyDescent="0.2">
      <c r="A10" s="31">
        <v>36923</v>
      </c>
      <c r="B10" s="15"/>
      <c r="C10" s="16" t="s">
        <v>96</v>
      </c>
      <c r="D10" s="32">
        <v>3.63</v>
      </c>
      <c r="E10" s="15"/>
      <c r="F10" s="18">
        <f>-5000*28</f>
        <v>-140000</v>
      </c>
      <c r="G10" s="32"/>
      <c r="H10" s="32">
        <f>+'[2]ELpaso SJ &amp; Prm'!$F38</f>
        <v>3.8699999999999997</v>
      </c>
      <c r="I10" s="17">
        <f t="shared" si="0"/>
        <v>33599.999999999971</v>
      </c>
      <c r="J10" s="41"/>
      <c r="K10" s="41">
        <f t="shared" si="1"/>
        <v>33599.999999999971</v>
      </c>
    </row>
    <row r="11" spans="1:11" x14ac:dyDescent="0.2">
      <c r="A11" s="31">
        <v>36951</v>
      </c>
      <c r="B11" s="15"/>
      <c r="C11" s="16" t="s">
        <v>96</v>
      </c>
      <c r="D11" s="32">
        <v>3.63</v>
      </c>
      <c r="E11" s="15"/>
      <c r="F11" s="18">
        <f>-5000*31</f>
        <v>-155000</v>
      </c>
      <c r="G11" s="32"/>
      <c r="H11" s="32">
        <f>+'[2]ELpaso SJ &amp; Prm'!$F39</f>
        <v>3.8024999999999998</v>
      </c>
      <c r="I11" s="17">
        <f t="shared" si="0"/>
        <v>26737.499999999982</v>
      </c>
      <c r="J11" s="41"/>
      <c r="K11" s="41">
        <f t="shared" si="1"/>
        <v>26737.499999999982</v>
      </c>
    </row>
    <row r="12" spans="1:11" x14ac:dyDescent="0.2">
      <c r="A12" s="31">
        <v>36982</v>
      </c>
      <c r="B12" s="15"/>
      <c r="C12" s="16" t="s">
        <v>96</v>
      </c>
      <c r="D12" s="32">
        <v>3.63</v>
      </c>
      <c r="E12" s="15"/>
      <c r="F12" s="18">
        <f>-5000*30</f>
        <v>-150000</v>
      </c>
      <c r="G12" s="32"/>
      <c r="H12" s="32">
        <f>+'[2]ELpaso SJ &amp; Prm'!$F40</f>
        <v>3.7949999999999999</v>
      </c>
      <c r="I12" s="17">
        <f t="shared" si="0"/>
        <v>24750.000000000004</v>
      </c>
      <c r="J12" s="41"/>
      <c r="K12" s="41">
        <f t="shared" si="1"/>
        <v>24750.000000000004</v>
      </c>
    </row>
    <row r="13" spans="1:11" x14ac:dyDescent="0.2">
      <c r="A13" s="31">
        <v>37012</v>
      </c>
      <c r="B13" s="15"/>
      <c r="C13" s="16" t="s">
        <v>96</v>
      </c>
      <c r="D13" s="32">
        <v>3.63</v>
      </c>
      <c r="E13" s="15"/>
      <c r="F13" s="18">
        <f>-5000*31</f>
        <v>-155000</v>
      </c>
      <c r="G13" s="15"/>
      <c r="H13" s="32">
        <f>+'[2]ELpaso SJ &amp; Prm'!$F41</f>
        <v>3.7974999999999999</v>
      </c>
      <c r="I13" s="17">
        <f t="shared" si="0"/>
        <v>25962.499999999996</v>
      </c>
      <c r="J13" s="39"/>
      <c r="K13" s="41">
        <f t="shared" si="1"/>
        <v>25962.499999999996</v>
      </c>
    </row>
    <row r="14" spans="1:11" x14ac:dyDescent="0.2">
      <c r="A14" s="31">
        <v>37043</v>
      </c>
      <c r="B14" s="15"/>
      <c r="C14" s="16" t="s">
        <v>96</v>
      </c>
      <c r="D14" s="32">
        <v>3.63</v>
      </c>
      <c r="E14" s="15"/>
      <c r="F14" s="18">
        <f>-5000*30</f>
        <v>-150000</v>
      </c>
      <c r="G14" s="15"/>
      <c r="H14" s="32">
        <f>+'[2]ELpaso SJ &amp; Prm'!$F42</f>
        <v>3.8</v>
      </c>
      <c r="I14" s="17">
        <f t="shared" si="0"/>
        <v>25499.999999999989</v>
      </c>
      <c r="J14" s="39"/>
      <c r="K14" s="41">
        <f t="shared" si="1"/>
        <v>25499.999999999989</v>
      </c>
    </row>
    <row r="15" spans="1:11" x14ac:dyDescent="0.2">
      <c r="A15" s="31">
        <v>37073</v>
      </c>
      <c r="B15" s="15"/>
      <c r="C15" s="16" t="s">
        <v>96</v>
      </c>
      <c r="D15" s="32">
        <v>3.63</v>
      </c>
      <c r="E15" s="15"/>
      <c r="F15" s="18">
        <f>-5000*31</f>
        <v>-155000</v>
      </c>
      <c r="G15" s="15"/>
      <c r="H15" s="32">
        <f>+'[2]ELpaso SJ &amp; Prm'!$F43</f>
        <v>3.8050000000000002</v>
      </c>
      <c r="I15" s="17">
        <f t="shared" si="0"/>
        <v>27125.00000000004</v>
      </c>
      <c r="J15" s="39"/>
      <c r="K15" s="41">
        <f t="shared" si="1"/>
        <v>27125.00000000004</v>
      </c>
    </row>
    <row r="16" spans="1:11" x14ac:dyDescent="0.2">
      <c r="A16" s="31">
        <v>37104</v>
      </c>
      <c r="B16" s="15"/>
      <c r="C16" s="16" t="s">
        <v>96</v>
      </c>
      <c r="D16" s="32">
        <v>3.63</v>
      </c>
      <c r="E16" s="15"/>
      <c r="F16" s="18">
        <f>-5000*31</f>
        <v>-155000</v>
      </c>
      <c r="G16" s="15"/>
      <c r="H16" s="32">
        <f>+'[2]ELpaso SJ &amp; Prm'!$F44</f>
        <v>3.8074999999999997</v>
      </c>
      <c r="I16" s="17">
        <f t="shared" si="0"/>
        <v>27512.499999999964</v>
      </c>
      <c r="J16" s="39"/>
      <c r="K16" s="41">
        <f t="shared" si="1"/>
        <v>27512.499999999964</v>
      </c>
    </row>
    <row r="17" spans="1:11" x14ac:dyDescent="0.2">
      <c r="A17" s="31">
        <v>37135</v>
      </c>
      <c r="B17" s="15"/>
      <c r="C17" s="16" t="s">
        <v>96</v>
      </c>
      <c r="D17" s="32">
        <v>3.63</v>
      </c>
      <c r="E17" s="15"/>
      <c r="F17" s="18">
        <f>-5000*30</f>
        <v>-150000</v>
      </c>
      <c r="G17" s="15"/>
      <c r="H17" s="32">
        <f>+'[2]ELpaso SJ &amp; Prm'!$F45</f>
        <v>3.9249999999999994</v>
      </c>
      <c r="I17" s="17">
        <f t="shared" si="0"/>
        <v>44249.99999999992</v>
      </c>
      <c r="J17" s="39"/>
      <c r="K17" s="41">
        <f t="shared" si="1"/>
        <v>44249.99999999992</v>
      </c>
    </row>
    <row r="18" spans="1:11" x14ac:dyDescent="0.2">
      <c r="A18" s="31">
        <v>37165</v>
      </c>
      <c r="B18" s="15"/>
      <c r="C18" s="16" t="s">
        <v>96</v>
      </c>
      <c r="D18" s="32">
        <v>3.63</v>
      </c>
      <c r="E18" s="15"/>
      <c r="F18" s="18">
        <f>-5000*31</f>
        <v>-155000</v>
      </c>
      <c r="G18" s="15"/>
      <c r="H18" s="32">
        <f>+'[2]ELpaso SJ &amp; Prm'!$F46</f>
        <v>4.04</v>
      </c>
      <c r="I18" s="17">
        <f t="shared" si="0"/>
        <v>63550.000000000022</v>
      </c>
      <c r="J18" s="39"/>
      <c r="K18" s="41">
        <f t="shared" si="1"/>
        <v>63550.000000000022</v>
      </c>
    </row>
    <row r="19" spans="1:11" x14ac:dyDescent="0.2">
      <c r="A19" s="31">
        <v>37196</v>
      </c>
      <c r="B19" s="15"/>
      <c r="C19" s="16" t="s">
        <v>96</v>
      </c>
      <c r="D19" s="32">
        <v>3.63</v>
      </c>
      <c r="E19" s="15"/>
      <c r="F19" s="18">
        <f>-5000*30</f>
        <v>-150000</v>
      </c>
      <c r="G19" s="15"/>
      <c r="H19" s="32">
        <f>+'[2]ELpaso SJ &amp; Prm'!$F47</f>
        <v>4.0549999999999997</v>
      </c>
      <c r="I19" s="17">
        <f t="shared" si="0"/>
        <v>63749.999999999971</v>
      </c>
      <c r="J19" s="39"/>
      <c r="K19" s="41">
        <f t="shared" si="1"/>
        <v>63749.999999999971</v>
      </c>
    </row>
    <row r="20" spans="1:11" x14ac:dyDescent="0.2">
      <c r="A20" s="31">
        <v>37226</v>
      </c>
      <c r="B20" s="15"/>
      <c r="C20" s="16" t="s">
        <v>96</v>
      </c>
      <c r="D20" s="32">
        <v>3.63</v>
      </c>
      <c r="E20" s="15"/>
      <c r="F20" s="18">
        <f>-5000*31</f>
        <v>-155000</v>
      </c>
      <c r="G20" s="15"/>
      <c r="H20" s="32">
        <f>+'[2]ELpaso SJ &amp; Prm'!$F48</f>
        <v>3.88</v>
      </c>
      <c r="I20" s="17">
        <f t="shared" si="0"/>
        <v>38750</v>
      </c>
      <c r="J20" s="39"/>
      <c r="K20" s="41">
        <f t="shared" si="1"/>
        <v>38750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466742.49999999988</v>
      </c>
      <c r="J22" s="35">
        <f>SUM(J9:J20)</f>
        <v>0</v>
      </c>
      <c r="K22" s="35">
        <f>SUM(K9:K20)</f>
        <v>466742.49999999988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3.63</v>
      </c>
      <c r="E26" s="15"/>
      <c r="F26" s="18">
        <f>5000*31</f>
        <v>155000</v>
      </c>
      <c r="G26" s="32"/>
      <c r="H26" s="32">
        <f>+'[2]ELpaso SJ &amp; Prm'!$R12</f>
        <v>4.2084999999999999</v>
      </c>
      <c r="I26" s="17">
        <f>(+D26-H26)*F26</f>
        <v>-89667.5</v>
      </c>
      <c r="J26" s="41"/>
      <c r="K26" s="41">
        <f t="shared" ref="K26:K37" si="2">+I26</f>
        <v>-89667.5</v>
      </c>
    </row>
    <row r="27" spans="1:11" x14ac:dyDescent="0.2">
      <c r="A27" s="31">
        <v>36923</v>
      </c>
      <c r="B27" s="15"/>
      <c r="C27" s="16" t="s">
        <v>46</v>
      </c>
      <c r="D27" s="32">
        <v>3.63</v>
      </c>
      <c r="E27" s="15"/>
      <c r="F27" s="18">
        <f>5000*28</f>
        <v>140000</v>
      </c>
      <c r="G27" s="61"/>
      <c r="H27" s="32">
        <f>+'[2]ELpaso SJ &amp; Prm'!$R13</f>
        <v>4.0018333333333329</v>
      </c>
      <c r="I27" s="17">
        <f t="shared" ref="I27:I37" si="3">(+D27-H27)*F27</f>
        <v>-52056.666666666621</v>
      </c>
      <c r="J27" s="41"/>
      <c r="K27" s="41">
        <f t="shared" si="2"/>
        <v>-52056.666666666621</v>
      </c>
    </row>
    <row r="28" spans="1:11" x14ac:dyDescent="0.2">
      <c r="A28" s="31">
        <v>36951</v>
      </c>
      <c r="B28" s="15"/>
      <c r="C28" s="16" t="s">
        <v>46</v>
      </c>
      <c r="D28" s="32">
        <v>3.63</v>
      </c>
      <c r="E28" s="15"/>
      <c r="F28" s="18">
        <f>5000*31</f>
        <v>155000</v>
      </c>
      <c r="G28" s="61"/>
      <c r="H28" s="32">
        <f>+'[2]ELpaso SJ &amp; Prm'!$R14</f>
        <v>3.7650000000000001</v>
      </c>
      <c r="I28" s="17">
        <f t="shared" si="3"/>
        <v>-20925.000000000036</v>
      </c>
      <c r="J28" s="41"/>
      <c r="K28" s="41">
        <f t="shared" si="2"/>
        <v>-20925.000000000036</v>
      </c>
    </row>
    <row r="29" spans="1:11" x14ac:dyDescent="0.2">
      <c r="A29" s="31">
        <v>36982</v>
      </c>
      <c r="B29" s="15"/>
      <c r="C29" s="16" t="s">
        <v>46</v>
      </c>
      <c r="D29" s="32">
        <v>3.63</v>
      </c>
      <c r="E29" s="15"/>
      <c r="F29" s="18">
        <f>5000*30</f>
        <v>150000</v>
      </c>
      <c r="G29" s="61"/>
      <c r="H29" s="32">
        <f>+'[2]ELpaso SJ &amp; Prm'!$R15</f>
        <v>3.6966666666666668</v>
      </c>
      <c r="I29" s="17">
        <f t="shared" si="3"/>
        <v>-10000.000000000031</v>
      </c>
      <c r="J29" s="41"/>
      <c r="K29" s="41">
        <f t="shared" si="2"/>
        <v>-10000.000000000031</v>
      </c>
    </row>
    <row r="30" spans="1:11" x14ac:dyDescent="0.2">
      <c r="A30" s="31">
        <v>37012</v>
      </c>
      <c r="B30" s="15"/>
      <c r="C30" s="16" t="s">
        <v>46</v>
      </c>
      <c r="D30" s="32">
        <v>3.63</v>
      </c>
      <c r="E30" s="15"/>
      <c r="F30" s="18">
        <f>5000*31</f>
        <v>155000</v>
      </c>
      <c r="G30" s="15"/>
      <c r="H30" s="32">
        <f>+'[2]ELpaso SJ &amp; Prm'!$R16</f>
        <v>3.688333333333333</v>
      </c>
      <c r="I30" s="17">
        <f t="shared" si="3"/>
        <v>-9041.6666666666351</v>
      </c>
      <c r="J30" s="39"/>
      <c r="K30" s="41">
        <f t="shared" si="2"/>
        <v>-9041.6666666666351</v>
      </c>
    </row>
    <row r="31" spans="1:11" x14ac:dyDescent="0.2">
      <c r="A31" s="31">
        <v>37043</v>
      </c>
      <c r="B31" s="15"/>
      <c r="C31" s="16" t="s">
        <v>46</v>
      </c>
      <c r="D31" s="32">
        <v>3.63</v>
      </c>
      <c r="E31" s="15"/>
      <c r="F31" s="18">
        <f>5000*30</f>
        <v>150000</v>
      </c>
      <c r="G31" s="15"/>
      <c r="H31" s="32">
        <f>+'[2]ELpaso SJ &amp; Prm'!$R17</f>
        <v>3.6949999999999998</v>
      </c>
      <c r="I31" s="17">
        <f t="shared" si="3"/>
        <v>-9749.9999999999927</v>
      </c>
      <c r="J31" s="39"/>
      <c r="K31" s="41">
        <f t="shared" si="2"/>
        <v>-9749.9999999999927</v>
      </c>
    </row>
    <row r="32" spans="1:11" x14ac:dyDescent="0.2">
      <c r="A32" s="31">
        <v>37073</v>
      </c>
      <c r="B32" s="15"/>
      <c r="C32" s="16" t="s">
        <v>46</v>
      </c>
      <c r="D32" s="32">
        <v>3.63</v>
      </c>
      <c r="E32" s="15"/>
      <c r="F32" s="18">
        <f>5000*31</f>
        <v>155000</v>
      </c>
      <c r="G32" s="15"/>
      <c r="H32" s="32">
        <f>+'[2]ELpaso SJ &amp; Prm'!$R18</f>
        <v>3.6966666666666668</v>
      </c>
      <c r="I32" s="17">
        <f t="shared" si="3"/>
        <v>-10333.333333333365</v>
      </c>
      <c r="J32" s="39"/>
      <c r="K32" s="41">
        <f t="shared" si="2"/>
        <v>-10333.333333333365</v>
      </c>
    </row>
    <row r="33" spans="1:11" x14ac:dyDescent="0.2">
      <c r="A33" s="31">
        <v>37104</v>
      </c>
      <c r="B33" s="15"/>
      <c r="C33" s="16" t="s">
        <v>46</v>
      </c>
      <c r="D33" s="32">
        <v>3.63</v>
      </c>
      <c r="E33" s="15"/>
      <c r="F33" s="18">
        <f>5000*31</f>
        <v>155000</v>
      </c>
      <c r="G33" s="15"/>
      <c r="H33" s="32">
        <f>+'[2]ELpaso SJ &amp; Prm'!$R19</f>
        <v>3.7016666666666667</v>
      </c>
      <c r="I33" s="17">
        <f t="shared" si="3"/>
        <v>-11108.333333333348</v>
      </c>
      <c r="J33" s="39"/>
      <c r="K33" s="41">
        <f t="shared" si="2"/>
        <v>-11108.333333333348</v>
      </c>
    </row>
    <row r="34" spans="1:11" x14ac:dyDescent="0.2">
      <c r="A34" s="31">
        <v>37135</v>
      </c>
      <c r="B34" s="15"/>
      <c r="C34" s="16" t="s">
        <v>46</v>
      </c>
      <c r="D34" s="32">
        <v>3.63</v>
      </c>
      <c r="E34" s="15"/>
      <c r="F34" s="18">
        <f>5000*30</f>
        <v>150000</v>
      </c>
      <c r="G34" s="15"/>
      <c r="H34" s="32">
        <f>+'[2]ELpaso SJ &amp; Prm'!$R20</f>
        <v>3.7083333333333335</v>
      </c>
      <c r="I34" s="17">
        <f t="shared" si="3"/>
        <v>-11750.000000000038</v>
      </c>
      <c r="J34" s="39"/>
      <c r="K34" s="41">
        <f t="shared" si="2"/>
        <v>-11750.000000000038</v>
      </c>
    </row>
    <row r="35" spans="1:11" x14ac:dyDescent="0.2">
      <c r="A35" s="31">
        <v>37165</v>
      </c>
      <c r="B35" s="15"/>
      <c r="C35" s="16" t="s">
        <v>46</v>
      </c>
      <c r="D35" s="32">
        <v>3.63</v>
      </c>
      <c r="E35" s="15"/>
      <c r="F35" s="18">
        <f>5000*31</f>
        <v>155000</v>
      </c>
      <c r="G35" s="15"/>
      <c r="H35" s="32">
        <f>+'[2]ELpaso SJ &amp; Prm'!$R21</f>
        <v>3.8791666666666664</v>
      </c>
      <c r="I35" s="17">
        <f t="shared" si="3"/>
        <v>-38620.833333333314</v>
      </c>
      <c r="J35" s="39"/>
      <c r="K35" s="41">
        <f t="shared" si="2"/>
        <v>-38620.833333333314</v>
      </c>
    </row>
    <row r="36" spans="1:11" x14ac:dyDescent="0.2">
      <c r="A36" s="31">
        <v>37196</v>
      </c>
      <c r="B36" s="15"/>
      <c r="C36" s="16" t="s">
        <v>46</v>
      </c>
      <c r="D36" s="32">
        <v>3.63</v>
      </c>
      <c r="E36" s="15"/>
      <c r="F36" s="18">
        <f>5000*30</f>
        <v>150000</v>
      </c>
      <c r="G36" s="15"/>
      <c r="H36" s="32">
        <f>+'[2]ELpaso SJ &amp; Prm'!$R22</f>
        <v>3.9924999999999997</v>
      </c>
      <c r="I36" s="17">
        <f t="shared" si="3"/>
        <v>-54374.999999999971</v>
      </c>
      <c r="J36" s="39"/>
      <c r="K36" s="41">
        <f t="shared" si="2"/>
        <v>-54374.999999999971</v>
      </c>
    </row>
    <row r="37" spans="1:11" x14ac:dyDescent="0.2">
      <c r="A37" s="31">
        <v>37226</v>
      </c>
      <c r="B37" s="15"/>
      <c r="C37" s="16" t="s">
        <v>46</v>
      </c>
      <c r="D37" s="32">
        <v>3.63</v>
      </c>
      <c r="E37" s="15"/>
      <c r="F37" s="18">
        <f>5000*31</f>
        <v>155000</v>
      </c>
      <c r="G37" s="15"/>
      <c r="H37" s="32">
        <f>+'[2]ELpaso SJ &amp; Prm'!$R23</f>
        <v>4.0091666666666663</v>
      </c>
      <c r="I37" s="17">
        <f t="shared" si="3"/>
        <v>-58770.833333333299</v>
      </c>
      <c r="J37" s="39"/>
      <c r="K37" s="41">
        <f t="shared" si="2"/>
        <v>-58770.833333333299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-376399.16666666669</v>
      </c>
      <c r="J39" s="33">
        <f>SUM(J26:J38)</f>
        <v>0</v>
      </c>
      <c r="K39" s="33">
        <f>SUM(K26:K38)</f>
        <v>-376399.16666666669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90343.333333333198</v>
      </c>
      <c r="J41" s="34">
        <f>+J39+J22</f>
        <v>0</v>
      </c>
      <c r="K41" s="34">
        <f>+K39+K22</f>
        <v>90343.333333333198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111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134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3.585</v>
      </c>
      <c r="E9" s="15"/>
      <c r="F9" s="18">
        <f>-5000*31</f>
        <v>-155000</v>
      </c>
      <c r="G9" s="32"/>
      <c r="H9" s="32">
        <f>+'[2]ELpaso SJ &amp; Prm'!$F37</f>
        <v>4.0510000000000002</v>
      </c>
      <c r="I9" s="17">
        <f t="shared" ref="I9:I20" si="0">SUM(D9-H9)*F9</f>
        <v>72230.000000000029</v>
      </c>
      <c r="J9" s="41"/>
      <c r="K9" s="41">
        <f t="shared" ref="K9:K20" si="1">+I9</f>
        <v>72230.000000000029</v>
      </c>
    </row>
    <row r="10" spans="1:11" x14ac:dyDescent="0.2">
      <c r="A10" s="31">
        <v>36923</v>
      </c>
      <c r="B10" s="15"/>
      <c r="C10" s="16" t="s">
        <v>96</v>
      </c>
      <c r="D10" s="32">
        <v>3.585</v>
      </c>
      <c r="E10" s="15"/>
      <c r="F10" s="18">
        <f>-5000*28</f>
        <v>-140000</v>
      </c>
      <c r="G10" s="32"/>
      <c r="H10" s="32">
        <f>+'[2]ELpaso SJ &amp; Prm'!$F38</f>
        <v>3.8699999999999997</v>
      </c>
      <c r="I10" s="17">
        <f t="shared" si="0"/>
        <v>39899.999999999956</v>
      </c>
      <c r="J10" s="41"/>
      <c r="K10" s="41">
        <f t="shared" si="1"/>
        <v>39899.999999999956</v>
      </c>
    </row>
    <row r="11" spans="1:11" x14ac:dyDescent="0.2">
      <c r="A11" s="31">
        <v>36951</v>
      </c>
      <c r="B11" s="15"/>
      <c r="C11" s="16" t="s">
        <v>96</v>
      </c>
      <c r="D11" s="32">
        <v>3.585</v>
      </c>
      <c r="E11" s="15"/>
      <c r="F11" s="18">
        <f>-5000*31</f>
        <v>-155000</v>
      </c>
      <c r="G11" s="32"/>
      <c r="H11" s="32">
        <f>+'[2]ELpaso SJ &amp; Prm'!$F39</f>
        <v>3.8024999999999998</v>
      </c>
      <c r="I11" s="17">
        <f t="shared" si="0"/>
        <v>33712.499999999971</v>
      </c>
      <c r="J11" s="41"/>
      <c r="K11" s="41">
        <f t="shared" si="1"/>
        <v>33712.499999999971</v>
      </c>
    </row>
    <row r="12" spans="1:11" x14ac:dyDescent="0.2">
      <c r="A12" s="31">
        <v>36982</v>
      </c>
      <c r="B12" s="15"/>
      <c r="C12" s="16" t="s">
        <v>96</v>
      </c>
      <c r="D12" s="32">
        <v>3.585</v>
      </c>
      <c r="E12" s="15"/>
      <c r="F12" s="18">
        <f>-5000*30</f>
        <v>-150000</v>
      </c>
      <c r="G12" s="32"/>
      <c r="H12" s="32">
        <f>+'[2]ELpaso SJ &amp; Prm'!$F40</f>
        <v>3.7949999999999999</v>
      </c>
      <c r="I12" s="17">
        <f t="shared" si="0"/>
        <v>31499.999999999996</v>
      </c>
      <c r="J12" s="41"/>
      <c r="K12" s="41">
        <f t="shared" si="1"/>
        <v>31499.999999999996</v>
      </c>
    </row>
    <row r="13" spans="1:11" x14ac:dyDescent="0.2">
      <c r="A13" s="31">
        <v>37012</v>
      </c>
      <c r="B13" s="15"/>
      <c r="C13" s="16" t="s">
        <v>96</v>
      </c>
      <c r="D13" s="32">
        <v>3.585</v>
      </c>
      <c r="E13" s="15"/>
      <c r="F13" s="18">
        <f>-5000*31</f>
        <v>-155000</v>
      </c>
      <c r="G13" s="15"/>
      <c r="H13" s="32">
        <f>+'[2]ELpaso SJ &amp; Prm'!$F41</f>
        <v>3.7974999999999999</v>
      </c>
      <c r="I13" s="17">
        <f t="shared" si="0"/>
        <v>32937.499999999985</v>
      </c>
      <c r="J13" s="39"/>
      <c r="K13" s="41">
        <f t="shared" si="1"/>
        <v>32937.499999999985</v>
      </c>
    </row>
    <row r="14" spans="1:11" x14ac:dyDescent="0.2">
      <c r="A14" s="31">
        <v>37043</v>
      </c>
      <c r="B14" s="15"/>
      <c r="C14" s="16" t="s">
        <v>96</v>
      </c>
      <c r="D14" s="32">
        <v>3.585</v>
      </c>
      <c r="E14" s="15"/>
      <c r="F14" s="18">
        <f>-5000*30</f>
        <v>-150000</v>
      </c>
      <c r="G14" s="15"/>
      <c r="H14" s="32">
        <f>+'[2]ELpaso SJ &amp; Prm'!$F42</f>
        <v>3.8</v>
      </c>
      <c r="I14" s="17">
        <f t="shared" si="0"/>
        <v>32249.999999999978</v>
      </c>
      <c r="J14" s="39"/>
      <c r="K14" s="41">
        <f t="shared" si="1"/>
        <v>32249.999999999978</v>
      </c>
    </row>
    <row r="15" spans="1:11" x14ac:dyDescent="0.2">
      <c r="A15" s="31">
        <v>37073</v>
      </c>
      <c r="B15" s="15"/>
      <c r="C15" s="16" t="s">
        <v>96</v>
      </c>
      <c r="D15" s="32">
        <v>3.585</v>
      </c>
      <c r="E15" s="15"/>
      <c r="F15" s="18">
        <f>-5000*31</f>
        <v>-155000</v>
      </c>
      <c r="G15" s="15"/>
      <c r="H15" s="32">
        <f>+'[2]ELpaso SJ &amp; Prm'!$F43</f>
        <v>3.8050000000000002</v>
      </c>
      <c r="I15" s="17">
        <f t="shared" si="0"/>
        <v>34100.000000000029</v>
      </c>
      <c r="J15" s="39"/>
      <c r="K15" s="41">
        <f t="shared" si="1"/>
        <v>34100.000000000029</v>
      </c>
    </row>
    <row r="16" spans="1:11" x14ac:dyDescent="0.2">
      <c r="A16" s="31">
        <v>37104</v>
      </c>
      <c r="B16" s="15"/>
      <c r="C16" s="16" t="s">
        <v>96</v>
      </c>
      <c r="D16" s="32">
        <v>3.585</v>
      </c>
      <c r="E16" s="15"/>
      <c r="F16" s="18">
        <f>-5000*31</f>
        <v>-155000</v>
      </c>
      <c r="G16" s="15"/>
      <c r="H16" s="32">
        <f>+'[2]ELpaso SJ &amp; Prm'!$F44</f>
        <v>3.8074999999999997</v>
      </c>
      <c r="I16" s="17">
        <f t="shared" si="0"/>
        <v>34487.499999999956</v>
      </c>
      <c r="J16" s="39"/>
      <c r="K16" s="41">
        <f t="shared" si="1"/>
        <v>34487.499999999956</v>
      </c>
    </row>
    <row r="17" spans="1:11" x14ac:dyDescent="0.2">
      <c r="A17" s="31">
        <v>37135</v>
      </c>
      <c r="B17" s="15"/>
      <c r="C17" s="16" t="s">
        <v>96</v>
      </c>
      <c r="D17" s="32">
        <v>3.585</v>
      </c>
      <c r="E17" s="15"/>
      <c r="F17" s="18">
        <f>-5000*30</f>
        <v>-150000</v>
      </c>
      <c r="G17" s="15"/>
      <c r="H17" s="32">
        <f>+'[2]ELpaso SJ &amp; Prm'!$F45</f>
        <v>3.9249999999999994</v>
      </c>
      <c r="I17" s="17">
        <f t="shared" si="0"/>
        <v>50999.999999999913</v>
      </c>
      <c r="J17" s="39"/>
      <c r="K17" s="41">
        <f t="shared" si="1"/>
        <v>50999.999999999913</v>
      </c>
    </row>
    <row r="18" spans="1:11" x14ac:dyDescent="0.2">
      <c r="A18" s="31">
        <v>37165</v>
      </c>
      <c r="B18" s="15"/>
      <c r="C18" s="16" t="s">
        <v>96</v>
      </c>
      <c r="D18" s="32">
        <v>3.585</v>
      </c>
      <c r="E18" s="15"/>
      <c r="F18" s="18">
        <f>-5000*31</f>
        <v>-155000</v>
      </c>
      <c r="G18" s="15"/>
      <c r="H18" s="32">
        <f>+'[2]ELpaso SJ &amp; Prm'!$F46</f>
        <v>4.04</v>
      </c>
      <c r="I18" s="17">
        <f t="shared" si="0"/>
        <v>70525.000000000015</v>
      </c>
      <c r="J18" s="39"/>
      <c r="K18" s="41">
        <f t="shared" si="1"/>
        <v>70525.000000000015</v>
      </c>
    </row>
    <row r="19" spans="1:11" x14ac:dyDescent="0.2">
      <c r="A19" s="31">
        <v>37196</v>
      </c>
      <c r="B19" s="15"/>
      <c r="C19" s="16" t="s">
        <v>96</v>
      </c>
      <c r="D19" s="32">
        <v>3.585</v>
      </c>
      <c r="E19" s="15"/>
      <c r="F19" s="18">
        <f>-5000*30</f>
        <v>-150000</v>
      </c>
      <c r="G19" s="15"/>
      <c r="H19" s="32">
        <f>+'[2]ELpaso SJ &amp; Prm'!$F47</f>
        <v>4.0549999999999997</v>
      </c>
      <c r="I19" s="17">
        <f t="shared" si="0"/>
        <v>70499.999999999956</v>
      </c>
      <c r="J19" s="39"/>
      <c r="K19" s="41">
        <f t="shared" si="1"/>
        <v>70499.999999999956</v>
      </c>
    </row>
    <row r="20" spans="1:11" x14ac:dyDescent="0.2">
      <c r="A20" s="31">
        <v>37226</v>
      </c>
      <c r="B20" s="15"/>
      <c r="C20" s="16" t="s">
        <v>96</v>
      </c>
      <c r="D20" s="32">
        <v>3.585</v>
      </c>
      <c r="E20" s="15"/>
      <c r="F20" s="18">
        <f>-5000*31</f>
        <v>-155000</v>
      </c>
      <c r="G20" s="15"/>
      <c r="H20" s="32">
        <f>+'[2]ELpaso SJ &amp; Prm'!$F48</f>
        <v>3.88</v>
      </c>
      <c r="I20" s="17">
        <f t="shared" si="0"/>
        <v>45724.999999999985</v>
      </c>
      <c r="J20" s="39"/>
      <c r="K20" s="41">
        <f t="shared" si="1"/>
        <v>45724.999999999985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548867.49999999965</v>
      </c>
      <c r="J22" s="35">
        <f>SUM(J9:J20)</f>
        <v>0</v>
      </c>
      <c r="K22" s="35">
        <f>SUM(K9:K20)</f>
        <v>548867.49999999965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3.585</v>
      </c>
      <c r="E26" s="15"/>
      <c r="F26" s="18">
        <f>5000*31</f>
        <v>155000</v>
      </c>
      <c r="G26" s="32"/>
      <c r="H26" s="32">
        <f>+'[2]ELpaso SJ &amp; Prm'!$R12</f>
        <v>4.2084999999999999</v>
      </c>
      <c r="I26" s="17">
        <f>(+D26-H26)*F26</f>
        <v>-96642.499999999985</v>
      </c>
      <c r="J26" s="41"/>
      <c r="K26" s="41">
        <f t="shared" ref="K26:K37" si="2">+I26</f>
        <v>-96642.499999999985</v>
      </c>
    </row>
    <row r="27" spans="1:11" x14ac:dyDescent="0.2">
      <c r="A27" s="31">
        <v>36923</v>
      </c>
      <c r="B27" s="15"/>
      <c r="C27" s="16" t="s">
        <v>46</v>
      </c>
      <c r="D27" s="32">
        <v>3.585</v>
      </c>
      <c r="E27" s="15"/>
      <c r="F27" s="18">
        <f>5000*28</f>
        <v>140000</v>
      </c>
      <c r="G27" s="61"/>
      <c r="H27" s="32">
        <f>+'[2]ELpaso SJ &amp; Prm'!$R13</f>
        <v>4.0018333333333329</v>
      </c>
      <c r="I27" s="17">
        <f t="shared" ref="I27:I37" si="3">(+D27-H27)*F27</f>
        <v>-58356.666666666613</v>
      </c>
      <c r="J27" s="41"/>
      <c r="K27" s="41">
        <f t="shared" si="2"/>
        <v>-58356.666666666613</v>
      </c>
    </row>
    <row r="28" spans="1:11" x14ac:dyDescent="0.2">
      <c r="A28" s="31">
        <v>36951</v>
      </c>
      <c r="B28" s="15"/>
      <c r="C28" s="16" t="s">
        <v>46</v>
      </c>
      <c r="D28" s="32">
        <v>3.585</v>
      </c>
      <c r="E28" s="15"/>
      <c r="F28" s="18">
        <f>5000*31</f>
        <v>155000</v>
      </c>
      <c r="G28" s="61"/>
      <c r="H28" s="32">
        <f>+'[2]ELpaso SJ &amp; Prm'!$R14</f>
        <v>3.7650000000000001</v>
      </c>
      <c r="I28" s="17">
        <f t="shared" si="3"/>
        <v>-27900.000000000025</v>
      </c>
      <c r="J28" s="41"/>
      <c r="K28" s="41">
        <f t="shared" si="2"/>
        <v>-27900.000000000025</v>
      </c>
    </row>
    <row r="29" spans="1:11" x14ac:dyDescent="0.2">
      <c r="A29" s="31">
        <v>36982</v>
      </c>
      <c r="B29" s="15"/>
      <c r="C29" s="16" t="s">
        <v>46</v>
      </c>
      <c r="D29" s="32">
        <v>3.585</v>
      </c>
      <c r="E29" s="15"/>
      <c r="F29" s="18">
        <f>5000*30</f>
        <v>150000</v>
      </c>
      <c r="G29" s="61"/>
      <c r="H29" s="32">
        <f>+'[2]ELpaso SJ &amp; Prm'!$R15</f>
        <v>3.6966666666666668</v>
      </c>
      <c r="I29" s="17">
        <f t="shared" si="3"/>
        <v>-16750.000000000022</v>
      </c>
      <c r="J29" s="41"/>
      <c r="K29" s="41">
        <f t="shared" si="2"/>
        <v>-16750.000000000022</v>
      </c>
    </row>
    <row r="30" spans="1:11" x14ac:dyDescent="0.2">
      <c r="A30" s="31">
        <v>37012</v>
      </c>
      <c r="B30" s="15"/>
      <c r="C30" s="16" t="s">
        <v>46</v>
      </c>
      <c r="D30" s="32">
        <v>3.585</v>
      </c>
      <c r="E30" s="15"/>
      <c r="F30" s="18">
        <f>5000*31</f>
        <v>155000</v>
      </c>
      <c r="G30" s="15"/>
      <c r="H30" s="32">
        <f>+'[2]ELpaso SJ &amp; Prm'!$R16</f>
        <v>3.688333333333333</v>
      </c>
      <c r="I30" s="17">
        <f t="shared" si="3"/>
        <v>-16016.666666666624</v>
      </c>
      <c r="J30" s="39"/>
      <c r="K30" s="41">
        <f t="shared" si="2"/>
        <v>-16016.666666666624</v>
      </c>
    </row>
    <row r="31" spans="1:11" x14ac:dyDescent="0.2">
      <c r="A31" s="31">
        <v>37043</v>
      </c>
      <c r="B31" s="15"/>
      <c r="C31" s="16" t="s">
        <v>46</v>
      </c>
      <c r="D31" s="32">
        <v>3.585</v>
      </c>
      <c r="E31" s="15"/>
      <c r="F31" s="18">
        <f>5000*30</f>
        <v>150000</v>
      </c>
      <c r="G31" s="15"/>
      <c r="H31" s="32">
        <f>+'[2]ELpaso SJ &amp; Prm'!$R17</f>
        <v>3.6949999999999998</v>
      </c>
      <c r="I31" s="17">
        <f t="shared" si="3"/>
        <v>-16499.999999999982</v>
      </c>
      <c r="J31" s="39"/>
      <c r="K31" s="41">
        <f t="shared" si="2"/>
        <v>-16499.999999999982</v>
      </c>
    </row>
    <row r="32" spans="1:11" x14ac:dyDescent="0.2">
      <c r="A32" s="31">
        <v>37073</v>
      </c>
      <c r="B32" s="15"/>
      <c r="C32" s="16" t="s">
        <v>46</v>
      </c>
      <c r="D32" s="32">
        <v>3.585</v>
      </c>
      <c r="E32" s="15"/>
      <c r="F32" s="18">
        <f>5000*31</f>
        <v>155000</v>
      </c>
      <c r="G32" s="15"/>
      <c r="H32" s="32">
        <f>+'[2]ELpaso SJ &amp; Prm'!$R18</f>
        <v>3.6966666666666668</v>
      </c>
      <c r="I32" s="17">
        <f t="shared" si="3"/>
        <v>-17308.333333333354</v>
      </c>
      <c r="J32" s="39"/>
      <c r="K32" s="41">
        <f t="shared" si="2"/>
        <v>-17308.333333333354</v>
      </c>
    </row>
    <row r="33" spans="1:11" x14ac:dyDescent="0.2">
      <c r="A33" s="31">
        <v>37104</v>
      </c>
      <c r="B33" s="15"/>
      <c r="C33" s="16" t="s">
        <v>46</v>
      </c>
      <c r="D33" s="32">
        <v>3.585</v>
      </c>
      <c r="E33" s="15"/>
      <c r="F33" s="18">
        <f>5000*31</f>
        <v>155000</v>
      </c>
      <c r="G33" s="15"/>
      <c r="H33" s="32">
        <f>+'[2]ELpaso SJ &amp; Prm'!$R19</f>
        <v>3.7016666666666667</v>
      </c>
      <c r="I33" s="17">
        <f t="shared" si="3"/>
        <v>-18083.333333333339</v>
      </c>
      <c r="J33" s="39"/>
      <c r="K33" s="41">
        <f t="shared" si="2"/>
        <v>-18083.333333333339</v>
      </c>
    </row>
    <row r="34" spans="1:11" x14ac:dyDescent="0.2">
      <c r="A34" s="31">
        <v>37135</v>
      </c>
      <c r="B34" s="15"/>
      <c r="C34" s="16" t="s">
        <v>46</v>
      </c>
      <c r="D34" s="32">
        <v>3.585</v>
      </c>
      <c r="E34" s="15"/>
      <c r="F34" s="18">
        <f>5000*30</f>
        <v>150000</v>
      </c>
      <c r="G34" s="15"/>
      <c r="H34" s="32">
        <f>+'[2]ELpaso SJ &amp; Prm'!$R20</f>
        <v>3.7083333333333335</v>
      </c>
      <c r="I34" s="17">
        <f t="shared" si="3"/>
        <v>-18500.000000000029</v>
      </c>
      <c r="J34" s="39"/>
      <c r="K34" s="41">
        <f t="shared" si="2"/>
        <v>-18500.000000000029</v>
      </c>
    </row>
    <row r="35" spans="1:11" x14ac:dyDescent="0.2">
      <c r="A35" s="31">
        <v>37165</v>
      </c>
      <c r="B35" s="15"/>
      <c r="C35" s="16" t="s">
        <v>46</v>
      </c>
      <c r="D35" s="32">
        <v>3.585</v>
      </c>
      <c r="E35" s="15"/>
      <c r="F35" s="18">
        <f>5000*31</f>
        <v>155000</v>
      </c>
      <c r="G35" s="15"/>
      <c r="H35" s="32">
        <f>+'[2]ELpaso SJ &amp; Prm'!$R21</f>
        <v>3.8791666666666664</v>
      </c>
      <c r="I35" s="17">
        <f t="shared" si="3"/>
        <v>-45595.833333333299</v>
      </c>
      <c r="J35" s="39"/>
      <c r="K35" s="41">
        <f t="shared" si="2"/>
        <v>-45595.833333333299</v>
      </c>
    </row>
    <row r="36" spans="1:11" x14ac:dyDescent="0.2">
      <c r="A36" s="31">
        <v>37196</v>
      </c>
      <c r="B36" s="15"/>
      <c r="C36" s="16" t="s">
        <v>46</v>
      </c>
      <c r="D36" s="32">
        <v>3.585</v>
      </c>
      <c r="E36" s="15"/>
      <c r="F36" s="18">
        <f>5000*30</f>
        <v>150000</v>
      </c>
      <c r="G36" s="15"/>
      <c r="H36" s="32">
        <f>+'[2]ELpaso SJ &amp; Prm'!$R22</f>
        <v>3.9924999999999997</v>
      </c>
      <c r="I36" s="17">
        <f t="shared" si="3"/>
        <v>-61124.999999999964</v>
      </c>
      <c r="J36" s="39"/>
      <c r="K36" s="41">
        <f t="shared" si="2"/>
        <v>-61124.999999999964</v>
      </c>
    </row>
    <row r="37" spans="1:11" x14ac:dyDescent="0.2">
      <c r="A37" s="31">
        <v>37226</v>
      </c>
      <c r="B37" s="15"/>
      <c r="C37" s="16" t="s">
        <v>46</v>
      </c>
      <c r="D37" s="32">
        <v>3.585</v>
      </c>
      <c r="E37" s="15"/>
      <c r="F37" s="18">
        <f>5000*31</f>
        <v>155000</v>
      </c>
      <c r="G37" s="15"/>
      <c r="H37" s="32">
        <f>+'[2]ELpaso SJ &amp; Prm'!$R23</f>
        <v>4.0091666666666663</v>
      </c>
      <c r="I37" s="17">
        <f t="shared" si="3"/>
        <v>-65745.833333333285</v>
      </c>
      <c r="J37" s="39"/>
      <c r="K37" s="41">
        <f t="shared" si="2"/>
        <v>-65745.833333333285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-458524.16666666651</v>
      </c>
      <c r="J39" s="33">
        <f>SUM(J26:J38)</f>
        <v>0</v>
      </c>
      <c r="K39" s="33">
        <f>SUM(K26:K38)</f>
        <v>-458524.16666666651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90343.333333333139</v>
      </c>
      <c r="J41" s="34">
        <f>+J39+J22</f>
        <v>0</v>
      </c>
      <c r="K41" s="34">
        <f>+K39+K22</f>
        <v>90343.333333333139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/>
  </sheetViews>
  <sheetFormatPr defaultRowHeight="12.75" x14ac:dyDescent="0.2"/>
  <cols>
    <col min="1" max="2" width="10.7109375" customWidth="1"/>
    <col min="3" max="3" width="17.28515625" bestFit="1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126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129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36831</v>
      </c>
      <c r="B9" s="15"/>
      <c r="C9" s="16" t="s">
        <v>127</v>
      </c>
      <c r="D9" s="32">
        <v>7.0000000000000007E-2</v>
      </c>
      <c r="E9" s="15"/>
      <c r="F9" s="18">
        <f>-5000*31</f>
        <v>-155000</v>
      </c>
      <c r="G9" s="32"/>
      <c r="H9" s="32"/>
      <c r="I9" s="17">
        <f>-F9*D9</f>
        <v>10850.000000000002</v>
      </c>
      <c r="J9" s="41">
        <f>+I9</f>
        <v>10850.000000000002</v>
      </c>
      <c r="K9" s="41"/>
    </row>
    <row r="10" spans="1:11" x14ac:dyDescent="0.2">
      <c r="A10" s="31"/>
      <c r="B10" s="15"/>
      <c r="C10" s="16"/>
      <c r="D10" s="32"/>
      <c r="E10" s="15"/>
      <c r="F10" s="18"/>
      <c r="G10" s="32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H11" s="32"/>
      <c r="I11" s="17"/>
      <c r="J11" s="39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SUM(F9:F10)</f>
        <v>-155000</v>
      </c>
      <c r="G12" s="15"/>
      <c r="H12" s="169"/>
      <c r="I12" s="24">
        <f>SUM(I9:I10)</f>
        <v>10850.000000000002</v>
      </c>
      <c r="J12" s="24">
        <f>SUM(J9:J10)</f>
        <v>10850.000000000002</v>
      </c>
      <c r="K12" s="24">
        <f>SUM(K9:K10)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">
      <c r="A17" s="29" t="s">
        <v>47</v>
      </c>
    </row>
  </sheetData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sqref="A1:IV65536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130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36831</v>
      </c>
      <c r="B9" s="15"/>
      <c r="C9" s="16" t="s">
        <v>128</v>
      </c>
      <c r="D9" s="32">
        <v>0.05</v>
      </c>
      <c r="E9" s="15"/>
      <c r="F9" s="18">
        <v>155000</v>
      </c>
      <c r="G9" s="32"/>
      <c r="H9" s="32"/>
      <c r="I9" s="17">
        <f>-F9*D9</f>
        <v>-7750</v>
      </c>
      <c r="J9" s="41">
        <f>+I9</f>
        <v>-7750</v>
      </c>
      <c r="K9" s="41"/>
    </row>
    <row r="10" spans="1:11" x14ac:dyDescent="0.2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SUM(F9:F11)</f>
        <v>155000</v>
      </c>
      <c r="G12" s="15"/>
      <c r="H12" s="169"/>
      <c r="I12" s="24">
        <f>SUM(I9:I11)</f>
        <v>-7750</v>
      </c>
      <c r="J12" s="24">
        <f>SUM(J9:J11)</f>
        <v>-7750</v>
      </c>
      <c r="K12" s="24">
        <f>SUM(K9:K11)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">
      <c r="A17" s="29" t="s">
        <v>47</v>
      </c>
    </row>
  </sheetData>
  <pageMargins left="0.75" right="0.75" top="1" bottom="1" header="0.5" footer="0.5"/>
  <pageSetup scale="9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Summary</vt:lpstr>
      <vt:lpstr>RMTC_2</vt:lpstr>
      <vt:lpstr>Elpaso_6</vt:lpstr>
      <vt:lpstr>ENA_9</vt:lpstr>
      <vt:lpstr>ENA_11</vt:lpstr>
      <vt:lpstr>ENA_12</vt:lpstr>
      <vt:lpstr>ENA_13</vt:lpstr>
      <vt:lpstr>El Paso_18</vt:lpstr>
      <vt:lpstr>ENA_19</vt:lpstr>
      <vt:lpstr>ENA_20</vt:lpstr>
      <vt:lpstr>ENA_10-Expired</vt:lpstr>
      <vt:lpstr>Sempra_1_Expired</vt:lpstr>
      <vt:lpstr>MEC_8_Expired</vt:lpstr>
      <vt:lpstr>Avista_1_Expired</vt:lpstr>
      <vt:lpstr>Avista_2_Expired</vt:lpstr>
      <vt:lpstr>Sempra_2_Expired</vt:lpstr>
      <vt:lpstr>Sempra_2.1_Expired</vt:lpstr>
      <vt:lpstr>Avista_1_Expired!Print_Area</vt:lpstr>
      <vt:lpstr>Avista_2_Expired!Print_Area</vt:lpstr>
      <vt:lpstr>Sempra_1_Expired!Print_Area</vt:lpstr>
      <vt:lpstr>Summary!Print_Area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Felienne</cp:lastModifiedBy>
  <cp:lastPrinted>2000-11-07T16:45:02Z</cp:lastPrinted>
  <dcterms:created xsi:type="dcterms:W3CDTF">1999-02-26T14:05:48Z</dcterms:created>
  <dcterms:modified xsi:type="dcterms:W3CDTF">2014-09-03T15:21:16Z</dcterms:modified>
</cp:coreProperties>
</file>