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45" windowWidth="15180" windowHeight="8580" activeTab="1"/>
  </bookViews>
  <sheets>
    <sheet name="summary" sheetId="5" r:id="rId1"/>
    <sheet name="assumptions" sheetId="2" r:id="rId2"/>
    <sheet name="volumes" sheetId="1" r:id="rId3"/>
    <sheet name=" FUGG valuation" sheetId="3" r:id="rId4"/>
    <sheet name="FUGG financing" sheetId="4" r:id="rId5"/>
    <sheet name="LCGG valuation" sheetId="6" r:id="rId6"/>
    <sheet name="LCGG financing" sheetId="7" r:id="rId7"/>
  </sheets>
  <definedNames>
    <definedName name="discount_rate">assumptions!$B$39</definedName>
    <definedName name="Expansion_Cost">assumptions!$B$16</definedName>
    <definedName name="FUGG_initialcapacity">assumptions!$B$26</definedName>
    <definedName name="GandAEsc">assumptions!$B$34</definedName>
    <definedName name="LCGG_initialcapacity">assumptions!$F$29</definedName>
    <definedName name="OandMEsc_FUGG">assumptions!$B$32</definedName>
    <definedName name="OandMEsc_LCGG">assumptions!$F$26</definedName>
    <definedName name="_xlnm.Print_Area" localSheetId="3">' FUGG valuation'!$A$1:$AL$59</definedName>
    <definedName name="_xlnm.Print_Area" localSheetId="4">'FUGG financing'!$A$1:$AA$40</definedName>
    <definedName name="_xlnm.Print_Area" localSheetId="6">'LCGG financing'!$A$1:$X$39</definedName>
    <definedName name="_xlnm.Print_Area" localSheetId="5">'LCGG valuation'!$A$1:$AB$48</definedName>
    <definedName name="_xlnm.Print_Area" localSheetId="0">summary!$B$1:$F$26</definedName>
  </definedNames>
  <calcPr calcId="152511" calcMode="manual"/>
</workbook>
</file>

<file path=xl/calcChain.xml><?xml version="1.0" encoding="utf-8"?>
<calcChain xmlns="http://schemas.openxmlformats.org/spreadsheetml/2006/main">
  <c r="C6" i="3" l="1"/>
  <c r="D6" i="3"/>
  <c r="E6" i="3"/>
  <c r="F6" i="3"/>
  <c r="F15" i="3" s="1"/>
  <c r="F16" i="3" s="1"/>
  <c r="G6" i="3"/>
  <c r="G15" i="3" s="1"/>
  <c r="H6" i="3"/>
  <c r="I6" i="3"/>
  <c r="J6" i="3"/>
  <c r="K6" i="3"/>
  <c r="L6" i="3"/>
  <c r="M6" i="3"/>
  <c r="N6" i="3"/>
  <c r="N15" i="3" s="1"/>
  <c r="N16" i="3" s="1"/>
  <c r="O6" i="3"/>
  <c r="O15" i="3" s="1"/>
  <c r="O16" i="3" s="1"/>
  <c r="P6" i="3"/>
  <c r="Q6" i="3"/>
  <c r="R6" i="3"/>
  <c r="S6" i="3"/>
  <c r="T6" i="3"/>
  <c r="U6" i="3"/>
  <c r="V6" i="3"/>
  <c r="V15" i="3" s="1"/>
  <c r="V16" i="3" s="1"/>
  <c r="W6" i="3"/>
  <c r="W15" i="3" s="1"/>
  <c r="W16" i="3" s="1"/>
  <c r="X6" i="3"/>
  <c r="Y6" i="3"/>
  <c r="Z6" i="3"/>
  <c r="AA6" i="3"/>
  <c r="AB6" i="3"/>
  <c r="AC6" i="3"/>
  <c r="AD6" i="3"/>
  <c r="AD15" i="3" s="1"/>
  <c r="AD16" i="3" s="1"/>
  <c r="AE6" i="3"/>
  <c r="AE15" i="3" s="1"/>
  <c r="AF6" i="3"/>
  <c r="AG6" i="3"/>
  <c r="AH6" i="3"/>
  <c r="AI6" i="3"/>
  <c r="AJ6" i="3"/>
  <c r="AK6" i="3"/>
  <c r="AL6" i="3"/>
  <c r="AL15" i="3" s="1"/>
  <c r="AM6" i="3"/>
  <c r="AM15" i="3" s="1"/>
  <c r="AM16" i="3" s="1"/>
  <c r="AN6" i="3"/>
  <c r="AO6" i="3"/>
  <c r="AP6" i="3"/>
  <c r="AQ6" i="3"/>
  <c r="AR6" i="3"/>
  <c r="AS6" i="3"/>
  <c r="AT6" i="3"/>
  <c r="AT15" i="3" s="1"/>
  <c r="AU6" i="3"/>
  <c r="AU15" i="3" s="1"/>
  <c r="AU17" i="3" s="1"/>
  <c r="AV6" i="3"/>
  <c r="AW6" i="3"/>
  <c r="AX6" i="3"/>
  <c r="AY6" i="3"/>
  <c r="AZ6" i="3"/>
  <c r="BA6" i="3"/>
  <c r="BB6" i="3"/>
  <c r="BB15" i="3" s="1"/>
  <c r="BC6" i="3"/>
  <c r="BC15" i="3" s="1"/>
  <c r="BC16" i="3" s="1"/>
  <c r="BD6" i="3"/>
  <c r="BE6" i="3"/>
  <c r="BF6" i="3"/>
  <c r="BG6" i="3"/>
  <c r="BH6" i="3"/>
  <c r="BI6" i="3"/>
  <c r="BJ6" i="3"/>
  <c r="BJ15" i="3" s="1"/>
  <c r="BJ16" i="3" s="1"/>
  <c r="BK6" i="3"/>
  <c r="BK15" i="3" s="1"/>
  <c r="BL6" i="3"/>
  <c r="BM6" i="3"/>
  <c r="BN6" i="3"/>
  <c r="BO6" i="3"/>
  <c r="BP6" i="3"/>
  <c r="BQ6" i="3"/>
  <c r="BR6" i="3"/>
  <c r="BR15" i="3" s="1"/>
  <c r="BS6" i="3"/>
  <c r="BS15" i="3" s="1"/>
  <c r="BT6" i="3"/>
  <c r="BU6" i="3"/>
  <c r="BV6" i="3"/>
  <c r="B15" i="3"/>
  <c r="B16" i="3" s="1"/>
  <c r="C15" i="3"/>
  <c r="D15" i="3"/>
  <c r="E15" i="3"/>
  <c r="H15" i="3"/>
  <c r="H16" i="3" s="1"/>
  <c r="I15" i="3"/>
  <c r="I17" i="3" s="1"/>
  <c r="J15" i="3"/>
  <c r="J16" i="3" s="1"/>
  <c r="K15" i="3"/>
  <c r="L15" i="3"/>
  <c r="M15" i="3"/>
  <c r="P15" i="3"/>
  <c r="P16" i="3" s="1"/>
  <c r="Q15" i="3"/>
  <c r="Q17" i="3" s="1"/>
  <c r="R15" i="3"/>
  <c r="R16" i="3" s="1"/>
  <c r="S15" i="3"/>
  <c r="T15" i="3"/>
  <c r="U15" i="3"/>
  <c r="X15" i="3"/>
  <c r="X17" i="3" s="1"/>
  <c r="Y15" i="3"/>
  <c r="Z15" i="3"/>
  <c r="Z16" i="3" s="1"/>
  <c r="AA15" i="3"/>
  <c r="AB15" i="3"/>
  <c r="AC15" i="3"/>
  <c r="AF15" i="3"/>
  <c r="AG15" i="3"/>
  <c r="AG17" i="3" s="1"/>
  <c r="AH15" i="3"/>
  <c r="AH16" i="3" s="1"/>
  <c r="AI15" i="3"/>
  <c r="AJ15" i="3"/>
  <c r="AK15" i="3"/>
  <c r="AN15" i="3"/>
  <c r="AN16" i="3" s="1"/>
  <c r="AO15" i="3"/>
  <c r="AO17" i="3" s="1"/>
  <c r="AP15" i="3"/>
  <c r="AP16" i="3" s="1"/>
  <c r="AQ15" i="3"/>
  <c r="AR15" i="3"/>
  <c r="AS15" i="3"/>
  <c r="AV15" i="3"/>
  <c r="AV17" i="3" s="1"/>
  <c r="AW15" i="3"/>
  <c r="AW17" i="3" s="1"/>
  <c r="AX15" i="3"/>
  <c r="AX16" i="3" s="1"/>
  <c r="AY15" i="3"/>
  <c r="AZ15" i="3"/>
  <c r="BA15" i="3"/>
  <c r="BD15" i="3"/>
  <c r="BD17" i="3" s="1"/>
  <c r="BE15" i="3"/>
  <c r="BE17" i="3" s="1"/>
  <c r="BF15" i="3"/>
  <c r="BF16" i="3" s="1"/>
  <c r="BG15" i="3"/>
  <c r="BH15" i="3"/>
  <c r="BI15" i="3"/>
  <c r="BL15" i="3"/>
  <c r="BM15" i="3"/>
  <c r="BM17" i="3" s="1"/>
  <c r="BN15" i="3"/>
  <c r="BN16" i="3" s="1"/>
  <c r="BO15" i="3"/>
  <c r="BP15" i="3"/>
  <c r="BQ15" i="3"/>
  <c r="BT15" i="3"/>
  <c r="BT16" i="3" s="1"/>
  <c r="BU15" i="3"/>
  <c r="BU17" i="3" s="1"/>
  <c r="BV15" i="3"/>
  <c r="BV16" i="3" s="1"/>
  <c r="C16" i="3"/>
  <c r="D16" i="3"/>
  <c r="G16" i="3"/>
  <c r="I16" i="3"/>
  <c r="K16" i="3"/>
  <c r="L16" i="3"/>
  <c r="Q16" i="3"/>
  <c r="S16" i="3"/>
  <c r="T16" i="3"/>
  <c r="X16" i="3"/>
  <c r="AA16" i="3"/>
  <c r="AB16" i="3"/>
  <c r="AE16" i="3"/>
  <c r="AF16" i="3"/>
  <c r="AG16" i="3"/>
  <c r="AI16" i="3"/>
  <c r="AJ16" i="3"/>
  <c r="AO16" i="3"/>
  <c r="AQ16" i="3"/>
  <c r="AR16" i="3"/>
  <c r="AU16" i="3"/>
  <c r="AW16" i="3"/>
  <c r="AY16" i="3"/>
  <c r="AZ16" i="3"/>
  <c r="BE16" i="3"/>
  <c r="BG16" i="3"/>
  <c r="BH16" i="3"/>
  <c r="BK16" i="3"/>
  <c r="BL16" i="3"/>
  <c r="BM16" i="3"/>
  <c r="BO16" i="3"/>
  <c r="BP16" i="3"/>
  <c r="BS16" i="3"/>
  <c r="BU16" i="3"/>
  <c r="B17" i="3"/>
  <c r="C17" i="3"/>
  <c r="D17" i="3"/>
  <c r="G17" i="3"/>
  <c r="J17" i="3"/>
  <c r="K17" i="3"/>
  <c r="L17" i="3"/>
  <c r="R17" i="3"/>
  <c r="S17" i="3"/>
  <c r="T17" i="3"/>
  <c r="W17" i="3"/>
  <c r="AA17" i="3"/>
  <c r="AB17" i="3"/>
  <c r="AD17" i="3"/>
  <c r="AE17" i="3"/>
  <c r="AF17" i="3"/>
  <c r="AI17" i="3"/>
  <c r="AJ17" i="3"/>
  <c r="AM17" i="3"/>
  <c r="AP17" i="3"/>
  <c r="AQ17" i="3"/>
  <c r="AR17" i="3"/>
  <c r="AX17" i="3"/>
  <c r="AY17" i="3"/>
  <c r="AZ17" i="3"/>
  <c r="BC17" i="3"/>
  <c r="BG17" i="3"/>
  <c r="BH17" i="3"/>
  <c r="BK17" i="3"/>
  <c r="BL17" i="3"/>
  <c r="BN17" i="3"/>
  <c r="BO17" i="3"/>
  <c r="BP17" i="3"/>
  <c r="BS17" i="3"/>
  <c r="BT17" i="3"/>
  <c r="BV17" i="3"/>
  <c r="B22" i="3"/>
  <c r="C22" i="3"/>
  <c r="D22" i="3"/>
  <c r="E22" i="3"/>
  <c r="F22" i="3"/>
  <c r="G22" i="3"/>
  <c r="H22" i="3"/>
  <c r="I22" i="3"/>
  <c r="J22" i="3"/>
  <c r="K22" i="3"/>
  <c r="L22" i="3"/>
  <c r="M22" i="3"/>
  <c r="N22" i="3"/>
  <c r="O22" i="3"/>
  <c r="P22" i="3"/>
  <c r="Q22" i="3"/>
  <c r="R22" i="3"/>
  <c r="S22" i="3"/>
  <c r="T22" i="3"/>
  <c r="U22" i="3"/>
  <c r="U24" i="3" s="1"/>
  <c r="V24" i="3" s="1"/>
  <c r="W24" i="3" s="1"/>
  <c r="X24" i="3" s="1"/>
  <c r="Y24" i="3" s="1"/>
  <c r="Z24" i="3" s="1"/>
  <c r="AA24" i="3" s="1"/>
  <c r="AB24" i="3" s="1"/>
  <c r="AC24" i="3" s="1"/>
  <c r="AD24" i="3" s="1"/>
  <c r="AE24" i="3" s="1"/>
  <c r="AF24" i="3" s="1"/>
  <c r="AG24" i="3" s="1"/>
  <c r="AH24" i="3" s="1"/>
  <c r="AI24" i="3" s="1"/>
  <c r="AJ24" i="3" s="1"/>
  <c r="AK24" i="3" s="1"/>
  <c r="AL24" i="3" s="1"/>
  <c r="AM24" i="3" s="1"/>
  <c r="AN24" i="3" s="1"/>
  <c r="AO24" i="3" s="1"/>
  <c r="AP24" i="3" s="1"/>
  <c r="AQ24" i="3" s="1"/>
  <c r="AR24" i="3" s="1"/>
  <c r="AS24" i="3" s="1"/>
  <c r="AT24" i="3" s="1"/>
  <c r="AU24" i="3" s="1"/>
  <c r="AV24" i="3" s="1"/>
  <c r="AW24" i="3" s="1"/>
  <c r="AX24" i="3" s="1"/>
  <c r="AY24" i="3" s="1"/>
  <c r="AZ24" i="3" s="1"/>
  <c r="BA24" i="3" s="1"/>
  <c r="BB24" i="3" s="1"/>
  <c r="BC24" i="3" s="1"/>
  <c r="BD24" i="3" s="1"/>
  <c r="BE24" i="3" s="1"/>
  <c r="BF24" i="3" s="1"/>
  <c r="BG24" i="3" s="1"/>
  <c r="BH24" i="3" s="1"/>
  <c r="BI24" i="3" s="1"/>
  <c r="BJ24" i="3" s="1"/>
  <c r="BK24" i="3" s="1"/>
  <c r="BL24" i="3" s="1"/>
  <c r="BM24" i="3" s="1"/>
  <c r="BN24" i="3" s="1"/>
  <c r="BO24" i="3" s="1"/>
  <c r="BP24" i="3" s="1"/>
  <c r="BQ24" i="3" s="1"/>
  <c r="BR24" i="3" s="1"/>
  <c r="BS24" i="3" s="1"/>
  <c r="BT24" i="3" s="1"/>
  <c r="BU24" i="3" s="1"/>
  <c r="BV24" i="3" s="1"/>
  <c r="V22" i="3"/>
  <c r="W22" i="3"/>
  <c r="X22" i="3"/>
  <c r="Y22" i="3"/>
  <c r="Z22" i="3"/>
  <c r="AA22" i="3"/>
  <c r="AB22" i="3"/>
  <c r="AC22" i="3"/>
  <c r="AD22" i="3"/>
  <c r="AE22" i="3"/>
  <c r="AF22" i="3"/>
  <c r="AG22" i="3"/>
  <c r="AH22" i="3"/>
  <c r="AI22" i="3"/>
  <c r="AJ22" i="3"/>
  <c r="AK22" i="3"/>
  <c r="AL22" i="3"/>
  <c r="AM22" i="3"/>
  <c r="AN22" i="3"/>
  <c r="AO22" i="3"/>
  <c r="AP22" i="3"/>
  <c r="AQ22" i="3"/>
  <c r="AR22" i="3"/>
  <c r="AS22" i="3"/>
  <c r="AT22" i="3"/>
  <c r="AU22" i="3"/>
  <c r="AV22" i="3"/>
  <c r="AW22" i="3"/>
  <c r="AX22" i="3"/>
  <c r="AY22" i="3"/>
  <c r="AZ22" i="3"/>
  <c r="BA22" i="3"/>
  <c r="BB22" i="3"/>
  <c r="BC22" i="3"/>
  <c r="BD22" i="3"/>
  <c r="BE22" i="3"/>
  <c r="BF22" i="3"/>
  <c r="BG22" i="3"/>
  <c r="BH22" i="3"/>
  <c r="BI22" i="3"/>
  <c r="BJ22" i="3"/>
  <c r="BK22" i="3"/>
  <c r="BL22" i="3"/>
  <c r="BM22" i="3"/>
  <c r="BN22" i="3"/>
  <c r="BO22" i="3"/>
  <c r="BP22" i="3"/>
  <c r="BQ22" i="3"/>
  <c r="BR22" i="3"/>
  <c r="BS22" i="3"/>
  <c r="BT22" i="3"/>
  <c r="BU22" i="3"/>
  <c r="BV22" i="3"/>
  <c r="B23" i="3"/>
  <c r="C24" i="3"/>
  <c r="D24" i="3" s="1"/>
  <c r="E24" i="3" s="1"/>
  <c r="F24" i="3"/>
  <c r="G24" i="3" s="1"/>
  <c r="H24" i="3" s="1"/>
  <c r="I24" i="3" s="1"/>
  <c r="J24" i="3" s="1"/>
  <c r="K24" i="3" s="1"/>
  <c r="L24" i="3" s="1"/>
  <c r="M24" i="3" s="1"/>
  <c r="N24" i="3" s="1"/>
  <c r="O24" i="3" s="1"/>
  <c r="P24" i="3" s="1"/>
  <c r="Q24" i="3" s="1"/>
  <c r="R24" i="3" s="1"/>
  <c r="S24" i="3" s="1"/>
  <c r="T24" i="3"/>
  <c r="B28" i="3"/>
  <c r="C28" i="3"/>
  <c r="D28" i="3"/>
  <c r="E28" i="3"/>
  <c r="F28" i="3"/>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AR28" i="3"/>
  <c r="AS28" i="3"/>
  <c r="AT28" i="3"/>
  <c r="AU28" i="3"/>
  <c r="AV28" i="3"/>
  <c r="AW28" i="3"/>
  <c r="AX28" i="3"/>
  <c r="AY28" i="3"/>
  <c r="AZ28" i="3"/>
  <c r="BA28" i="3"/>
  <c r="BB28" i="3"/>
  <c r="BC28" i="3"/>
  <c r="BD28" i="3"/>
  <c r="BE28" i="3"/>
  <c r="BF28" i="3"/>
  <c r="BG28" i="3"/>
  <c r="BH28" i="3"/>
  <c r="BI28" i="3"/>
  <c r="BJ28" i="3"/>
  <c r="BK28" i="3"/>
  <c r="BL28" i="3"/>
  <c r="BM28" i="3"/>
  <c r="BN28" i="3"/>
  <c r="BO28" i="3"/>
  <c r="BP28" i="3"/>
  <c r="BQ28" i="3"/>
  <c r="BR28" i="3"/>
  <c r="BS28" i="3"/>
  <c r="BT28" i="3"/>
  <c r="BU28" i="3"/>
  <c r="BV28" i="3"/>
  <c r="B29" i="3"/>
  <c r="C29" i="3"/>
  <c r="D29" i="3"/>
  <c r="E29" i="3" s="1"/>
  <c r="F29" i="3" s="1"/>
  <c r="G29" i="3" s="1"/>
  <c r="H29" i="3" s="1"/>
  <c r="I29" i="3" s="1"/>
  <c r="J29" i="3" s="1"/>
  <c r="K29" i="3" s="1"/>
  <c r="L29" i="3" s="1"/>
  <c r="M29" i="3" s="1"/>
  <c r="N29" i="3" s="1"/>
  <c r="O29" i="3" s="1"/>
  <c r="P29" i="3" s="1"/>
  <c r="Q29" i="3" s="1"/>
  <c r="R29" i="3" s="1"/>
  <c r="S29" i="3" s="1"/>
  <c r="T29" i="3" s="1"/>
  <c r="U29" i="3" s="1"/>
  <c r="V29" i="3" s="1"/>
  <c r="W29" i="3" s="1"/>
  <c r="X29" i="3" s="1"/>
  <c r="Y29" i="3" s="1"/>
  <c r="Z29" i="3" s="1"/>
  <c r="AA29" i="3" s="1"/>
  <c r="AB29" i="3" s="1"/>
  <c r="AC29" i="3" s="1"/>
  <c r="AD29" i="3" s="1"/>
  <c r="AE29" i="3" s="1"/>
  <c r="AF29" i="3" s="1"/>
  <c r="AG29" i="3" s="1"/>
  <c r="AH29" i="3" s="1"/>
  <c r="AI29" i="3" s="1"/>
  <c r="AJ29" i="3" s="1"/>
  <c r="AK29" i="3" s="1"/>
  <c r="AL29" i="3" s="1"/>
  <c r="AM29" i="3" s="1"/>
  <c r="AN29" i="3" s="1"/>
  <c r="AO29" i="3" s="1"/>
  <c r="AP29" i="3" s="1"/>
  <c r="AQ29" i="3" s="1"/>
  <c r="AR29" i="3" s="1"/>
  <c r="AS29" i="3" s="1"/>
  <c r="AT29" i="3" s="1"/>
  <c r="AU29" i="3" s="1"/>
  <c r="AV29" i="3" s="1"/>
  <c r="AW29" i="3" s="1"/>
  <c r="AX29" i="3" s="1"/>
  <c r="AY29" i="3" s="1"/>
  <c r="AZ29" i="3" s="1"/>
  <c r="BA29" i="3" s="1"/>
  <c r="BB29" i="3" s="1"/>
  <c r="BC29" i="3" s="1"/>
  <c r="BD29" i="3" s="1"/>
  <c r="BE29" i="3" s="1"/>
  <c r="BF29" i="3" s="1"/>
  <c r="BG29" i="3" s="1"/>
  <c r="BH29" i="3" s="1"/>
  <c r="BI29" i="3" s="1"/>
  <c r="BJ29" i="3" s="1"/>
  <c r="BK29" i="3" s="1"/>
  <c r="BL29" i="3" s="1"/>
  <c r="BM29" i="3" s="1"/>
  <c r="BN29" i="3" s="1"/>
  <c r="BO29" i="3" s="1"/>
  <c r="BP29" i="3" s="1"/>
  <c r="BQ29" i="3" s="1"/>
  <c r="BR29" i="3" s="1"/>
  <c r="BS29" i="3" s="1"/>
  <c r="BT29" i="3" s="1"/>
  <c r="BU29" i="3" s="1"/>
  <c r="BV29" i="3" s="1"/>
  <c r="B36" i="3"/>
  <c r="C36" i="3"/>
  <c r="D36" i="3" s="1"/>
  <c r="B45" i="3"/>
  <c r="C45" i="3"/>
  <c r="E49" i="3"/>
  <c r="F49" i="3"/>
  <c r="K49" i="3"/>
  <c r="K50" i="3" s="1"/>
  <c r="Y49" i="3"/>
  <c r="Z49" i="3" s="1"/>
  <c r="Z54" i="3" s="1"/>
  <c r="AA49" i="3"/>
  <c r="AA54" i="3" s="1"/>
  <c r="AB49" i="3"/>
  <c r="C50" i="3"/>
  <c r="D50" i="3"/>
  <c r="E50" i="3"/>
  <c r="F50" i="3"/>
  <c r="X50" i="3"/>
  <c r="Z50" i="3"/>
  <c r="AA50" i="3"/>
  <c r="C53" i="3"/>
  <c r="D53" i="3"/>
  <c r="E53" i="3"/>
  <c r="F53" i="3"/>
  <c r="G53" i="3"/>
  <c r="H53" i="3"/>
  <c r="I53" i="3"/>
  <c r="J53" i="3"/>
  <c r="L53" i="3"/>
  <c r="M53" i="3"/>
  <c r="N53" i="3"/>
  <c r="O53" i="3"/>
  <c r="P53" i="3"/>
  <c r="R53" i="3"/>
  <c r="S53" i="3"/>
  <c r="U53" i="3"/>
  <c r="V53" i="3"/>
  <c r="X53" i="3"/>
  <c r="Y53" i="3"/>
  <c r="AA53" i="3"/>
  <c r="AB53" i="3"/>
  <c r="AD53" i="3"/>
  <c r="AE53" i="3"/>
  <c r="AG53" i="3"/>
  <c r="AH53" i="3"/>
  <c r="AJ53" i="3"/>
  <c r="AK53" i="3"/>
  <c r="AM53" i="3"/>
  <c r="AN53" i="3"/>
  <c r="AP53" i="3"/>
  <c r="AQ53" i="3"/>
  <c r="AS53" i="3"/>
  <c r="AT53" i="3"/>
  <c r="AV53" i="3"/>
  <c r="AW53" i="3"/>
  <c r="AY53" i="3"/>
  <c r="AZ53" i="3"/>
  <c r="BB53" i="3"/>
  <c r="BC53" i="3"/>
  <c r="BE53" i="3"/>
  <c r="BF53" i="3"/>
  <c r="BH53" i="3"/>
  <c r="BI53" i="3"/>
  <c r="BK53" i="3"/>
  <c r="BL53" i="3"/>
  <c r="BN53" i="3"/>
  <c r="BO53" i="3"/>
  <c r="BQ53" i="3"/>
  <c r="BR53" i="3"/>
  <c r="BT53" i="3"/>
  <c r="BU53" i="3"/>
  <c r="C54" i="3"/>
  <c r="D54" i="3"/>
  <c r="E54" i="3"/>
  <c r="K54" i="3"/>
  <c r="X54" i="3"/>
  <c r="Y54" i="3"/>
  <c r="F8" i="2"/>
  <c r="F11" i="2"/>
  <c r="F19" i="2" s="1"/>
  <c r="B18" i="2"/>
  <c r="K53" i="3" s="1"/>
  <c r="F18" i="2"/>
  <c r="B25" i="2"/>
  <c r="F27" i="2"/>
  <c r="F6" i="4"/>
  <c r="F8" i="4" s="1"/>
  <c r="C7" i="4"/>
  <c r="C6" i="4" s="1"/>
  <c r="B49" i="3" s="1"/>
  <c r="B50" i="3" s="1"/>
  <c r="B54" i="3" s="1"/>
  <c r="F7" i="4"/>
  <c r="C8" i="4"/>
  <c r="B53" i="3" s="1"/>
  <c r="C10" i="4"/>
  <c r="C13" i="4"/>
  <c r="C14" i="4"/>
  <c r="H26" i="4" s="1"/>
  <c r="C15" i="4"/>
  <c r="O26" i="4" s="1"/>
  <c r="C16" i="4"/>
  <c r="C17" i="4"/>
  <c r="C18" i="4"/>
  <c r="C25" i="4"/>
  <c r="F25" i="4"/>
  <c r="J25" i="4"/>
  <c r="J27" i="4" s="1"/>
  <c r="K25" i="4"/>
  <c r="K27" i="4" s="1"/>
  <c r="O25" i="4"/>
  <c r="O27" i="4" s="1"/>
  <c r="R25" i="4"/>
  <c r="S25" i="4"/>
  <c r="V25" i="4"/>
  <c r="Z25" i="4"/>
  <c r="AA25" i="4"/>
  <c r="AA27" i="4" s="1"/>
  <c r="AE25" i="4"/>
  <c r="AE27" i="4" s="1"/>
  <c r="AH25" i="4"/>
  <c r="AH27" i="4" s="1"/>
  <c r="AI25" i="4"/>
  <c r="AL25" i="4"/>
  <c r="AP25" i="4"/>
  <c r="AP27" i="4" s="1"/>
  <c r="C26" i="4"/>
  <c r="C27" i="4" s="1"/>
  <c r="D26" i="4"/>
  <c r="E26" i="4"/>
  <c r="F26" i="4"/>
  <c r="G26" i="4"/>
  <c r="I26" i="4"/>
  <c r="J26" i="4"/>
  <c r="K26" i="4"/>
  <c r="N26" i="4"/>
  <c r="R26" i="4"/>
  <c r="AA26" i="4"/>
  <c r="AB26" i="4"/>
  <c r="AC26" i="4"/>
  <c r="AD26" i="4"/>
  <c r="AE26" i="4"/>
  <c r="AF26" i="4"/>
  <c r="AG26" i="4"/>
  <c r="AH26" i="4"/>
  <c r="AI26" i="4"/>
  <c r="AJ26" i="4"/>
  <c r="AK26" i="4"/>
  <c r="AL26" i="4"/>
  <c r="AL27" i="4" s="1"/>
  <c r="AM26" i="4"/>
  <c r="AN26" i="4"/>
  <c r="AO26" i="4"/>
  <c r="AP26" i="4"/>
  <c r="F27" i="4"/>
  <c r="R27" i="4"/>
  <c r="AI27" i="4"/>
  <c r="C28" i="4"/>
  <c r="C31" i="4" s="1"/>
  <c r="D28" i="4" s="1"/>
  <c r="C30" i="4"/>
  <c r="C33" i="4"/>
  <c r="I33" i="4"/>
  <c r="C34" i="4"/>
  <c r="D34" i="4"/>
  <c r="E34" i="4"/>
  <c r="F34" i="4"/>
  <c r="G34" i="4"/>
  <c r="G36" i="4" s="1"/>
  <c r="C36" i="4"/>
  <c r="D36" i="4"/>
  <c r="E36" i="4"/>
  <c r="F36" i="4"/>
  <c r="C37" i="4"/>
  <c r="D37" i="4"/>
  <c r="E37" i="4"/>
  <c r="F37" i="4"/>
  <c r="G37" i="4"/>
  <c r="AB39" i="4"/>
  <c r="AC39" i="4"/>
  <c r="AD39" i="4"/>
  <c r="AE39" i="4"/>
  <c r="AF39" i="4"/>
  <c r="AG39" i="4"/>
  <c r="AH39" i="4"/>
  <c r="AI39" i="4"/>
  <c r="AJ39" i="4"/>
  <c r="AK39" i="4"/>
  <c r="AL39" i="4"/>
  <c r="AM39" i="4"/>
  <c r="AN39" i="4"/>
  <c r="AO39" i="4"/>
  <c r="AP39" i="4"/>
  <c r="B6" i="7"/>
  <c r="E6" i="7"/>
  <c r="B7" i="7"/>
  <c r="B8" i="7" s="1"/>
  <c r="C28" i="7" s="1"/>
  <c r="E7" i="7"/>
  <c r="E8" i="7"/>
  <c r="C10" i="7"/>
  <c r="G25" i="7" s="1"/>
  <c r="C13" i="7"/>
  <c r="C14" i="7"/>
  <c r="C15" i="7"/>
  <c r="C16" i="7"/>
  <c r="AC26" i="7" s="1"/>
  <c r="AC27" i="7" s="1"/>
  <c r="C17" i="7"/>
  <c r="AM26" i="7" s="1"/>
  <c r="AM27" i="7" s="1"/>
  <c r="C25" i="7"/>
  <c r="D25" i="7"/>
  <c r="E25" i="7"/>
  <c r="F25" i="7"/>
  <c r="H25" i="7"/>
  <c r="I25" i="7"/>
  <c r="J25" i="7"/>
  <c r="K25" i="7"/>
  <c r="L25" i="7"/>
  <c r="M25" i="7"/>
  <c r="N25" i="7"/>
  <c r="N27" i="7" s="1"/>
  <c r="O25" i="7"/>
  <c r="P25" i="7"/>
  <c r="Q25" i="7"/>
  <c r="R25" i="7"/>
  <c r="S25" i="7"/>
  <c r="T25" i="7"/>
  <c r="U25" i="7"/>
  <c r="V25" i="7"/>
  <c r="W25" i="7"/>
  <c r="X25" i="7"/>
  <c r="Y25" i="7"/>
  <c r="Z25" i="7"/>
  <c r="AA25" i="7"/>
  <c r="AB25" i="7"/>
  <c r="AC25" i="7"/>
  <c r="AD25" i="7"/>
  <c r="AD27" i="7" s="1"/>
  <c r="AE25" i="7"/>
  <c r="AF25" i="7"/>
  <c r="AG25" i="7"/>
  <c r="AH25" i="7"/>
  <c r="AI25" i="7"/>
  <c r="AJ25" i="7"/>
  <c r="AK25" i="7"/>
  <c r="AL25" i="7"/>
  <c r="AM25" i="7"/>
  <c r="AN25" i="7"/>
  <c r="AO25" i="7"/>
  <c r="AP25" i="7"/>
  <c r="H26" i="7"/>
  <c r="L26" i="7"/>
  <c r="L27" i="7" s="1"/>
  <c r="M26" i="7"/>
  <c r="N26" i="7"/>
  <c r="O26" i="7"/>
  <c r="P26" i="7"/>
  <c r="Q26" i="7"/>
  <c r="R26" i="7"/>
  <c r="S26" i="7"/>
  <c r="T26" i="7"/>
  <c r="T27" i="7" s="1"/>
  <c r="V26" i="7"/>
  <c r="AB26" i="7"/>
  <c r="AB27" i="7" s="1"/>
  <c r="AD26" i="7"/>
  <c r="AF26" i="7"/>
  <c r="AG26" i="7"/>
  <c r="AH26" i="7"/>
  <c r="AI26" i="7"/>
  <c r="AJ26" i="7"/>
  <c r="AJ27" i="7" s="1"/>
  <c r="AK26" i="7"/>
  <c r="AL26" i="7"/>
  <c r="AN26" i="7"/>
  <c r="AO26" i="7"/>
  <c r="AP26" i="7"/>
  <c r="H27" i="7"/>
  <c r="M27" i="7"/>
  <c r="O27" i="7"/>
  <c r="P27" i="7"/>
  <c r="Q27" i="7"/>
  <c r="R27" i="7"/>
  <c r="S27" i="7"/>
  <c r="V27" i="7"/>
  <c r="AF27" i="7"/>
  <c r="AG27" i="7"/>
  <c r="AH27" i="7"/>
  <c r="AI27" i="7"/>
  <c r="AK27" i="7"/>
  <c r="AN27" i="7"/>
  <c r="AO27" i="7"/>
  <c r="AP27" i="7"/>
  <c r="D28" i="7"/>
  <c r="D31" i="7" s="1"/>
  <c r="E28" i="7" s="1"/>
  <c r="E31" i="7" s="1"/>
  <c r="F28" i="7" s="1"/>
  <c r="F31" i="7" s="1"/>
  <c r="G28" i="7" s="1"/>
  <c r="C31" i="7"/>
  <c r="C33" i="7"/>
  <c r="H33" i="7"/>
  <c r="I33" i="7"/>
  <c r="J33" i="7"/>
  <c r="K33" i="7" s="1"/>
  <c r="L33" i="7" s="1"/>
  <c r="C34" i="7"/>
  <c r="D34" i="7"/>
  <c r="E34" i="7"/>
  <c r="F34" i="7"/>
  <c r="F36" i="7" s="1"/>
  <c r="D36" i="7"/>
  <c r="Y38" i="7"/>
  <c r="Z38" i="7"/>
  <c r="AA38" i="7"/>
  <c r="AB38" i="7"/>
  <c r="AC38" i="7"/>
  <c r="AD38" i="7"/>
  <c r="AE38" i="7"/>
  <c r="AF38" i="7"/>
  <c r="AG38" i="7"/>
  <c r="AH38" i="7"/>
  <c r="AI38" i="7"/>
  <c r="AJ38" i="7"/>
  <c r="AK38" i="7"/>
  <c r="AL38" i="7"/>
  <c r="AM38" i="7"/>
  <c r="AN38" i="7"/>
  <c r="AO38" i="7"/>
  <c r="AP38" i="7"/>
  <c r="C6" i="6"/>
  <c r="D6" i="6"/>
  <c r="E6" i="6"/>
  <c r="F6" i="6"/>
  <c r="G6" i="6"/>
  <c r="H6" i="6"/>
  <c r="H10" i="6" s="1"/>
  <c r="I6" i="6"/>
  <c r="I11" i="6" s="1"/>
  <c r="J6" i="6"/>
  <c r="K6" i="6"/>
  <c r="L6" i="6"/>
  <c r="M6" i="6"/>
  <c r="N6" i="6"/>
  <c r="O6" i="6"/>
  <c r="P6" i="6"/>
  <c r="P10" i="6" s="1"/>
  <c r="Q6" i="6"/>
  <c r="Q11" i="6" s="1"/>
  <c r="R6" i="6"/>
  <c r="S6" i="6"/>
  <c r="T6" i="6"/>
  <c r="U6" i="6"/>
  <c r="V6" i="6"/>
  <c r="V10" i="6" s="1"/>
  <c r="W6" i="6"/>
  <c r="X6" i="6"/>
  <c r="X10" i="6" s="1"/>
  <c r="Y6" i="6"/>
  <c r="Y11" i="6" s="1"/>
  <c r="Z6" i="6"/>
  <c r="AA6" i="6"/>
  <c r="AB6" i="6"/>
  <c r="AC6" i="6"/>
  <c r="AD6" i="6"/>
  <c r="AE6" i="6"/>
  <c r="AF6" i="6"/>
  <c r="AF10" i="6" s="1"/>
  <c r="AG6" i="6"/>
  <c r="AG11" i="6" s="1"/>
  <c r="AG12" i="6" s="1"/>
  <c r="AH6" i="6"/>
  <c r="AI6" i="6"/>
  <c r="AJ6" i="6"/>
  <c r="AK6" i="6"/>
  <c r="AL6" i="6"/>
  <c r="AM6" i="6"/>
  <c r="AN6" i="6"/>
  <c r="AN10" i="6" s="1"/>
  <c r="AO6" i="6"/>
  <c r="AO11" i="6" s="1"/>
  <c r="AP6" i="6"/>
  <c r="AQ6" i="6"/>
  <c r="AR6" i="6"/>
  <c r="AS6" i="6"/>
  <c r="AT6" i="6"/>
  <c r="AT10" i="6" s="1"/>
  <c r="AU6" i="6"/>
  <c r="AV6" i="6"/>
  <c r="AV10" i="6" s="1"/>
  <c r="AW6" i="6"/>
  <c r="AW11" i="6" s="1"/>
  <c r="AX6" i="6"/>
  <c r="AY6" i="6"/>
  <c r="AZ6" i="6"/>
  <c r="BA6" i="6"/>
  <c r="BB6" i="6"/>
  <c r="BB10" i="6" s="1"/>
  <c r="BC6" i="6"/>
  <c r="BD6" i="6"/>
  <c r="BD10" i="6" s="1"/>
  <c r="BE6" i="6"/>
  <c r="BE11" i="6" s="1"/>
  <c r="BF6" i="6"/>
  <c r="BG6" i="6"/>
  <c r="BH6" i="6"/>
  <c r="BI6" i="6"/>
  <c r="BJ6" i="6"/>
  <c r="BK6" i="6"/>
  <c r="BL6" i="6"/>
  <c r="BL10" i="6" s="1"/>
  <c r="B10" i="6"/>
  <c r="B12" i="6" s="1"/>
  <c r="C10" i="6"/>
  <c r="E10" i="6"/>
  <c r="E12" i="6" s="1"/>
  <c r="G10" i="6"/>
  <c r="I10" i="6"/>
  <c r="I12" i="6" s="1"/>
  <c r="J10" i="6"/>
  <c r="J12" i="6" s="1"/>
  <c r="K10" i="6"/>
  <c r="M10" i="6"/>
  <c r="M12" i="6" s="1"/>
  <c r="O10" i="6"/>
  <c r="O12" i="6" s="1"/>
  <c r="Q10" i="6"/>
  <c r="R10" i="6"/>
  <c r="R12" i="6" s="1"/>
  <c r="S10" i="6"/>
  <c r="U10" i="6"/>
  <c r="U12" i="6" s="1"/>
  <c r="W10" i="6"/>
  <c r="W12" i="6" s="1"/>
  <c r="Y10" i="6"/>
  <c r="Y12" i="6" s="1"/>
  <c r="Z10" i="6"/>
  <c r="Z12" i="6" s="1"/>
  <c r="AA10" i="6"/>
  <c r="AC10" i="6"/>
  <c r="AC12" i="6" s="1"/>
  <c r="AE10" i="6"/>
  <c r="AE12" i="6" s="1"/>
  <c r="AG10" i="6"/>
  <c r="AH10" i="6"/>
  <c r="AH12" i="6" s="1"/>
  <c r="AI10" i="6"/>
  <c r="AK10" i="6"/>
  <c r="AK12" i="6" s="1"/>
  <c r="AM10" i="6"/>
  <c r="AO10" i="6"/>
  <c r="AP10" i="6"/>
  <c r="AQ10" i="6"/>
  <c r="AS10" i="6"/>
  <c r="AS12" i="6" s="1"/>
  <c r="AU10" i="6"/>
  <c r="AU12" i="6" s="1"/>
  <c r="AW10" i="6"/>
  <c r="AW12" i="6" s="1"/>
  <c r="AX10" i="6"/>
  <c r="AX12" i="6" s="1"/>
  <c r="AY10" i="6"/>
  <c r="BA10" i="6"/>
  <c r="BA12" i="6" s="1"/>
  <c r="BC10" i="6"/>
  <c r="BE10" i="6"/>
  <c r="BF10" i="6"/>
  <c r="BF12" i="6" s="1"/>
  <c r="BG10" i="6"/>
  <c r="BI10" i="6"/>
  <c r="BI12" i="6" s="1"/>
  <c r="BK10" i="6"/>
  <c r="B11" i="6"/>
  <c r="C11" i="6"/>
  <c r="E11" i="6"/>
  <c r="G11" i="6"/>
  <c r="H11" i="6"/>
  <c r="J11" i="6"/>
  <c r="K11" i="6"/>
  <c r="M11" i="6"/>
  <c r="O11" i="6"/>
  <c r="P11" i="6"/>
  <c r="R11" i="6"/>
  <c r="S11" i="6"/>
  <c r="U11" i="6"/>
  <c r="V11" i="6"/>
  <c r="W11" i="6"/>
  <c r="X11" i="6"/>
  <c r="Z11" i="6"/>
  <c r="AA11" i="6"/>
  <c r="AC11" i="6"/>
  <c r="AE11" i="6"/>
  <c r="AF11" i="6"/>
  <c r="AH11" i="6"/>
  <c r="AI11" i="6"/>
  <c r="AK11" i="6"/>
  <c r="AM11" i="6"/>
  <c r="AN11" i="6"/>
  <c r="AP11" i="6"/>
  <c r="AQ11" i="6"/>
  <c r="AS11" i="6"/>
  <c r="AT11" i="6"/>
  <c r="AU11" i="6"/>
  <c r="AV11" i="6"/>
  <c r="AX11" i="6"/>
  <c r="AY11" i="6"/>
  <c r="BA11" i="6"/>
  <c r="BC11" i="6"/>
  <c r="BD11" i="6"/>
  <c r="BF11" i="6"/>
  <c r="BG11" i="6"/>
  <c r="BI11" i="6"/>
  <c r="BK11" i="6"/>
  <c r="BL11" i="6"/>
  <c r="C12" i="6"/>
  <c r="G12" i="6"/>
  <c r="K12" i="6"/>
  <c r="Q12" i="6"/>
  <c r="S12" i="6"/>
  <c r="AA12" i="6"/>
  <c r="AI12" i="6"/>
  <c r="AM12" i="6"/>
  <c r="AO12" i="6"/>
  <c r="AQ12" i="6"/>
  <c r="AY12" i="6"/>
  <c r="BC12" i="6"/>
  <c r="BG12" i="6"/>
  <c r="BK12"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16" i="6"/>
  <c r="B17"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23" i="6"/>
  <c r="C23" i="6"/>
  <c r="E23" i="6"/>
  <c r="F23" i="6"/>
  <c r="H23" i="6"/>
  <c r="I23" i="6"/>
  <c r="K23" i="6"/>
  <c r="L23" i="6"/>
  <c r="N23" i="6"/>
  <c r="O23" i="6"/>
  <c r="Q23" i="6"/>
  <c r="R23" i="6"/>
  <c r="T23" i="6"/>
  <c r="U23" i="6"/>
  <c r="W23" i="6"/>
  <c r="X23" i="6"/>
  <c r="Z23" i="6"/>
  <c r="AA23" i="6"/>
  <c r="AC23" i="6"/>
  <c r="AD23" i="6"/>
  <c r="AF23" i="6"/>
  <c r="AG23" i="6"/>
  <c r="AI23" i="6"/>
  <c r="AJ23" i="6"/>
  <c r="AL23" i="6"/>
  <c r="AM23" i="6"/>
  <c r="AO23" i="6"/>
  <c r="AP23" i="6"/>
  <c r="AR23" i="6"/>
  <c r="AS23" i="6"/>
  <c r="AU23" i="6"/>
  <c r="AV23" i="6"/>
  <c r="AX23" i="6"/>
  <c r="AY23" i="6"/>
  <c r="BA23" i="6"/>
  <c r="BB23" i="6"/>
  <c r="BD23" i="6"/>
  <c r="BE23" i="6"/>
  <c r="BG23" i="6"/>
  <c r="BH23" i="6"/>
  <c r="BJ23" i="6"/>
  <c r="BK23" i="6"/>
  <c r="B24" i="6"/>
  <c r="C24" i="6"/>
  <c r="C34" i="6" s="1"/>
  <c r="D24" i="6"/>
  <c r="D34" i="6" s="1"/>
  <c r="E24" i="6"/>
  <c r="F24" i="6"/>
  <c r="G24" i="6"/>
  <c r="H24" i="6"/>
  <c r="I24" i="6"/>
  <c r="I34" i="6" s="1"/>
  <c r="J24" i="6"/>
  <c r="K24" i="6"/>
  <c r="K34" i="6" s="1"/>
  <c r="L24" i="6"/>
  <c r="L34" i="6" s="1"/>
  <c r="M24" i="6"/>
  <c r="N24" i="6"/>
  <c r="O24" i="6"/>
  <c r="P24" i="6"/>
  <c r="Q24" i="6"/>
  <c r="Q34" i="6" s="1"/>
  <c r="R24" i="6"/>
  <c r="S24" i="6"/>
  <c r="S34" i="6" s="1"/>
  <c r="T24" i="6"/>
  <c r="T34" i="6" s="1"/>
  <c r="U24" i="6"/>
  <c r="V24" i="6"/>
  <c r="W24" i="6"/>
  <c r="X24" i="6"/>
  <c r="Y24" i="6"/>
  <c r="Y34" i="6" s="1"/>
  <c r="Z24" i="6"/>
  <c r="AA24" i="6"/>
  <c r="AA34" i="6" s="1"/>
  <c r="AB24" i="6"/>
  <c r="AB34" i="6" s="1"/>
  <c r="AC24" i="6"/>
  <c r="AD24" i="6"/>
  <c r="AE24" i="6"/>
  <c r="AF24" i="6"/>
  <c r="AG24" i="6"/>
  <c r="AG34" i="6" s="1"/>
  <c r="AH24" i="6"/>
  <c r="AI24" i="6"/>
  <c r="AI34" i="6" s="1"/>
  <c r="AJ24" i="6"/>
  <c r="AJ34" i="6" s="1"/>
  <c r="AK24" i="6"/>
  <c r="AL24" i="6"/>
  <c r="AM24" i="6"/>
  <c r="AN24" i="6"/>
  <c r="AO24" i="6"/>
  <c r="AO34" i="6" s="1"/>
  <c r="AP24" i="6"/>
  <c r="AQ24" i="6"/>
  <c r="AQ34" i="6" s="1"/>
  <c r="AR24" i="6"/>
  <c r="AR34" i="6" s="1"/>
  <c r="AS24" i="6"/>
  <c r="AT24" i="6"/>
  <c r="AU24" i="6"/>
  <c r="AV24" i="6"/>
  <c r="AW24" i="6"/>
  <c r="AW34" i="6" s="1"/>
  <c r="AX24" i="6"/>
  <c r="AY24" i="6"/>
  <c r="AY34" i="6" s="1"/>
  <c r="AZ24" i="6"/>
  <c r="AZ34" i="6" s="1"/>
  <c r="BA24" i="6"/>
  <c r="BB24" i="6"/>
  <c r="BC24" i="6"/>
  <c r="BD24" i="6"/>
  <c r="BE24" i="6"/>
  <c r="BE34" i="6" s="1"/>
  <c r="BF24" i="6"/>
  <c r="BG24" i="6"/>
  <c r="BG34" i="6" s="1"/>
  <c r="BH24" i="6"/>
  <c r="BH34" i="6" s="1"/>
  <c r="BI24" i="6"/>
  <c r="BJ24" i="6"/>
  <c r="BK24" i="6"/>
  <c r="BL24" i="6"/>
  <c r="B25"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34" i="6"/>
  <c r="E34" i="6"/>
  <c r="F34" i="6"/>
  <c r="G34" i="6"/>
  <c r="H34" i="6"/>
  <c r="J34" i="6"/>
  <c r="M34" i="6"/>
  <c r="N34" i="6"/>
  <c r="O34" i="6"/>
  <c r="P34" i="6"/>
  <c r="R34" i="6"/>
  <c r="U34" i="6"/>
  <c r="V34" i="6"/>
  <c r="W34" i="6"/>
  <c r="X34" i="6"/>
  <c r="Z34" i="6"/>
  <c r="AC34" i="6"/>
  <c r="AD34" i="6"/>
  <c r="AE34" i="6"/>
  <c r="AF34" i="6"/>
  <c r="AH34" i="6"/>
  <c r="AK34" i="6"/>
  <c r="AL34" i="6"/>
  <c r="AM34" i="6"/>
  <c r="AN34" i="6"/>
  <c r="AP34" i="6"/>
  <c r="AS34" i="6"/>
  <c r="AT34" i="6"/>
  <c r="AU34" i="6"/>
  <c r="AV34" i="6"/>
  <c r="AX34" i="6"/>
  <c r="BA34" i="6"/>
  <c r="BB34" i="6"/>
  <c r="BC34" i="6"/>
  <c r="BD34" i="6"/>
  <c r="BF34" i="6"/>
  <c r="BI34" i="6"/>
  <c r="BJ34" i="6"/>
  <c r="BK34" i="6"/>
  <c r="BL34" i="6"/>
  <c r="B38" i="6"/>
  <c r="D38" i="6"/>
  <c r="E38" i="6"/>
  <c r="C39" i="6"/>
  <c r="C44" i="6" s="1"/>
  <c r="D39" i="6"/>
  <c r="D44" i="6" s="1"/>
  <c r="B42" i="6"/>
  <c r="C42" i="6"/>
  <c r="D42" i="6"/>
  <c r="E42" i="6"/>
  <c r="F42" i="6"/>
  <c r="G42" i="6"/>
  <c r="H42" i="6"/>
  <c r="I42" i="6"/>
  <c r="J42" i="6"/>
  <c r="K42" i="6"/>
  <c r="L42" i="6"/>
  <c r="N42" i="6"/>
  <c r="O42" i="6"/>
  <c r="Q42" i="6"/>
  <c r="R42" i="6"/>
  <c r="T42" i="6"/>
  <c r="U42" i="6"/>
  <c r="W42" i="6"/>
  <c r="X42" i="6"/>
  <c r="Z42" i="6"/>
  <c r="AA42" i="6"/>
  <c r="AC42" i="6"/>
  <c r="AD42" i="6"/>
  <c r="AF42" i="6"/>
  <c r="AG42" i="6"/>
  <c r="AI42" i="6"/>
  <c r="AJ42" i="6"/>
  <c r="AL42" i="6"/>
  <c r="AM42" i="6"/>
  <c r="AO42" i="6"/>
  <c r="AP42" i="6"/>
  <c r="AR42" i="6"/>
  <c r="AS42" i="6"/>
  <c r="AU42" i="6"/>
  <c r="AV42" i="6"/>
  <c r="AX42" i="6"/>
  <c r="AY42" i="6"/>
  <c r="BA42" i="6"/>
  <c r="BB42" i="6"/>
  <c r="BD42" i="6"/>
  <c r="BE42" i="6"/>
  <c r="BG42" i="6"/>
  <c r="BH42" i="6"/>
  <c r="BJ42" i="6"/>
  <c r="BK42" i="6"/>
  <c r="E8" i="5"/>
  <c r="B5" i="1"/>
  <c r="B6" i="1"/>
  <c r="B7" i="1"/>
  <c r="E26" i="1" s="1"/>
  <c r="B8" i="1"/>
  <c r="J27" i="1" s="1"/>
  <c r="B9" i="1"/>
  <c r="C11" i="1"/>
  <c r="D11" i="1"/>
  <c r="E11" i="1"/>
  <c r="F11" i="1"/>
  <c r="G11" i="1"/>
  <c r="G25" i="1" s="1"/>
  <c r="H11" i="1"/>
  <c r="H25" i="1" s="1"/>
  <c r="I11" i="1"/>
  <c r="I25" i="1" s="1"/>
  <c r="J11" i="1"/>
  <c r="K11" i="1"/>
  <c r="L11" i="1"/>
  <c r="M11" i="1"/>
  <c r="N11" i="1"/>
  <c r="O11" i="1"/>
  <c r="P11" i="1"/>
  <c r="P25" i="1" s="1"/>
  <c r="Q11" i="1"/>
  <c r="Q25" i="1" s="1"/>
  <c r="R11" i="1"/>
  <c r="S11" i="1"/>
  <c r="S25" i="1" s="1"/>
  <c r="T11" i="1"/>
  <c r="T25" i="1" s="1"/>
  <c r="U11" i="1"/>
  <c r="V11" i="1"/>
  <c r="W11" i="1"/>
  <c r="X11" i="1"/>
  <c r="X25" i="1" s="1"/>
  <c r="Y11" i="1"/>
  <c r="Y25" i="1" s="1"/>
  <c r="Y26" i="1" s="1"/>
  <c r="Z11" i="1"/>
  <c r="AA11" i="1"/>
  <c r="AB11" i="1"/>
  <c r="AC11" i="1"/>
  <c r="AD11" i="1"/>
  <c r="AE11" i="1"/>
  <c r="AF11" i="1"/>
  <c r="AF25" i="1" s="1"/>
  <c r="AG11" i="1"/>
  <c r="AG25" i="1" s="1"/>
  <c r="AH11" i="1"/>
  <c r="AI11" i="1"/>
  <c r="AJ11" i="1"/>
  <c r="AK11" i="1"/>
  <c r="AL11" i="1"/>
  <c r="AM11" i="1"/>
  <c r="AM25" i="1" s="1"/>
  <c r="AN11" i="1"/>
  <c r="AN25" i="1" s="1"/>
  <c r="AO11" i="1"/>
  <c r="AO25" i="1" s="1"/>
  <c r="AP11" i="1"/>
  <c r="AQ11" i="1"/>
  <c r="AR11" i="1"/>
  <c r="AS11" i="1"/>
  <c r="AT11" i="1"/>
  <c r="AU11" i="1"/>
  <c r="AV11" i="1"/>
  <c r="AV25" i="1" s="1"/>
  <c r="AW11" i="1"/>
  <c r="AW25" i="1" s="1"/>
  <c r="AX11" i="1"/>
  <c r="AY11" i="1"/>
  <c r="AY25" i="1" s="1"/>
  <c r="AZ11" i="1"/>
  <c r="AZ25" i="1" s="1"/>
  <c r="BA11" i="1"/>
  <c r="BB11" i="1"/>
  <c r="BC11" i="1"/>
  <c r="BD11" i="1"/>
  <c r="BD25" i="1" s="1"/>
  <c r="BE11" i="1"/>
  <c r="BE25" i="1" s="1"/>
  <c r="BE26" i="1" s="1"/>
  <c r="BF11" i="1"/>
  <c r="BG11" i="1"/>
  <c r="BH11" i="1"/>
  <c r="BI11" i="1"/>
  <c r="BJ11" i="1"/>
  <c r="BK11" i="1"/>
  <c r="BL11" i="1"/>
  <c r="BL25" i="1" s="1"/>
  <c r="BM11" i="1"/>
  <c r="BM25" i="1" s="1"/>
  <c r="BN11" i="1"/>
  <c r="BO11" i="1"/>
  <c r="BP11" i="1"/>
  <c r="BQ11" i="1"/>
  <c r="BR11" i="1"/>
  <c r="BS11" i="1"/>
  <c r="BS25" i="1" s="1"/>
  <c r="BT11" i="1"/>
  <c r="BT25" i="1" s="1"/>
  <c r="BU11" i="1"/>
  <c r="BU25" i="1" s="1"/>
  <c r="BV11" i="1"/>
  <c r="B19" i="1"/>
  <c r="B10" i="3" s="1"/>
  <c r="B11" i="3" s="1"/>
  <c r="C19" i="1"/>
  <c r="D19" i="1"/>
  <c r="D10" i="3" s="1"/>
  <c r="D11" i="3" s="1"/>
  <c r="E19" i="1"/>
  <c r="E10" i="3" s="1"/>
  <c r="E11" i="3" s="1"/>
  <c r="F19" i="1"/>
  <c r="F10" i="3" s="1"/>
  <c r="F11" i="3" s="1"/>
  <c r="G19" i="1"/>
  <c r="G10" i="3" s="1"/>
  <c r="G11" i="3" s="1"/>
  <c r="H19" i="1"/>
  <c r="H10" i="3" s="1"/>
  <c r="H11" i="3" s="1"/>
  <c r="I19" i="1"/>
  <c r="I10" i="3" s="1"/>
  <c r="I11" i="3" s="1"/>
  <c r="J19" i="1"/>
  <c r="J10" i="3" s="1"/>
  <c r="J11" i="3" s="1"/>
  <c r="K19" i="1"/>
  <c r="L19" i="1"/>
  <c r="L10" i="3" s="1"/>
  <c r="L11" i="3" s="1"/>
  <c r="M19" i="1"/>
  <c r="M10" i="3" s="1"/>
  <c r="M11" i="3" s="1"/>
  <c r="N19" i="1"/>
  <c r="N10" i="3" s="1"/>
  <c r="N11" i="3" s="1"/>
  <c r="O19" i="1"/>
  <c r="O10" i="3" s="1"/>
  <c r="O11" i="3" s="1"/>
  <c r="P19" i="1"/>
  <c r="P10" i="3" s="1"/>
  <c r="P11" i="3" s="1"/>
  <c r="Q19" i="1"/>
  <c r="Q10" i="3" s="1"/>
  <c r="Q11" i="3" s="1"/>
  <c r="R19" i="1"/>
  <c r="R10" i="3" s="1"/>
  <c r="R11" i="3" s="1"/>
  <c r="S19" i="1"/>
  <c r="T19" i="1"/>
  <c r="T10" i="3" s="1"/>
  <c r="T11" i="3" s="1"/>
  <c r="U19" i="1"/>
  <c r="U10" i="3" s="1"/>
  <c r="U11" i="3" s="1"/>
  <c r="V19" i="1"/>
  <c r="V10" i="3" s="1"/>
  <c r="V11" i="3" s="1"/>
  <c r="W19" i="1"/>
  <c r="W10" i="3" s="1"/>
  <c r="W11" i="3" s="1"/>
  <c r="X19" i="1"/>
  <c r="X10" i="3" s="1"/>
  <c r="X11" i="3" s="1"/>
  <c r="Y19" i="1"/>
  <c r="Y10" i="3" s="1"/>
  <c r="Y11" i="3" s="1"/>
  <c r="Z19" i="1"/>
  <c r="Z10" i="3" s="1"/>
  <c r="Z11" i="3" s="1"/>
  <c r="AA19" i="1"/>
  <c r="AB19" i="1"/>
  <c r="AB10" i="3" s="1"/>
  <c r="AB11" i="3" s="1"/>
  <c r="AC19" i="1"/>
  <c r="AC10" i="3" s="1"/>
  <c r="AC11" i="3" s="1"/>
  <c r="AD19" i="1"/>
  <c r="AD10" i="3" s="1"/>
  <c r="AD11" i="3" s="1"/>
  <c r="AE19" i="1"/>
  <c r="AE10" i="3" s="1"/>
  <c r="AE11" i="3" s="1"/>
  <c r="AF19" i="1"/>
  <c r="AF10" i="3" s="1"/>
  <c r="AF11" i="3" s="1"/>
  <c r="AG19" i="1"/>
  <c r="AG10" i="3" s="1"/>
  <c r="AG11" i="3" s="1"/>
  <c r="AH19" i="1"/>
  <c r="AH10" i="3" s="1"/>
  <c r="AH11" i="3" s="1"/>
  <c r="AI19" i="1"/>
  <c r="AJ19" i="1"/>
  <c r="AJ10" i="3" s="1"/>
  <c r="AJ11" i="3" s="1"/>
  <c r="AK19" i="1"/>
  <c r="AK10" i="3" s="1"/>
  <c r="AK11" i="3" s="1"/>
  <c r="AL19" i="1"/>
  <c r="AL10" i="3" s="1"/>
  <c r="AL11" i="3" s="1"/>
  <c r="AM19" i="1"/>
  <c r="AM10" i="3" s="1"/>
  <c r="AM11" i="3" s="1"/>
  <c r="AN19" i="1"/>
  <c r="AN10" i="3" s="1"/>
  <c r="AN11" i="3" s="1"/>
  <c r="AO19" i="1"/>
  <c r="AO10" i="3" s="1"/>
  <c r="AO11" i="3" s="1"/>
  <c r="AP19" i="1"/>
  <c r="AP10" i="3" s="1"/>
  <c r="AP11" i="3" s="1"/>
  <c r="AQ19" i="1"/>
  <c r="AR19" i="1"/>
  <c r="AR10" i="3" s="1"/>
  <c r="AR11" i="3" s="1"/>
  <c r="AS19" i="1"/>
  <c r="AS10" i="3" s="1"/>
  <c r="AS11" i="3" s="1"/>
  <c r="AT19" i="1"/>
  <c r="AT10" i="3" s="1"/>
  <c r="AT11" i="3" s="1"/>
  <c r="AU19" i="1"/>
  <c r="AU10" i="3" s="1"/>
  <c r="AU11" i="3" s="1"/>
  <c r="AV19" i="1"/>
  <c r="AV10" i="3" s="1"/>
  <c r="AV11" i="3" s="1"/>
  <c r="AW19" i="1"/>
  <c r="AW10" i="3" s="1"/>
  <c r="AW11" i="3" s="1"/>
  <c r="AX19" i="1"/>
  <c r="AX10" i="3" s="1"/>
  <c r="AX11" i="3" s="1"/>
  <c r="AY19" i="1"/>
  <c r="AZ19" i="1"/>
  <c r="AZ10" i="3" s="1"/>
  <c r="AZ11" i="3" s="1"/>
  <c r="BA19" i="1"/>
  <c r="BA10" i="3" s="1"/>
  <c r="BA11" i="3" s="1"/>
  <c r="BB19" i="1"/>
  <c r="BB10" i="3" s="1"/>
  <c r="BB11" i="3" s="1"/>
  <c r="BC19" i="1"/>
  <c r="BC10" i="3" s="1"/>
  <c r="BC11" i="3" s="1"/>
  <c r="BD19" i="1"/>
  <c r="BD10" i="3" s="1"/>
  <c r="BD11" i="3" s="1"/>
  <c r="BE19" i="1"/>
  <c r="BE10" i="3" s="1"/>
  <c r="BE11" i="3" s="1"/>
  <c r="BF19" i="1"/>
  <c r="BF10" i="3" s="1"/>
  <c r="BF11" i="3" s="1"/>
  <c r="BG19" i="1"/>
  <c r="BH19" i="1"/>
  <c r="BH10" i="3" s="1"/>
  <c r="BH11" i="3" s="1"/>
  <c r="BI19" i="1"/>
  <c r="BI10" i="3" s="1"/>
  <c r="BI11" i="3" s="1"/>
  <c r="BJ19" i="1"/>
  <c r="BJ10" i="3" s="1"/>
  <c r="BJ11" i="3" s="1"/>
  <c r="BK19" i="1"/>
  <c r="BK10" i="3" s="1"/>
  <c r="BK11" i="3" s="1"/>
  <c r="BL19" i="1"/>
  <c r="BL10" i="3" s="1"/>
  <c r="BL11" i="3" s="1"/>
  <c r="BM19" i="1"/>
  <c r="BM10" i="3" s="1"/>
  <c r="BM11" i="3" s="1"/>
  <c r="BN19" i="1"/>
  <c r="BN10" i="3" s="1"/>
  <c r="BN11" i="3" s="1"/>
  <c r="BO19" i="1"/>
  <c r="BP19" i="1"/>
  <c r="BP10" i="3" s="1"/>
  <c r="BP11" i="3" s="1"/>
  <c r="BQ19" i="1"/>
  <c r="BQ10" i="3" s="1"/>
  <c r="BQ11" i="3" s="1"/>
  <c r="BR19" i="1"/>
  <c r="BR10" i="3" s="1"/>
  <c r="BR11" i="3" s="1"/>
  <c r="BS19" i="1"/>
  <c r="BS10" i="3" s="1"/>
  <c r="BS11" i="3" s="1"/>
  <c r="BT19" i="1"/>
  <c r="BT10" i="3" s="1"/>
  <c r="BT11" i="3" s="1"/>
  <c r="BU19" i="1"/>
  <c r="BU10" i="3" s="1"/>
  <c r="BU11" i="3" s="1"/>
  <c r="BV19" i="1"/>
  <c r="BV10" i="3" s="1"/>
  <c r="BV11" i="3" s="1"/>
  <c r="D21" i="1"/>
  <c r="E21" i="1"/>
  <c r="F21" i="1"/>
  <c r="G21" i="1"/>
  <c r="G23" i="1" s="1"/>
  <c r="G28" i="1" s="1"/>
  <c r="H21" i="1"/>
  <c r="H23" i="1" s="1"/>
  <c r="H28" i="1" s="1"/>
  <c r="I21" i="1"/>
  <c r="J21" i="1"/>
  <c r="L21" i="1"/>
  <c r="M21" i="1"/>
  <c r="Q21" i="1"/>
  <c r="Q23" i="1" s="1"/>
  <c r="Q28" i="1" s="1"/>
  <c r="T21" i="1"/>
  <c r="U21" i="1"/>
  <c r="Y21" i="1"/>
  <c r="Z21" i="1"/>
  <c r="AB21" i="1"/>
  <c r="AC21" i="1"/>
  <c r="AC23" i="1" s="1"/>
  <c r="AC28" i="1" s="1"/>
  <c r="AG21" i="1"/>
  <c r="AH21" i="1"/>
  <c r="AJ21" i="1"/>
  <c r="AK21" i="1"/>
  <c r="AL21" i="1"/>
  <c r="AR21" i="1"/>
  <c r="AS21" i="1"/>
  <c r="AS23" i="1" s="1"/>
  <c r="AS28" i="1" s="1"/>
  <c r="AW21" i="1"/>
  <c r="AZ21" i="1"/>
  <c r="BA21" i="1"/>
  <c r="BB21" i="1"/>
  <c r="BE21" i="1"/>
  <c r="BH21" i="1"/>
  <c r="BI21" i="1"/>
  <c r="BI23" i="1" s="1"/>
  <c r="BI28" i="1" s="1"/>
  <c r="BJ21" i="1"/>
  <c r="BJ23" i="1" s="1"/>
  <c r="BJ28" i="1" s="1"/>
  <c r="BK21" i="1"/>
  <c r="BK23" i="1" s="1"/>
  <c r="BK28" i="1" s="1"/>
  <c r="BM21" i="1"/>
  <c r="BP21" i="1"/>
  <c r="BQ21" i="1"/>
  <c r="BR21" i="1"/>
  <c r="BS21" i="1"/>
  <c r="BS23" i="1" s="1"/>
  <c r="BT21" i="1"/>
  <c r="BT23" i="1" s="1"/>
  <c r="BT28" i="1" s="1"/>
  <c r="BU21" i="1"/>
  <c r="BV21" i="1"/>
  <c r="G22" i="1"/>
  <c r="H22" i="1"/>
  <c r="I22" i="1"/>
  <c r="M22" i="1"/>
  <c r="M23" i="1" s="1"/>
  <c r="M28" i="1" s="1"/>
  <c r="Q22" i="1"/>
  <c r="T22" i="1"/>
  <c r="T23" i="1" s="1"/>
  <c r="T28" i="1" s="1"/>
  <c r="U22" i="1"/>
  <c r="U23" i="1" s="1"/>
  <c r="U28" i="1" s="1"/>
  <c r="W22" i="1"/>
  <c r="AC22" i="1"/>
  <c r="AD22" i="1"/>
  <c r="AE22" i="1"/>
  <c r="AG22" i="1"/>
  <c r="AM22" i="1"/>
  <c r="AN22" i="1"/>
  <c r="AO22" i="1"/>
  <c r="AS22" i="1"/>
  <c r="AW22" i="1"/>
  <c r="AZ22" i="1"/>
  <c r="AZ23" i="1" s="1"/>
  <c r="BA22" i="1"/>
  <c r="BA23" i="1" s="1"/>
  <c r="BA28" i="1" s="1"/>
  <c r="BC22" i="1"/>
  <c r="BI22" i="1"/>
  <c r="BJ22" i="1"/>
  <c r="BK22" i="1"/>
  <c r="BM22" i="1"/>
  <c r="BS22" i="1"/>
  <c r="BT22" i="1"/>
  <c r="BU22" i="1"/>
  <c r="B25" i="1"/>
  <c r="C25" i="1"/>
  <c r="C26" i="1" s="1"/>
  <c r="D25" i="1"/>
  <c r="E25" i="1"/>
  <c r="F25" i="1"/>
  <c r="J25" i="1"/>
  <c r="K25" i="1"/>
  <c r="L25" i="1"/>
  <c r="M25" i="1"/>
  <c r="M26" i="1" s="1"/>
  <c r="N25" i="1"/>
  <c r="O25" i="1"/>
  <c r="R25" i="1"/>
  <c r="U25" i="1"/>
  <c r="V25" i="1"/>
  <c r="W25" i="1"/>
  <c r="Z25" i="1"/>
  <c r="AA25" i="1"/>
  <c r="AB25" i="1"/>
  <c r="AC25" i="1"/>
  <c r="AD25" i="1"/>
  <c r="AE25" i="1"/>
  <c r="AH25" i="1"/>
  <c r="AI25" i="1"/>
  <c r="AI26" i="1" s="1"/>
  <c r="AJ25" i="1"/>
  <c r="AK25" i="1"/>
  <c r="AL25" i="1"/>
  <c r="AP25" i="1"/>
  <c r="AQ25" i="1"/>
  <c r="AR25" i="1"/>
  <c r="AS25" i="1"/>
  <c r="AS26" i="1" s="1"/>
  <c r="AT25" i="1"/>
  <c r="AU25" i="1"/>
  <c r="AX25" i="1"/>
  <c r="BA25" i="1"/>
  <c r="BB25" i="1"/>
  <c r="BC25" i="1"/>
  <c r="BF25" i="1"/>
  <c r="BG25" i="1"/>
  <c r="BH25" i="1"/>
  <c r="BI25" i="1"/>
  <c r="BJ25" i="1"/>
  <c r="BK25" i="1"/>
  <c r="BN25" i="1"/>
  <c r="BO25" i="1"/>
  <c r="BO26" i="1" s="1"/>
  <c r="BP25" i="1"/>
  <c r="BQ25" i="1"/>
  <c r="BR25" i="1"/>
  <c r="BV25" i="1"/>
  <c r="D26" i="1"/>
  <c r="N26" i="1"/>
  <c r="Z26" i="1"/>
  <c r="AJ26" i="1"/>
  <c r="AT26" i="1"/>
  <c r="BF26" i="1"/>
  <c r="BP26" i="1"/>
  <c r="E27" i="1"/>
  <c r="Q27" i="1"/>
  <c r="AA27" i="1"/>
  <c r="AK27" i="1"/>
  <c r="AW27" i="1"/>
  <c r="BG27" i="1"/>
  <c r="BQ27" i="1"/>
  <c r="B33" i="1"/>
  <c r="C33" i="1"/>
  <c r="D33" i="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BC33" i="1"/>
  <c r="BD33" i="1"/>
  <c r="BE33" i="1"/>
  <c r="BF33" i="1"/>
  <c r="BG33" i="1"/>
  <c r="BH33" i="1"/>
  <c r="BI33" i="1"/>
  <c r="BJ33" i="1"/>
  <c r="BK33" i="1"/>
  <c r="BL33" i="1"/>
  <c r="B36" i="1"/>
  <c r="C36" i="1"/>
  <c r="D36" i="1"/>
  <c r="E36" i="1"/>
  <c r="F36" i="1"/>
  <c r="G36" i="1"/>
  <c r="H36" i="1"/>
  <c r="I36" i="1"/>
  <c r="J36" i="1"/>
  <c r="K36" i="1"/>
  <c r="L36" i="1"/>
  <c r="M36" i="1"/>
  <c r="N36" i="1"/>
  <c r="O36" i="1"/>
  <c r="P36" i="1"/>
  <c r="Q36" i="1"/>
  <c r="R36" i="1"/>
  <c r="S36" i="1"/>
  <c r="T36" i="1"/>
  <c r="U36" i="1"/>
  <c r="V36" i="1"/>
  <c r="W36" i="1"/>
  <c r="X36" i="1"/>
  <c r="Y36" i="1"/>
  <c r="Z36" i="1"/>
  <c r="AA36" i="1"/>
  <c r="AB36" i="1"/>
  <c r="AC36" i="1"/>
  <c r="AD36" i="1"/>
  <c r="AE36" i="1"/>
  <c r="AF36" i="1"/>
  <c r="AG36" i="1"/>
  <c r="AH36" i="1"/>
  <c r="AI36" i="1"/>
  <c r="AJ36" i="1"/>
  <c r="AK36" i="1"/>
  <c r="AL36" i="1"/>
  <c r="AM36" i="1"/>
  <c r="AN36" i="1"/>
  <c r="AO36" i="1"/>
  <c r="AP36" i="1"/>
  <c r="AQ36" i="1"/>
  <c r="AR36" i="1"/>
  <c r="AS36" i="1"/>
  <c r="AT36" i="1"/>
  <c r="AU36" i="1"/>
  <c r="AV36" i="1"/>
  <c r="AW36" i="1"/>
  <c r="AX36" i="1"/>
  <c r="AY36" i="1"/>
  <c r="AZ36" i="1"/>
  <c r="BA36" i="1"/>
  <c r="BB36" i="1"/>
  <c r="BC36" i="1"/>
  <c r="BD36" i="1"/>
  <c r="BE36" i="1"/>
  <c r="BF36" i="1"/>
  <c r="BG36" i="1"/>
  <c r="BH36" i="1"/>
  <c r="BI36" i="1"/>
  <c r="BJ36" i="1"/>
  <c r="BK36" i="1"/>
  <c r="BL36" i="1"/>
  <c r="B47" i="1"/>
  <c r="B48" i="1" s="1"/>
  <c r="C47" i="1"/>
  <c r="D47" i="1"/>
  <c r="D48" i="1" s="1"/>
  <c r="E47" i="1"/>
  <c r="F47" i="1"/>
  <c r="F48" i="1" s="1"/>
  <c r="G47" i="1"/>
  <c r="H47" i="1"/>
  <c r="H48" i="1" s="1"/>
  <c r="I47" i="1"/>
  <c r="I48" i="1" s="1"/>
  <c r="J47" i="1"/>
  <c r="J48" i="1" s="1"/>
  <c r="K47" i="1"/>
  <c r="L47" i="1"/>
  <c r="M47" i="1"/>
  <c r="N47" i="1"/>
  <c r="N48" i="1" s="1"/>
  <c r="O47" i="1"/>
  <c r="P47" i="1"/>
  <c r="P48" i="1" s="1"/>
  <c r="Q47" i="1"/>
  <c r="Q48" i="1" s="1"/>
  <c r="R47" i="1"/>
  <c r="R48" i="1" s="1"/>
  <c r="S47" i="1"/>
  <c r="T47" i="1"/>
  <c r="U47" i="1"/>
  <c r="V47" i="1"/>
  <c r="V48" i="1" s="1"/>
  <c r="W47" i="1"/>
  <c r="X47" i="1"/>
  <c r="Y47" i="1"/>
  <c r="Y48" i="1" s="1"/>
  <c r="Z47" i="1"/>
  <c r="Z48" i="1" s="1"/>
  <c r="AA47" i="1"/>
  <c r="AA48" i="1" s="1"/>
  <c r="AB47" i="1"/>
  <c r="AB48" i="1" s="1"/>
  <c r="AC47" i="1"/>
  <c r="AD47" i="1"/>
  <c r="AD48" i="1" s="1"/>
  <c r="AE47" i="1"/>
  <c r="AF47" i="1"/>
  <c r="AF48" i="1" s="1"/>
  <c r="AG47" i="1"/>
  <c r="AG48" i="1" s="1"/>
  <c r="AH47" i="1"/>
  <c r="AH48" i="1" s="1"/>
  <c r="AI47" i="1"/>
  <c r="AI48" i="1" s="1"/>
  <c r="AJ47" i="1"/>
  <c r="AJ48" i="1" s="1"/>
  <c r="AK47" i="1"/>
  <c r="AL47" i="1"/>
  <c r="AM47" i="1"/>
  <c r="AN47" i="1"/>
  <c r="AN48" i="1" s="1"/>
  <c r="AO47" i="1"/>
  <c r="AO48" i="1" s="1"/>
  <c r="AP47" i="1"/>
  <c r="AP48" i="1" s="1"/>
  <c r="AQ47" i="1"/>
  <c r="AQ48" i="1" s="1"/>
  <c r="AR47" i="1"/>
  <c r="AR48" i="1" s="1"/>
  <c r="AS47" i="1"/>
  <c r="AT47" i="1"/>
  <c r="AU47" i="1"/>
  <c r="AV47" i="1"/>
  <c r="AV48" i="1" s="1"/>
  <c r="AW47" i="1"/>
  <c r="AW48" i="1" s="1"/>
  <c r="AX47" i="1"/>
  <c r="AX48" i="1" s="1"/>
  <c r="AY47" i="1"/>
  <c r="AY48" i="1" s="1"/>
  <c r="AZ47" i="1"/>
  <c r="AZ48" i="1" s="1"/>
  <c r="BA47" i="1"/>
  <c r="BB47" i="1"/>
  <c r="BC47" i="1"/>
  <c r="BD47" i="1"/>
  <c r="BD48" i="1" s="1"/>
  <c r="BE47" i="1"/>
  <c r="BE48" i="1" s="1"/>
  <c r="BF47" i="1"/>
  <c r="BF48" i="1" s="1"/>
  <c r="BG47" i="1"/>
  <c r="BG48" i="1" s="1"/>
  <c r="BH47" i="1"/>
  <c r="BH48" i="1" s="1"/>
  <c r="BI47" i="1"/>
  <c r="BJ47" i="1"/>
  <c r="BK47" i="1"/>
  <c r="BL47" i="1"/>
  <c r="BL48" i="1" s="1"/>
  <c r="C48" i="1"/>
  <c r="E48" i="1"/>
  <c r="G48" i="1"/>
  <c r="K48" i="1"/>
  <c r="L48" i="1"/>
  <c r="M48" i="1"/>
  <c r="O48" i="1"/>
  <c r="S48" i="1"/>
  <c r="T48" i="1"/>
  <c r="U48" i="1"/>
  <c r="W48" i="1"/>
  <c r="X48" i="1"/>
  <c r="AC48" i="1"/>
  <c r="AE48" i="1"/>
  <c r="AK48" i="1"/>
  <c r="AL48" i="1"/>
  <c r="AM48" i="1"/>
  <c r="AS48" i="1"/>
  <c r="AT48" i="1"/>
  <c r="AU48" i="1"/>
  <c r="BA48" i="1"/>
  <c r="BB48" i="1"/>
  <c r="BC48" i="1"/>
  <c r="BI48" i="1"/>
  <c r="BJ48" i="1"/>
  <c r="BK48" i="1"/>
  <c r="M29" i="1" l="1"/>
  <c r="BS28" i="1"/>
  <c r="AL23" i="1"/>
  <c r="AL28" i="1" s="1"/>
  <c r="E29" i="1"/>
  <c r="AZ28" i="1"/>
  <c r="AS29" i="1"/>
  <c r="BP29" i="1"/>
  <c r="M27" i="1"/>
  <c r="AR26" i="1"/>
  <c r="L26" i="1"/>
  <c r="AP21" i="1"/>
  <c r="O21" i="1"/>
  <c r="O23" i="1" s="1"/>
  <c r="O28" i="1" s="1"/>
  <c r="AT13" i="3"/>
  <c r="AT18" i="3" s="1"/>
  <c r="B22" i="1"/>
  <c r="J22" i="1"/>
  <c r="J23" i="1" s="1"/>
  <c r="J28" i="1" s="1"/>
  <c r="R22" i="1"/>
  <c r="Z22" i="1"/>
  <c r="AH22" i="1"/>
  <c r="AH23" i="1" s="1"/>
  <c r="AH28" i="1" s="1"/>
  <c r="AP22" i="1"/>
  <c r="AX22" i="1"/>
  <c r="BF22" i="1"/>
  <c r="BN22" i="1"/>
  <c r="BV22" i="1"/>
  <c r="C22" i="1"/>
  <c r="K22" i="1"/>
  <c r="S22" i="1"/>
  <c r="AA22" i="1"/>
  <c r="AI22" i="1"/>
  <c r="AQ22" i="1"/>
  <c r="AY22" i="1"/>
  <c r="BG22" i="1"/>
  <c r="BO22" i="1"/>
  <c r="BV27" i="1"/>
  <c r="BL27" i="1"/>
  <c r="AZ27" i="1"/>
  <c r="AP27" i="1"/>
  <c r="AF27" i="1"/>
  <c r="T27" i="1"/>
  <c r="BU26" i="1"/>
  <c r="BI26" i="1"/>
  <c r="AY26" i="1"/>
  <c r="AY29" i="1" s="1"/>
  <c r="AO26" i="1"/>
  <c r="AC26" i="1"/>
  <c r="AC29" i="1" s="1"/>
  <c r="S26" i="1"/>
  <c r="I26" i="1"/>
  <c r="BP22" i="1"/>
  <c r="BP23" i="1" s="1"/>
  <c r="BP28" i="1" s="1"/>
  <c r="BD22" i="1"/>
  <c r="AT22" i="1"/>
  <c r="AJ22" i="1"/>
  <c r="AJ23" i="1" s="1"/>
  <c r="AJ28" i="1" s="1"/>
  <c r="X22" i="1"/>
  <c r="N22" i="1"/>
  <c r="D22" i="1"/>
  <c r="D23" i="1" s="1"/>
  <c r="D28" i="1" s="1"/>
  <c r="D29" i="1" s="1"/>
  <c r="BN21" i="1"/>
  <c r="BN23" i="1" s="1"/>
  <c r="BN28" i="1" s="1"/>
  <c r="AV21" i="1"/>
  <c r="AV23" i="1" s="1"/>
  <c r="AV28" i="1" s="1"/>
  <c r="AM21" i="1"/>
  <c r="AM23" i="1" s="1"/>
  <c r="AM28" i="1" s="1"/>
  <c r="AD21" i="1"/>
  <c r="AD23" i="1" s="1"/>
  <c r="AD28" i="1" s="1"/>
  <c r="B21" i="1"/>
  <c r="B23" i="1" s="1"/>
  <c r="B28" i="1" s="1"/>
  <c r="BO10" i="3"/>
  <c r="BO11" i="3" s="1"/>
  <c r="BO13" i="3" s="1"/>
  <c r="BO18" i="3" s="1"/>
  <c r="BO19" i="3" s="1"/>
  <c r="BO21" i="1"/>
  <c r="BO23" i="1" s="1"/>
  <c r="BO28" i="1" s="1"/>
  <c r="BG10" i="3"/>
  <c r="BG11" i="3" s="1"/>
  <c r="BG21" i="1"/>
  <c r="AY10" i="3"/>
  <c r="AY11" i="3" s="1"/>
  <c r="AY21" i="1"/>
  <c r="AY23" i="1" s="1"/>
  <c r="AY28" i="1" s="1"/>
  <c r="AQ10" i="3"/>
  <c r="AQ11" i="3" s="1"/>
  <c r="AQ13" i="3" s="1"/>
  <c r="AQ18" i="3" s="1"/>
  <c r="AQ21" i="1"/>
  <c r="AQ23" i="1" s="1"/>
  <c r="AQ28" i="1" s="1"/>
  <c r="AI10" i="3"/>
  <c r="AI11" i="3" s="1"/>
  <c r="AI13" i="3" s="1"/>
  <c r="AI18" i="3" s="1"/>
  <c r="AI19" i="3" s="1"/>
  <c r="AI21" i="1"/>
  <c r="AI23" i="1" s="1"/>
  <c r="AI28" i="1" s="1"/>
  <c r="AI29" i="1" s="1"/>
  <c r="AA10" i="3"/>
  <c r="AA11" i="3" s="1"/>
  <c r="AA21" i="1"/>
  <c r="S10" i="3"/>
  <c r="S11" i="3" s="1"/>
  <c r="S21" i="1"/>
  <c r="K10" i="3"/>
  <c r="K11" i="3" s="1"/>
  <c r="K13" i="3" s="1"/>
  <c r="K18" i="3" s="1"/>
  <c r="K19" i="3" s="1"/>
  <c r="K21" i="1"/>
  <c r="K23" i="1" s="1"/>
  <c r="K28" i="1" s="1"/>
  <c r="C10" i="3"/>
  <c r="C11" i="3" s="1"/>
  <c r="C13" i="3" s="1"/>
  <c r="C18" i="3" s="1"/>
  <c r="C19" i="3" s="1"/>
  <c r="C21" i="1"/>
  <c r="C23" i="1" s="1"/>
  <c r="C28" i="1" s="1"/>
  <c r="C29" i="1" s="1"/>
  <c r="BL13" i="3"/>
  <c r="BL18" i="3" s="1"/>
  <c r="BL19" i="3" s="1"/>
  <c r="AV13" i="3"/>
  <c r="AV18" i="3" s="1"/>
  <c r="F27" i="1"/>
  <c r="N27" i="1"/>
  <c r="V27" i="1"/>
  <c r="AD27" i="1"/>
  <c r="AL27" i="1"/>
  <c r="AT27" i="1"/>
  <c r="AT29" i="1" s="1"/>
  <c r="BB27" i="1"/>
  <c r="BJ27" i="1"/>
  <c r="BR27" i="1"/>
  <c r="G27" i="1"/>
  <c r="O27" i="1"/>
  <c r="W27" i="1"/>
  <c r="AE27" i="1"/>
  <c r="AM27" i="1"/>
  <c r="AU27" i="1"/>
  <c r="BC27" i="1"/>
  <c r="BK27" i="1"/>
  <c r="BS27" i="1"/>
  <c r="BF27" i="1"/>
  <c r="BF29" i="1" s="1"/>
  <c r="P27" i="1"/>
  <c r="P21" i="1"/>
  <c r="P23" i="1" s="1"/>
  <c r="P28" i="1" s="1"/>
  <c r="AY27" i="1"/>
  <c r="AC27" i="1"/>
  <c r="I27" i="1"/>
  <c r="AX26" i="1"/>
  <c r="AB26" i="1"/>
  <c r="AB29" i="1" s="1"/>
  <c r="BV23" i="1"/>
  <c r="BV28" i="1" s="1"/>
  <c r="BD21" i="1"/>
  <c r="BF13" i="3"/>
  <c r="BF18" i="3" s="1"/>
  <c r="Z13" i="3"/>
  <c r="Z18" i="3" s="1"/>
  <c r="J13" i="3"/>
  <c r="J18" i="3" s="1"/>
  <c r="J19" i="3" s="1"/>
  <c r="M33" i="7"/>
  <c r="AJ27" i="1"/>
  <c r="BK13" i="3"/>
  <c r="BK18" i="3" s="1"/>
  <c r="W13" i="3"/>
  <c r="W18" i="3" s="1"/>
  <c r="BU27" i="1"/>
  <c r="BI27" i="1"/>
  <c r="AO27" i="1"/>
  <c r="S27" i="1"/>
  <c r="BR26" i="1"/>
  <c r="BH26" i="1"/>
  <c r="AL26" i="1"/>
  <c r="R26" i="1"/>
  <c r="F26" i="1"/>
  <c r="BM23" i="1"/>
  <c r="BM28" i="1" s="1"/>
  <c r="AU21" i="1"/>
  <c r="R13" i="3"/>
  <c r="R18" i="3" s="1"/>
  <c r="R19" i="3" s="1"/>
  <c r="BT27" i="1"/>
  <c r="BH27" i="1"/>
  <c r="AX27" i="1"/>
  <c r="AN27" i="1"/>
  <c r="AB27" i="1"/>
  <c r="R27" i="1"/>
  <c r="H27" i="1"/>
  <c r="BQ26" i="1"/>
  <c r="BQ29" i="1" s="1"/>
  <c r="BG26" i="1"/>
  <c r="AW26" i="1"/>
  <c r="AK26" i="1"/>
  <c r="AK29" i="1" s="1"/>
  <c r="AA26" i="1"/>
  <c r="Q26" i="1"/>
  <c r="Q29" i="1" s="1"/>
  <c r="BL22" i="1"/>
  <c r="BB22" i="1"/>
  <c r="BB23" i="1" s="1"/>
  <c r="BB28" i="1" s="1"/>
  <c r="AR22" i="1"/>
  <c r="AR23" i="1" s="1"/>
  <c r="AR28" i="1" s="1"/>
  <c r="AF22" i="1"/>
  <c r="V22" i="1"/>
  <c r="L22" i="1"/>
  <c r="L23" i="1" s="1"/>
  <c r="L28" i="1" s="1"/>
  <c r="BU23" i="1"/>
  <c r="BU28" i="1" s="1"/>
  <c r="BL21" i="1"/>
  <c r="BC21" i="1"/>
  <c r="BC23" i="1" s="1"/>
  <c r="BC28" i="1" s="1"/>
  <c r="AT21" i="1"/>
  <c r="AT23" i="1" s="1"/>
  <c r="AT28" i="1" s="1"/>
  <c r="R21" i="1"/>
  <c r="R23" i="1" s="1"/>
  <c r="R28" i="1" s="1"/>
  <c r="I23" i="1"/>
  <c r="I28" i="1" s="1"/>
  <c r="AO13" i="3"/>
  <c r="AO18" i="3" s="1"/>
  <c r="AO19" i="3" s="1"/>
  <c r="AG13" i="3"/>
  <c r="AG18" i="3" s="1"/>
  <c r="AG19" i="3" s="1"/>
  <c r="BB11" i="6"/>
  <c r="BB12" i="6" s="1"/>
  <c r="AJ29" i="1"/>
  <c r="BT13" i="3"/>
  <c r="BT18" i="3" s="1"/>
  <c r="BT19" i="3" s="1"/>
  <c r="BP27" i="1"/>
  <c r="Z27" i="1"/>
  <c r="AE13" i="3"/>
  <c r="AE18" i="3" s="1"/>
  <c r="AE19" i="3" s="1"/>
  <c r="G26" i="1"/>
  <c r="G29" i="1" s="1"/>
  <c r="O26" i="1"/>
  <c r="O29" i="1" s="1"/>
  <c r="W26" i="1"/>
  <c r="W29" i="1" s="1"/>
  <c r="AE26" i="1"/>
  <c r="AM26" i="1"/>
  <c r="AU26" i="1"/>
  <c r="BC26" i="1"/>
  <c r="BK26" i="1"/>
  <c r="BK29" i="1" s="1"/>
  <c r="BS26" i="1"/>
  <c r="H26" i="1"/>
  <c r="H29" i="1" s="1"/>
  <c r="P26" i="1"/>
  <c r="P29" i="1" s="1"/>
  <c r="X26" i="1"/>
  <c r="AF26" i="1"/>
  <c r="AN26" i="1"/>
  <c r="AV26" i="1"/>
  <c r="BD26" i="1"/>
  <c r="BL26" i="1"/>
  <c r="BT26" i="1"/>
  <c r="BT29" i="1" s="1"/>
  <c r="BO27" i="1"/>
  <c r="BO29" i="1" s="1"/>
  <c r="AS27" i="1"/>
  <c r="Y27" i="1"/>
  <c r="BN26" i="1"/>
  <c r="BN29" i="1" s="1"/>
  <c r="AH26" i="1"/>
  <c r="B26" i="1"/>
  <c r="AG23" i="1"/>
  <c r="AG28" i="1" s="1"/>
  <c r="AD13" i="3"/>
  <c r="AD18" i="3" s="1"/>
  <c r="AD19" i="3" s="1"/>
  <c r="BN27" i="1"/>
  <c r="BD27" i="1"/>
  <c r="AR27" i="1"/>
  <c r="AH27" i="1"/>
  <c r="X27" i="1"/>
  <c r="L27" i="1"/>
  <c r="B27" i="1"/>
  <c r="BM26" i="1"/>
  <c r="BA26" i="1"/>
  <c r="AQ26" i="1"/>
  <c r="AG26" i="1"/>
  <c r="U26" i="1"/>
  <c r="K26" i="1"/>
  <c r="BR22" i="1"/>
  <c r="BR23" i="1" s="1"/>
  <c r="BR28" i="1" s="1"/>
  <c r="BH22" i="1"/>
  <c r="BH23" i="1" s="1"/>
  <c r="BH28" i="1" s="1"/>
  <c r="AV22" i="1"/>
  <c r="AL22" i="1"/>
  <c r="AB22" i="1"/>
  <c r="AB23" i="1" s="1"/>
  <c r="AB28" i="1" s="1"/>
  <c r="P22" i="1"/>
  <c r="F22" i="1"/>
  <c r="F23" i="1" s="1"/>
  <c r="F28" i="1" s="1"/>
  <c r="AX21" i="1"/>
  <c r="AO21" i="1"/>
  <c r="AO23" i="1" s="1"/>
  <c r="AO28" i="1" s="1"/>
  <c r="AF21" i="1"/>
  <c r="AF23" i="1" s="1"/>
  <c r="AF28" i="1" s="1"/>
  <c r="W21" i="1"/>
  <c r="W23" i="1" s="1"/>
  <c r="W28" i="1" s="1"/>
  <c r="N21" i="1"/>
  <c r="Z23" i="1"/>
  <c r="Z28" i="1" s="1"/>
  <c r="Z29" i="1" s="1"/>
  <c r="BD13" i="3"/>
  <c r="BD18" i="3" s="1"/>
  <c r="AN13" i="3"/>
  <c r="AN18" i="3" s="1"/>
  <c r="AN19" i="3" s="1"/>
  <c r="AV27" i="1"/>
  <c r="D27" i="1"/>
  <c r="BE27" i="1"/>
  <c r="BE29" i="1" s="1"/>
  <c r="AI27" i="1"/>
  <c r="C27" i="1"/>
  <c r="BB26" i="1"/>
  <c r="V26" i="1"/>
  <c r="X21" i="1"/>
  <c r="BR13" i="3"/>
  <c r="BR18" i="3" s="1"/>
  <c r="AL13" i="3"/>
  <c r="AL18" i="3" s="1"/>
  <c r="F13" i="3"/>
  <c r="F18" i="3" s="1"/>
  <c r="BM27" i="1"/>
  <c r="BA27" i="1"/>
  <c r="AQ27" i="1"/>
  <c r="AG27" i="1"/>
  <c r="U27" i="1"/>
  <c r="K27" i="1"/>
  <c r="BV26" i="1"/>
  <c r="BJ26" i="1"/>
  <c r="BJ29" i="1" s="1"/>
  <c r="AZ26" i="1"/>
  <c r="AP26" i="1"/>
  <c r="AD26" i="1"/>
  <c r="T26" i="1"/>
  <c r="T29" i="1" s="1"/>
  <c r="J26" i="1"/>
  <c r="BQ22" i="1"/>
  <c r="BQ23" i="1" s="1"/>
  <c r="BQ28" i="1" s="1"/>
  <c r="BE22" i="1"/>
  <c r="BE23" i="1" s="1"/>
  <c r="BE28" i="1" s="1"/>
  <c r="AU22" i="1"/>
  <c r="AK22" i="1"/>
  <c r="AK23" i="1" s="1"/>
  <c r="AK28" i="1" s="1"/>
  <c r="Y22" i="1"/>
  <c r="Y23" i="1" s="1"/>
  <c r="Y28" i="1" s="1"/>
  <c r="Y29" i="1" s="1"/>
  <c r="O22" i="1"/>
  <c r="E22" i="1"/>
  <c r="E23" i="1" s="1"/>
  <c r="E28" i="1" s="1"/>
  <c r="BF21" i="1"/>
  <c r="BF23" i="1" s="1"/>
  <c r="BF28" i="1" s="1"/>
  <c r="AW23" i="1"/>
  <c r="AW28" i="1" s="1"/>
  <c r="AN21" i="1"/>
  <c r="AN23" i="1" s="1"/>
  <c r="AN28" i="1" s="1"/>
  <c r="AE21" i="1"/>
  <c r="AE23" i="1" s="1"/>
  <c r="AE28" i="1" s="1"/>
  <c r="V21" i="1"/>
  <c r="V23" i="1" s="1"/>
  <c r="V28" i="1" s="1"/>
  <c r="B44" i="6"/>
  <c r="B39" i="6"/>
  <c r="BJ10" i="6"/>
  <c r="BJ12" i="6" s="1"/>
  <c r="BJ11" i="6"/>
  <c r="AT12" i="6"/>
  <c r="AL10" i="6"/>
  <c r="AL11" i="6"/>
  <c r="AD10" i="6"/>
  <c r="AD11" i="6"/>
  <c r="V12" i="6"/>
  <c r="N10" i="6"/>
  <c r="N12" i="6" s="1"/>
  <c r="N11" i="6"/>
  <c r="F10" i="6"/>
  <c r="F12" i="6" s="1"/>
  <c r="F11" i="6"/>
  <c r="D31" i="4"/>
  <c r="E28" i="4" s="1"/>
  <c r="AS13" i="3"/>
  <c r="AS18" i="3" s="1"/>
  <c r="BE12" i="6"/>
  <c r="BH13" i="3"/>
  <c r="BH18" i="3" s="1"/>
  <c r="BH19" i="3" s="1"/>
  <c r="AZ13" i="3"/>
  <c r="AZ18" i="3" s="1"/>
  <c r="AZ19" i="3" s="1"/>
  <c r="AR13" i="3"/>
  <c r="AR18" i="3" s="1"/>
  <c r="AR19" i="3" s="1"/>
  <c r="AB13" i="3"/>
  <c r="AB18" i="3" s="1"/>
  <c r="I26" i="7"/>
  <c r="I27" i="7" s="1"/>
  <c r="J26" i="7"/>
  <c r="J27" i="7" s="1"/>
  <c r="C26" i="7"/>
  <c r="C27" i="7" s="1"/>
  <c r="K26" i="7"/>
  <c r="K27" i="7" s="1"/>
  <c r="E26" i="7"/>
  <c r="E27" i="7" s="1"/>
  <c r="E30" i="7" s="1"/>
  <c r="G26" i="7"/>
  <c r="G27" i="7" s="1"/>
  <c r="G30" i="7" s="1"/>
  <c r="F26" i="7"/>
  <c r="F27" i="7" s="1"/>
  <c r="F30" i="7" s="1"/>
  <c r="D26" i="7"/>
  <c r="D27" i="7" s="1"/>
  <c r="D30" i="7" s="1"/>
  <c r="AL27" i="7"/>
  <c r="E39" i="6"/>
  <c r="E44" i="6" s="1"/>
  <c r="F38" i="6"/>
  <c r="C16" i="6"/>
  <c r="B19" i="6"/>
  <c r="B21" i="6" s="1"/>
  <c r="Y26" i="7"/>
  <c r="Y27" i="7" s="1"/>
  <c r="Z26" i="7"/>
  <c r="Z27" i="7" s="1"/>
  <c r="AA26" i="7"/>
  <c r="AA27" i="7" s="1"/>
  <c r="U26" i="7"/>
  <c r="U27" i="7" s="1"/>
  <c r="W26" i="7"/>
  <c r="W27" i="7" s="1"/>
  <c r="X26" i="7"/>
  <c r="X27" i="7" s="1"/>
  <c r="C36" i="7"/>
  <c r="E36" i="7"/>
  <c r="AK13" i="3"/>
  <c r="AK18" i="3" s="1"/>
  <c r="AC13" i="3"/>
  <c r="AC18" i="3" s="1"/>
  <c r="U13" i="3"/>
  <c r="U18" i="3" s="1"/>
  <c r="AP12" i="6"/>
  <c r="BL12" i="6"/>
  <c r="BD12" i="6"/>
  <c r="AV12" i="6"/>
  <c r="AN12" i="6"/>
  <c r="AF12" i="6"/>
  <c r="X12" i="6"/>
  <c r="P12" i="6"/>
  <c r="H12" i="6"/>
  <c r="BH11" i="6"/>
  <c r="BH10" i="6"/>
  <c r="BH12" i="6" s="1"/>
  <c r="AZ11" i="6"/>
  <c r="AZ10" i="6"/>
  <c r="AR11" i="6"/>
  <c r="AR10" i="6"/>
  <c r="AR12" i="6" s="1"/>
  <c r="AJ11" i="6"/>
  <c r="AJ10" i="6"/>
  <c r="AJ12" i="6" s="1"/>
  <c r="AB11" i="6"/>
  <c r="AB10" i="6"/>
  <c r="AB12" i="6" s="1"/>
  <c r="T11" i="6"/>
  <c r="T10" i="6"/>
  <c r="L11" i="6"/>
  <c r="L10" i="6"/>
  <c r="L12" i="6" s="1"/>
  <c r="D11" i="6"/>
  <c r="D10" i="6"/>
  <c r="D12" i="6" s="1"/>
  <c r="AE26" i="7"/>
  <c r="AE27" i="7" s="1"/>
  <c r="Z27" i="4"/>
  <c r="T26" i="4"/>
  <c r="U26" i="4"/>
  <c r="X26" i="4"/>
  <c r="Y26" i="4"/>
  <c r="W26" i="4"/>
  <c r="Z26" i="4"/>
  <c r="S26" i="4"/>
  <c r="S27" i="4" s="1"/>
  <c r="V26" i="4"/>
  <c r="V27" i="4" s="1"/>
  <c r="D25" i="4"/>
  <c r="D27" i="4" s="1"/>
  <c r="D30" i="4" s="1"/>
  <c r="L25" i="4"/>
  <c r="T25" i="4"/>
  <c r="AB25" i="4"/>
  <c r="AB27" i="4" s="1"/>
  <c r="AJ25" i="4"/>
  <c r="AJ27" i="4" s="1"/>
  <c r="E25" i="4"/>
  <c r="E27" i="4" s="1"/>
  <c r="M25" i="4"/>
  <c r="M27" i="4" s="1"/>
  <c r="U25" i="4"/>
  <c r="U27" i="4" s="1"/>
  <c r="AC25" i="4"/>
  <c r="AC27" i="4" s="1"/>
  <c r="AK25" i="4"/>
  <c r="AK27" i="4" s="1"/>
  <c r="H25" i="4"/>
  <c r="H27" i="4" s="1"/>
  <c r="P25" i="4"/>
  <c r="X25" i="4"/>
  <c r="X27" i="4" s="1"/>
  <c r="AF25" i="4"/>
  <c r="AF27" i="4" s="1"/>
  <c r="AN25" i="4"/>
  <c r="AN27" i="4" s="1"/>
  <c r="I25" i="4"/>
  <c r="I27" i="4" s="1"/>
  <c r="Q25" i="4"/>
  <c r="Y25" i="4"/>
  <c r="AG25" i="4"/>
  <c r="AG27" i="4" s="1"/>
  <c r="AO25" i="4"/>
  <c r="AO27" i="4" s="1"/>
  <c r="J33" i="4"/>
  <c r="C20" i="4"/>
  <c r="AD25" i="4"/>
  <c r="AD27" i="4" s="1"/>
  <c r="N25" i="4"/>
  <c r="N27" i="4" s="1"/>
  <c r="F54" i="3"/>
  <c r="G49" i="3"/>
  <c r="AC49" i="3"/>
  <c r="AB50" i="3"/>
  <c r="AB54" i="3"/>
  <c r="L26" i="4"/>
  <c r="M26" i="4"/>
  <c r="P26" i="4"/>
  <c r="Q26" i="4"/>
  <c r="AM25" i="4"/>
  <c r="AM27" i="4" s="1"/>
  <c r="W25" i="4"/>
  <c r="G25" i="4"/>
  <c r="G27" i="4" s="1"/>
  <c r="H12" i="3"/>
  <c r="H13" i="3" s="1"/>
  <c r="H18" i="3" s="1"/>
  <c r="P12" i="3"/>
  <c r="P13" i="3" s="1"/>
  <c r="P18" i="3" s="1"/>
  <c r="X12" i="3"/>
  <c r="X13" i="3" s="1"/>
  <c r="X18" i="3" s="1"/>
  <c r="X19" i="3" s="1"/>
  <c r="AF12" i="3"/>
  <c r="AF13" i="3" s="1"/>
  <c r="AF18" i="3" s="1"/>
  <c r="AF19" i="3" s="1"/>
  <c r="AN12" i="3"/>
  <c r="AV12" i="3"/>
  <c r="BD12" i="3"/>
  <c r="BL12" i="3"/>
  <c r="BT12" i="3"/>
  <c r="I12" i="3"/>
  <c r="I13" i="3" s="1"/>
  <c r="I18" i="3" s="1"/>
  <c r="I19" i="3" s="1"/>
  <c r="Q12" i="3"/>
  <c r="Q13" i="3" s="1"/>
  <c r="Q18" i="3" s="1"/>
  <c r="Q19" i="3" s="1"/>
  <c r="Y12" i="3"/>
  <c r="Y13" i="3" s="1"/>
  <c r="Y18" i="3" s="1"/>
  <c r="AG12" i="3"/>
  <c r="AO12" i="3"/>
  <c r="AW12" i="3"/>
  <c r="AW13" i="3" s="1"/>
  <c r="AW18" i="3" s="1"/>
  <c r="AW19" i="3" s="1"/>
  <c r="BE12" i="3"/>
  <c r="BE13" i="3" s="1"/>
  <c r="BE18" i="3" s="1"/>
  <c r="BE19" i="3" s="1"/>
  <c r="BM12" i="3"/>
  <c r="BM13" i="3" s="1"/>
  <c r="BM18" i="3" s="1"/>
  <c r="BM19" i="3" s="1"/>
  <c r="BU12" i="3"/>
  <c r="BU13" i="3" s="1"/>
  <c r="BU18" i="3" s="1"/>
  <c r="BU19" i="3" s="1"/>
  <c r="D12" i="3"/>
  <c r="D13" i="3" s="1"/>
  <c r="D18" i="3" s="1"/>
  <c r="D19" i="3" s="1"/>
  <c r="L12" i="3"/>
  <c r="L13" i="3" s="1"/>
  <c r="L18" i="3" s="1"/>
  <c r="L19" i="3" s="1"/>
  <c r="T12" i="3"/>
  <c r="T13" i="3" s="1"/>
  <c r="T18" i="3" s="1"/>
  <c r="T19" i="3" s="1"/>
  <c r="AB12" i="3"/>
  <c r="AJ12" i="3"/>
  <c r="AJ13" i="3" s="1"/>
  <c r="AJ18" i="3" s="1"/>
  <c r="AJ19" i="3" s="1"/>
  <c r="AR12" i="3"/>
  <c r="AZ12" i="3"/>
  <c r="BH12" i="3"/>
  <c r="BP12" i="3"/>
  <c r="BP13" i="3" s="1"/>
  <c r="BP18" i="3" s="1"/>
  <c r="BP19" i="3" s="1"/>
  <c r="E12" i="3"/>
  <c r="E13" i="3" s="1"/>
  <c r="E18" i="3" s="1"/>
  <c r="M12" i="3"/>
  <c r="M13" i="3" s="1"/>
  <c r="M18" i="3" s="1"/>
  <c r="U12" i="3"/>
  <c r="AC12" i="3"/>
  <c r="AK12" i="3"/>
  <c r="AS12" i="3"/>
  <c r="BA12" i="3"/>
  <c r="BA13" i="3" s="1"/>
  <c r="BA18" i="3" s="1"/>
  <c r="BI12" i="3"/>
  <c r="BI13" i="3" s="1"/>
  <c r="BI18" i="3" s="1"/>
  <c r="BQ12" i="3"/>
  <c r="BQ13" i="3" s="1"/>
  <c r="BQ18" i="3" s="1"/>
  <c r="F12" i="3"/>
  <c r="N12" i="3"/>
  <c r="N13" i="3" s="1"/>
  <c r="N18" i="3" s="1"/>
  <c r="N19" i="3" s="1"/>
  <c r="V12" i="3"/>
  <c r="V13" i="3" s="1"/>
  <c r="V18" i="3" s="1"/>
  <c r="AD12" i="3"/>
  <c r="AL12" i="3"/>
  <c r="AT12" i="3"/>
  <c r="BB12" i="3"/>
  <c r="BB13" i="3" s="1"/>
  <c r="BB18" i="3" s="1"/>
  <c r="BJ12" i="3"/>
  <c r="BJ13" i="3" s="1"/>
  <c r="BJ18" i="3" s="1"/>
  <c r="BJ19" i="3" s="1"/>
  <c r="BR12" i="3"/>
  <c r="O12" i="3"/>
  <c r="O13" i="3" s="1"/>
  <c r="O18" i="3" s="1"/>
  <c r="AI12" i="3"/>
  <c r="BF12" i="3"/>
  <c r="R12" i="3"/>
  <c r="AM12" i="3"/>
  <c r="AM13" i="3" s="1"/>
  <c r="AM18" i="3" s="1"/>
  <c r="AM19" i="3" s="1"/>
  <c r="BG12" i="3"/>
  <c r="S12" i="3"/>
  <c r="AP12" i="3"/>
  <c r="AP13" i="3" s="1"/>
  <c r="AP18" i="3" s="1"/>
  <c r="AP19" i="3" s="1"/>
  <c r="BK12" i="3"/>
  <c r="C12" i="3"/>
  <c r="Z12" i="3"/>
  <c r="AU12" i="3"/>
  <c r="AU13" i="3" s="1"/>
  <c r="AU18" i="3" s="1"/>
  <c r="AU19" i="3" s="1"/>
  <c r="BO12" i="3"/>
  <c r="G12" i="3"/>
  <c r="G13" i="3" s="1"/>
  <c r="G18" i="3" s="1"/>
  <c r="G19" i="3" s="1"/>
  <c r="AA12" i="3"/>
  <c r="AX12" i="3"/>
  <c r="AX13" i="3" s="1"/>
  <c r="AX18" i="3" s="1"/>
  <c r="AX19" i="3" s="1"/>
  <c r="BS12" i="3"/>
  <c r="BS13" i="3" s="1"/>
  <c r="BS18" i="3" s="1"/>
  <c r="BS19" i="3" s="1"/>
  <c r="J12" i="3"/>
  <c r="AE12" i="3"/>
  <c r="AY12" i="3"/>
  <c r="BV12" i="3"/>
  <c r="BV13" i="3" s="1"/>
  <c r="BV18" i="3" s="1"/>
  <c r="BV19" i="3" s="1"/>
  <c r="BN12" i="3"/>
  <c r="BN13" i="3" s="1"/>
  <c r="BN18" i="3" s="1"/>
  <c r="BN19" i="3" s="1"/>
  <c r="B12" i="3"/>
  <c r="B13" i="3" s="1"/>
  <c r="B18" i="3" s="1"/>
  <c r="B19" i="3" s="1"/>
  <c r="B33" i="3" s="1"/>
  <c r="K12" i="3"/>
  <c r="W12" i="3"/>
  <c r="AH12" i="3"/>
  <c r="AH13" i="3" s="1"/>
  <c r="AH18" i="3" s="1"/>
  <c r="AH19" i="3" s="1"/>
  <c r="AQ12" i="3"/>
  <c r="BC12" i="3"/>
  <c r="BC13" i="3" s="1"/>
  <c r="BC18" i="3" s="1"/>
  <c r="BC19" i="3" s="1"/>
  <c r="D45" i="3"/>
  <c r="E36" i="3"/>
  <c r="Y50" i="3"/>
  <c r="AH17" i="3"/>
  <c r="BK19" i="3"/>
  <c r="B25" i="3"/>
  <c r="B31" i="3" s="1"/>
  <c r="C23" i="3"/>
  <c r="BJ17" i="3"/>
  <c r="AQ19" i="3"/>
  <c r="AS16" i="3"/>
  <c r="AS19" i="3" s="1"/>
  <c r="AS17" i="3"/>
  <c r="Y17" i="3"/>
  <c r="Y16" i="3"/>
  <c r="M16" i="3"/>
  <c r="M17" i="3"/>
  <c r="W19" i="3"/>
  <c r="BR16" i="3"/>
  <c r="BR17" i="3"/>
  <c r="BB16" i="3"/>
  <c r="BB17" i="3"/>
  <c r="AT16" i="3"/>
  <c r="AT17" i="3"/>
  <c r="AL16" i="3"/>
  <c r="AL17" i="3"/>
  <c r="AN17" i="3"/>
  <c r="AB19" i="3"/>
  <c r="BD16" i="3"/>
  <c r="H17" i="3"/>
  <c r="H19" i="3" s="1"/>
  <c r="V17" i="3"/>
  <c r="AV16" i="3"/>
  <c r="BQ16" i="3"/>
  <c r="BQ17" i="3"/>
  <c r="AK16" i="3"/>
  <c r="AK17" i="3"/>
  <c r="E16" i="3"/>
  <c r="E17" i="3"/>
  <c r="P17" i="3"/>
  <c r="F17" i="3"/>
  <c r="F19" i="3" s="1"/>
  <c r="BA16" i="3"/>
  <c r="BA17" i="3"/>
  <c r="U16" i="3"/>
  <c r="U17" i="3"/>
  <c r="BF17" i="3"/>
  <c r="BF19" i="3" s="1"/>
  <c r="Z17" i="3"/>
  <c r="Z19" i="3" s="1"/>
  <c r="O17" i="3"/>
  <c r="O19" i="3" s="1"/>
  <c r="N17" i="3"/>
  <c r="BI16" i="3"/>
  <c r="BI17" i="3"/>
  <c r="AC16" i="3"/>
  <c r="AC17" i="3"/>
  <c r="E35" i="3" l="1"/>
  <c r="D33" i="4"/>
  <c r="B38" i="3"/>
  <c r="B44" i="3" s="1"/>
  <c r="B46" i="3" s="1"/>
  <c r="G29" i="7"/>
  <c r="M23" i="6"/>
  <c r="B27" i="6"/>
  <c r="B33" i="6" s="1"/>
  <c r="B35" i="6" s="1"/>
  <c r="N33" i="7"/>
  <c r="AC19" i="3"/>
  <c r="AD12" i="6"/>
  <c r="K29" i="1"/>
  <c r="U19" i="3"/>
  <c r="E30" i="4"/>
  <c r="E31" i="4"/>
  <c r="F28" i="4" s="1"/>
  <c r="AD29" i="1"/>
  <c r="BB29" i="1"/>
  <c r="AN29" i="1"/>
  <c r="AU29" i="1"/>
  <c r="BR29" i="1"/>
  <c r="S13" i="3"/>
  <c r="S18" i="3" s="1"/>
  <c r="S19" i="3" s="1"/>
  <c r="AY13" i="3"/>
  <c r="AY18" i="3" s="1"/>
  <c r="AY19" i="3" s="1"/>
  <c r="BU29" i="1"/>
  <c r="AR29" i="1"/>
  <c r="W27" i="4"/>
  <c r="Y27" i="4"/>
  <c r="L27" i="4"/>
  <c r="N23" i="1"/>
  <c r="N28" i="1" s="1"/>
  <c r="N29" i="1" s="1"/>
  <c r="BA29" i="1"/>
  <c r="AF29" i="1"/>
  <c r="AM29" i="1"/>
  <c r="AW29" i="1"/>
  <c r="AA23" i="1"/>
  <c r="AA28" i="1" s="1"/>
  <c r="AA29" i="1" s="1"/>
  <c r="BG23" i="1"/>
  <c r="BG28" i="1" s="1"/>
  <c r="D33" i="7"/>
  <c r="D23" i="6"/>
  <c r="BQ19" i="3"/>
  <c r="F29" i="1"/>
  <c r="BR19" i="3"/>
  <c r="K33" i="4"/>
  <c r="G38" i="6"/>
  <c r="F39" i="6"/>
  <c r="F44" i="6" s="1"/>
  <c r="AX23" i="1"/>
  <c r="AX28" i="1" s="1"/>
  <c r="R29" i="1"/>
  <c r="AX29" i="1"/>
  <c r="AO29" i="1"/>
  <c r="BI19" i="3"/>
  <c r="AV19" i="3"/>
  <c r="BD19" i="3"/>
  <c r="E33" i="7"/>
  <c r="G23" i="6"/>
  <c r="J29" i="1"/>
  <c r="BA19" i="3"/>
  <c r="E19" i="3"/>
  <c r="AT19" i="3"/>
  <c r="Y19" i="3"/>
  <c r="T27" i="4"/>
  <c r="D16" i="6"/>
  <c r="C19" i="6"/>
  <c r="C21" i="6" s="1"/>
  <c r="C27" i="6" s="1"/>
  <c r="C33" i="6" s="1"/>
  <c r="C35" i="6" s="1"/>
  <c r="AQ29" i="1"/>
  <c r="AK19" i="3"/>
  <c r="BB19" i="3"/>
  <c r="Q27" i="4"/>
  <c r="T12" i="6"/>
  <c r="AZ12" i="6"/>
  <c r="AZ29" i="1"/>
  <c r="BM29" i="1"/>
  <c r="X29" i="1"/>
  <c r="AE29" i="1"/>
  <c r="BG29" i="1"/>
  <c r="AU23" i="1"/>
  <c r="AU28" i="1" s="1"/>
  <c r="BD23" i="1"/>
  <c r="BD28" i="1" s="1"/>
  <c r="BD29" i="1" s="1"/>
  <c r="AA13" i="3"/>
  <c r="AA18" i="3" s="1"/>
  <c r="AA19" i="3" s="1"/>
  <c r="BG13" i="3"/>
  <c r="BG18" i="3" s="1"/>
  <c r="BG19" i="3" s="1"/>
  <c r="I29" i="1"/>
  <c r="E45" i="3"/>
  <c r="F36" i="3"/>
  <c r="AD49" i="3"/>
  <c r="AC50" i="3"/>
  <c r="AC54" i="3"/>
  <c r="S29" i="1"/>
  <c r="P19" i="3"/>
  <c r="H49" i="3"/>
  <c r="G54" i="3"/>
  <c r="G50" i="3"/>
  <c r="F33" i="7"/>
  <c r="J23" i="6"/>
  <c r="BV29" i="1"/>
  <c r="BS29" i="1"/>
  <c r="AL19" i="3"/>
  <c r="X23" i="1"/>
  <c r="X28" i="1" s="1"/>
  <c r="U29" i="1"/>
  <c r="B29" i="1"/>
  <c r="BL23" i="1"/>
  <c r="BL28" i="1" s="1"/>
  <c r="BL29" i="1" s="1"/>
  <c r="AL29" i="1"/>
  <c r="AP23" i="1"/>
  <c r="AP28" i="1" s="1"/>
  <c r="AP29" i="1" s="1"/>
  <c r="V19" i="3"/>
  <c r="M19" i="3"/>
  <c r="C25" i="3"/>
  <c r="C31" i="3" s="1"/>
  <c r="C33" i="3" s="1"/>
  <c r="D23" i="3"/>
  <c r="P27" i="4"/>
  <c r="AL12" i="6"/>
  <c r="V29" i="1"/>
  <c r="AG29" i="1"/>
  <c r="AH29" i="1"/>
  <c r="AV29" i="1"/>
  <c r="BC29" i="1"/>
  <c r="BH29" i="1"/>
  <c r="S23" i="1"/>
  <c r="S28" i="1" s="1"/>
  <c r="BI29" i="1"/>
  <c r="L29" i="1"/>
  <c r="C38" i="3" l="1"/>
  <c r="C44" i="3" s="1"/>
  <c r="C46" i="3" s="1"/>
  <c r="AD54" i="3"/>
  <c r="AE49" i="3"/>
  <c r="AD50" i="3"/>
  <c r="O33" i="7"/>
  <c r="D38" i="7"/>
  <c r="D39" i="7" s="1"/>
  <c r="B43" i="6"/>
  <c r="B45" i="6" s="1"/>
  <c r="B47" i="6"/>
  <c r="H50" i="3"/>
  <c r="I49" i="3"/>
  <c r="H54" i="3"/>
  <c r="B55" i="3"/>
  <c r="B56" i="3" s="1"/>
  <c r="B58" i="3" s="1"/>
  <c r="E23" i="3"/>
  <c r="D25" i="3"/>
  <c r="D31" i="3" s="1"/>
  <c r="D33" i="3" s="1"/>
  <c r="D38" i="3" s="1"/>
  <c r="D44" i="3" s="1"/>
  <c r="D46" i="3" s="1"/>
  <c r="L33" i="4"/>
  <c r="F30" i="4"/>
  <c r="F31" i="4"/>
  <c r="G28" i="4" s="1"/>
  <c r="H35" i="3"/>
  <c r="E33" i="4"/>
  <c r="G36" i="3"/>
  <c r="F45" i="3"/>
  <c r="E16" i="6"/>
  <c r="D19" i="6"/>
  <c r="D21" i="6" s="1"/>
  <c r="H38" i="6"/>
  <c r="G39" i="6"/>
  <c r="G44" i="6" s="1"/>
  <c r="G34" i="7"/>
  <c r="G36" i="7" s="1"/>
  <c r="M42" i="6"/>
  <c r="G31" i="7"/>
  <c r="H28" i="7" s="1"/>
  <c r="C41" i="3" l="1"/>
  <c r="B59" i="3"/>
  <c r="H39" i="6"/>
  <c r="H44" i="6" s="1"/>
  <c r="I38" i="6"/>
  <c r="G30" i="4"/>
  <c r="G31" i="4"/>
  <c r="H28" i="4" s="1"/>
  <c r="AE54" i="3"/>
  <c r="AE50" i="3"/>
  <c r="AF49" i="3"/>
  <c r="K35" i="3"/>
  <c r="F33" i="4"/>
  <c r="M33" i="4"/>
  <c r="I50" i="3"/>
  <c r="J49" i="3"/>
  <c r="I54" i="3"/>
  <c r="C30" i="6"/>
  <c r="B48" i="6"/>
  <c r="H30" i="7"/>
  <c r="G45" i="3"/>
  <c r="H36" i="3"/>
  <c r="E19" i="6"/>
  <c r="E21" i="6" s="1"/>
  <c r="F16" i="6"/>
  <c r="D27" i="6"/>
  <c r="D33" i="6" s="1"/>
  <c r="D35" i="6" s="1"/>
  <c r="F23" i="3"/>
  <c r="E25" i="3"/>
  <c r="E31" i="3" s="1"/>
  <c r="E33" i="3" s="1"/>
  <c r="P33" i="7"/>
  <c r="N35" i="3" l="1"/>
  <c r="G33" i="4"/>
  <c r="E38" i="3"/>
  <c r="E44" i="3" s="1"/>
  <c r="E46" i="3" s="1"/>
  <c r="N33" i="4"/>
  <c r="P23" i="6"/>
  <c r="H29" i="7"/>
  <c r="G16" i="6"/>
  <c r="F19" i="6"/>
  <c r="F21" i="6" s="1"/>
  <c r="E27" i="6"/>
  <c r="E33" i="6" s="1"/>
  <c r="E35" i="6" s="1"/>
  <c r="G23" i="3"/>
  <c r="F25" i="3"/>
  <c r="F31" i="3" s="1"/>
  <c r="F33" i="3" s="1"/>
  <c r="H30" i="4"/>
  <c r="C43" i="6"/>
  <c r="C45" i="6" s="1"/>
  <c r="C47" i="6" s="1"/>
  <c r="I39" i="6"/>
  <c r="I44" i="6" s="1"/>
  <c r="J38" i="6"/>
  <c r="D39" i="4"/>
  <c r="D40" i="4" s="1"/>
  <c r="L49" i="3"/>
  <c r="J54" i="3"/>
  <c r="J50" i="3"/>
  <c r="Q33" i="7"/>
  <c r="I36" i="3"/>
  <c r="H45" i="3"/>
  <c r="AG49" i="3"/>
  <c r="AF50" i="3"/>
  <c r="AF54" i="3"/>
  <c r="C55" i="3"/>
  <c r="C56" i="3" s="1"/>
  <c r="C58" i="3" s="1"/>
  <c r="D30" i="6" l="1"/>
  <c r="C48" i="6"/>
  <c r="D41" i="3"/>
  <c r="C59" i="3"/>
  <c r="H23" i="3"/>
  <c r="G25" i="3"/>
  <c r="G31" i="3" s="1"/>
  <c r="G33" i="3" s="1"/>
  <c r="G38" i="3" s="1"/>
  <c r="G44" i="3" s="1"/>
  <c r="G46" i="3" s="1"/>
  <c r="AH49" i="3"/>
  <c r="AG50" i="3"/>
  <c r="AG54" i="3"/>
  <c r="P42" i="6"/>
  <c r="H34" i="7"/>
  <c r="H36" i="7" s="1"/>
  <c r="H31" i="7"/>
  <c r="I28" i="7" s="1"/>
  <c r="J36" i="3"/>
  <c r="I45" i="3"/>
  <c r="O33" i="4"/>
  <c r="F38" i="3"/>
  <c r="F44" i="3" s="1"/>
  <c r="F46" i="3" s="1"/>
  <c r="H16" i="6"/>
  <c r="G19" i="6"/>
  <c r="G21" i="6" s="1"/>
  <c r="J39" i="6"/>
  <c r="J44" i="6" s="1"/>
  <c r="K38" i="6"/>
  <c r="R33" i="7"/>
  <c r="F27" i="6"/>
  <c r="F33" i="6" s="1"/>
  <c r="F35" i="6" s="1"/>
  <c r="L50" i="3"/>
  <c r="M49" i="3"/>
  <c r="L54" i="3"/>
  <c r="Q35" i="3"/>
  <c r="H29" i="4"/>
  <c r="I30" i="7" l="1"/>
  <c r="I23" i="3"/>
  <c r="H25" i="3"/>
  <c r="H31" i="3" s="1"/>
  <c r="H33" i="3" s="1"/>
  <c r="S33" i="7"/>
  <c r="D58" i="3"/>
  <c r="D55" i="3"/>
  <c r="D56" i="3" s="1"/>
  <c r="G27" i="6"/>
  <c r="G33" i="6" s="1"/>
  <c r="G35" i="6" s="1"/>
  <c r="E38" i="7"/>
  <c r="E39" i="7" s="1"/>
  <c r="I16" i="6"/>
  <c r="H19" i="6"/>
  <c r="H21" i="6" s="1"/>
  <c r="K36" i="3"/>
  <c r="J45" i="3"/>
  <c r="AH54" i="3"/>
  <c r="AH50" i="3"/>
  <c r="AI49" i="3"/>
  <c r="Q53" i="3"/>
  <c r="H34" i="4"/>
  <c r="H36" i="4" s="1"/>
  <c r="H37" i="4" s="1"/>
  <c r="H31" i="4"/>
  <c r="I28" i="4" s="1"/>
  <c r="L38" i="6"/>
  <c r="K39" i="6"/>
  <c r="K44" i="6" s="1"/>
  <c r="M50" i="3"/>
  <c r="M54" i="3"/>
  <c r="N49" i="3"/>
  <c r="P33" i="4"/>
  <c r="D43" i="6"/>
  <c r="D45" i="6" s="1"/>
  <c r="D47" i="6" s="1"/>
  <c r="E30" i="6" l="1"/>
  <c r="D48" i="6"/>
  <c r="T33" i="7"/>
  <c r="N54" i="3"/>
  <c r="O49" i="3"/>
  <c r="N50" i="3"/>
  <c r="E41" i="3"/>
  <c r="D59" i="3"/>
  <c r="L36" i="3"/>
  <c r="K45" i="3"/>
  <c r="H27" i="6"/>
  <c r="H33" i="6" s="1"/>
  <c r="H35" i="6" s="1"/>
  <c r="I19" i="6"/>
  <c r="I21" i="6" s="1"/>
  <c r="I27" i="6" s="1"/>
  <c r="I33" i="6" s="1"/>
  <c r="I35" i="6" s="1"/>
  <c r="J16" i="6"/>
  <c r="S23" i="6"/>
  <c r="I29" i="7"/>
  <c r="H38" i="3"/>
  <c r="H44" i="3" s="1"/>
  <c r="H46" i="3" s="1"/>
  <c r="E39" i="4"/>
  <c r="E40" i="4" s="1"/>
  <c r="J23" i="3"/>
  <c r="I25" i="3"/>
  <c r="I31" i="3" s="1"/>
  <c r="I33" i="3" s="1"/>
  <c r="M38" i="6"/>
  <c r="L39" i="6"/>
  <c r="L44" i="6" s="1"/>
  <c r="Q33" i="4"/>
  <c r="I30" i="4"/>
  <c r="AI50" i="3"/>
  <c r="AI54" i="3"/>
  <c r="AJ49" i="3"/>
  <c r="P49" i="3" l="1"/>
  <c r="O54" i="3"/>
  <c r="O50" i="3"/>
  <c r="T35" i="3"/>
  <c r="I29" i="4"/>
  <c r="R33" i="4"/>
  <c r="I38" i="3"/>
  <c r="I44" i="3" s="1"/>
  <c r="I46" i="3" s="1"/>
  <c r="K16" i="6"/>
  <c r="J19" i="6"/>
  <c r="J21" i="6" s="1"/>
  <c r="E55" i="3"/>
  <c r="E56" i="3" s="1"/>
  <c r="E58" i="3"/>
  <c r="U33" i="7"/>
  <c r="S42" i="6"/>
  <c r="I34" i="7"/>
  <c r="I36" i="7" s="1"/>
  <c r="I31" i="7"/>
  <c r="J28" i="7" s="1"/>
  <c r="L45" i="3"/>
  <c r="M36" i="3"/>
  <c r="AK49" i="3"/>
  <c r="AJ50" i="3"/>
  <c r="AJ54" i="3"/>
  <c r="M39" i="6"/>
  <c r="M44" i="6" s="1"/>
  <c r="N38" i="6"/>
  <c r="J25" i="3"/>
  <c r="J31" i="3" s="1"/>
  <c r="J33" i="3" s="1"/>
  <c r="J38" i="3" s="1"/>
  <c r="J44" i="3" s="1"/>
  <c r="J46" i="3" s="1"/>
  <c r="K23" i="3"/>
  <c r="E47" i="6"/>
  <c r="E43" i="6"/>
  <c r="E45" i="6" s="1"/>
  <c r="S33" i="4" l="1"/>
  <c r="N36" i="3"/>
  <c r="M45" i="3"/>
  <c r="J30" i="7"/>
  <c r="F41" i="3"/>
  <c r="E59" i="3"/>
  <c r="N39" i="6"/>
  <c r="N44" i="6" s="1"/>
  <c r="O38" i="6"/>
  <c r="K19" i="6"/>
  <c r="K21" i="6" s="1"/>
  <c r="L16" i="6"/>
  <c r="AL49" i="3"/>
  <c r="AK50" i="3"/>
  <c r="AK54" i="3"/>
  <c r="K25" i="3"/>
  <c r="K31" i="3" s="1"/>
  <c r="K33" i="3" s="1"/>
  <c r="K38" i="3" s="1"/>
  <c r="K44" i="3" s="1"/>
  <c r="K46" i="3" s="1"/>
  <c r="L23" i="3"/>
  <c r="J27" i="6"/>
  <c r="J33" i="6" s="1"/>
  <c r="J35" i="6" s="1"/>
  <c r="F38" i="7"/>
  <c r="F39" i="7" s="1"/>
  <c r="F39" i="4"/>
  <c r="F40" i="4" s="1"/>
  <c r="P50" i="3"/>
  <c r="Q49" i="3"/>
  <c r="P54" i="3"/>
  <c r="E48" i="6"/>
  <c r="F30" i="6"/>
  <c r="V33" i="7"/>
  <c r="T53" i="3"/>
  <c r="I34" i="4"/>
  <c r="I36" i="4" s="1"/>
  <c r="I37" i="4" s="1"/>
  <c r="I31" i="4"/>
  <c r="J28" i="4" s="1"/>
  <c r="F55" i="3" l="1"/>
  <c r="F56" i="3" s="1"/>
  <c r="F58" i="3" s="1"/>
  <c r="W33" i="7"/>
  <c r="AL54" i="3"/>
  <c r="AM49" i="3"/>
  <c r="AL50" i="3"/>
  <c r="O36" i="3"/>
  <c r="N45" i="3"/>
  <c r="J30" i="4"/>
  <c r="M23" i="3"/>
  <c r="L25" i="3"/>
  <c r="L31" i="3" s="1"/>
  <c r="L33" i="3" s="1"/>
  <c r="P38" i="6"/>
  <c r="O39" i="6"/>
  <c r="O44" i="6" s="1"/>
  <c r="T33" i="4"/>
  <c r="V23" i="6"/>
  <c r="J29" i="7"/>
  <c r="F47" i="6"/>
  <c r="F43" i="6"/>
  <c r="F45" i="6" s="1"/>
  <c r="M16" i="6"/>
  <c r="L19" i="6"/>
  <c r="L21" i="6" s="1"/>
  <c r="L27" i="6" s="1"/>
  <c r="L33" i="6" s="1"/>
  <c r="L35" i="6" s="1"/>
  <c r="K27" i="6"/>
  <c r="K33" i="6" s="1"/>
  <c r="K35" i="6" s="1"/>
  <c r="Q50" i="3"/>
  <c r="R49" i="3"/>
  <c r="Q54" i="3"/>
  <c r="F59" i="3" l="1"/>
  <c r="G41" i="3"/>
  <c r="N23" i="3"/>
  <c r="M25" i="3"/>
  <c r="M31" i="3" s="1"/>
  <c r="M33" i="3" s="1"/>
  <c r="M38" i="3" s="1"/>
  <c r="M44" i="3" s="1"/>
  <c r="M46" i="3" s="1"/>
  <c r="G30" i="6"/>
  <c r="F48" i="6"/>
  <c r="L38" i="3"/>
  <c r="L44" i="3" s="1"/>
  <c r="L46" i="3" s="1"/>
  <c r="V42" i="6"/>
  <c r="J34" i="7"/>
  <c r="J36" i="7" s="1"/>
  <c r="J31" i="7"/>
  <c r="K28" i="7" s="1"/>
  <c r="U33" i="4"/>
  <c r="R54" i="3"/>
  <c r="R50" i="3"/>
  <c r="S49" i="3"/>
  <c r="AM54" i="3"/>
  <c r="AM50" i="3"/>
  <c r="AN49" i="3"/>
  <c r="W35" i="3"/>
  <c r="J29" i="4"/>
  <c r="X33" i="7"/>
  <c r="N16" i="6"/>
  <c r="M19" i="6"/>
  <c r="M21" i="6" s="1"/>
  <c r="P36" i="3"/>
  <c r="O45" i="3"/>
  <c r="P39" i="6"/>
  <c r="P44" i="6" s="1"/>
  <c r="Q38" i="6"/>
  <c r="W53" i="3" l="1"/>
  <c r="J34" i="4"/>
  <c r="J36" i="4" s="1"/>
  <c r="J37" i="4" s="1"/>
  <c r="J31" i="4"/>
  <c r="K28" i="4" s="1"/>
  <c r="V33" i="4"/>
  <c r="G47" i="6"/>
  <c r="G43" i="6"/>
  <c r="G45" i="6" s="1"/>
  <c r="P45" i="3"/>
  <c r="Q36" i="3"/>
  <c r="AO49" i="3"/>
  <c r="AN50" i="3"/>
  <c r="AN54" i="3"/>
  <c r="M27" i="6"/>
  <c r="M33" i="6" s="1"/>
  <c r="M35" i="6" s="1"/>
  <c r="G38" i="7"/>
  <c r="G39" i="7" s="1"/>
  <c r="O16" i="6"/>
  <c r="N19" i="6"/>
  <c r="N21" i="6" s="1"/>
  <c r="T49" i="3"/>
  <c r="S54" i="3"/>
  <c r="S50" i="3"/>
  <c r="G55" i="3"/>
  <c r="G56" i="3" s="1"/>
  <c r="G58" i="3" s="1"/>
  <c r="Q39" i="6"/>
  <c r="Q44" i="6" s="1"/>
  <c r="R38" i="6"/>
  <c r="K30" i="7"/>
  <c r="O23" i="3"/>
  <c r="N25" i="3"/>
  <c r="N31" i="3" s="1"/>
  <c r="N33" i="3" s="1"/>
  <c r="N38" i="3" s="1"/>
  <c r="N44" i="3" s="1"/>
  <c r="N46" i="3" s="1"/>
  <c r="Y33" i="7"/>
  <c r="H41" i="3" l="1"/>
  <c r="G59" i="3"/>
  <c r="Y39" i="7"/>
  <c r="Z33" i="7"/>
  <c r="H30" i="6"/>
  <c r="G48" i="6"/>
  <c r="G39" i="4"/>
  <c r="G40" i="4" s="1"/>
  <c r="P16" i="6"/>
  <c r="O19" i="6"/>
  <c r="O21" i="6" s="1"/>
  <c r="O27" i="6" s="1"/>
  <c r="O33" i="6" s="1"/>
  <c r="O35" i="6" s="1"/>
  <c r="Y23" i="6"/>
  <c r="K29" i="7"/>
  <c r="AP49" i="3"/>
  <c r="AO50" i="3"/>
  <c r="AO54" i="3"/>
  <c r="K30" i="4"/>
  <c r="W33" i="4"/>
  <c r="T50" i="3"/>
  <c r="U49" i="3"/>
  <c r="T54" i="3"/>
  <c r="R36" i="3"/>
  <c r="Q45" i="3"/>
  <c r="P23" i="3"/>
  <c r="O25" i="3"/>
  <c r="O31" i="3" s="1"/>
  <c r="O33" i="3" s="1"/>
  <c r="S38" i="6"/>
  <c r="R39" i="6"/>
  <c r="R44" i="6" s="1"/>
  <c r="N27" i="6"/>
  <c r="N33" i="6" s="1"/>
  <c r="N35" i="6" s="1"/>
  <c r="Y42" i="6" l="1"/>
  <c r="K34" i="7"/>
  <c r="K36" i="7" s="1"/>
  <c r="K31" i="7"/>
  <c r="L28" i="7" s="1"/>
  <c r="Z35" i="3"/>
  <c r="K29" i="4"/>
  <c r="U50" i="3"/>
  <c r="V49" i="3"/>
  <c r="U54" i="3"/>
  <c r="AP54" i="3"/>
  <c r="AP50" i="3"/>
  <c r="AQ49" i="3"/>
  <c r="O38" i="3"/>
  <c r="O44" i="3" s="1"/>
  <c r="O46" i="3" s="1"/>
  <c r="Z39" i="7"/>
  <c r="AA33" i="7"/>
  <c r="T38" i="6"/>
  <c r="S39" i="6"/>
  <c r="S44" i="6" s="1"/>
  <c r="Q23" i="3"/>
  <c r="P25" i="3"/>
  <c r="P31" i="3" s="1"/>
  <c r="P33" i="3" s="1"/>
  <c r="P38" i="3" s="1"/>
  <c r="P44" i="3" s="1"/>
  <c r="P46" i="3" s="1"/>
  <c r="X33" i="4"/>
  <c r="H43" i="6"/>
  <c r="H45" i="6" s="1"/>
  <c r="H47" i="6" s="1"/>
  <c r="R45" i="3"/>
  <c r="S36" i="3"/>
  <c r="Q16" i="6"/>
  <c r="P19" i="6"/>
  <c r="P21" i="6" s="1"/>
  <c r="H55" i="3"/>
  <c r="H56" i="3" s="1"/>
  <c r="H58" i="3"/>
  <c r="I30" i="6" l="1"/>
  <c r="H48" i="6"/>
  <c r="Y33" i="4"/>
  <c r="AB33" i="7"/>
  <c r="AA39" i="7"/>
  <c r="I41" i="3"/>
  <c r="H59" i="3"/>
  <c r="T39" i="6"/>
  <c r="T44" i="6" s="1"/>
  <c r="U38" i="6"/>
  <c r="Z53" i="3"/>
  <c r="K34" i="4"/>
  <c r="K36" i="4" s="1"/>
  <c r="K37" i="4" s="1"/>
  <c r="K31" i="4"/>
  <c r="L28" i="4" s="1"/>
  <c r="T36" i="3"/>
  <c r="S45" i="3"/>
  <c r="R23" i="3"/>
  <c r="Q25" i="3"/>
  <c r="Q31" i="3" s="1"/>
  <c r="Q33" i="3" s="1"/>
  <c r="AQ50" i="3"/>
  <c r="AR49" i="3"/>
  <c r="AQ54" i="3"/>
  <c r="L30" i="7"/>
  <c r="P27" i="6"/>
  <c r="P33" i="6" s="1"/>
  <c r="P35" i="6" s="1"/>
  <c r="H38" i="7"/>
  <c r="H39" i="7" s="1"/>
  <c r="V54" i="3"/>
  <c r="W49" i="3"/>
  <c r="V50" i="3"/>
  <c r="R16" i="6"/>
  <c r="Q19" i="6"/>
  <c r="Q21" i="6" s="1"/>
  <c r="AB23" i="6" l="1"/>
  <c r="L29" i="7"/>
  <c r="U36" i="3"/>
  <c r="T45" i="3"/>
  <c r="I55" i="3"/>
  <c r="I56" i="3" s="1"/>
  <c r="I58" i="3" s="1"/>
  <c r="AC33" i="7"/>
  <c r="AB39" i="7"/>
  <c r="Q27" i="6"/>
  <c r="Q33" i="6" s="1"/>
  <c r="Q35" i="6" s="1"/>
  <c r="L30" i="4"/>
  <c r="S16" i="6"/>
  <c r="R19" i="6"/>
  <c r="R21" i="6" s="1"/>
  <c r="R27" i="6" s="1"/>
  <c r="R33" i="6" s="1"/>
  <c r="R35" i="6" s="1"/>
  <c r="Q38" i="3"/>
  <c r="Q44" i="3" s="1"/>
  <c r="Q46" i="3" s="1"/>
  <c r="H39" i="4"/>
  <c r="H40" i="4" s="1"/>
  <c r="V38" i="6"/>
  <c r="U39" i="6"/>
  <c r="U44" i="6" s="1"/>
  <c r="Z33" i="4"/>
  <c r="R25" i="3"/>
  <c r="R31" i="3" s="1"/>
  <c r="R33" i="3" s="1"/>
  <c r="S23" i="3"/>
  <c r="AS49" i="3"/>
  <c r="AR50" i="3"/>
  <c r="AR54" i="3"/>
  <c r="W54" i="3"/>
  <c r="W50" i="3"/>
  <c r="I43" i="6"/>
  <c r="I45" i="6" s="1"/>
  <c r="I47" i="6" s="1"/>
  <c r="J30" i="6" l="1"/>
  <c r="I48" i="6"/>
  <c r="J41" i="3"/>
  <c r="I59" i="3"/>
  <c r="AA33" i="4"/>
  <c r="R38" i="3"/>
  <c r="R44" i="3" s="1"/>
  <c r="R46" i="3" s="1"/>
  <c r="AD33" i="7"/>
  <c r="AC39" i="7"/>
  <c r="S19" i="6"/>
  <c r="S21" i="6" s="1"/>
  <c r="T16" i="6"/>
  <c r="AC35" i="3"/>
  <c r="L29" i="4"/>
  <c r="W38" i="6"/>
  <c r="V39" i="6"/>
  <c r="V44" i="6" s="1"/>
  <c r="U45" i="3"/>
  <c r="V36" i="3"/>
  <c r="AT49" i="3"/>
  <c r="AS50" i="3"/>
  <c r="AS54" i="3"/>
  <c r="AB42" i="6"/>
  <c r="L34" i="7"/>
  <c r="L36" i="7" s="1"/>
  <c r="L31" i="7"/>
  <c r="M28" i="7" s="1"/>
  <c r="S25" i="3"/>
  <c r="S31" i="3" s="1"/>
  <c r="S33" i="3" s="1"/>
  <c r="S38" i="3" s="1"/>
  <c r="S44" i="3" s="1"/>
  <c r="S46" i="3" s="1"/>
  <c r="T23" i="3"/>
  <c r="U16" i="6" l="1"/>
  <c r="T19" i="6"/>
  <c r="T21" i="6" s="1"/>
  <c r="W36" i="3"/>
  <c r="V45" i="3"/>
  <c r="S27" i="6"/>
  <c r="S33" i="6" s="1"/>
  <c r="S35" i="6" s="1"/>
  <c r="I38" i="7"/>
  <c r="I39" i="7" s="1"/>
  <c r="U23" i="3"/>
  <c r="T25" i="3"/>
  <c r="T31" i="3" s="1"/>
  <c r="T33" i="3" s="1"/>
  <c r="AB33" i="4"/>
  <c r="M30" i="7"/>
  <c r="AE33" i="7"/>
  <c r="AD39" i="7"/>
  <c r="J55" i="3"/>
  <c r="J56" i="3" s="1"/>
  <c r="J58" i="3" s="1"/>
  <c r="X38" i="6"/>
  <c r="W39" i="6"/>
  <c r="W44" i="6" s="1"/>
  <c r="AT54" i="3"/>
  <c r="AU49" i="3"/>
  <c r="AT50" i="3"/>
  <c r="AC53" i="3"/>
  <c r="L34" i="4"/>
  <c r="L36" i="4" s="1"/>
  <c r="L37" i="4" s="1"/>
  <c r="L31" i="4"/>
  <c r="M28" i="4" s="1"/>
  <c r="J43" i="6"/>
  <c r="J45" i="6" s="1"/>
  <c r="J47" i="6" s="1"/>
  <c r="K30" i="6" l="1"/>
  <c r="J48" i="6"/>
  <c r="J59" i="3"/>
  <c r="K41" i="3"/>
  <c r="T38" i="3"/>
  <c r="T44" i="3" s="1"/>
  <c r="T46" i="3" s="1"/>
  <c r="I39" i="4"/>
  <c r="I40" i="4" s="1"/>
  <c r="V23" i="3"/>
  <c r="U25" i="3"/>
  <c r="U31" i="3" s="1"/>
  <c r="U33" i="3" s="1"/>
  <c r="AU54" i="3"/>
  <c r="AU50" i="3"/>
  <c r="AV49" i="3"/>
  <c r="AF33" i="7"/>
  <c r="AE39" i="7"/>
  <c r="AE23" i="6"/>
  <c r="M29" i="7"/>
  <c r="X36" i="3"/>
  <c r="W45" i="3"/>
  <c r="Y38" i="6"/>
  <c r="X39" i="6"/>
  <c r="X44" i="6" s="1"/>
  <c r="AC33" i="4"/>
  <c r="AB40" i="4"/>
  <c r="T27" i="6"/>
  <c r="T33" i="6" s="1"/>
  <c r="T35" i="6" s="1"/>
  <c r="M30" i="4"/>
  <c r="V16" i="6"/>
  <c r="U19" i="6"/>
  <c r="U21" i="6" s="1"/>
  <c r="U27" i="6" s="1"/>
  <c r="U33" i="6" s="1"/>
  <c r="U35" i="6" s="1"/>
  <c r="Y39" i="6" l="1"/>
  <c r="Y44" i="6" s="1"/>
  <c r="Z38" i="6"/>
  <c r="AG33" i="7"/>
  <c r="AF39" i="7"/>
  <c r="AF35" i="3"/>
  <c r="M29" i="4"/>
  <c r="K58" i="3"/>
  <c r="K55" i="3"/>
  <c r="K56" i="3" s="1"/>
  <c r="X45" i="3"/>
  <c r="Y36" i="3"/>
  <c r="AD33" i="4"/>
  <c r="AC40" i="4"/>
  <c r="U38" i="3"/>
  <c r="U44" i="3" s="1"/>
  <c r="U46" i="3" s="1"/>
  <c r="W16" i="6"/>
  <c r="V19" i="6"/>
  <c r="V21" i="6" s="1"/>
  <c r="W23" i="3"/>
  <c r="V25" i="3"/>
  <c r="V31" i="3" s="1"/>
  <c r="V33" i="3" s="1"/>
  <c r="V38" i="3" s="1"/>
  <c r="V44" i="3" s="1"/>
  <c r="V46" i="3" s="1"/>
  <c r="AW49" i="3"/>
  <c r="AV50" i="3"/>
  <c r="AV54" i="3"/>
  <c r="AE42" i="6"/>
  <c r="M34" i="7"/>
  <c r="M36" i="7" s="1"/>
  <c r="M31" i="7"/>
  <c r="N28" i="7" s="1"/>
  <c r="K43" i="6"/>
  <c r="K45" i="6" s="1"/>
  <c r="K47" i="6" s="1"/>
  <c r="L30" i="6" l="1"/>
  <c r="K48" i="6"/>
  <c r="AE33" i="4"/>
  <c r="AD40" i="4"/>
  <c r="N30" i="7"/>
  <c r="K59" i="3"/>
  <c r="L41" i="3"/>
  <c r="AX49" i="3"/>
  <c r="AW50" i="3"/>
  <c r="AW54" i="3"/>
  <c r="AF53" i="3"/>
  <c r="M34" i="4"/>
  <c r="M36" i="4" s="1"/>
  <c r="M37" i="4" s="1"/>
  <c r="M31" i="4"/>
  <c r="N28" i="4" s="1"/>
  <c r="X23" i="3"/>
  <c r="W25" i="3"/>
  <c r="W31" i="3" s="1"/>
  <c r="W33" i="3" s="1"/>
  <c r="W38" i="3" s="1"/>
  <c r="W44" i="3" s="1"/>
  <c r="W46" i="3" s="1"/>
  <c r="W19" i="6"/>
  <c r="W21" i="6" s="1"/>
  <c r="X16" i="6"/>
  <c r="Z39" i="6"/>
  <c r="Z44" i="6" s="1"/>
  <c r="AA38" i="6"/>
  <c r="V27" i="6"/>
  <c r="V33" i="6" s="1"/>
  <c r="V35" i="6" s="1"/>
  <c r="J38" i="7"/>
  <c r="J39" i="7" s="1"/>
  <c r="Z36" i="3"/>
  <c r="Y45" i="3"/>
  <c r="AG39" i="7"/>
  <c r="AH33" i="7"/>
  <c r="J39" i="4"/>
  <c r="J40" i="4" s="1"/>
  <c r="Y23" i="3" l="1"/>
  <c r="X25" i="3"/>
  <c r="X31" i="3" s="1"/>
  <c r="X33" i="3" s="1"/>
  <c r="N30" i="4"/>
  <c r="AH23" i="6"/>
  <c r="N29" i="7"/>
  <c r="W27" i="6"/>
  <c r="W33" i="6" s="1"/>
  <c r="W35" i="6" s="1"/>
  <c r="AX54" i="3"/>
  <c r="AX50" i="3"/>
  <c r="AY49" i="3"/>
  <c r="AB38" i="6"/>
  <c r="AA39" i="6"/>
  <c r="AA44" i="6" s="1"/>
  <c r="AH39" i="7"/>
  <c r="AI33" i="7"/>
  <c r="Y16" i="6"/>
  <c r="X19" i="6"/>
  <c r="X21" i="6" s="1"/>
  <c r="X27" i="6" s="1"/>
  <c r="X33" i="6" s="1"/>
  <c r="X35" i="6" s="1"/>
  <c r="AF33" i="4"/>
  <c r="AE40" i="4"/>
  <c r="AA36" i="3"/>
  <c r="Z45" i="3"/>
  <c r="L55" i="3"/>
  <c r="L56" i="3" s="1"/>
  <c r="L58" i="3" s="1"/>
  <c r="L43" i="6"/>
  <c r="L45" i="6" s="1"/>
  <c r="L47" i="6" s="1"/>
  <c r="L48" i="6" l="1"/>
  <c r="M30" i="6"/>
  <c r="M41" i="3"/>
  <c r="L59" i="3"/>
  <c r="AG33" i="4"/>
  <c r="AF40" i="4"/>
  <c r="AB39" i="6"/>
  <c r="AB44" i="6" s="1"/>
  <c r="AC38" i="6"/>
  <c r="AH42" i="6"/>
  <c r="N34" i="7"/>
  <c r="N36" i="7" s="1"/>
  <c r="N31" i="7"/>
  <c r="O28" i="7" s="1"/>
  <c r="Y19" i="6"/>
  <c r="Y21" i="6" s="1"/>
  <c r="Y27" i="6" s="1"/>
  <c r="Y33" i="6" s="1"/>
  <c r="Y35" i="6" s="1"/>
  <c r="Z16" i="6"/>
  <c r="X38" i="3"/>
  <c r="X44" i="3" s="1"/>
  <c r="X46" i="3" s="1"/>
  <c r="AY54" i="3"/>
  <c r="AZ49" i="3"/>
  <c r="AY50" i="3"/>
  <c r="AI35" i="3"/>
  <c r="N29" i="4"/>
  <c r="AJ33" i="7"/>
  <c r="AI39" i="7"/>
  <c r="AA45" i="3"/>
  <c r="AB36" i="3"/>
  <c r="Z23" i="3"/>
  <c r="Y25" i="3"/>
  <c r="Y31" i="3" s="1"/>
  <c r="Y33" i="3" s="1"/>
  <c r="Y38" i="3" s="1"/>
  <c r="Y44" i="3" s="1"/>
  <c r="Y46" i="3" s="1"/>
  <c r="AA16" i="6" l="1"/>
  <c r="Z19" i="6"/>
  <c r="Z21" i="6" s="1"/>
  <c r="AH33" i="4"/>
  <c r="AG40" i="4"/>
  <c r="AB45" i="3"/>
  <c r="AC36" i="3"/>
  <c r="BA49" i="3"/>
  <c r="AZ50" i="3"/>
  <c r="AZ54" i="3"/>
  <c r="AI53" i="3"/>
  <c r="N34" i="4"/>
  <c r="N36" i="4" s="1"/>
  <c r="N37" i="4" s="1"/>
  <c r="N31" i="4"/>
  <c r="O28" i="4" s="1"/>
  <c r="AA23" i="3"/>
  <c r="Z25" i="3"/>
  <c r="Z31" i="3" s="1"/>
  <c r="Z33" i="3" s="1"/>
  <c r="Z38" i="3" s="1"/>
  <c r="Z44" i="3" s="1"/>
  <c r="Z46" i="3" s="1"/>
  <c r="O30" i="7"/>
  <c r="AK33" i="7"/>
  <c r="AJ39" i="7"/>
  <c r="M47" i="6"/>
  <c r="M43" i="6"/>
  <c r="M45" i="6" s="1"/>
  <c r="K39" i="4"/>
  <c r="K40" i="4" s="1"/>
  <c r="M55" i="3"/>
  <c r="M56" i="3" s="1"/>
  <c r="M58" i="3"/>
  <c r="K38" i="7"/>
  <c r="K39" i="7" s="1"/>
  <c r="AD38" i="6"/>
  <c r="AC39" i="6"/>
  <c r="AC44" i="6" s="1"/>
  <c r="AK23" i="6" l="1"/>
  <c r="O29" i="7"/>
  <c r="M48" i="6"/>
  <c r="N30" i="6"/>
  <c r="AD36" i="3"/>
  <c r="AC45" i="3"/>
  <c r="AB23" i="3"/>
  <c r="AA25" i="3"/>
  <c r="AA31" i="3" s="1"/>
  <c r="AA33" i="3" s="1"/>
  <c r="AD39" i="6"/>
  <c r="AD44" i="6" s="1"/>
  <c r="AE38" i="6"/>
  <c r="O30" i="4"/>
  <c r="AI33" i="4"/>
  <c r="AH40" i="4"/>
  <c r="N41" i="3"/>
  <c r="M59" i="3"/>
  <c r="AL33" i="7"/>
  <c r="AK39" i="7"/>
  <c r="Z27" i="6"/>
  <c r="Z33" i="6" s="1"/>
  <c r="Z35" i="6" s="1"/>
  <c r="BB49" i="3"/>
  <c r="BA50" i="3"/>
  <c r="BA54" i="3"/>
  <c r="AA19" i="6"/>
  <c r="AA21" i="6" s="1"/>
  <c r="AA27" i="6" s="1"/>
  <c r="AA33" i="6" s="1"/>
  <c r="AA35" i="6" s="1"/>
  <c r="AB16" i="6"/>
  <c r="N43" i="6" l="1"/>
  <c r="N45" i="6" s="1"/>
  <c r="N47" i="6" s="1"/>
  <c r="AJ33" i="4"/>
  <c r="AI40" i="4"/>
  <c r="AE36" i="3"/>
  <c r="AD45" i="3"/>
  <c r="AF38" i="6"/>
  <c r="AE39" i="6"/>
  <c r="AE44" i="6" s="1"/>
  <c r="AK42" i="6"/>
  <c r="O34" i="7"/>
  <c r="O36" i="7" s="1"/>
  <c r="O31" i="7"/>
  <c r="P28" i="7" s="1"/>
  <c r="N55" i="3"/>
  <c r="N56" i="3" s="1"/>
  <c r="N58" i="3" s="1"/>
  <c r="AC16" i="6"/>
  <c r="AB19" i="6"/>
  <c r="AB21" i="6" s="1"/>
  <c r="AB27" i="6" s="1"/>
  <c r="AB33" i="6" s="1"/>
  <c r="AB35" i="6" s="1"/>
  <c r="AM33" i="7"/>
  <c r="AL39" i="7"/>
  <c r="AL35" i="3"/>
  <c r="O29" i="4"/>
  <c r="AA38" i="3"/>
  <c r="AA44" i="3" s="1"/>
  <c r="AA46" i="3" s="1"/>
  <c r="BB54" i="3"/>
  <c r="BC49" i="3"/>
  <c r="BB50" i="3"/>
  <c r="AC23" i="3"/>
  <c r="AB25" i="3"/>
  <c r="AB31" i="3" s="1"/>
  <c r="AB33" i="3" s="1"/>
  <c r="AB38" i="3" s="1"/>
  <c r="AB44" i="3" s="1"/>
  <c r="AB46" i="3" s="1"/>
  <c r="O41" i="3" l="1"/>
  <c r="N59" i="3"/>
  <c r="O30" i="6"/>
  <c r="N48" i="6"/>
  <c r="AL53" i="3"/>
  <c r="O34" i="4"/>
  <c r="O36" i="4" s="1"/>
  <c r="O37" i="4" s="1"/>
  <c r="O31" i="4"/>
  <c r="P28" i="4" s="1"/>
  <c r="AF36" i="3"/>
  <c r="AE45" i="3"/>
  <c r="P30" i="7"/>
  <c r="L38" i="7"/>
  <c r="L39" i="7" s="1"/>
  <c r="AK33" i="4"/>
  <c r="AJ40" i="4"/>
  <c r="AC25" i="3"/>
  <c r="AC31" i="3" s="1"/>
  <c r="AC33" i="3" s="1"/>
  <c r="AC38" i="3" s="1"/>
  <c r="AC44" i="3" s="1"/>
  <c r="AC46" i="3" s="1"/>
  <c r="AD23" i="3"/>
  <c r="BC54" i="3"/>
  <c r="BC50" i="3"/>
  <c r="BD49" i="3"/>
  <c r="AN33" i="7"/>
  <c r="AM39" i="7"/>
  <c r="AG38" i="6"/>
  <c r="AF39" i="6"/>
  <c r="AF44" i="6" s="1"/>
  <c r="AD16" i="6"/>
  <c r="AC19" i="6"/>
  <c r="AC21" i="6" s="1"/>
  <c r="AO33" i="7" l="1"/>
  <c r="AN39" i="7"/>
  <c r="AF45" i="3"/>
  <c r="AG36" i="3"/>
  <c r="AC27" i="6"/>
  <c r="AC33" i="6" s="1"/>
  <c r="AC35" i="6" s="1"/>
  <c r="BE49" i="3"/>
  <c r="BD50" i="3"/>
  <c r="BD54" i="3"/>
  <c r="P30" i="4"/>
  <c r="AE16" i="6"/>
  <c r="AD19" i="6"/>
  <c r="AD21" i="6" s="1"/>
  <c r="AD27" i="6" s="1"/>
  <c r="AD33" i="6" s="1"/>
  <c r="AD35" i="6" s="1"/>
  <c r="AL33" i="4"/>
  <c r="AK40" i="4"/>
  <c r="AG39" i="6"/>
  <c r="AG44" i="6" s="1"/>
  <c r="AH38" i="6"/>
  <c r="AD25" i="3"/>
  <c r="AD31" i="3" s="1"/>
  <c r="AD33" i="3" s="1"/>
  <c r="AE23" i="3"/>
  <c r="O47" i="6"/>
  <c r="O43" i="6"/>
  <c r="O45" i="6" s="1"/>
  <c r="AN23" i="6"/>
  <c r="P29" i="7"/>
  <c r="L39" i="4"/>
  <c r="L40" i="4" s="1"/>
  <c r="O55" i="3"/>
  <c r="O56" i="3" s="1"/>
  <c r="O58" i="3" s="1"/>
  <c r="P41" i="3" l="1"/>
  <c r="O59" i="3"/>
  <c r="AF23" i="3"/>
  <c r="AE25" i="3"/>
  <c r="AE31" i="3" s="1"/>
  <c r="AE33" i="3" s="1"/>
  <c r="AE38" i="3" s="1"/>
  <c r="AE44" i="3" s="1"/>
  <c r="AE46" i="3" s="1"/>
  <c r="AM33" i="4"/>
  <c r="AL40" i="4"/>
  <c r="BF49" i="3"/>
  <c r="BE50" i="3"/>
  <c r="BE54" i="3"/>
  <c r="O48" i="6"/>
  <c r="P30" i="6"/>
  <c r="AD38" i="3"/>
  <c r="AD44" i="3" s="1"/>
  <c r="AD46" i="3" s="1"/>
  <c r="AE19" i="6"/>
  <c r="AE21" i="6" s="1"/>
  <c r="AF16" i="6"/>
  <c r="AH36" i="3"/>
  <c r="AG45" i="3"/>
  <c r="AI38" i="6"/>
  <c r="AH39" i="6"/>
  <c r="AH44" i="6" s="1"/>
  <c r="AN42" i="6"/>
  <c r="P34" i="7"/>
  <c r="P36" i="7" s="1"/>
  <c r="P31" i="7"/>
  <c r="Q28" i="7" s="1"/>
  <c r="AO35" i="3"/>
  <c r="P29" i="4"/>
  <c r="AO39" i="7"/>
  <c r="AP33" i="7"/>
  <c r="AJ38" i="6" l="1"/>
  <c r="AI39" i="6"/>
  <c r="AI44" i="6" s="1"/>
  <c r="BF54" i="3"/>
  <c r="BF50" i="3"/>
  <c r="BG49" i="3"/>
  <c r="AP39" i="7"/>
  <c r="AH45" i="3"/>
  <c r="AI36" i="3"/>
  <c r="AG16" i="6"/>
  <c r="AF19" i="6"/>
  <c r="AF21" i="6" s="1"/>
  <c r="AN33" i="4"/>
  <c r="AM40" i="4"/>
  <c r="P43" i="6"/>
  <c r="P45" i="6" s="1"/>
  <c r="P47" i="6" s="1"/>
  <c r="AO53" i="3"/>
  <c r="P34" i="4"/>
  <c r="P36" i="4" s="1"/>
  <c r="P37" i="4" s="1"/>
  <c r="P31" i="4"/>
  <c r="Q28" i="4" s="1"/>
  <c r="AG23" i="3"/>
  <c r="AF25" i="3"/>
  <c r="AF31" i="3" s="1"/>
  <c r="AF33" i="3" s="1"/>
  <c r="Q30" i="7"/>
  <c r="AE27" i="6"/>
  <c r="AE33" i="6" s="1"/>
  <c r="AE35" i="6" s="1"/>
  <c r="M38" i="7"/>
  <c r="M39" i="7" s="1"/>
  <c r="P55" i="3"/>
  <c r="P56" i="3" s="1"/>
  <c r="P58" i="3" s="1"/>
  <c r="Q41" i="3" l="1"/>
  <c r="P59" i="3"/>
  <c r="Q30" i="6"/>
  <c r="P48" i="6"/>
  <c r="AH23" i="3"/>
  <c r="AG25" i="3"/>
  <c r="AG31" i="3" s="1"/>
  <c r="AG33" i="3" s="1"/>
  <c r="Q30" i="4"/>
  <c r="BG54" i="3"/>
  <c r="BG50" i="3"/>
  <c r="BH49" i="3"/>
  <c r="AQ23" i="6"/>
  <c r="Q29" i="7"/>
  <c r="AF38" i="3"/>
  <c r="AF44" i="3" s="1"/>
  <c r="AF46" i="3" s="1"/>
  <c r="M39" i="4"/>
  <c r="M40" i="4" s="1"/>
  <c r="AO33" i="4"/>
  <c r="AN40" i="4"/>
  <c r="AF27" i="6"/>
  <c r="AF33" i="6" s="1"/>
  <c r="AF35" i="6" s="1"/>
  <c r="AH16" i="6"/>
  <c r="AG19" i="6"/>
  <c r="AG21" i="6" s="1"/>
  <c r="AG27" i="6" s="1"/>
  <c r="AG33" i="6" s="1"/>
  <c r="AG35" i="6" s="1"/>
  <c r="AJ36" i="3"/>
  <c r="AI45" i="3"/>
  <c r="AJ39" i="6"/>
  <c r="AJ44" i="6" s="1"/>
  <c r="AK38" i="6"/>
  <c r="AR35" i="3" l="1"/>
  <c r="Q29" i="4"/>
  <c r="AL38" i="6"/>
  <c r="AK39" i="6"/>
  <c r="AK44" i="6" s="1"/>
  <c r="AQ42" i="6"/>
  <c r="Q34" i="7"/>
  <c r="Q36" i="7" s="1"/>
  <c r="Q31" i="7"/>
  <c r="R28" i="7" s="1"/>
  <c r="AI16" i="6"/>
  <c r="AH19" i="6"/>
  <c r="AH21" i="6" s="1"/>
  <c r="AH27" i="6" s="1"/>
  <c r="AH33" i="6" s="1"/>
  <c r="AH35" i="6" s="1"/>
  <c r="AG38" i="3"/>
  <c r="AG44" i="3" s="1"/>
  <c r="AG46" i="3" s="1"/>
  <c r="AI23" i="3"/>
  <c r="AH25" i="3"/>
  <c r="AH31" i="3" s="1"/>
  <c r="AH33" i="3" s="1"/>
  <c r="AH38" i="3" s="1"/>
  <c r="AH44" i="3" s="1"/>
  <c r="AH46" i="3" s="1"/>
  <c r="N38" i="7"/>
  <c r="N39" i="7" s="1"/>
  <c r="BI49" i="3"/>
  <c r="BH50" i="3"/>
  <c r="BH54" i="3"/>
  <c r="Q43" i="6"/>
  <c r="Q45" i="6" s="1"/>
  <c r="Q47" i="6" s="1"/>
  <c r="AJ45" i="3"/>
  <c r="AK36" i="3"/>
  <c r="AP33" i="4"/>
  <c r="AO40" i="4"/>
  <c r="Q55" i="3"/>
  <c r="Q56" i="3" s="1"/>
  <c r="Q58" i="3"/>
  <c r="R30" i="6" l="1"/>
  <c r="Q48" i="6"/>
  <c r="R30" i="7"/>
  <c r="AK45" i="3"/>
  <c r="AL36" i="3"/>
  <c r="AJ23" i="3"/>
  <c r="AI25" i="3"/>
  <c r="AI31" i="3" s="1"/>
  <c r="AI33" i="3" s="1"/>
  <c r="AM38" i="6"/>
  <c r="AL39" i="6"/>
  <c r="AL44" i="6" s="1"/>
  <c r="R41" i="3"/>
  <c r="Q59" i="3"/>
  <c r="AR53" i="3"/>
  <c r="Q34" i="4"/>
  <c r="Q36" i="4" s="1"/>
  <c r="Q37" i="4" s="1"/>
  <c r="Q31" i="4"/>
  <c r="R28" i="4" s="1"/>
  <c r="AJ16" i="6"/>
  <c r="AI19" i="6"/>
  <c r="AI21" i="6" s="1"/>
  <c r="AP40" i="4"/>
  <c r="BJ49" i="3"/>
  <c r="BI50" i="3"/>
  <c r="BI54" i="3"/>
  <c r="AI38" i="3" l="1"/>
  <c r="AI44" i="3" s="1"/>
  <c r="AI46" i="3" s="1"/>
  <c r="N39" i="4"/>
  <c r="N40" i="4" s="1"/>
  <c r="BJ54" i="3"/>
  <c r="BK49" i="3"/>
  <c r="BJ50" i="3"/>
  <c r="AK23" i="3"/>
  <c r="AJ25" i="3"/>
  <c r="AJ31" i="3" s="1"/>
  <c r="AJ33" i="3" s="1"/>
  <c r="AM36" i="3"/>
  <c r="AL45" i="3"/>
  <c r="R55" i="3"/>
  <c r="R56" i="3" s="1"/>
  <c r="R58" i="3"/>
  <c r="R30" i="4"/>
  <c r="AI27" i="6"/>
  <c r="AI33" i="6" s="1"/>
  <c r="AI35" i="6" s="1"/>
  <c r="AT23" i="6"/>
  <c r="R29" i="7"/>
  <c r="AK16" i="6"/>
  <c r="AJ19" i="6"/>
  <c r="AJ21" i="6" s="1"/>
  <c r="AJ27" i="6" s="1"/>
  <c r="AJ33" i="6" s="1"/>
  <c r="AJ35" i="6" s="1"/>
  <c r="AN38" i="6"/>
  <c r="AM39" i="6"/>
  <c r="AM44" i="6" s="1"/>
  <c r="R47" i="6"/>
  <c r="R43" i="6"/>
  <c r="R45" i="6" s="1"/>
  <c r="S30" i="6" l="1"/>
  <c r="R48" i="6"/>
  <c r="AJ38" i="3"/>
  <c r="AJ44" i="3" s="1"/>
  <c r="AJ46" i="3" s="1"/>
  <c r="AL23" i="3"/>
  <c r="AK25" i="3"/>
  <c r="AK31" i="3" s="1"/>
  <c r="AK33" i="3" s="1"/>
  <c r="AK38" i="3" s="1"/>
  <c r="AK44" i="3" s="1"/>
  <c r="AK46" i="3" s="1"/>
  <c r="AO38" i="6"/>
  <c r="AN39" i="6"/>
  <c r="AN44" i="6" s="1"/>
  <c r="AU35" i="3"/>
  <c r="R29" i="4"/>
  <c r="BK54" i="3"/>
  <c r="BK50" i="3"/>
  <c r="BL49" i="3"/>
  <c r="S41" i="3"/>
  <c r="R59" i="3"/>
  <c r="AK19" i="6"/>
  <c r="AK21" i="6" s="1"/>
  <c r="AL16" i="6"/>
  <c r="AT42" i="6"/>
  <c r="R34" i="7"/>
  <c r="R36" i="7" s="1"/>
  <c r="R31" i="7"/>
  <c r="S28" i="7" s="1"/>
  <c r="AN36" i="3"/>
  <c r="AM45" i="3"/>
  <c r="AM23" i="3" l="1"/>
  <c r="AL25" i="3"/>
  <c r="AL31" i="3" s="1"/>
  <c r="AL33" i="3" s="1"/>
  <c r="AO39" i="6"/>
  <c r="AO44" i="6" s="1"/>
  <c r="AP38" i="6"/>
  <c r="AO36" i="3"/>
  <c r="AN45" i="3"/>
  <c r="S55" i="3"/>
  <c r="S56" i="3" s="1"/>
  <c r="S58" i="3"/>
  <c r="AU53" i="3"/>
  <c r="R34" i="4"/>
  <c r="R36" i="4" s="1"/>
  <c r="R37" i="4" s="1"/>
  <c r="R31" i="4"/>
  <c r="S28" i="4" s="1"/>
  <c r="AL19" i="6"/>
  <c r="AL21" i="6" s="1"/>
  <c r="AM16" i="6"/>
  <c r="BM49" i="3"/>
  <c r="BL50" i="3"/>
  <c r="BL54" i="3"/>
  <c r="S30" i="7"/>
  <c r="AK27" i="6"/>
  <c r="AK33" i="6" s="1"/>
  <c r="AK35" i="6" s="1"/>
  <c r="O38" i="7"/>
  <c r="O39" i="7" s="1"/>
  <c r="S43" i="6"/>
  <c r="S45" i="6" s="1"/>
  <c r="S47" i="6" s="1"/>
  <c r="T30" i="6" l="1"/>
  <c r="S48" i="6"/>
  <c r="BN49" i="3"/>
  <c r="BM50" i="3"/>
  <c r="BM54" i="3"/>
  <c r="AM19" i="6"/>
  <c r="AM21" i="6" s="1"/>
  <c r="AM27" i="6" s="1"/>
  <c r="AM33" i="6" s="1"/>
  <c r="AM35" i="6" s="1"/>
  <c r="AN16" i="6"/>
  <c r="T41" i="3"/>
  <c r="S59" i="3"/>
  <c r="AL27" i="6"/>
  <c r="AL33" i="6" s="1"/>
  <c r="AL35" i="6" s="1"/>
  <c r="AL38" i="3"/>
  <c r="AL44" i="3" s="1"/>
  <c r="AL46" i="3" s="1"/>
  <c r="O39" i="4"/>
  <c r="O40" i="4" s="1"/>
  <c r="AP36" i="3"/>
  <c r="AO45" i="3"/>
  <c r="S30" i="4"/>
  <c r="AP39" i="6"/>
  <c r="AP44" i="6" s="1"/>
  <c r="AQ38" i="6"/>
  <c r="AW23" i="6"/>
  <c r="S29" i="7"/>
  <c r="AN23" i="3"/>
  <c r="AM25" i="3"/>
  <c r="AM31" i="3" s="1"/>
  <c r="AM33" i="3" s="1"/>
  <c r="AO16" i="6" l="1"/>
  <c r="AN19" i="6"/>
  <c r="AN21" i="6" s="1"/>
  <c r="AN27" i="6" s="1"/>
  <c r="AN33" i="6" s="1"/>
  <c r="AN35" i="6" s="1"/>
  <c r="AW42" i="6"/>
  <c r="S34" i="7"/>
  <c r="S36" i="7" s="1"/>
  <c r="S31" i="7"/>
  <c r="T28" i="7" s="1"/>
  <c r="T55" i="3"/>
  <c r="T56" i="3" s="1"/>
  <c r="T58" i="3"/>
  <c r="AQ36" i="3"/>
  <c r="AP45" i="3"/>
  <c r="BN54" i="3"/>
  <c r="BN50" i="3"/>
  <c r="BO49" i="3"/>
  <c r="AR38" i="6"/>
  <c r="AQ39" i="6"/>
  <c r="AQ44" i="6" s="1"/>
  <c r="AM38" i="3"/>
  <c r="AM44" i="3" s="1"/>
  <c r="AM46" i="3" s="1"/>
  <c r="P38" i="7"/>
  <c r="P39" i="7" s="1"/>
  <c r="AO23" i="3"/>
  <c r="AN25" i="3"/>
  <c r="AN31" i="3" s="1"/>
  <c r="AN33" i="3" s="1"/>
  <c r="AN38" i="3" s="1"/>
  <c r="AN44" i="3" s="1"/>
  <c r="AN46" i="3" s="1"/>
  <c r="AX35" i="3"/>
  <c r="S29" i="4"/>
  <c r="T47" i="6"/>
  <c r="T43" i="6"/>
  <c r="T45" i="6" s="1"/>
  <c r="T59" i="3" l="1"/>
  <c r="U41" i="3"/>
  <c r="AX53" i="3"/>
  <c r="S34" i="4"/>
  <c r="S36" i="4" s="1"/>
  <c r="S37" i="4" s="1"/>
  <c r="S31" i="4"/>
  <c r="T28" i="4" s="1"/>
  <c r="AS38" i="6"/>
  <c r="AR39" i="6"/>
  <c r="AR44" i="6" s="1"/>
  <c r="U30" i="6"/>
  <c r="T48" i="6"/>
  <c r="BO54" i="3"/>
  <c r="BP49" i="3"/>
  <c r="BO50" i="3"/>
  <c r="AP23" i="3"/>
  <c r="AO25" i="3"/>
  <c r="AO31" i="3" s="1"/>
  <c r="AO33" i="3" s="1"/>
  <c r="AO38" i="3" s="1"/>
  <c r="AO44" i="3" s="1"/>
  <c r="AO46" i="3" s="1"/>
  <c r="T30" i="7"/>
  <c r="AR36" i="3"/>
  <c r="AQ45" i="3"/>
  <c r="AP16" i="6"/>
  <c r="AO19" i="6"/>
  <c r="AO21" i="6" s="1"/>
  <c r="AT38" i="6" l="1"/>
  <c r="AS39" i="6"/>
  <c r="AS44" i="6" s="1"/>
  <c r="AO27" i="6"/>
  <c r="AO33" i="6" s="1"/>
  <c r="AO35" i="6" s="1"/>
  <c r="U43" i="6"/>
  <c r="U45" i="6" s="1"/>
  <c r="U47" i="6" s="1"/>
  <c r="AQ16" i="6"/>
  <c r="AP19" i="6"/>
  <c r="AP21" i="6" s="1"/>
  <c r="AP27" i="6" s="1"/>
  <c r="AP33" i="6" s="1"/>
  <c r="AP35" i="6" s="1"/>
  <c r="AR45" i="3"/>
  <c r="AS36" i="3"/>
  <c r="T30" i="4"/>
  <c r="P39" i="4"/>
  <c r="P40" i="4" s="1"/>
  <c r="BQ49" i="3"/>
  <c r="BP50" i="3"/>
  <c r="BP54" i="3"/>
  <c r="AZ23" i="6"/>
  <c r="T29" i="7"/>
  <c r="U55" i="3"/>
  <c r="U56" i="3" s="1"/>
  <c r="U58" i="3" s="1"/>
  <c r="AQ23" i="3"/>
  <c r="AP25" i="3"/>
  <c r="AP31" i="3" s="1"/>
  <c r="AP33" i="3" s="1"/>
  <c r="V41" i="3" l="1"/>
  <c r="U59" i="3"/>
  <c r="U48" i="6"/>
  <c r="V30" i="6"/>
  <c r="AP38" i="3"/>
  <c r="AP44" i="3" s="1"/>
  <c r="AP46" i="3" s="1"/>
  <c r="AR23" i="3"/>
  <c r="AQ25" i="3"/>
  <c r="AQ31" i="3" s="1"/>
  <c r="AQ33" i="3" s="1"/>
  <c r="AQ38" i="3" s="1"/>
  <c r="AQ44" i="3" s="1"/>
  <c r="AQ46" i="3" s="1"/>
  <c r="AQ19" i="6"/>
  <c r="AQ21" i="6" s="1"/>
  <c r="AQ27" i="6" s="1"/>
  <c r="AQ33" i="6" s="1"/>
  <c r="AQ35" i="6" s="1"/>
  <c r="AR16" i="6"/>
  <c r="AZ42" i="6"/>
  <c r="T34" i="7"/>
  <c r="T36" i="7" s="1"/>
  <c r="T31" i="7"/>
  <c r="U28" i="7" s="1"/>
  <c r="AT36" i="3"/>
  <c r="AS45" i="3"/>
  <c r="Q38" i="7"/>
  <c r="Q39" i="7" s="1"/>
  <c r="BA35" i="3"/>
  <c r="T29" i="4"/>
  <c r="BR49" i="3"/>
  <c r="BQ50" i="3"/>
  <c r="BQ54" i="3"/>
  <c r="AT39" i="6"/>
  <c r="AT44" i="6" s="1"/>
  <c r="AU38" i="6"/>
  <c r="AU36" i="3" l="1"/>
  <c r="AT45" i="3"/>
  <c r="AS23" i="3"/>
  <c r="AR25" i="3"/>
  <c r="AR31" i="3" s="1"/>
  <c r="AR33" i="3" s="1"/>
  <c r="AR38" i="3" s="1"/>
  <c r="AR44" i="3" s="1"/>
  <c r="AR46" i="3" s="1"/>
  <c r="U30" i="7"/>
  <c r="Q39" i="4"/>
  <c r="Q40" i="4" s="1"/>
  <c r="BR54" i="3"/>
  <c r="BS49" i="3"/>
  <c r="BR50" i="3"/>
  <c r="BA53" i="3"/>
  <c r="T34" i="4"/>
  <c r="T36" i="4" s="1"/>
  <c r="T37" i="4" s="1"/>
  <c r="T31" i="4"/>
  <c r="U28" i="4" s="1"/>
  <c r="V47" i="6"/>
  <c r="V43" i="6"/>
  <c r="V45" i="6" s="1"/>
  <c r="AS16" i="6"/>
  <c r="AR19" i="6"/>
  <c r="AR21" i="6" s="1"/>
  <c r="AV38" i="6"/>
  <c r="AU39" i="6"/>
  <c r="AU44" i="6" s="1"/>
  <c r="V55" i="3"/>
  <c r="V56" i="3" s="1"/>
  <c r="V58" i="3"/>
  <c r="BC23" i="6" l="1"/>
  <c r="U29" i="7"/>
  <c r="W30" i="6"/>
  <c r="V48" i="6"/>
  <c r="AR27" i="6"/>
  <c r="AR33" i="6" s="1"/>
  <c r="AR35" i="6" s="1"/>
  <c r="V59" i="3"/>
  <c r="W41" i="3"/>
  <c r="U30" i="4"/>
  <c r="AW38" i="6"/>
  <c r="AV39" i="6"/>
  <c r="AV44" i="6" s="1"/>
  <c r="AS25" i="3"/>
  <c r="AS31" i="3" s="1"/>
  <c r="AS33" i="3" s="1"/>
  <c r="AT23" i="3"/>
  <c r="AS19" i="6"/>
  <c r="AS21" i="6" s="1"/>
  <c r="AS27" i="6" s="1"/>
  <c r="AS33" i="6" s="1"/>
  <c r="AS35" i="6" s="1"/>
  <c r="AT16" i="6"/>
  <c r="BS54" i="3"/>
  <c r="BS50" i="3"/>
  <c r="BT49" i="3"/>
  <c r="AV36" i="3"/>
  <c r="AU45" i="3"/>
  <c r="AT25" i="3" l="1"/>
  <c r="AT31" i="3" s="1"/>
  <c r="AT33" i="3" s="1"/>
  <c r="AT38" i="3" s="1"/>
  <c r="AT44" i="3" s="1"/>
  <c r="AT46" i="3" s="1"/>
  <c r="AU23" i="3"/>
  <c r="AS38" i="3"/>
  <c r="AS44" i="3" s="1"/>
  <c r="AS46" i="3" s="1"/>
  <c r="AW39" i="6"/>
  <c r="AW44" i="6" s="1"/>
  <c r="AX38" i="6"/>
  <c r="BD35" i="3"/>
  <c r="U29" i="4"/>
  <c r="BC42" i="6"/>
  <c r="U34" i="7"/>
  <c r="U36" i="7" s="1"/>
  <c r="U31" i="7"/>
  <c r="V28" i="7" s="1"/>
  <c r="AV45" i="3"/>
  <c r="AW36" i="3"/>
  <c r="BU49" i="3"/>
  <c r="BT50" i="3"/>
  <c r="BT54" i="3"/>
  <c r="W43" i="6"/>
  <c r="W45" i="6" s="1"/>
  <c r="W47" i="6" s="1"/>
  <c r="AT19" i="6"/>
  <c r="AT21" i="6" s="1"/>
  <c r="AU16" i="6"/>
  <c r="W55" i="3"/>
  <c r="W56" i="3" s="1"/>
  <c r="W58" i="3" s="1"/>
  <c r="X30" i="6" l="1"/>
  <c r="W48" i="6"/>
  <c r="X41" i="3"/>
  <c r="W59" i="3"/>
  <c r="AU19" i="6"/>
  <c r="AU21" i="6" s="1"/>
  <c r="AV16" i="6"/>
  <c r="AT27" i="6"/>
  <c r="AT33" i="6" s="1"/>
  <c r="AT35" i="6" s="1"/>
  <c r="R38" i="7"/>
  <c r="R39" i="7" s="1"/>
  <c r="AV23" i="3"/>
  <c r="AU25" i="3"/>
  <c r="AU31" i="3" s="1"/>
  <c r="AU33" i="3" s="1"/>
  <c r="BV49" i="3"/>
  <c r="BU50" i="3"/>
  <c r="BU54" i="3"/>
  <c r="AX36" i="3"/>
  <c r="AW45" i="3"/>
  <c r="AY38" i="6"/>
  <c r="AX39" i="6"/>
  <c r="AX44" i="6" s="1"/>
  <c r="V30" i="7"/>
  <c r="BD53" i="3"/>
  <c r="U34" i="4"/>
  <c r="U36" i="4" s="1"/>
  <c r="U37" i="4" s="1"/>
  <c r="U31" i="4"/>
  <c r="V28" i="4" s="1"/>
  <c r="V30" i="4" l="1"/>
  <c r="AX45" i="3"/>
  <c r="AY36" i="3"/>
  <c r="BF23" i="6"/>
  <c r="V29" i="7"/>
  <c r="BV54" i="3"/>
  <c r="BV50" i="3"/>
  <c r="X55" i="3"/>
  <c r="X56" i="3" s="1"/>
  <c r="X58" i="3"/>
  <c r="AW23" i="3"/>
  <c r="AV25" i="3"/>
  <c r="AV31" i="3" s="1"/>
  <c r="AV33" i="3" s="1"/>
  <c r="AV19" i="6"/>
  <c r="AV21" i="6" s="1"/>
  <c r="AV27" i="6" s="1"/>
  <c r="AV33" i="6" s="1"/>
  <c r="AV35" i="6" s="1"/>
  <c r="AW16" i="6"/>
  <c r="AU27" i="6"/>
  <c r="AU33" i="6" s="1"/>
  <c r="AU35" i="6" s="1"/>
  <c r="AU38" i="3"/>
  <c r="AU44" i="3" s="1"/>
  <c r="AU46" i="3" s="1"/>
  <c r="R39" i="4"/>
  <c r="R40" i="4" s="1"/>
  <c r="AZ38" i="6"/>
  <c r="AY39" i="6"/>
  <c r="AY44" i="6" s="1"/>
  <c r="X47" i="6"/>
  <c r="X43" i="6"/>
  <c r="X45" i="6" s="1"/>
  <c r="BF42" i="6" l="1"/>
  <c r="V34" i="7"/>
  <c r="V36" i="7" s="1"/>
  <c r="V31" i="7"/>
  <c r="W28" i="7" s="1"/>
  <c r="AZ39" i="6"/>
  <c r="AZ44" i="6" s="1"/>
  <c r="BA38" i="6"/>
  <c r="AV38" i="3"/>
  <c r="AV44" i="3" s="1"/>
  <c r="AV46" i="3" s="1"/>
  <c r="Y30" i="6"/>
  <c r="X48" i="6"/>
  <c r="AX23" i="3"/>
  <c r="AW25" i="3"/>
  <c r="AW31" i="3" s="1"/>
  <c r="AW33" i="3" s="1"/>
  <c r="AW38" i="3" s="1"/>
  <c r="AW44" i="3" s="1"/>
  <c r="AW46" i="3" s="1"/>
  <c r="Y41" i="3"/>
  <c r="X59" i="3"/>
  <c r="AZ36" i="3"/>
  <c r="AY45" i="3"/>
  <c r="AX16" i="6"/>
  <c r="AW19" i="6"/>
  <c r="AW21" i="6" s="1"/>
  <c r="AW27" i="6" s="1"/>
  <c r="AW33" i="6" s="1"/>
  <c r="AW35" i="6" s="1"/>
  <c r="BG35" i="3"/>
  <c r="V29" i="4"/>
  <c r="BA36" i="3" l="1"/>
  <c r="AZ45" i="3"/>
  <c r="S39" i="4"/>
  <c r="S40" i="4" s="1"/>
  <c r="W30" i="7"/>
  <c r="AY23" i="3"/>
  <c r="AX25" i="3"/>
  <c r="AX31" i="3" s="1"/>
  <c r="AX33" i="3" s="1"/>
  <c r="AX38" i="3" s="1"/>
  <c r="AX44" i="3" s="1"/>
  <c r="AX46" i="3" s="1"/>
  <c r="BG53" i="3"/>
  <c r="V34" i="4"/>
  <c r="V36" i="4" s="1"/>
  <c r="V37" i="4" s="1"/>
  <c r="V31" i="4"/>
  <c r="W28" i="4" s="1"/>
  <c r="Y55" i="3"/>
  <c r="Y56" i="3" s="1"/>
  <c r="Y58" i="3" s="1"/>
  <c r="BB38" i="6"/>
  <c r="BA39" i="6"/>
  <c r="BA44" i="6" s="1"/>
  <c r="S38" i="7"/>
  <c r="S39" i="7" s="1"/>
  <c r="AY16" i="6"/>
  <c r="AX19" i="6"/>
  <c r="AX21" i="6" s="1"/>
  <c r="Y43" i="6"/>
  <c r="Y45" i="6" s="1"/>
  <c r="Y47" i="6" s="1"/>
  <c r="Z30" i="6" l="1"/>
  <c r="Y48" i="6"/>
  <c r="Z41" i="3"/>
  <c r="Y59" i="3"/>
  <c r="AX27" i="6"/>
  <c r="AX33" i="6" s="1"/>
  <c r="AX35" i="6" s="1"/>
  <c r="W30" i="4"/>
  <c r="AZ23" i="3"/>
  <c r="AY25" i="3"/>
  <c r="AY31" i="3" s="1"/>
  <c r="AY33" i="3" s="1"/>
  <c r="BB39" i="6"/>
  <c r="BB44" i="6" s="1"/>
  <c r="BC38" i="6"/>
  <c r="AZ16" i="6"/>
  <c r="AY19" i="6"/>
  <c r="AY21" i="6" s="1"/>
  <c r="AY27" i="6" s="1"/>
  <c r="AY33" i="6" s="1"/>
  <c r="AY35" i="6" s="1"/>
  <c r="BA45" i="3"/>
  <c r="BB36" i="3"/>
  <c r="BI23" i="6"/>
  <c r="W29" i="7"/>
  <c r="BI42" i="6" l="1"/>
  <c r="W34" i="7"/>
  <c r="W36" i="7" s="1"/>
  <c r="W31" i="7"/>
  <c r="X28" i="7" s="1"/>
  <c r="BC36" i="3"/>
  <c r="BB45" i="3"/>
  <c r="BJ35" i="3"/>
  <c r="W29" i="4"/>
  <c r="BA16" i="6"/>
  <c r="AZ19" i="6"/>
  <c r="AZ21" i="6" s="1"/>
  <c r="AZ27" i="6" s="1"/>
  <c r="AZ33" i="6" s="1"/>
  <c r="AZ35" i="6" s="1"/>
  <c r="BD38" i="6"/>
  <c r="BC39" i="6"/>
  <c r="BC44" i="6" s="1"/>
  <c r="Z55" i="3"/>
  <c r="Z56" i="3" s="1"/>
  <c r="Z58" i="3" s="1"/>
  <c r="AY38" i="3"/>
  <c r="AY44" i="3" s="1"/>
  <c r="AY46" i="3" s="1"/>
  <c r="BA23" i="3"/>
  <c r="AZ25" i="3"/>
  <c r="AZ31" i="3" s="1"/>
  <c r="AZ33" i="3" s="1"/>
  <c r="AZ38" i="3" s="1"/>
  <c r="AZ44" i="3" s="1"/>
  <c r="AZ46" i="3" s="1"/>
  <c r="Z43" i="6"/>
  <c r="Z45" i="6" s="1"/>
  <c r="Z47" i="6" s="1"/>
  <c r="AA30" i="6" l="1"/>
  <c r="Z48" i="6"/>
  <c r="Z59" i="3"/>
  <c r="AA41" i="3"/>
  <c r="BJ53" i="3"/>
  <c r="W34" i="4"/>
  <c r="W36" i="4" s="1"/>
  <c r="W37" i="4" s="1"/>
  <c r="W31" i="4"/>
  <c r="X28" i="4" s="1"/>
  <c r="BD39" i="6"/>
  <c r="BD44" i="6" s="1"/>
  <c r="BE38" i="6"/>
  <c r="BD36" i="3"/>
  <c r="BC45" i="3"/>
  <c r="BB23" i="3"/>
  <c r="BA25" i="3"/>
  <c r="BA31" i="3" s="1"/>
  <c r="BA33" i="3" s="1"/>
  <c r="T38" i="7"/>
  <c r="T39" i="7" s="1"/>
  <c r="X30" i="7"/>
  <c r="BB16" i="6"/>
  <c r="BA19" i="6"/>
  <c r="BA21" i="6" s="1"/>
  <c r="BA38" i="3" l="1"/>
  <c r="BA44" i="3" s="1"/>
  <c r="BA46" i="3" s="1"/>
  <c r="T39" i="4"/>
  <c r="T40" i="4" s="1"/>
  <c r="X30" i="4"/>
  <c r="BC23" i="3"/>
  <c r="BB25" i="3"/>
  <c r="BB31" i="3" s="1"/>
  <c r="BB33" i="3" s="1"/>
  <c r="BA27" i="6"/>
  <c r="BA33" i="6" s="1"/>
  <c r="BA35" i="6" s="1"/>
  <c r="AA55" i="3"/>
  <c r="AA56" i="3" s="1"/>
  <c r="AA58" i="3" s="1"/>
  <c r="BB19" i="6"/>
  <c r="BB21" i="6" s="1"/>
  <c r="BC16" i="6"/>
  <c r="BD45" i="3"/>
  <c r="BE36" i="3"/>
  <c r="BE39" i="6"/>
  <c r="BE44" i="6" s="1"/>
  <c r="BF38" i="6"/>
  <c r="BL23" i="6"/>
  <c r="X29" i="7"/>
  <c r="AA43" i="6"/>
  <c r="AA45" i="6" s="1"/>
  <c r="AA47" i="6" s="1"/>
  <c r="AB30" i="6" l="1"/>
  <c r="AA48" i="6"/>
  <c r="AA59" i="3"/>
  <c r="AB41" i="3"/>
  <c r="BD23" i="3"/>
  <c r="BC25" i="3"/>
  <c r="BC31" i="3" s="1"/>
  <c r="BC33" i="3" s="1"/>
  <c r="BC38" i="3" s="1"/>
  <c r="BC44" i="3" s="1"/>
  <c r="BC46" i="3" s="1"/>
  <c r="BL42" i="6"/>
  <c r="X34" i="7"/>
  <c r="X36" i="7" s="1"/>
  <c r="X31" i="7"/>
  <c r="Y28" i="7" s="1"/>
  <c r="BB38" i="3"/>
  <c r="BB44" i="3" s="1"/>
  <c r="BB46" i="3" s="1"/>
  <c r="BM35" i="3"/>
  <c r="X29" i="4"/>
  <c r="BF36" i="3"/>
  <c r="BE45" i="3"/>
  <c r="BC19" i="6"/>
  <c r="BC21" i="6" s="1"/>
  <c r="BC27" i="6" s="1"/>
  <c r="BC33" i="6" s="1"/>
  <c r="BC35" i="6" s="1"/>
  <c r="BD16" i="6"/>
  <c r="BB27" i="6"/>
  <c r="BB33" i="6" s="1"/>
  <c r="BB35" i="6" s="1"/>
  <c r="BF39" i="6"/>
  <c r="BF44" i="6" s="1"/>
  <c r="BG38" i="6"/>
  <c r="U38" i="7" l="1"/>
  <c r="U39" i="7" s="1"/>
  <c r="BG36" i="3"/>
  <c r="BF45" i="3"/>
  <c r="BM53" i="3"/>
  <c r="X34" i="4"/>
  <c r="X36" i="4" s="1"/>
  <c r="X37" i="4" s="1"/>
  <c r="X31" i="4"/>
  <c r="Y28" i="4" s="1"/>
  <c r="BD19" i="6"/>
  <c r="BD21" i="6" s="1"/>
  <c r="BE16" i="6"/>
  <c r="Y30" i="7"/>
  <c r="Y29" i="7" s="1"/>
  <c r="Y34" i="7" s="1"/>
  <c r="Y36" i="7" s="1"/>
  <c r="BH38" i="6"/>
  <c r="BG39" i="6"/>
  <c r="BG44" i="6" s="1"/>
  <c r="BE23" i="3"/>
  <c r="BD25" i="3"/>
  <c r="BD31" i="3" s="1"/>
  <c r="BD33" i="3" s="1"/>
  <c r="BD38" i="3" s="1"/>
  <c r="BD44" i="3" s="1"/>
  <c r="BD46" i="3" s="1"/>
  <c r="AB55" i="3"/>
  <c r="AB56" i="3" s="1"/>
  <c r="AB58" i="3"/>
  <c r="AB43" i="6"/>
  <c r="AB45" i="6" s="1"/>
  <c r="AB47" i="6" s="1"/>
  <c r="AB48" i="6" l="1"/>
  <c r="AC30" i="6"/>
  <c r="Y30" i="4"/>
  <c r="AC41" i="3"/>
  <c r="AB59" i="3"/>
  <c r="BD27" i="6"/>
  <c r="BD33" i="6" s="1"/>
  <c r="BD35" i="6" s="1"/>
  <c r="BF23" i="3"/>
  <c r="BE25" i="3"/>
  <c r="BE31" i="3" s="1"/>
  <c r="BE33" i="3" s="1"/>
  <c r="BI38" i="6"/>
  <c r="BH39" i="6"/>
  <c r="BH44" i="6" s="1"/>
  <c r="Y31" i="7"/>
  <c r="Z28" i="7" s="1"/>
  <c r="BG45" i="3"/>
  <c r="BH36" i="3"/>
  <c r="BE19" i="6"/>
  <c r="BE21" i="6" s="1"/>
  <c r="BE27" i="6" s="1"/>
  <c r="BE33" i="6" s="1"/>
  <c r="BE35" i="6" s="1"/>
  <c r="BF16" i="6"/>
  <c r="U39" i="4"/>
  <c r="U40" i="4" s="1"/>
  <c r="BJ38" i="6" l="1"/>
  <c r="BI39" i="6"/>
  <c r="BI44" i="6" s="1"/>
  <c r="AC55" i="3"/>
  <c r="AC56" i="3" s="1"/>
  <c r="AC58" i="3"/>
  <c r="BE38" i="3"/>
  <c r="BE44" i="3" s="1"/>
  <c r="BE46" i="3" s="1"/>
  <c r="BG16" i="6"/>
  <c r="BF19" i="6"/>
  <c r="BF21" i="6" s="1"/>
  <c r="BG23" i="3"/>
  <c r="BF25" i="3"/>
  <c r="BF31" i="3" s="1"/>
  <c r="BF33" i="3" s="1"/>
  <c r="BF38" i="3" s="1"/>
  <c r="BF44" i="3" s="1"/>
  <c r="BF46" i="3" s="1"/>
  <c r="BP35" i="3"/>
  <c r="Y29" i="4"/>
  <c r="AC43" i="6"/>
  <c r="AC45" i="6" s="1"/>
  <c r="AC47" i="6" s="1"/>
  <c r="Z30" i="7"/>
  <c r="Z29" i="7" s="1"/>
  <c r="Z34" i="7" s="1"/>
  <c r="Z36" i="7" s="1"/>
  <c r="BH45" i="3"/>
  <c r="BI36" i="3"/>
  <c r="AC48" i="6" l="1"/>
  <c r="AD30" i="6"/>
  <c r="BF27" i="6"/>
  <c r="BF33" i="6" s="1"/>
  <c r="BF35" i="6" s="1"/>
  <c r="BG19" i="6"/>
  <c r="BG21" i="6" s="1"/>
  <c r="BH16" i="6"/>
  <c r="BJ36" i="3"/>
  <c r="BI45" i="3"/>
  <c r="BP53" i="3"/>
  <c r="Y34" i="4"/>
  <c r="Y36" i="4" s="1"/>
  <c r="Y37" i="4" s="1"/>
  <c r="Y31" i="4"/>
  <c r="Z28" i="4" s="1"/>
  <c r="AD41" i="3"/>
  <c r="AC59" i="3"/>
  <c r="Z31" i="7"/>
  <c r="AA28" i="7" s="1"/>
  <c r="BH23" i="3"/>
  <c r="BG25" i="3"/>
  <c r="BG31" i="3" s="1"/>
  <c r="BG33" i="3" s="1"/>
  <c r="BJ39" i="6"/>
  <c r="BJ44" i="6" s="1"/>
  <c r="BK38" i="6"/>
  <c r="BI23" i="3" l="1"/>
  <c r="BH25" i="3"/>
  <c r="BH31" i="3" s="1"/>
  <c r="BH33" i="3" s="1"/>
  <c r="BK36" i="3"/>
  <c r="BJ45" i="3"/>
  <c r="BG27" i="6"/>
  <c r="BG33" i="6" s="1"/>
  <c r="BG35" i="6" s="1"/>
  <c r="AD55" i="3"/>
  <c r="AD56" i="3" s="1"/>
  <c r="AD58" i="3" s="1"/>
  <c r="Z30" i="4"/>
  <c r="BG38" i="3"/>
  <c r="BG44" i="3" s="1"/>
  <c r="BG46" i="3" s="1"/>
  <c r="V39" i="4"/>
  <c r="V40" i="4" s="1"/>
  <c r="BI16" i="6"/>
  <c r="BH19" i="6"/>
  <c r="BH21" i="6" s="1"/>
  <c r="BH27" i="6" s="1"/>
  <c r="BH33" i="6" s="1"/>
  <c r="BH35" i="6" s="1"/>
  <c r="BL38" i="6"/>
  <c r="BL39" i="6" s="1"/>
  <c r="BL44" i="6" s="1"/>
  <c r="BK39" i="6"/>
  <c r="BK44" i="6" s="1"/>
  <c r="AD43" i="6"/>
  <c r="AD45" i="6" s="1"/>
  <c r="AD47" i="6" s="1"/>
  <c r="AA30" i="7"/>
  <c r="AA29" i="7" s="1"/>
  <c r="AA34" i="7" s="1"/>
  <c r="AA36" i="7" s="1"/>
  <c r="AE41" i="3" l="1"/>
  <c r="AD59" i="3"/>
  <c r="AE30" i="6"/>
  <c r="AD48" i="6"/>
  <c r="AA31" i="7"/>
  <c r="AB28" i="7" s="1"/>
  <c r="BL36" i="3"/>
  <c r="BK45" i="3"/>
  <c r="BI19" i="6"/>
  <c r="BI21" i="6" s="1"/>
  <c r="BI27" i="6" s="1"/>
  <c r="BI33" i="6" s="1"/>
  <c r="BI35" i="6" s="1"/>
  <c r="BJ16" i="6"/>
  <c r="W38" i="7"/>
  <c r="W39" i="7" s="1"/>
  <c r="BS35" i="3"/>
  <c r="Z29" i="4"/>
  <c r="BH38" i="3"/>
  <c r="BH44" i="3" s="1"/>
  <c r="BH46" i="3" s="1"/>
  <c r="BI25" i="3"/>
  <c r="BI31" i="3" s="1"/>
  <c r="BI33" i="3" s="1"/>
  <c r="BI38" i="3" s="1"/>
  <c r="BI44" i="3" s="1"/>
  <c r="BI46" i="3" s="1"/>
  <c r="BJ23" i="3"/>
  <c r="BJ25" i="3" l="1"/>
  <c r="BJ31" i="3" s="1"/>
  <c r="BJ33" i="3" s="1"/>
  <c r="BJ38" i="3" s="1"/>
  <c r="BJ44" i="3" s="1"/>
  <c r="BJ46" i="3" s="1"/>
  <c r="BK23" i="3"/>
  <c r="BL45" i="3"/>
  <c r="BM36" i="3"/>
  <c r="AB30" i="7"/>
  <c r="AB29" i="7" s="1"/>
  <c r="AB34" i="7" s="1"/>
  <c r="AB36" i="7" s="1"/>
  <c r="BK16" i="6"/>
  <c r="BJ19" i="6"/>
  <c r="BJ21" i="6" s="1"/>
  <c r="AE43" i="6"/>
  <c r="AE45" i="6" s="1"/>
  <c r="AE47" i="6" s="1"/>
  <c r="BS53" i="3"/>
  <c r="Z34" i="4"/>
  <c r="Z36" i="4" s="1"/>
  <c r="Z37" i="4" s="1"/>
  <c r="Z31" i="4"/>
  <c r="AA28" i="4" s="1"/>
  <c r="W39" i="4"/>
  <c r="W40" i="4" s="1"/>
  <c r="AE58" i="3"/>
  <c r="AE55" i="3"/>
  <c r="AE56" i="3" s="1"/>
  <c r="AE48" i="6" l="1"/>
  <c r="AF30" i="6"/>
  <c r="BK19" i="6"/>
  <c r="BK21" i="6" s="1"/>
  <c r="BK27" i="6" s="1"/>
  <c r="BK33" i="6" s="1"/>
  <c r="BK35" i="6" s="1"/>
  <c r="BL16" i="6"/>
  <c r="BL19" i="6" s="1"/>
  <c r="BL21" i="6" s="1"/>
  <c r="AE59" i="3"/>
  <c r="AF41" i="3"/>
  <c r="X38" i="7"/>
  <c r="X39" i="7" s="1"/>
  <c r="BJ27" i="6"/>
  <c r="BJ33" i="6" s="1"/>
  <c r="BJ35" i="6" s="1"/>
  <c r="AA30" i="4"/>
  <c r="AB31" i="7"/>
  <c r="AC28" i="7" s="1"/>
  <c r="BN36" i="3"/>
  <c r="BM45" i="3"/>
  <c r="BL23" i="3"/>
  <c r="BK25" i="3"/>
  <c r="BK31" i="3" s="1"/>
  <c r="BK33" i="3" s="1"/>
  <c r="BN45" i="3" l="1"/>
  <c r="BO36" i="3"/>
  <c r="BM23" i="3"/>
  <c r="BL25" i="3"/>
  <c r="BL31" i="3" s="1"/>
  <c r="BL33" i="3" s="1"/>
  <c r="BL38" i="3" s="1"/>
  <c r="BL44" i="3" s="1"/>
  <c r="BL46" i="3" s="1"/>
  <c r="AF55" i="3"/>
  <c r="AF56" i="3" s="1"/>
  <c r="AF58" i="3" s="1"/>
  <c r="AC31" i="7"/>
  <c r="AD28" i="7" s="1"/>
  <c r="AC30" i="7"/>
  <c r="AC29" i="7" s="1"/>
  <c r="AC34" i="7" s="1"/>
  <c r="AC36" i="7" s="1"/>
  <c r="BV35" i="3"/>
  <c r="AA29" i="4"/>
  <c r="AF43" i="6"/>
  <c r="AF45" i="6" s="1"/>
  <c r="AF47" i="6" s="1"/>
  <c r="BL27" i="6"/>
  <c r="BL33" i="6" s="1"/>
  <c r="BL35" i="6" s="1"/>
  <c r="E18" i="5"/>
  <c r="E21" i="5"/>
  <c r="E20" i="5" s="1"/>
  <c r="BK38" i="3"/>
  <c r="BK44" i="3" s="1"/>
  <c r="BK46" i="3" s="1"/>
  <c r="V38" i="7"/>
  <c r="V39" i="7" s="1"/>
  <c r="AG41" i="3" l="1"/>
  <c r="AF59" i="3"/>
  <c r="AG30" i="6"/>
  <c r="AF48" i="6"/>
  <c r="AD30" i="7"/>
  <c r="AD29" i="7" s="1"/>
  <c r="AD34" i="7" s="1"/>
  <c r="AD36" i="7" s="1"/>
  <c r="BV53" i="3"/>
  <c r="AA34" i="4"/>
  <c r="AA36" i="4" s="1"/>
  <c r="AA37" i="4" s="1"/>
  <c r="AA31" i="4"/>
  <c r="AB28" i="4" s="1"/>
  <c r="BN23" i="3"/>
  <c r="BM25" i="3"/>
  <c r="BM31" i="3" s="1"/>
  <c r="BM33" i="3" s="1"/>
  <c r="BM38" i="3" s="1"/>
  <c r="BM44" i="3" s="1"/>
  <c r="BM46" i="3" s="1"/>
  <c r="BP36" i="3"/>
  <c r="BO45" i="3"/>
  <c r="E25" i="5"/>
  <c r="E26" i="5" s="1"/>
  <c r="H26" i="5" s="1"/>
  <c r="BP45" i="3" l="1"/>
  <c r="BQ36" i="3"/>
  <c r="X39" i="4"/>
  <c r="X40" i="4" s="1"/>
  <c r="AD31" i="7"/>
  <c r="AE28" i="7" s="1"/>
  <c r="BO23" i="3"/>
  <c r="BN25" i="3"/>
  <c r="BN31" i="3" s="1"/>
  <c r="BN33" i="3" s="1"/>
  <c r="AG47" i="6"/>
  <c r="AG43" i="6"/>
  <c r="AG45" i="6" s="1"/>
  <c r="AB30" i="4"/>
  <c r="AB29" i="4" s="1"/>
  <c r="AB34" i="4" s="1"/>
  <c r="AB36" i="4" s="1"/>
  <c r="AB37" i="4" s="1"/>
  <c r="AB31" i="4"/>
  <c r="AC28" i="4" s="1"/>
  <c r="AG55" i="3"/>
  <c r="AG56" i="3" s="1"/>
  <c r="AG58" i="3" s="1"/>
  <c r="AH41" i="3" l="1"/>
  <c r="AG59" i="3"/>
  <c r="AH30" i="6"/>
  <c r="AG48" i="6"/>
  <c r="BN38" i="3"/>
  <c r="BN44" i="3" s="1"/>
  <c r="BN46" i="3" s="1"/>
  <c r="BP23" i="3"/>
  <c r="BO25" i="3"/>
  <c r="BO31" i="3" s="1"/>
  <c r="BO33" i="3" s="1"/>
  <c r="BO38" i="3" s="1"/>
  <c r="BO44" i="3" s="1"/>
  <c r="BO46" i="3" s="1"/>
  <c r="AE30" i="7"/>
  <c r="AE29" i="7" s="1"/>
  <c r="AE34" i="7" s="1"/>
  <c r="AE36" i="7" s="1"/>
  <c r="AC30" i="4"/>
  <c r="AC29" i="4" s="1"/>
  <c r="AC34" i="4" s="1"/>
  <c r="AC36" i="4" s="1"/>
  <c r="AC37" i="4" s="1"/>
  <c r="AC31" i="4"/>
  <c r="AD28" i="4" s="1"/>
  <c r="BQ45" i="3"/>
  <c r="BR36" i="3"/>
  <c r="AD30" i="4" l="1"/>
  <c r="AD29" i="4" s="1"/>
  <c r="AD34" i="4" s="1"/>
  <c r="AD36" i="4" s="1"/>
  <c r="AD37" i="4" s="1"/>
  <c r="BQ23" i="3"/>
  <c r="BP25" i="3"/>
  <c r="BP31" i="3" s="1"/>
  <c r="BP33" i="3" s="1"/>
  <c r="BP38" i="3" s="1"/>
  <c r="BP44" i="3" s="1"/>
  <c r="BP46" i="3" s="1"/>
  <c r="BS36" i="3"/>
  <c r="BR45" i="3"/>
  <c r="AH47" i="6"/>
  <c r="AH43" i="6"/>
  <c r="AH45" i="6" s="1"/>
  <c r="AE31" i="7"/>
  <c r="AF28" i="7" s="1"/>
  <c r="AH55" i="3"/>
  <c r="AH56" i="3" s="1"/>
  <c r="AH58" i="3"/>
  <c r="AI41" i="3" l="1"/>
  <c r="AH59" i="3"/>
  <c r="BR23" i="3"/>
  <c r="BQ25" i="3"/>
  <c r="BQ31" i="3" s="1"/>
  <c r="BQ33" i="3" s="1"/>
  <c r="AF30" i="7"/>
  <c r="AF29" i="7" s="1"/>
  <c r="AF34" i="7" s="1"/>
  <c r="AF36" i="7" s="1"/>
  <c r="AI30" i="6"/>
  <c r="AH48" i="6"/>
  <c r="Y39" i="4"/>
  <c r="Y40" i="4" s="1"/>
  <c r="BT36" i="3"/>
  <c r="BS45" i="3"/>
  <c r="AD31" i="4"/>
  <c r="AE28" i="4" s="1"/>
  <c r="AE30" i="4" l="1"/>
  <c r="AE29" i="4" s="1"/>
  <c r="AE34" i="4" s="1"/>
  <c r="AE36" i="4" s="1"/>
  <c r="AE37" i="4" s="1"/>
  <c r="AE31" i="4"/>
  <c r="AF28" i="4" s="1"/>
  <c r="AI43" i="6"/>
  <c r="AI45" i="6" s="1"/>
  <c r="AI47" i="6" s="1"/>
  <c r="AF31" i="7"/>
  <c r="AG28" i="7" s="1"/>
  <c r="BQ38" i="3"/>
  <c r="BQ44" i="3" s="1"/>
  <c r="BQ46" i="3" s="1"/>
  <c r="BS23" i="3"/>
  <c r="BR25" i="3"/>
  <c r="BR31" i="3" s="1"/>
  <c r="BR33" i="3" s="1"/>
  <c r="BR38" i="3" s="1"/>
  <c r="BR44" i="3" s="1"/>
  <c r="BR46" i="3" s="1"/>
  <c r="BU36" i="3"/>
  <c r="BT45" i="3"/>
  <c r="AI55" i="3"/>
  <c r="AI56" i="3" s="1"/>
  <c r="AI58" i="3" s="1"/>
  <c r="AJ30" i="6" l="1"/>
  <c r="AI48" i="6"/>
  <c r="AJ41" i="3"/>
  <c r="AI59" i="3"/>
  <c r="BV36" i="3"/>
  <c r="BV45" i="3" s="1"/>
  <c r="BU45" i="3"/>
  <c r="AF30" i="4"/>
  <c r="AF29" i="4" s="1"/>
  <c r="AF34" i="4" s="1"/>
  <c r="AF36" i="4" s="1"/>
  <c r="AF37" i="4" s="1"/>
  <c r="AF31" i="4"/>
  <c r="AG28" i="4" s="1"/>
  <c r="BT23" i="3"/>
  <c r="BS25" i="3"/>
  <c r="BS31" i="3" s="1"/>
  <c r="BS33" i="3" s="1"/>
  <c r="BS38" i="3" s="1"/>
  <c r="BS44" i="3" s="1"/>
  <c r="BS46" i="3" s="1"/>
  <c r="Z39" i="4"/>
  <c r="Z40" i="4" s="1"/>
  <c r="AG30" i="7"/>
  <c r="AG29" i="7" s="1"/>
  <c r="AG34" i="7" s="1"/>
  <c r="AG36" i="7" s="1"/>
  <c r="AG31" i="7"/>
  <c r="AH28" i="7" s="1"/>
  <c r="AH30" i="7" l="1"/>
  <c r="AH29" i="7" s="1"/>
  <c r="AH34" i="7" s="1"/>
  <c r="AH36" i="7" s="1"/>
  <c r="AG30" i="4"/>
  <c r="AG29" i="4" s="1"/>
  <c r="AG34" i="4" s="1"/>
  <c r="AG36" i="4" s="1"/>
  <c r="AG37" i="4" s="1"/>
  <c r="AG31" i="4"/>
  <c r="AH28" i="4" s="1"/>
  <c r="AJ58" i="3"/>
  <c r="AJ55" i="3"/>
  <c r="AJ56" i="3" s="1"/>
  <c r="BU23" i="3"/>
  <c r="BT25" i="3"/>
  <c r="BT31" i="3" s="1"/>
  <c r="BT33" i="3" s="1"/>
  <c r="AJ43" i="6"/>
  <c r="AJ45" i="6" s="1"/>
  <c r="AJ47" i="6" s="1"/>
  <c r="AK30" i="6" l="1"/>
  <c r="AJ48" i="6"/>
  <c r="BT38" i="3"/>
  <c r="BT44" i="3" s="1"/>
  <c r="BT46" i="3" s="1"/>
  <c r="BV23" i="3"/>
  <c r="BV25" i="3" s="1"/>
  <c r="BV31" i="3" s="1"/>
  <c r="BV33" i="3" s="1"/>
  <c r="AA39" i="4" s="1"/>
  <c r="AA40" i="4" s="1"/>
  <c r="BU25" i="3"/>
  <c r="BU31" i="3" s="1"/>
  <c r="BU33" i="3" s="1"/>
  <c r="BU38" i="3" s="1"/>
  <c r="BU44" i="3" s="1"/>
  <c r="BU46" i="3" s="1"/>
  <c r="AK41" i="3"/>
  <c r="AJ59" i="3"/>
  <c r="AH30" i="4"/>
  <c r="AH29" i="4" s="1"/>
  <c r="AH34" i="4" s="1"/>
  <c r="AH36" i="4" s="1"/>
  <c r="AH37" i="4" s="1"/>
  <c r="AH31" i="4"/>
  <c r="AI28" i="4" s="1"/>
  <c r="AH31" i="7"/>
  <c r="AI28" i="7" s="1"/>
  <c r="AI30" i="7" l="1"/>
  <c r="AI29" i="7" s="1"/>
  <c r="AI34" i="7" s="1"/>
  <c r="AI36" i="7" s="1"/>
  <c r="AI31" i="7"/>
  <c r="AJ28" i="7" s="1"/>
  <c r="AK43" i="6"/>
  <c r="AK45" i="6" s="1"/>
  <c r="AK47" i="6" s="1"/>
  <c r="AK55" i="3"/>
  <c r="AK56" i="3" s="1"/>
  <c r="AK58" i="3" s="1"/>
  <c r="BV38" i="3"/>
  <c r="BV44" i="3" s="1"/>
  <c r="BV46" i="3" s="1"/>
  <c r="E6" i="5"/>
  <c r="E13" i="5" s="1"/>
  <c r="E14" i="5" s="1"/>
  <c r="H15" i="5" s="1"/>
  <c r="H19" i="5" s="1"/>
  <c r="B44" i="2" s="1"/>
  <c r="AI30" i="4"/>
  <c r="AI29" i="4" s="1"/>
  <c r="AI34" i="4" s="1"/>
  <c r="AI36" i="4" s="1"/>
  <c r="AI37" i="4" s="1"/>
  <c r="AI31" i="4"/>
  <c r="AJ28" i="4" s="1"/>
  <c r="AL41" i="3" l="1"/>
  <c r="AK59" i="3"/>
  <c r="AK48" i="6"/>
  <c r="AL30" i="6"/>
  <c r="AJ30" i="4"/>
  <c r="AJ29" i="4" s="1"/>
  <c r="AJ34" i="4" s="1"/>
  <c r="AJ36" i="4" s="1"/>
  <c r="AJ37" i="4" s="1"/>
  <c r="AJ30" i="7"/>
  <c r="AJ29" i="7" s="1"/>
  <c r="AJ34" i="7" s="1"/>
  <c r="AJ36" i="7" s="1"/>
  <c r="AJ31" i="7" l="1"/>
  <c r="AK28" i="7" s="1"/>
  <c r="AJ31" i="4"/>
  <c r="AK28" i="4" s="1"/>
  <c r="AL43" i="6"/>
  <c r="AL45" i="6" s="1"/>
  <c r="AL47" i="6" s="1"/>
  <c r="AL55" i="3"/>
  <c r="AL56" i="3" s="1"/>
  <c r="AL58" i="3"/>
  <c r="AM30" i="6" l="1"/>
  <c r="AL48" i="6"/>
  <c r="AM41" i="3"/>
  <c r="AL59" i="3"/>
  <c r="AK30" i="4"/>
  <c r="AK29" i="4" s="1"/>
  <c r="AK34" i="4" s="1"/>
  <c r="AK36" i="4" s="1"/>
  <c r="AK37" i="4" s="1"/>
  <c r="AK30" i="7"/>
  <c r="AK29" i="7" s="1"/>
  <c r="AK34" i="7" s="1"/>
  <c r="AK36" i="7" s="1"/>
  <c r="AK31" i="7"/>
  <c r="AL28" i="7" s="1"/>
  <c r="AL30" i="7" l="1"/>
  <c r="AL29" i="7" s="1"/>
  <c r="AL34" i="7" s="1"/>
  <c r="AL36" i="7" s="1"/>
  <c r="AK31" i="4"/>
  <c r="AL28" i="4" s="1"/>
  <c r="AM55" i="3"/>
  <c r="AM56" i="3" s="1"/>
  <c r="AM58" i="3" s="1"/>
  <c r="AM43" i="6"/>
  <c r="AM45" i="6" s="1"/>
  <c r="AM47" i="6" s="1"/>
  <c r="AM48" i="6" l="1"/>
  <c r="AN30" i="6"/>
  <c r="AN41" i="3"/>
  <c r="AM59" i="3"/>
  <c r="AL30" i="4"/>
  <c r="AL29" i="4" s="1"/>
  <c r="AL34" i="4" s="1"/>
  <c r="AL36" i="4" s="1"/>
  <c r="AL37" i="4" s="1"/>
  <c r="AL31" i="7"/>
  <c r="AM28" i="7" s="1"/>
  <c r="AM30" i="7" l="1"/>
  <c r="AM29" i="7" s="1"/>
  <c r="AM34" i="7" s="1"/>
  <c r="AM36" i="7" s="1"/>
  <c r="AL31" i="4"/>
  <c r="AM28" i="4" s="1"/>
  <c r="AN55" i="3"/>
  <c r="AN56" i="3" s="1"/>
  <c r="AN58" i="3" s="1"/>
  <c r="AN43" i="6"/>
  <c r="AN45" i="6" s="1"/>
  <c r="AN47" i="6" s="1"/>
  <c r="AO30" i="6" l="1"/>
  <c r="AN48" i="6"/>
  <c r="AO41" i="3"/>
  <c r="AN59" i="3"/>
  <c r="AM30" i="4"/>
  <c r="AM29" i="4" s="1"/>
  <c r="AM34" i="4" s="1"/>
  <c r="AM36" i="4" s="1"/>
  <c r="AM37" i="4" s="1"/>
  <c r="AM31" i="4"/>
  <c r="AN28" i="4" s="1"/>
  <c r="AM31" i="7"/>
  <c r="AN28" i="7" s="1"/>
  <c r="AN30" i="7" l="1"/>
  <c r="AN29" i="7" s="1"/>
  <c r="AN34" i="7" s="1"/>
  <c r="AN36" i="7" s="1"/>
  <c r="AN30" i="4"/>
  <c r="AN29" i="4" s="1"/>
  <c r="AN34" i="4" s="1"/>
  <c r="AN36" i="4" s="1"/>
  <c r="AN37" i="4" s="1"/>
  <c r="AN31" i="4"/>
  <c r="AO28" i="4" s="1"/>
  <c r="AO55" i="3"/>
  <c r="AO56" i="3" s="1"/>
  <c r="AO58" i="3" s="1"/>
  <c r="AO43" i="6"/>
  <c r="AO45" i="6" s="1"/>
  <c r="AO47" i="6" s="1"/>
  <c r="AP30" i="6" l="1"/>
  <c r="AO48" i="6"/>
  <c r="AP41" i="3"/>
  <c r="AO59" i="3"/>
  <c r="AO30" i="4"/>
  <c r="AO29" i="4" s="1"/>
  <c r="AO34" i="4" s="1"/>
  <c r="AO36" i="4" s="1"/>
  <c r="AO37" i="4" s="1"/>
  <c r="AN31" i="7"/>
  <c r="AO28" i="7" s="1"/>
  <c r="AO30" i="7" l="1"/>
  <c r="AO29" i="7" s="1"/>
  <c r="AO34" i="7" s="1"/>
  <c r="AO36" i="7" s="1"/>
  <c r="AO31" i="4"/>
  <c r="AP28" i="4" s="1"/>
  <c r="AP55" i="3"/>
  <c r="AP56" i="3" s="1"/>
  <c r="AP58" i="3" s="1"/>
  <c r="AP43" i="6"/>
  <c r="AP45" i="6" s="1"/>
  <c r="AP47" i="6" s="1"/>
  <c r="AQ30" i="6" l="1"/>
  <c r="AP48" i="6"/>
  <c r="AP59" i="3"/>
  <c r="AQ41" i="3"/>
  <c r="AP30" i="4"/>
  <c r="AP29" i="4" s="1"/>
  <c r="AP34" i="4" s="1"/>
  <c r="AP36" i="4" s="1"/>
  <c r="AP37" i="4" s="1"/>
  <c r="AO31" i="7"/>
  <c r="AP28" i="7" s="1"/>
  <c r="AP30" i="7" l="1"/>
  <c r="AP29" i="7" s="1"/>
  <c r="AP34" i="7" s="1"/>
  <c r="AP36" i="7" s="1"/>
  <c r="AP31" i="4"/>
  <c r="AQ55" i="3"/>
  <c r="AQ56" i="3" s="1"/>
  <c r="AQ58" i="3" s="1"/>
  <c r="AQ43" i="6"/>
  <c r="AQ45" i="6" s="1"/>
  <c r="AQ47" i="6" s="1"/>
  <c r="AR30" i="6" l="1"/>
  <c r="AQ48" i="6"/>
  <c r="AQ59" i="3"/>
  <c r="AR41" i="3"/>
  <c r="AP31" i="7"/>
  <c r="AR55" i="3" l="1"/>
  <c r="AR56" i="3" s="1"/>
  <c r="AR58" i="3" s="1"/>
  <c r="AR43" i="6"/>
  <c r="AR45" i="6" s="1"/>
  <c r="AR47" i="6" s="1"/>
  <c r="AR48" i="6" l="1"/>
  <c r="AS30" i="6"/>
  <c r="AS41" i="3"/>
  <c r="AR59" i="3"/>
  <c r="AS55" i="3" l="1"/>
  <c r="AS56" i="3" s="1"/>
  <c r="AS58" i="3" s="1"/>
  <c r="AS43" i="6"/>
  <c r="AS45" i="6" s="1"/>
  <c r="AS47" i="6" s="1"/>
  <c r="AS48" i="6" l="1"/>
  <c r="AT30" i="6"/>
  <c r="AT41" i="3"/>
  <c r="AS59" i="3"/>
  <c r="AT43" i="6" l="1"/>
  <c r="AT45" i="6" s="1"/>
  <c r="AT47" i="6" s="1"/>
  <c r="AT55" i="3"/>
  <c r="AT56" i="3" s="1"/>
  <c r="AT58" i="3" s="1"/>
  <c r="AU41" i="3" l="1"/>
  <c r="AT59" i="3"/>
  <c r="AU30" i="6"/>
  <c r="AT48" i="6"/>
  <c r="AU43" i="6" l="1"/>
  <c r="AU45" i="6" s="1"/>
  <c r="AU47" i="6" s="1"/>
  <c r="AU55" i="3"/>
  <c r="AU56" i="3" s="1"/>
  <c r="AU58" i="3" s="1"/>
  <c r="AV41" i="3" l="1"/>
  <c r="AU59" i="3"/>
  <c r="AU48" i="6"/>
  <c r="AV30" i="6"/>
  <c r="AV55" i="3" l="1"/>
  <c r="AV56" i="3" s="1"/>
  <c r="AV58" i="3" s="1"/>
  <c r="AV43" i="6"/>
  <c r="AV45" i="6" s="1"/>
  <c r="AV47" i="6" s="1"/>
  <c r="AW30" i="6" l="1"/>
  <c r="AV48" i="6"/>
  <c r="AW41" i="3"/>
  <c r="AV59" i="3"/>
  <c r="AW55" i="3" l="1"/>
  <c r="AW56" i="3" s="1"/>
  <c r="AW58" i="3" s="1"/>
  <c r="AW43" i="6"/>
  <c r="AW45" i="6" s="1"/>
  <c r="AW47" i="6" s="1"/>
  <c r="AX30" i="6" l="1"/>
  <c r="AW48" i="6"/>
  <c r="AX41" i="3"/>
  <c r="AW59" i="3"/>
  <c r="AX55" i="3" l="1"/>
  <c r="AX56" i="3" s="1"/>
  <c r="AX58" i="3"/>
  <c r="AX43" i="6"/>
  <c r="AX45" i="6" s="1"/>
  <c r="AX47" i="6" s="1"/>
  <c r="AY30" i="6" l="1"/>
  <c r="AX48" i="6"/>
  <c r="AY41" i="3"/>
  <c r="AX59" i="3"/>
  <c r="AY55" i="3" l="1"/>
  <c r="AY56" i="3" s="1"/>
  <c r="AY58" i="3" s="1"/>
  <c r="AY43" i="6"/>
  <c r="AY45" i="6" s="1"/>
  <c r="AY47" i="6" s="1"/>
  <c r="AY48" i="6" l="1"/>
  <c r="AZ30" i="6"/>
  <c r="AZ41" i="3"/>
  <c r="AY59" i="3"/>
  <c r="AZ55" i="3" l="1"/>
  <c r="AZ56" i="3" s="1"/>
  <c r="AZ58" i="3" s="1"/>
  <c r="AZ43" i="6"/>
  <c r="AZ45" i="6" s="1"/>
  <c r="AZ47" i="6" s="1"/>
  <c r="BA30" i="6" l="1"/>
  <c r="AZ48" i="6"/>
  <c r="BA41" i="3"/>
  <c r="AZ59" i="3"/>
  <c r="BA55" i="3" l="1"/>
  <c r="BA56" i="3" s="1"/>
  <c r="BA58" i="3"/>
  <c r="BA43" i="6"/>
  <c r="BA45" i="6" s="1"/>
  <c r="BA47" i="6" s="1"/>
  <c r="BA48" i="6" l="1"/>
  <c r="BB30" i="6"/>
  <c r="BB41" i="3"/>
  <c r="BA59" i="3"/>
  <c r="BB55" i="3" l="1"/>
  <c r="BB56" i="3" s="1"/>
  <c r="BB58" i="3" s="1"/>
  <c r="BB43" i="6"/>
  <c r="BB45" i="6" s="1"/>
  <c r="BB47" i="6" s="1"/>
  <c r="BC30" i="6" l="1"/>
  <c r="BB48" i="6"/>
  <c r="BB59" i="3"/>
  <c r="BC41" i="3"/>
  <c r="BC55" i="3" l="1"/>
  <c r="BC56" i="3" s="1"/>
  <c r="BC58" i="3" s="1"/>
  <c r="BC43" i="6"/>
  <c r="BC45" i="6" s="1"/>
  <c r="BC47" i="6" s="1"/>
  <c r="BD41" i="3" l="1"/>
  <c r="BC59" i="3"/>
  <c r="BD30" i="6"/>
  <c r="BC48" i="6"/>
  <c r="BD43" i="6" l="1"/>
  <c r="BD45" i="6" s="1"/>
  <c r="BD47" i="6" s="1"/>
  <c r="BD55" i="3"/>
  <c r="BD56" i="3" s="1"/>
  <c r="BD58" i="3" s="1"/>
  <c r="BE41" i="3" l="1"/>
  <c r="BD59" i="3"/>
  <c r="BE30" i="6"/>
  <c r="BD48" i="6"/>
  <c r="BE43" i="6" l="1"/>
  <c r="BE45" i="6" s="1"/>
  <c r="BE47" i="6" s="1"/>
  <c r="BE55" i="3"/>
  <c r="BE56" i="3" s="1"/>
  <c r="BE58" i="3" s="1"/>
  <c r="BF41" i="3" l="1"/>
  <c r="BE59" i="3"/>
  <c r="BF30" i="6"/>
  <c r="BE48" i="6"/>
  <c r="BF43" i="6" l="1"/>
  <c r="BF45" i="6" s="1"/>
  <c r="BF47" i="6" s="1"/>
  <c r="BF55" i="3"/>
  <c r="BF56" i="3" s="1"/>
  <c r="BF58" i="3" s="1"/>
  <c r="BG30" i="6" l="1"/>
  <c r="BF48" i="6"/>
  <c r="BG41" i="3"/>
  <c r="BF59" i="3"/>
  <c r="BG55" i="3" l="1"/>
  <c r="BG56" i="3" s="1"/>
  <c r="BG58" i="3" s="1"/>
  <c r="BG43" i="6"/>
  <c r="BG45" i="6" s="1"/>
  <c r="BG47" i="6" s="1"/>
  <c r="BH30" i="6" l="1"/>
  <c r="BG48" i="6"/>
  <c r="BH41" i="3"/>
  <c r="BG59" i="3"/>
  <c r="BH55" i="3" l="1"/>
  <c r="BH56" i="3" s="1"/>
  <c r="BH58" i="3" s="1"/>
  <c r="BH43" i="6"/>
  <c r="BH45" i="6" s="1"/>
  <c r="BH47" i="6" s="1"/>
  <c r="BH48" i="6" l="1"/>
  <c r="BI30" i="6"/>
  <c r="BI41" i="3"/>
  <c r="BH59" i="3"/>
  <c r="BI55" i="3" l="1"/>
  <c r="BI56" i="3" s="1"/>
  <c r="BI58" i="3" s="1"/>
  <c r="BI43" i="6"/>
  <c r="BI45" i="6" s="1"/>
  <c r="BI47" i="6" s="1"/>
  <c r="BI48" i="6" l="1"/>
  <c r="BJ30" i="6"/>
  <c r="BJ41" i="3"/>
  <c r="BI59" i="3"/>
  <c r="BJ55" i="3" l="1"/>
  <c r="BJ56" i="3" s="1"/>
  <c r="BJ58" i="3" s="1"/>
  <c r="BJ43" i="6"/>
  <c r="BJ45" i="6" s="1"/>
  <c r="BJ47" i="6" s="1"/>
  <c r="BK30" i="6" l="1"/>
  <c r="BJ48" i="6"/>
  <c r="BK41" i="3"/>
  <c r="BJ59" i="3"/>
  <c r="BK55" i="3" l="1"/>
  <c r="BK56" i="3" s="1"/>
  <c r="BK58" i="3" s="1"/>
  <c r="BK43" i="6"/>
  <c r="BK45" i="6" s="1"/>
  <c r="BK47" i="6" s="1"/>
  <c r="BL30" i="6" l="1"/>
  <c r="BK48" i="6"/>
  <c r="BK59" i="3"/>
  <c r="BL41" i="3"/>
  <c r="BL55" i="3" l="1"/>
  <c r="BL56" i="3" s="1"/>
  <c r="BL58" i="3" s="1"/>
  <c r="BL43" i="6"/>
  <c r="BL45" i="6" s="1"/>
  <c r="BL47" i="6" s="1"/>
  <c r="BL48" i="6" s="1"/>
  <c r="BM41" i="3" l="1"/>
  <c r="BL59" i="3"/>
  <c r="BM55" i="3" l="1"/>
  <c r="BM56" i="3" s="1"/>
  <c r="BM58" i="3"/>
  <c r="BN41" i="3" l="1"/>
  <c r="BM59" i="3"/>
  <c r="BN55" i="3" l="1"/>
  <c r="BN56" i="3" s="1"/>
  <c r="BN58" i="3" s="1"/>
  <c r="BO41" i="3" l="1"/>
  <c r="BN59" i="3"/>
  <c r="BO58" i="3" l="1"/>
  <c r="BO55" i="3"/>
  <c r="BO56" i="3" s="1"/>
  <c r="BP41" i="3" l="1"/>
  <c r="BO59" i="3"/>
  <c r="BP55" i="3" l="1"/>
  <c r="BP56" i="3" s="1"/>
  <c r="BP58" i="3" s="1"/>
  <c r="BQ41" i="3" l="1"/>
  <c r="BP59" i="3"/>
  <c r="BQ55" i="3" l="1"/>
  <c r="BQ56" i="3" s="1"/>
  <c r="BQ58" i="3"/>
  <c r="BR41" i="3" l="1"/>
  <c r="BQ59" i="3"/>
  <c r="BR55" i="3" l="1"/>
  <c r="BR56" i="3" s="1"/>
  <c r="BR58" i="3" s="1"/>
  <c r="BR59" i="3" l="1"/>
  <c r="BS41" i="3"/>
  <c r="BS55" i="3" l="1"/>
  <c r="BS56" i="3" s="1"/>
  <c r="BS58" i="3" s="1"/>
  <c r="BT41" i="3" l="1"/>
  <c r="BS59" i="3"/>
  <c r="BT55" i="3" l="1"/>
  <c r="BT56" i="3" s="1"/>
  <c r="BT58" i="3" s="1"/>
  <c r="BU41" i="3" l="1"/>
  <c r="BT59" i="3"/>
  <c r="BU55" i="3" l="1"/>
  <c r="BU56" i="3" s="1"/>
  <c r="BU58" i="3"/>
  <c r="BV41" i="3" l="1"/>
  <c r="BU59" i="3"/>
  <c r="BV55" i="3" l="1"/>
  <c r="BV56" i="3" s="1"/>
  <c r="BV58" i="3"/>
  <c r="BV59" i="3" s="1"/>
</calcChain>
</file>

<file path=xl/comments1.xml><?xml version="1.0" encoding="utf-8"?>
<comments xmlns="http://schemas.openxmlformats.org/spreadsheetml/2006/main">
  <authors>
    <author>Tyrell</author>
  </authors>
  <commentList>
    <comment ref="A16" authorId="0" shapeId="0">
      <text>
        <r>
          <rPr>
            <b/>
            <sz val="8"/>
            <color indexed="81"/>
            <rFont val="Tahoma"/>
            <family val="2"/>
          </rPr>
          <t>Tyrell Harrison:</t>
        </r>
        <r>
          <rPr>
            <sz val="8"/>
            <color indexed="81"/>
            <rFont val="Tahoma"/>
          </rPr>
          <t xml:space="preserve">
Assumed to occur in 3Q 2000</t>
        </r>
      </text>
    </comment>
  </commentList>
</comments>
</file>

<file path=xl/comments2.xml><?xml version="1.0" encoding="utf-8"?>
<comments xmlns="http://schemas.openxmlformats.org/spreadsheetml/2006/main">
  <authors>
    <author>Charles Varnell</author>
    <author>Katie Stowers</author>
  </authors>
  <commentList>
    <comment ref="A25" authorId="0" shapeId="0">
      <text>
        <r>
          <rPr>
            <b/>
            <sz val="8"/>
            <color indexed="81"/>
            <rFont val="Tahoma"/>
          </rPr>
          <t>Charles Varnell:</t>
        </r>
        <r>
          <rPr>
            <sz val="8"/>
            <color indexed="81"/>
            <rFont val="Tahoma"/>
          </rPr>
          <t xml:space="preserve">
Itemized O&amp;M from CMS 2000 budget</t>
        </r>
      </text>
    </comment>
    <comment ref="A29" authorId="0" shapeId="0">
      <text>
        <r>
          <rPr>
            <b/>
            <sz val="8"/>
            <color indexed="81"/>
            <rFont val="Tahoma"/>
          </rPr>
          <t>Charles Varnell:</t>
        </r>
        <r>
          <rPr>
            <sz val="8"/>
            <color indexed="81"/>
            <rFont val="Tahoma"/>
          </rPr>
          <t xml:space="preserve">
Itemized G&amp;A expenses from CMS 2000 budget</t>
        </r>
      </text>
    </comment>
    <comment ref="B36" authorId="1" shapeId="0">
      <text>
        <r>
          <rPr>
            <b/>
            <sz val="8"/>
            <color indexed="81"/>
            <rFont val="Tahoma"/>
          </rPr>
          <t>Katie Stowers:</t>
        </r>
        <r>
          <rPr>
            <sz val="8"/>
            <color indexed="81"/>
            <rFont val="Tahoma"/>
          </rPr>
          <t xml:space="preserve">
per CMS Field Services FUGG BS
</t>
        </r>
      </text>
    </comment>
    <comment ref="W53" authorId="1" shapeId="0">
      <text>
        <r>
          <rPr>
            <b/>
            <sz val="8"/>
            <color indexed="81"/>
            <rFont val="Tahoma"/>
          </rPr>
          <t>Katie Stowers:</t>
        </r>
        <r>
          <rPr>
            <sz val="8"/>
            <color indexed="81"/>
            <rFont val="Tahoma"/>
          </rPr>
          <t xml:space="preserve">
expansion occurs
</t>
        </r>
      </text>
    </comment>
    <comment ref="AA58" authorId="1" shapeId="0">
      <text>
        <r>
          <rPr>
            <b/>
            <sz val="8"/>
            <color indexed="81"/>
            <rFont val="Tahoma"/>
            <family val="2"/>
          </rPr>
          <t>cvarnel:</t>
        </r>
        <r>
          <rPr>
            <sz val="8"/>
            <color indexed="81"/>
            <rFont val="Tahoma"/>
          </rPr>
          <t xml:space="preserve">
The cash balance is intended to represent FUGG's withholding of cash generated through operations to pay for principal and interest.  It decreases in 2001 to correspond with higher operating cash flows.</t>
        </r>
      </text>
    </comment>
  </commentList>
</comments>
</file>

<file path=xl/comments3.xml><?xml version="1.0" encoding="utf-8"?>
<comments xmlns="http://schemas.openxmlformats.org/spreadsheetml/2006/main">
  <authors>
    <author>Katie Stowers</author>
  </authors>
  <commentList>
    <comment ref="F28" authorId="0" shapeId="0">
      <text>
        <r>
          <rPr>
            <b/>
            <sz val="8"/>
            <color indexed="81"/>
            <rFont val="Tahoma"/>
          </rPr>
          <t>Katie Stowers:</t>
        </r>
        <r>
          <rPr>
            <sz val="8"/>
            <color indexed="81"/>
            <rFont val="Tahoma"/>
          </rPr>
          <t xml:space="preserve">
expansion occurs and is just assumed to roll into the current term loan structure as it occurs before any principal amounts are paid</t>
        </r>
      </text>
    </comment>
  </commentList>
</comments>
</file>

<file path=xl/sharedStrings.xml><?xml version="1.0" encoding="utf-8"?>
<sst xmlns="http://schemas.openxmlformats.org/spreadsheetml/2006/main" count="271" uniqueCount="179">
  <si>
    <t>Fort  Union Gas Gathering and Lost Creek Gas Gathering</t>
  </si>
  <si>
    <t>Throughput Volumes (Mcfd)</t>
  </si>
  <si>
    <t>EMS - NCOC</t>
  </si>
  <si>
    <t>EMS - 3rd Party</t>
  </si>
  <si>
    <t>Lost Creek Gas Gathering Volumes</t>
  </si>
  <si>
    <t>Fort Union Gas Gathering</t>
  </si>
  <si>
    <t>Existing Volume</t>
  </si>
  <si>
    <t>ECT Volume</t>
  </si>
  <si>
    <t>Bighorn Volume</t>
  </si>
  <si>
    <t>WGR / Barrett Volume</t>
  </si>
  <si>
    <t>Other Third Party Volume</t>
  </si>
  <si>
    <t>Total Volume on Fort Union</t>
  </si>
  <si>
    <t>Total Volume &gt; 300MMcfd</t>
  </si>
  <si>
    <t>Incremental Rate</t>
  </si>
  <si>
    <t>Incremental Revenue / Day</t>
  </si>
  <si>
    <t># Days in Month</t>
  </si>
  <si>
    <t>ECT Demand Revenue</t>
  </si>
  <si>
    <t>Other Demand Revenue</t>
  </si>
  <si>
    <t>Incremental Revenue</t>
  </si>
  <si>
    <t>Total Revenue per Month</t>
  </si>
  <si>
    <t>Fort Union Gas Gathering Volumes</t>
  </si>
  <si>
    <t>For the period beginning</t>
  </si>
  <si>
    <t>Ending</t>
  </si>
  <si>
    <t>Firm Capacity</t>
  </si>
  <si>
    <t>ECT Fixed Gathering Fee / Day</t>
  </si>
  <si>
    <t>CMS Fixed Gathering Fee / Day</t>
  </si>
  <si>
    <t>WGW Fixed Gathering Fee / Day</t>
  </si>
  <si>
    <t xml:space="preserve">Volumes </t>
  </si>
  <si>
    <t>Assumptions</t>
  </si>
  <si>
    <t>Financing</t>
  </si>
  <si>
    <t>Term Loan Amount</t>
  </si>
  <si>
    <t>Agent's Fee</t>
  </si>
  <si>
    <t>LIBOR (fixed)</t>
  </si>
  <si>
    <t>Term Loan margin Closing - 12/30/99</t>
  </si>
  <si>
    <t>Term Loan margin 12/30/99 - 12/30/01</t>
  </si>
  <si>
    <t>Term Loan margin 12/30/01 - 12/30/03</t>
  </si>
  <si>
    <t>Term Loan margin 12/30/03 - 12/30/05</t>
  </si>
  <si>
    <t>Term Loan margin 12/30/05 - 12/30/07</t>
  </si>
  <si>
    <t>Term Loan margin 12/30/07 - 12/30/09</t>
  </si>
  <si>
    <t>Expansion Cost to 700 MMcfd (1/3,2/3 option)</t>
  </si>
  <si>
    <t>Leverage %</t>
  </si>
  <si>
    <t>Increase in Term Loan for Expansion</t>
  </si>
  <si>
    <t>Annual FUGG Debt Service (starting in Q1 '01)</t>
  </si>
  <si>
    <t>ENA Ownership Percentage</t>
  </si>
  <si>
    <t>Operational</t>
  </si>
  <si>
    <t>ENA Capacity</t>
  </si>
  <si>
    <t>Day 1 Throughput</t>
  </si>
  <si>
    <t>FUGG Capacity after Expansion (Mcfd)</t>
  </si>
  <si>
    <t>Annual O&amp;M Expense (prior to expansion)</t>
  </si>
  <si>
    <t>Incremental Annual Expansion O&amp;M</t>
  </si>
  <si>
    <t>Annual G&amp;A</t>
  </si>
  <si>
    <t>Accounts Receivable Turnover</t>
  </si>
  <si>
    <t>Accounts Payable Turnover</t>
  </si>
  <si>
    <t>Merrick Estimate</t>
  </si>
  <si>
    <t>Capitalized Interest &amp; Fees</t>
  </si>
  <si>
    <t>Total project cost</t>
  </si>
  <si>
    <t>Non-recourse</t>
  </si>
  <si>
    <t>Term Loan</t>
  </si>
  <si>
    <t>Agent's Fee yrs 1-10</t>
  </si>
  <si>
    <t>Term Loan margin Year 1-2</t>
  </si>
  <si>
    <t>Term Loan margin Year 3-4</t>
  </si>
  <si>
    <t>Term Loan margin Year 5-6</t>
  </si>
  <si>
    <t>Term Loan margin Year 7-8</t>
  </si>
  <si>
    <t>Term Loan margin Year 9-10</t>
  </si>
  <si>
    <t>Total Equity Contribution</t>
  </si>
  <si>
    <t>Equity contributed prior to funding</t>
  </si>
  <si>
    <t>Demand Rate</t>
  </si>
  <si>
    <t>Annual O&amp;M Expense</t>
  </si>
  <si>
    <t>Ad Valorem Tax</t>
  </si>
  <si>
    <t>Minimum Cash Balance</t>
  </si>
  <si>
    <t>NCOC Rate ($/Mcf)</t>
  </si>
  <si>
    <t>Lost Creek Gas Gathering</t>
  </si>
  <si>
    <t>Operating Expenses</t>
  </si>
  <si>
    <t>Pre-expansion O&amp;M</t>
  </si>
  <si>
    <t>Incremental Expansion O&amp;M</t>
  </si>
  <si>
    <t>Total O&amp;M</t>
  </si>
  <si>
    <t>General &amp; Administrative</t>
  </si>
  <si>
    <t>Total G&amp;A</t>
  </si>
  <si>
    <t>Total Expenses per Month</t>
  </si>
  <si>
    <t>EBITDA</t>
  </si>
  <si>
    <t>Interest Expense</t>
  </si>
  <si>
    <t>Depreciation Expense</t>
  </si>
  <si>
    <t>Net Income</t>
  </si>
  <si>
    <t>Revenues</t>
  </si>
  <si>
    <t>O&amp;M Escalator</t>
  </si>
  <si>
    <t>O&amp;M Annual Escalator</t>
  </si>
  <si>
    <t>G&amp;A Escalator</t>
  </si>
  <si>
    <t>G&amp;A Annual Escalator</t>
  </si>
  <si>
    <t>Total Project Value</t>
  </si>
  <si>
    <t>Term Loan %</t>
  </si>
  <si>
    <t>Term Loan Notional Value</t>
  </si>
  <si>
    <t>Fixed LIBOR</t>
  </si>
  <si>
    <t>Margins:</t>
  </si>
  <si>
    <t>Average</t>
  </si>
  <si>
    <t>Period</t>
  </si>
  <si>
    <t>Date</t>
  </si>
  <si>
    <t>LIBOR</t>
  </si>
  <si>
    <t>Spread</t>
  </si>
  <si>
    <t>Coupon</t>
  </si>
  <si>
    <t>Beginning Balance</t>
  </si>
  <si>
    <t>Principal Payment</t>
  </si>
  <si>
    <t>Interest Payment</t>
  </si>
  <si>
    <t>Ending Balance</t>
  </si>
  <si>
    <t>Total Period Payment</t>
  </si>
  <si>
    <t>Total Principal Payments</t>
  </si>
  <si>
    <t>Remaining Notional Amount</t>
  </si>
  <si>
    <t>Each Bank's Notional Amount</t>
  </si>
  <si>
    <t>EBITDA DSCR</t>
  </si>
  <si>
    <t>DSCR</t>
  </si>
  <si>
    <t>From</t>
  </si>
  <si>
    <t>To</t>
  </si>
  <si>
    <t>closing</t>
  </si>
  <si>
    <t>Cash at beginning of period</t>
  </si>
  <si>
    <t>OPERATIONS</t>
  </si>
  <si>
    <t>Pre Tax Income</t>
  </si>
  <si>
    <t xml:space="preserve">  Plus Depreciation Expense</t>
  </si>
  <si>
    <t>Cash Flows from Operations</t>
  </si>
  <si>
    <t>INVESTMENTS</t>
  </si>
  <si>
    <t xml:space="preserve">  Purchases of PP&amp;E</t>
  </si>
  <si>
    <t>Cash Flows from Investments</t>
  </si>
  <si>
    <t>FINANCING</t>
  </si>
  <si>
    <t xml:space="preserve">  Increase (Decrease) in Long Term Debt</t>
  </si>
  <si>
    <t xml:space="preserve">  Increase in Paid-In Capital</t>
  </si>
  <si>
    <t xml:space="preserve">  Dividends Paid</t>
  </si>
  <si>
    <t>Cash Flows from Financing</t>
  </si>
  <si>
    <t>Cash at end of period</t>
  </si>
  <si>
    <t>Increase in cash</t>
  </si>
  <si>
    <t xml:space="preserve">Capacity Expansion </t>
  </si>
  <si>
    <t>Loan %</t>
  </si>
  <si>
    <t>Loan Notional Value</t>
  </si>
  <si>
    <r>
      <t>*</t>
    </r>
    <r>
      <rPr>
        <i/>
        <sz val="10"/>
        <rFont val="Times New Roman"/>
        <family val="1"/>
      </rPr>
      <t>same spreads are assumed to apply</t>
    </r>
  </si>
  <si>
    <t>Valuation Summary</t>
  </si>
  <si>
    <t>2005 Cash Flow:</t>
  </si>
  <si>
    <t>Steady State Period (Years)</t>
  </si>
  <si>
    <t>Annual Decline Rate after steady-state period</t>
  </si>
  <si>
    <t>Discount Rate</t>
  </si>
  <si>
    <t>Fort Union Terminal Value</t>
  </si>
  <si>
    <t xml:space="preserve">TOTAL FUGG </t>
  </si>
  <si>
    <t>ENA %</t>
  </si>
  <si>
    <t>NPV EBITDAs yrs. 1 - 5</t>
  </si>
  <si>
    <t>Ft. Union Valuation</t>
  </si>
  <si>
    <t>Ft. Union Term Loan Amortization</t>
  </si>
  <si>
    <t>Lost Creek Term Loan Amortization</t>
  </si>
  <si>
    <t>Lost Creek Valuation</t>
  </si>
  <si>
    <t>REVENUES</t>
  </si>
  <si>
    <t xml:space="preserve">  Burlington Demand Charge</t>
  </si>
  <si>
    <t xml:space="preserve">  ENA Demand Charge</t>
  </si>
  <si>
    <t>Total Revenues</t>
  </si>
  <si>
    <t>EXPENSES</t>
  </si>
  <si>
    <t xml:space="preserve">  O&amp;M Expense</t>
  </si>
  <si>
    <t xml:space="preserve">  Ad Valorem Tax Expense</t>
  </si>
  <si>
    <t xml:space="preserve">  Other</t>
  </si>
  <si>
    <t>Total O&amp;M Expenses</t>
  </si>
  <si>
    <t>Amortization of Capitalized Interest</t>
  </si>
  <si>
    <t>Pre-expansion Total Capacity</t>
  </si>
  <si>
    <t>Incremental expansion Capacity</t>
  </si>
  <si>
    <t>BR's Demand Volume (Mcfd)</t>
  </si>
  <si>
    <t>EMS' Demand Volume including NCOC's portion (Mcfd)</t>
  </si>
  <si>
    <t>NCOC Demand Volume through EMS (Mcfd)</t>
  </si>
  <si>
    <t>Available Volumes (Mcfd - not capacity constrained)</t>
  </si>
  <si>
    <t>BR</t>
  </si>
  <si>
    <t>Expansion Capex</t>
  </si>
  <si>
    <t>Stated Capacity (MCFD)</t>
  </si>
  <si>
    <t>Does BR Participate in Expansion? (1=yes,0=no)</t>
  </si>
  <si>
    <t>Incremental Expansion  O&amp;M</t>
  </si>
  <si>
    <t>NCOC</t>
  </si>
  <si>
    <t>NCOC Participation %</t>
  </si>
  <si>
    <t>Incremental Windfall O&amp;M per NCOC contract</t>
  </si>
  <si>
    <t>Incremental Expansion O&amp;M per NCOC contract</t>
  </si>
  <si>
    <t xml:space="preserve">Net Income </t>
  </si>
  <si>
    <t xml:space="preserve">  O&amp;M Escalator</t>
  </si>
  <si>
    <t>STATEMENT OF CASH FLOWS</t>
  </si>
  <si>
    <t>INCOME STATEMENT</t>
  </si>
  <si>
    <t xml:space="preserve">  Increase in Long Term Debt</t>
  </si>
  <si>
    <t>Lost Creek Terminal Value</t>
  </si>
  <si>
    <t xml:space="preserve">TOTAL LCGG </t>
  </si>
  <si>
    <t>Cash Reserve before 2001</t>
  </si>
  <si>
    <t>Cash Reserve after 2001</t>
  </si>
  <si>
    <t>Combined Valuation of both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</si>
</sst>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000%"/>
    <numFmt numFmtId="165" formatCode="_(&quot;$&quot;* #,##0_);_(&quot;$&quot;* \(#,##0\);_(&quot;$&quot;* &quot;-&quot;??_);_(@_)"/>
    <numFmt numFmtId="166" formatCode="_(* #,##0_);_(* \(#,##0\);_(* &quot;-&quot;??_);_(@_)"/>
    <numFmt numFmtId="167" formatCode="_(&quot;$&quot;* #,##0.000_);_(&quot;$&quot;* \(#,##0.000\);_(&quot;$&quot;* &quot;-&quot;??_);_(@_)"/>
    <numFmt numFmtId="173" formatCode="_(* #,##0.0000_);_(* \(#,##0.0000\);_(* &quot;-&quot;??_);_(@_)"/>
    <numFmt numFmtId="174" formatCode="0.00000%"/>
  </numFmts>
  <fonts count="21" x14ac:knownFonts="1">
    <font>
      <sz val="10"/>
      <name val="Arial"/>
    </font>
    <font>
      <sz val="10"/>
      <name val="Arial"/>
    </font>
    <font>
      <sz val="10"/>
      <name val="Times New Roman"/>
      <family val="1"/>
    </font>
    <font>
      <b/>
      <sz val="12"/>
      <name val="Times New Roman"/>
      <family val="1"/>
    </font>
    <font>
      <b/>
      <sz val="10"/>
      <name val="Times New Roman"/>
      <family val="1"/>
    </font>
    <font>
      <u/>
      <sz val="10"/>
      <name val="Times New Roman"/>
      <family val="1"/>
    </font>
    <font>
      <sz val="8"/>
      <name val="Arial"/>
    </font>
    <font>
      <sz val="9"/>
      <name val="Arial"/>
    </font>
    <font>
      <b/>
      <sz val="9"/>
      <name val="Times New Roman"/>
      <family val="1"/>
    </font>
    <font>
      <sz val="9"/>
      <name val="Times New Roman"/>
      <family val="1"/>
    </font>
    <font>
      <b/>
      <sz val="8"/>
      <color indexed="81"/>
      <name val="Tahoma"/>
    </font>
    <font>
      <sz val="8"/>
      <color indexed="81"/>
      <name val="Tahoma"/>
    </font>
    <font>
      <b/>
      <sz val="8"/>
      <color indexed="81"/>
      <name val="Tahoma"/>
      <family val="2"/>
    </font>
    <font>
      <sz val="8"/>
      <name val="Arial"/>
      <family val="2"/>
    </font>
    <font>
      <sz val="10"/>
      <color indexed="12"/>
      <name val="Times New Roman"/>
      <family val="1"/>
    </font>
    <font>
      <sz val="10"/>
      <color indexed="8"/>
      <name val="Times New Roman"/>
      <family val="1"/>
    </font>
    <font>
      <sz val="8"/>
      <name val="Times New Roman"/>
      <family val="1"/>
    </font>
    <font>
      <b/>
      <i/>
      <sz val="10"/>
      <name val="Times New Roman"/>
      <family val="1"/>
    </font>
    <font>
      <u val="singleAccounting"/>
      <sz val="10"/>
      <name val="Times New Roman"/>
      <family val="1"/>
    </font>
    <font>
      <i/>
      <sz val="10"/>
      <name val="Times New Roman"/>
      <family val="1"/>
    </font>
    <font>
      <u/>
      <sz val="10"/>
      <color indexed="12"/>
      <name val="Times New Roman"/>
      <family val="1"/>
    </font>
  </fonts>
  <fills count="5">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42"/>
        <bgColor indexed="64"/>
      </patternFill>
    </fill>
  </fills>
  <borders count="11">
    <border>
      <left/>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43" fontId="1" fillId="0" borderId="0" applyFont="0" applyFill="0" applyBorder="0" applyAlignment="0" applyProtection="0"/>
    <xf numFmtId="44" fontId="1" fillId="0" borderId="0" applyFont="0" applyFill="0" applyBorder="0" applyAlignment="0" applyProtection="0"/>
    <xf numFmtId="0" fontId="7" fillId="0" borderId="0"/>
    <xf numFmtId="0" fontId="7" fillId="0" borderId="0"/>
    <xf numFmtId="0" fontId="6" fillId="0" borderId="0"/>
    <xf numFmtId="0" fontId="6" fillId="0" borderId="0"/>
    <xf numFmtId="9" fontId="1" fillId="0" borderId="0" applyFont="0" applyFill="0" applyBorder="0" applyAlignment="0" applyProtection="0"/>
  </cellStyleXfs>
  <cellXfs count="128">
    <xf numFmtId="0" fontId="0" fillId="0" borderId="0" xfId="0"/>
    <xf numFmtId="0" fontId="2" fillId="0" borderId="0" xfId="0" applyFont="1"/>
    <xf numFmtId="0" fontId="3" fillId="0" borderId="0" xfId="0" applyFont="1"/>
    <xf numFmtId="0" fontId="4" fillId="0" borderId="0" xfId="0" applyFont="1"/>
    <xf numFmtId="0" fontId="2" fillId="0" borderId="0" xfId="5" applyFont="1"/>
    <xf numFmtId="0" fontId="2" fillId="0" borderId="0" xfId="5" applyFont="1" applyBorder="1"/>
    <xf numFmtId="0" fontId="4" fillId="0" borderId="0" xfId="5" applyFont="1" applyBorder="1"/>
    <xf numFmtId="14" fontId="8" fillId="0" borderId="0" xfId="3" applyNumberFormat="1" applyFont="1" applyAlignment="1">
      <alignment horizontal="center"/>
    </xf>
    <xf numFmtId="0" fontId="9" fillId="0" borderId="0" xfId="3" applyFont="1"/>
    <xf numFmtId="41" fontId="2" fillId="0" borderId="0" xfId="0" applyNumberFormat="1" applyFont="1"/>
    <xf numFmtId="41" fontId="5" fillId="0" borderId="0" xfId="0" applyNumberFormat="1" applyFont="1"/>
    <xf numFmtId="44" fontId="2" fillId="0" borderId="0" xfId="0" applyNumberFormat="1" applyFont="1"/>
    <xf numFmtId="44" fontId="2" fillId="0" borderId="0" xfId="2" applyFont="1"/>
    <xf numFmtId="42" fontId="2" fillId="0" borderId="0" xfId="0" applyNumberFormat="1" applyFont="1"/>
    <xf numFmtId="0" fontId="2" fillId="0" borderId="1" xfId="0" applyFont="1" applyBorder="1"/>
    <xf numFmtId="0" fontId="4" fillId="0" borderId="0" xfId="0" applyFont="1" applyBorder="1"/>
    <xf numFmtId="165" fontId="15" fillId="0" borderId="0" xfId="2" applyNumberFormat="1" applyFont="1" applyFill="1" applyBorder="1"/>
    <xf numFmtId="0" fontId="2" fillId="0" borderId="0" xfId="0" applyFont="1" applyBorder="1" applyAlignment="1">
      <alignment horizontal="left"/>
    </xf>
    <xf numFmtId="44" fontId="14" fillId="0" borderId="0" xfId="6" applyNumberFormat="1" applyFont="1" applyFill="1" applyBorder="1"/>
    <xf numFmtId="44" fontId="14" fillId="0" borderId="0" xfId="2" applyFont="1" applyFill="1" applyBorder="1"/>
    <xf numFmtId="164" fontId="14" fillId="0" borderId="0" xfId="7" applyNumberFormat="1" applyFont="1" applyFill="1" applyBorder="1"/>
    <xf numFmtId="164" fontId="14" fillId="0" borderId="0" xfId="6" applyNumberFormat="1" applyFont="1" applyFill="1" applyBorder="1"/>
    <xf numFmtId="165" fontId="14" fillId="0" borderId="0" xfId="2" applyNumberFormat="1" applyFont="1" applyFill="1" applyBorder="1"/>
    <xf numFmtId="9" fontId="14" fillId="0" borderId="0" xfId="7" applyFont="1" applyFill="1" applyBorder="1"/>
    <xf numFmtId="10" fontId="14" fillId="0" borderId="0" xfId="7" applyNumberFormat="1" applyFont="1" applyFill="1" applyBorder="1"/>
    <xf numFmtId="0" fontId="13" fillId="0" borderId="0" xfId="0" applyFont="1" applyFill="1" applyBorder="1"/>
    <xf numFmtId="166" fontId="14" fillId="0" borderId="0" xfId="1" applyNumberFormat="1" applyFont="1" applyFill="1" applyBorder="1"/>
    <xf numFmtId="167" fontId="14" fillId="0" borderId="0" xfId="2" applyNumberFormat="1" applyFont="1" applyFill="1" applyBorder="1"/>
    <xf numFmtId="0" fontId="14" fillId="0" borderId="0" xfId="0" applyFont="1" applyFill="1" applyBorder="1"/>
    <xf numFmtId="0" fontId="16" fillId="0" borderId="0" xfId="0" applyFont="1" applyBorder="1"/>
    <xf numFmtId="0" fontId="2" fillId="0" borderId="0" xfId="0" applyFont="1" applyBorder="1"/>
    <xf numFmtId="165" fontId="2" fillId="0" borderId="0" xfId="0" applyNumberFormat="1" applyFont="1" applyFill="1" applyBorder="1"/>
    <xf numFmtId="165" fontId="2" fillId="0" borderId="0" xfId="2" applyNumberFormat="1" applyFont="1" applyFill="1" applyBorder="1"/>
    <xf numFmtId="10" fontId="2" fillId="0" borderId="0" xfId="7" applyNumberFormat="1" applyFont="1" applyFill="1" applyBorder="1"/>
    <xf numFmtId="0" fontId="16" fillId="0" borderId="0" xfId="0" applyFont="1" applyFill="1" applyBorder="1"/>
    <xf numFmtId="0" fontId="4" fillId="0" borderId="0" xfId="5" applyFont="1"/>
    <xf numFmtId="43" fontId="2" fillId="0" borderId="0" xfId="1" applyFont="1"/>
    <xf numFmtId="166" fontId="2" fillId="0" borderId="0" xfId="1" applyNumberFormat="1" applyFont="1"/>
    <xf numFmtId="43" fontId="5" fillId="0" borderId="0" xfId="1" applyFont="1"/>
    <xf numFmtId="166" fontId="5" fillId="0" borderId="0" xfId="1" applyNumberFormat="1" applyFont="1"/>
    <xf numFmtId="166" fontId="2" fillId="0" borderId="0" xfId="0" applyNumberFormat="1" applyFont="1"/>
    <xf numFmtId="165" fontId="2" fillId="0" borderId="0" xfId="2" applyNumberFormat="1" applyFont="1"/>
    <xf numFmtId="10" fontId="14" fillId="0" borderId="0" xfId="1" applyNumberFormat="1" applyFont="1" applyFill="1" applyBorder="1"/>
    <xf numFmtId="10" fontId="2" fillId="0" borderId="0" xfId="0" applyNumberFormat="1" applyFont="1"/>
    <xf numFmtId="10" fontId="2" fillId="0" borderId="0" xfId="7" applyNumberFormat="1" applyFont="1"/>
    <xf numFmtId="14" fontId="2" fillId="0" borderId="0" xfId="0" applyNumberFormat="1" applyFont="1" applyAlignment="1">
      <alignment horizontal="center"/>
    </xf>
    <xf numFmtId="9" fontId="2" fillId="0" borderId="0" xfId="0" applyNumberFormat="1" applyFont="1"/>
    <xf numFmtId="165" fontId="2" fillId="0" borderId="0" xfId="0" applyNumberFormat="1" applyFont="1"/>
    <xf numFmtId="164" fontId="2" fillId="0" borderId="0" xfId="7" applyNumberFormat="1" applyFont="1"/>
    <xf numFmtId="164" fontId="2" fillId="0" borderId="0" xfId="0" applyNumberFormat="1" applyFont="1"/>
    <xf numFmtId="14" fontId="2" fillId="0" borderId="0" xfId="0" applyNumberFormat="1" applyFont="1"/>
    <xf numFmtId="14" fontId="2" fillId="0" borderId="0" xfId="6" applyNumberFormat="1" applyFont="1" applyBorder="1" applyAlignment="1">
      <alignment horizontal="center"/>
    </xf>
    <xf numFmtId="0" fontId="5" fillId="0" borderId="0" xfId="0" applyFont="1" applyAlignment="1">
      <alignment horizontal="center"/>
    </xf>
    <xf numFmtId="43" fontId="2" fillId="0" borderId="0" xfId="0" applyNumberFormat="1" applyFont="1"/>
    <xf numFmtId="165" fontId="2" fillId="2" borderId="0" xfId="2" applyNumberFormat="1" applyFont="1" applyFill="1"/>
    <xf numFmtId="165" fontId="2" fillId="0" borderId="0" xfId="0" applyNumberFormat="1" applyFont="1" applyFill="1"/>
    <xf numFmtId="165" fontId="2" fillId="0" borderId="0" xfId="2" applyNumberFormat="1" applyFont="1" applyFill="1"/>
    <xf numFmtId="173" fontId="2" fillId="0" borderId="0" xfId="1" applyNumberFormat="1" applyFont="1"/>
    <xf numFmtId="166" fontId="14" fillId="0" borderId="0" xfId="1" applyNumberFormat="1" applyFont="1"/>
    <xf numFmtId="0" fontId="17" fillId="0" borderId="0" xfId="5" applyFont="1"/>
    <xf numFmtId="166" fontId="18" fillId="0" borderId="0" xfId="0" applyNumberFormat="1" applyFont="1"/>
    <xf numFmtId="166" fontId="18" fillId="0" borderId="0" xfId="1" applyNumberFormat="1" applyFont="1"/>
    <xf numFmtId="43" fontId="18" fillId="0" borderId="0" xfId="1" applyFont="1"/>
    <xf numFmtId="166" fontId="5" fillId="0" borderId="0" xfId="0" applyNumberFormat="1" applyFont="1"/>
    <xf numFmtId="0" fontId="4" fillId="0" borderId="1" xfId="0" applyFont="1" applyBorder="1"/>
    <xf numFmtId="166" fontId="2" fillId="0" borderId="0" xfId="1" applyNumberFormat="1" applyFont="1" applyFill="1"/>
    <xf numFmtId="165" fontId="4" fillId="0" borderId="0" xfId="2" applyNumberFormat="1" applyFont="1"/>
    <xf numFmtId="165" fontId="4" fillId="0" borderId="0" xfId="0" applyNumberFormat="1" applyFont="1"/>
    <xf numFmtId="0" fontId="9" fillId="0" borderId="0" xfId="4" applyFont="1"/>
    <xf numFmtId="14" fontId="9" fillId="0" borderId="0" xfId="4" applyNumberFormat="1" applyFont="1" applyAlignment="1">
      <alignment horizontal="center"/>
    </xf>
    <xf numFmtId="0" fontId="8" fillId="0" borderId="0" xfId="4" applyFont="1"/>
    <xf numFmtId="0" fontId="9" fillId="0" borderId="0" xfId="4" applyFont="1" applyBorder="1"/>
    <xf numFmtId="0" fontId="8" fillId="0" borderId="0" xfId="4" applyFont="1" applyBorder="1"/>
    <xf numFmtId="0" fontId="2" fillId="0" borderId="0" xfId="0" applyFont="1" applyFill="1"/>
    <xf numFmtId="0" fontId="2" fillId="0" borderId="0" xfId="0" applyFont="1" applyFill="1" applyBorder="1"/>
    <xf numFmtId="166" fontId="15" fillId="0" borderId="0" xfId="1" applyNumberFormat="1" applyFont="1" applyFill="1" applyBorder="1"/>
    <xf numFmtId="43" fontId="14" fillId="0" borderId="0" xfId="1" applyNumberFormat="1" applyFont="1" applyFill="1" applyBorder="1"/>
    <xf numFmtId="166" fontId="2" fillId="0" borderId="0" xfId="0" applyNumberFormat="1" applyFont="1" applyBorder="1"/>
    <xf numFmtId="166" fontId="20" fillId="0" borderId="0" xfId="1" applyNumberFormat="1" applyFont="1" applyFill="1" applyBorder="1"/>
    <xf numFmtId="44" fontId="14" fillId="0" borderId="0" xfId="2" applyNumberFormat="1" applyFont="1" applyFill="1" applyBorder="1"/>
    <xf numFmtId="43" fontId="2" fillId="0" borderId="0" xfId="2" applyNumberFormat="1" applyFont="1" applyFill="1" applyBorder="1"/>
    <xf numFmtId="10" fontId="2" fillId="0" borderId="0" xfId="0" applyNumberFormat="1" applyFont="1" applyAlignment="1">
      <alignment horizontal="center"/>
    </xf>
    <xf numFmtId="0" fontId="2" fillId="0" borderId="0" xfId="0" applyFont="1" applyAlignment="1">
      <alignment horizontal="center"/>
    </xf>
    <xf numFmtId="174" fontId="2" fillId="0" borderId="0" xfId="0" applyNumberFormat="1" applyFont="1" applyAlignment="1">
      <alignment horizontal="center"/>
    </xf>
    <xf numFmtId="42" fontId="2" fillId="2" borderId="0" xfId="0" applyNumberFormat="1" applyFont="1" applyFill="1"/>
    <xf numFmtId="42" fontId="2" fillId="0" borderId="0" xfId="1" applyNumberFormat="1" applyFont="1"/>
    <xf numFmtId="0" fontId="8" fillId="0" borderId="0" xfId="3" applyFont="1"/>
    <xf numFmtId="0" fontId="17" fillId="0" borderId="0" xfId="4" applyFont="1"/>
    <xf numFmtId="165" fontId="2" fillId="0" borderId="0" xfId="0" applyNumberFormat="1" applyFont="1" applyBorder="1"/>
    <xf numFmtId="166" fontId="5" fillId="0" borderId="0" xfId="0" applyNumberFormat="1" applyFont="1" applyBorder="1"/>
    <xf numFmtId="41" fontId="2" fillId="0" borderId="0" xfId="0" applyNumberFormat="1" applyFont="1" applyBorder="1"/>
    <xf numFmtId="41" fontId="5" fillId="0" borderId="0" xfId="0" applyNumberFormat="1" applyFont="1" applyBorder="1"/>
    <xf numFmtId="42" fontId="2" fillId="0" borderId="0" xfId="0" applyNumberFormat="1" applyFont="1" applyBorder="1"/>
    <xf numFmtId="166" fontId="2" fillId="0" borderId="0" xfId="1" applyNumberFormat="1" applyFont="1" applyBorder="1"/>
    <xf numFmtId="0" fontId="4" fillId="0" borderId="2" xfId="0" applyFont="1" applyBorder="1"/>
    <xf numFmtId="0" fontId="2" fillId="0" borderId="3" xfId="0" applyFont="1" applyBorder="1"/>
    <xf numFmtId="0" fontId="2" fillId="0" borderId="4" xfId="0" applyFont="1" applyBorder="1"/>
    <xf numFmtId="0" fontId="4" fillId="0" borderId="1" xfId="0" applyFont="1" applyBorder="1" applyAlignment="1">
      <alignment horizontal="left"/>
    </xf>
    <xf numFmtId="165" fontId="4" fillId="0" borderId="5" xfId="2" applyNumberFormat="1" applyFont="1" applyBorder="1"/>
    <xf numFmtId="0" fontId="2" fillId="0" borderId="5" xfId="0" applyFont="1" applyBorder="1"/>
    <xf numFmtId="0" fontId="4" fillId="0" borderId="1" xfId="0" applyFont="1" applyFill="1" applyBorder="1" applyAlignment="1"/>
    <xf numFmtId="0" fontId="2" fillId="0" borderId="0" xfId="0" applyFont="1" applyFill="1" applyBorder="1" applyAlignment="1"/>
    <xf numFmtId="0" fontId="19" fillId="0" borderId="1" xfId="0" applyFont="1" applyFill="1" applyBorder="1" applyAlignment="1">
      <alignment horizontal="left"/>
    </xf>
    <xf numFmtId="0" fontId="2" fillId="0" borderId="0" xfId="0" applyFont="1" applyBorder="1" applyAlignment="1"/>
    <xf numFmtId="42" fontId="2" fillId="0" borderId="5" xfId="0" applyNumberFormat="1" applyFont="1" applyBorder="1" applyAlignment="1"/>
    <xf numFmtId="0" fontId="2" fillId="0" borderId="1" xfId="0" applyFont="1" applyBorder="1" applyAlignment="1"/>
    <xf numFmtId="0" fontId="2" fillId="0" borderId="5" xfId="0" applyFont="1" applyBorder="1" applyAlignment="1"/>
    <xf numFmtId="9" fontId="2" fillId="0" borderId="5" xfId="7" applyFont="1" applyBorder="1"/>
    <xf numFmtId="165" fontId="4" fillId="0" borderId="5" xfId="0" applyNumberFormat="1" applyFont="1" applyBorder="1"/>
    <xf numFmtId="0" fontId="4" fillId="0" borderId="6" xfId="0" applyFont="1" applyBorder="1"/>
    <xf numFmtId="0" fontId="2" fillId="0" borderId="7" xfId="0" applyFont="1" applyBorder="1"/>
    <xf numFmtId="165" fontId="4" fillId="0" borderId="8" xfId="2" applyNumberFormat="1" applyFont="1" applyBorder="1"/>
    <xf numFmtId="165" fontId="2" fillId="0" borderId="5" xfId="2" applyNumberFormat="1" applyFont="1" applyBorder="1"/>
    <xf numFmtId="166" fontId="2" fillId="0" borderId="5" xfId="1" applyNumberFormat="1" applyFont="1" applyBorder="1"/>
    <xf numFmtId="43" fontId="2" fillId="0" borderId="0" xfId="0" applyNumberFormat="1" applyFont="1" applyFill="1"/>
    <xf numFmtId="0" fontId="3" fillId="0" borderId="0" xfId="0" applyFont="1" applyAlignment="1">
      <alignment horizontal="left"/>
    </xf>
    <xf numFmtId="43" fontId="2" fillId="0" borderId="0" xfId="1" applyNumberFormat="1" applyFont="1"/>
    <xf numFmtId="0" fontId="2" fillId="0" borderId="0" xfId="6" applyFont="1" applyBorder="1"/>
    <xf numFmtId="0" fontId="2" fillId="0" borderId="0" xfId="5" applyFont="1" applyBorder="1" applyAlignment="1">
      <alignment horizontal="left"/>
    </xf>
    <xf numFmtId="0" fontId="5" fillId="0" borderId="0" xfId="0" applyFont="1" applyBorder="1" applyAlignment="1">
      <alignment horizontal="center"/>
    </xf>
    <xf numFmtId="0" fontId="2" fillId="0" borderId="0" xfId="6" applyFont="1" applyBorder="1" applyAlignment="1">
      <alignment horizontal="center"/>
    </xf>
    <xf numFmtId="14" fontId="2" fillId="0" borderId="0" xfId="0" applyNumberFormat="1" applyFont="1" applyBorder="1" applyAlignment="1">
      <alignment horizontal="center"/>
    </xf>
    <xf numFmtId="14" fontId="8" fillId="0" borderId="0" xfId="0" applyNumberFormat="1" applyFont="1" applyAlignment="1">
      <alignment horizontal="center"/>
    </xf>
    <xf numFmtId="0" fontId="2" fillId="3" borderId="0" xfId="0" applyFont="1" applyFill="1" applyBorder="1"/>
    <xf numFmtId="9" fontId="14" fillId="3" borderId="0" xfId="7" applyNumberFormat="1" applyFont="1" applyFill="1"/>
    <xf numFmtId="0" fontId="2" fillId="4" borderId="9" xfId="0" applyFont="1" applyFill="1" applyBorder="1"/>
    <xf numFmtId="165" fontId="2" fillId="4" borderId="10" xfId="2" applyNumberFormat="1" applyFont="1" applyFill="1" applyBorder="1"/>
    <xf numFmtId="0" fontId="3" fillId="0" borderId="0" xfId="0" applyFont="1" applyAlignment="1">
      <alignment horizontal="center"/>
    </xf>
  </cellXfs>
  <cellStyles count="8">
    <cellStyle name="Comma" xfId="1" builtinId="3"/>
    <cellStyle name="Currency" xfId="2" builtinId="4"/>
    <cellStyle name="Normal" xfId="0" builtinId="0"/>
    <cellStyle name="Normal_CASH_Northern_Header_110999c" xfId="3"/>
    <cellStyle name="Normal_CASH_Northern_Header_120199" xfId="4"/>
    <cellStyle name="Normal_Powder- reval 9-8-99" xfId="5"/>
    <cellStyle name="Normal_Powder_Valuation_1-5-00" xfId="6"/>
    <cellStyle name="Percent"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xdr:col>
      <xdr:colOff>180975</xdr:colOff>
      <xdr:row>0</xdr:row>
      <xdr:rowOff>9525</xdr:rowOff>
    </xdr:from>
    <xdr:to>
      <xdr:col>5</xdr:col>
      <xdr:colOff>428625</xdr:colOff>
      <xdr:row>1</xdr:row>
      <xdr:rowOff>9525</xdr:rowOff>
    </xdr:to>
    <xdr:sp macro="" textlink="">
      <xdr:nvSpPr>
        <xdr:cNvPr id="3073" name="Rectangle 1"/>
        <xdr:cNvSpPr>
          <a:spLocks noChangeArrowheads="1"/>
        </xdr:cNvSpPr>
      </xdr:nvSpPr>
      <xdr:spPr bwMode="auto">
        <a:xfrm>
          <a:off x="657225" y="9525"/>
          <a:ext cx="3933825" cy="200025"/>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63500" dir="3187806"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xdr:col>
      <xdr:colOff>0</xdr:colOff>
      <xdr:row>4</xdr:row>
      <xdr:rowOff>0</xdr:rowOff>
    </xdr:from>
    <xdr:to>
      <xdr:col>5</xdr:col>
      <xdr:colOff>0</xdr:colOff>
      <xdr:row>14</xdr:row>
      <xdr:rowOff>0</xdr:rowOff>
    </xdr:to>
    <xdr:sp macro="" textlink="">
      <xdr:nvSpPr>
        <xdr:cNvPr id="3074" name="Rectangle 2"/>
        <xdr:cNvSpPr>
          <a:spLocks noChangeArrowheads="1"/>
        </xdr:cNvSpPr>
      </xdr:nvSpPr>
      <xdr:spPr bwMode="auto">
        <a:xfrm>
          <a:off x="990600" y="762000"/>
          <a:ext cx="3171825" cy="16192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71842"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xdr:twoCellAnchor>
    <xdr:from>
      <xdr:col>2</xdr:col>
      <xdr:colOff>0</xdr:colOff>
      <xdr:row>16</xdr:row>
      <xdr:rowOff>0</xdr:rowOff>
    </xdr:from>
    <xdr:to>
      <xdr:col>5</xdr:col>
      <xdr:colOff>0</xdr:colOff>
      <xdr:row>26</xdr:row>
      <xdr:rowOff>0</xdr:rowOff>
    </xdr:to>
    <xdr:sp macro="" textlink="">
      <xdr:nvSpPr>
        <xdr:cNvPr id="3075" name="Rectangle 3"/>
        <xdr:cNvSpPr>
          <a:spLocks noChangeArrowheads="1"/>
        </xdr:cNvSpPr>
      </xdr:nvSpPr>
      <xdr:spPr bwMode="auto">
        <a:xfrm>
          <a:off x="990600" y="2705100"/>
          <a:ext cx="3171825" cy="161925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71842" dir="2700000" algn="ctr" rotWithShape="0">
            <a:srgbClr val="808080"/>
          </a:outerShdw>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xdr:from>
          <xdr:col>5</xdr:col>
          <xdr:colOff>1304925</xdr:colOff>
          <xdr:row>4</xdr:row>
          <xdr:rowOff>9525</xdr:rowOff>
        </xdr:from>
        <xdr:to>
          <xdr:col>7</xdr:col>
          <xdr:colOff>533400</xdr:colOff>
          <xdr:row>6</xdr:row>
          <xdr:rowOff>57150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Times New Roman"/>
                  <a:cs typeface="Times New Roman"/>
                </a:rPr>
                <a:t>Print Pages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H26"/>
  <sheetViews>
    <sheetView showGridLines="0" zoomScaleNormal="100" workbookViewId="0"/>
  </sheetViews>
  <sheetFormatPr defaultRowHeight="12.75" x14ac:dyDescent="0.2"/>
  <cols>
    <col min="1" max="1" width="7.140625" style="1" customWidth="1"/>
    <col min="2" max="2" width="7.7109375" style="1" customWidth="1"/>
    <col min="3" max="3" width="14.42578125" style="1" bestFit="1" customWidth="1"/>
    <col min="4" max="4" width="14.42578125" style="1" customWidth="1"/>
    <col min="5" max="5" width="18.7109375" style="1" customWidth="1"/>
    <col min="6" max="6" width="9" style="1" customWidth="1"/>
    <col min="7" max="7" width="9.140625" style="1"/>
    <col min="8" max="8" width="14.42578125" style="1" bestFit="1" customWidth="1"/>
    <col min="9" max="16384" width="9.140625" style="1"/>
  </cols>
  <sheetData>
    <row r="1" spans="2:8" ht="15.75" x14ac:dyDescent="0.25">
      <c r="B1" s="127" t="s">
        <v>0</v>
      </c>
      <c r="C1" s="127"/>
      <c r="D1" s="127"/>
      <c r="E1" s="127"/>
      <c r="F1" s="127"/>
    </row>
    <row r="2" spans="2:8" ht="15.75" x14ac:dyDescent="0.25">
      <c r="C2" s="2"/>
    </row>
    <row r="3" spans="2:8" ht="15.75" x14ac:dyDescent="0.25">
      <c r="B3" s="127" t="s">
        <v>131</v>
      </c>
      <c r="C3" s="127"/>
      <c r="D3" s="127"/>
      <c r="E3" s="127"/>
      <c r="F3" s="127"/>
    </row>
    <row r="5" spans="2:8" x14ac:dyDescent="0.2">
      <c r="C5" s="94" t="s">
        <v>5</v>
      </c>
      <c r="D5" s="95"/>
      <c r="E5" s="96"/>
    </row>
    <row r="6" spans="2:8" x14ac:dyDescent="0.2">
      <c r="C6" s="97" t="s">
        <v>139</v>
      </c>
      <c r="D6" s="30"/>
      <c r="E6" s="98">
        <f>XNPV(discount_rate,' FUGG valuation'!B33:BV33,' FUGG valuation'!B7:BV7)</f>
        <v>110759282.32723571</v>
      </c>
    </row>
    <row r="7" spans="2:8" x14ac:dyDescent="0.2">
      <c r="C7" s="14"/>
      <c r="D7" s="30"/>
      <c r="E7" s="99"/>
    </row>
    <row r="8" spans="2:8" x14ac:dyDescent="0.2">
      <c r="C8" s="100" t="s">
        <v>136</v>
      </c>
      <c r="D8" s="101"/>
      <c r="E8" s="98">
        <f>-PV(discount_rate,E10,E9)-PV(discount_rate,0,summary!E9/(summary!E11+discount_rate))</f>
        <v>43668993.189397112</v>
      </c>
    </row>
    <row r="9" spans="2:8" x14ac:dyDescent="0.2">
      <c r="C9" s="102" t="s">
        <v>132</v>
      </c>
      <c r="D9" s="103"/>
      <c r="E9" s="104">
        <v>7728720.2593273697</v>
      </c>
    </row>
    <row r="10" spans="2:8" x14ac:dyDescent="0.2">
      <c r="C10" s="105" t="s">
        <v>133</v>
      </c>
      <c r="D10" s="103"/>
      <c r="E10" s="106">
        <v>10</v>
      </c>
    </row>
    <row r="11" spans="2:8" x14ac:dyDescent="0.2">
      <c r="C11" s="105" t="s">
        <v>134</v>
      </c>
      <c r="D11" s="30"/>
      <c r="E11" s="107">
        <v>0.3</v>
      </c>
    </row>
    <row r="12" spans="2:8" x14ac:dyDescent="0.2">
      <c r="C12" s="14"/>
      <c r="D12" s="30"/>
      <c r="E12" s="99"/>
    </row>
    <row r="13" spans="2:8" x14ac:dyDescent="0.2">
      <c r="C13" s="64" t="s">
        <v>137</v>
      </c>
      <c r="D13" s="30"/>
      <c r="E13" s="108">
        <f>E6+E8</f>
        <v>154428275.51663283</v>
      </c>
    </row>
    <row r="14" spans="2:8" x14ac:dyDescent="0.2">
      <c r="C14" s="109" t="s">
        <v>138</v>
      </c>
      <c r="D14" s="110"/>
      <c r="E14" s="111">
        <f>E13*assumptions!B20</f>
        <v>51470944.229693718</v>
      </c>
      <c r="H14" s="41">
        <v>42700000</v>
      </c>
    </row>
    <row r="15" spans="2:8" x14ac:dyDescent="0.2">
      <c r="H15" s="47">
        <f>E14-H14</f>
        <v>8770944.2296937183</v>
      </c>
    </row>
    <row r="17" spans="3:8" x14ac:dyDescent="0.2">
      <c r="C17" s="94" t="s">
        <v>71</v>
      </c>
      <c r="D17" s="95"/>
      <c r="E17" s="96"/>
    </row>
    <row r="18" spans="3:8" x14ac:dyDescent="0.2">
      <c r="C18" s="97" t="s">
        <v>139</v>
      </c>
      <c r="D18" s="30"/>
      <c r="E18" s="98">
        <f>XNPV(discount_rate,'LCGG valuation'!B21:BL21,'LCGG valuation'!B6:BL6)</f>
        <v>40752153.771242283</v>
      </c>
    </row>
    <row r="19" spans="3:8" x14ac:dyDescent="0.2">
      <c r="C19" s="14"/>
      <c r="D19" s="30"/>
      <c r="E19" s="99"/>
      <c r="H19" s="66">
        <f>H15+H26</f>
        <v>21136509.93130897</v>
      </c>
    </row>
    <row r="20" spans="3:8" x14ac:dyDescent="0.2">
      <c r="C20" s="100" t="s">
        <v>174</v>
      </c>
      <c r="D20" s="30"/>
      <c r="E20" s="98">
        <f>-PV(discount_rate,E22,E21)-PV(discount_rate,E22,0,E21/(discount_rate+E23))</f>
        <v>70577262.519087031</v>
      </c>
    </row>
    <row r="21" spans="3:8" x14ac:dyDescent="0.2">
      <c r="C21" s="102" t="s">
        <v>132</v>
      </c>
      <c r="D21" s="30"/>
      <c r="E21" s="112">
        <f>SUM('LCGG valuation'!BB21:BL21)</f>
        <v>10998780.833333334</v>
      </c>
    </row>
    <row r="22" spans="3:8" x14ac:dyDescent="0.2">
      <c r="C22" s="105" t="s">
        <v>133</v>
      </c>
      <c r="D22" s="30"/>
      <c r="E22" s="113">
        <v>10</v>
      </c>
    </row>
    <row r="23" spans="3:8" x14ac:dyDescent="0.2">
      <c r="C23" s="105" t="s">
        <v>134</v>
      </c>
      <c r="D23" s="30"/>
      <c r="E23" s="107">
        <v>0.3</v>
      </c>
    </row>
    <row r="24" spans="3:8" x14ac:dyDescent="0.2">
      <c r="C24" s="14"/>
      <c r="D24" s="30"/>
      <c r="E24" s="99"/>
    </row>
    <row r="25" spans="3:8" x14ac:dyDescent="0.2">
      <c r="C25" s="64" t="s">
        <v>175</v>
      </c>
      <c r="D25" s="30"/>
      <c r="E25" s="108">
        <f>E20+E18</f>
        <v>111329416.29032931</v>
      </c>
      <c r="H25" s="47">
        <v>26599730</v>
      </c>
    </row>
    <row r="26" spans="3:8" x14ac:dyDescent="0.2">
      <c r="C26" s="109" t="s">
        <v>138</v>
      </c>
      <c r="D26" s="110"/>
      <c r="E26" s="111">
        <f>E25*assumptions!F21</f>
        <v>38965295.701615252</v>
      </c>
      <c r="H26" s="47">
        <f>E26-H25</f>
        <v>12365565.701615252</v>
      </c>
    </row>
  </sheetData>
  <mergeCells count="2">
    <mergeCell ref="B1:F1"/>
    <mergeCell ref="B3:F3"/>
  </mergeCells>
  <printOptions horizontalCentered="1" verticalCentered="1"/>
  <pageMargins left="0.24" right="0.75" top="1" bottom="1" header="0.5" footer="0.5"/>
  <pageSetup fitToWidth="4" orientation="landscape"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6" r:id="rId4" name="Button 4">
              <controlPr defaultSize="0" print="0" autoFill="0" autoPict="0" macro="[0]!printmacro">
                <anchor moveWithCells="1" sizeWithCells="1">
                  <from>
                    <xdr:col>5</xdr:col>
                    <xdr:colOff>1304925</xdr:colOff>
                    <xdr:row>4</xdr:row>
                    <xdr:rowOff>9525</xdr:rowOff>
                  </from>
                  <to>
                    <xdr:col>7</xdr:col>
                    <xdr:colOff>533400</xdr:colOff>
                    <xdr:row>6</xdr:row>
                    <xdr:rowOff>57150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F49"/>
  <sheetViews>
    <sheetView tabSelected="1" topLeftCell="A33" zoomScaleNormal="100" workbookViewId="0">
      <selection activeCell="B57" sqref="B57"/>
    </sheetView>
  </sheetViews>
  <sheetFormatPr defaultRowHeight="12.75" x14ac:dyDescent="0.2"/>
  <cols>
    <col min="1" max="1" width="36.140625" style="1" bestFit="1" customWidth="1"/>
    <col min="2" max="2" width="15.5703125" style="1" bestFit="1" customWidth="1"/>
    <col min="3" max="4" width="9.140625" style="1"/>
    <col min="5" max="5" width="39.5703125" style="1" customWidth="1"/>
    <col min="6" max="6" width="15.5703125" style="1" bestFit="1" customWidth="1"/>
    <col min="7" max="16384" width="9.140625" style="1"/>
  </cols>
  <sheetData>
    <row r="1" spans="1:6" ht="15.75" x14ac:dyDescent="0.25">
      <c r="A1" s="2" t="s">
        <v>0</v>
      </c>
    </row>
    <row r="2" spans="1:6" x14ac:dyDescent="0.2">
      <c r="A2" s="3" t="s">
        <v>28</v>
      </c>
    </row>
    <row r="4" spans="1:6" x14ac:dyDescent="0.2">
      <c r="A4" s="30"/>
    </row>
    <row r="5" spans="1:6" x14ac:dyDescent="0.2">
      <c r="A5" s="15" t="s">
        <v>5</v>
      </c>
      <c r="E5" s="3" t="s">
        <v>71</v>
      </c>
    </row>
    <row r="6" spans="1:6" x14ac:dyDescent="0.2">
      <c r="A6" s="15" t="s">
        <v>29</v>
      </c>
      <c r="E6" s="15" t="s">
        <v>29</v>
      </c>
      <c r="F6" s="29"/>
    </row>
    <row r="7" spans="1:6" x14ac:dyDescent="0.2">
      <c r="A7" s="117" t="s">
        <v>30</v>
      </c>
      <c r="B7" s="18">
        <v>36511784.850000001</v>
      </c>
      <c r="E7" s="30" t="s">
        <v>53</v>
      </c>
      <c r="F7" s="22">
        <v>61906000</v>
      </c>
    </row>
    <row r="8" spans="1:6" x14ac:dyDescent="0.2">
      <c r="A8" s="117" t="s">
        <v>31</v>
      </c>
      <c r="B8" s="19">
        <v>20000</v>
      </c>
      <c r="E8" s="30" t="s">
        <v>54</v>
      </c>
      <c r="F8" s="31">
        <f>F9-F7</f>
        <v>3937408.7973539978</v>
      </c>
    </row>
    <row r="9" spans="1:6" x14ac:dyDescent="0.2">
      <c r="A9" s="117" t="s">
        <v>32</v>
      </c>
      <c r="B9" s="20">
        <v>5.9900000000000002E-2</v>
      </c>
      <c r="E9" s="30" t="s">
        <v>55</v>
      </c>
      <c r="F9" s="22">
        <v>65843408.797353998</v>
      </c>
    </row>
    <row r="10" spans="1:6" x14ac:dyDescent="0.2">
      <c r="A10" s="117" t="s">
        <v>33</v>
      </c>
      <c r="B10" s="20">
        <v>0.01</v>
      </c>
      <c r="E10" s="30" t="s">
        <v>56</v>
      </c>
      <c r="F10" s="23">
        <v>0.85</v>
      </c>
    </row>
    <row r="11" spans="1:6" x14ac:dyDescent="0.2">
      <c r="A11" s="117" t="s">
        <v>34</v>
      </c>
      <c r="B11" s="20">
        <v>1.125E-2</v>
      </c>
      <c r="E11" s="30" t="s">
        <v>57</v>
      </c>
      <c r="F11" s="80">
        <f>F9*F10</f>
        <v>55966897.477750897</v>
      </c>
    </row>
    <row r="12" spans="1:6" x14ac:dyDescent="0.2">
      <c r="A12" s="117" t="s">
        <v>35</v>
      </c>
      <c r="B12" s="20">
        <v>1.2500000000000001E-2</v>
      </c>
      <c r="E12" s="30" t="s">
        <v>58</v>
      </c>
      <c r="F12" s="22">
        <v>20000</v>
      </c>
    </row>
    <row r="13" spans="1:6" x14ac:dyDescent="0.2">
      <c r="A13" s="117" t="s">
        <v>36</v>
      </c>
      <c r="B13" s="20">
        <v>1.375E-2</v>
      </c>
      <c r="E13" s="30" t="s">
        <v>32</v>
      </c>
      <c r="F13" s="24">
        <v>6.6089999999999996E-2</v>
      </c>
    </row>
    <row r="14" spans="1:6" x14ac:dyDescent="0.2">
      <c r="A14" s="117" t="s">
        <v>37</v>
      </c>
      <c r="B14" s="20">
        <v>1.4999999999999999E-2</v>
      </c>
      <c r="E14" s="30" t="s">
        <v>59</v>
      </c>
      <c r="F14" s="24">
        <v>1.125E-2</v>
      </c>
    </row>
    <row r="15" spans="1:6" x14ac:dyDescent="0.2">
      <c r="A15" s="117" t="s">
        <v>38</v>
      </c>
      <c r="B15" s="21">
        <v>1.7500000000000002E-2</v>
      </c>
      <c r="E15" s="30" t="s">
        <v>60</v>
      </c>
      <c r="F15" s="24">
        <v>1.2500000000000001E-2</v>
      </c>
    </row>
    <row r="16" spans="1:6" x14ac:dyDescent="0.2">
      <c r="A16" s="117" t="s">
        <v>39</v>
      </c>
      <c r="B16" s="22">
        <v>22000000</v>
      </c>
      <c r="E16" s="30" t="s">
        <v>61</v>
      </c>
      <c r="F16" s="24">
        <v>1.375E-2</v>
      </c>
    </row>
    <row r="17" spans="1:6" x14ac:dyDescent="0.2">
      <c r="A17" s="117" t="s">
        <v>40</v>
      </c>
      <c r="B17" s="23">
        <v>0.85</v>
      </c>
      <c r="E17" s="30" t="s">
        <v>62</v>
      </c>
      <c r="F17" s="24">
        <v>1.4999999999999999E-2</v>
      </c>
    </row>
    <row r="18" spans="1:6" x14ac:dyDescent="0.2">
      <c r="A18" s="117" t="s">
        <v>41</v>
      </c>
      <c r="B18" s="16">
        <f>B17*Expansion_Cost</f>
        <v>18700000</v>
      </c>
      <c r="E18" s="30" t="s">
        <v>63</v>
      </c>
      <c r="F18" s="33">
        <f>F17</f>
        <v>1.4999999999999999E-2</v>
      </c>
    </row>
    <row r="19" spans="1:6" x14ac:dyDescent="0.2">
      <c r="A19" s="117" t="s">
        <v>42</v>
      </c>
      <c r="B19" s="22">
        <v>2157770</v>
      </c>
      <c r="E19" s="30" t="s">
        <v>64</v>
      </c>
      <c r="F19" s="32">
        <f>F9-F11</f>
        <v>9876511.3196031004</v>
      </c>
    </row>
    <row r="20" spans="1:6" x14ac:dyDescent="0.2">
      <c r="A20" s="17" t="s">
        <v>43</v>
      </c>
      <c r="B20" s="24">
        <v>0.33329999999999999</v>
      </c>
      <c r="E20" s="30" t="s">
        <v>65</v>
      </c>
      <c r="F20" s="22">
        <v>9876511.3196031004</v>
      </c>
    </row>
    <row r="21" spans="1:6" x14ac:dyDescent="0.2">
      <c r="A21" s="15" t="s">
        <v>44</v>
      </c>
      <c r="B21" s="25"/>
      <c r="E21" s="17" t="s">
        <v>43</v>
      </c>
      <c r="F21" s="23">
        <v>0.35</v>
      </c>
    </row>
    <row r="22" spans="1:6" x14ac:dyDescent="0.2">
      <c r="A22" s="118" t="s">
        <v>24</v>
      </c>
      <c r="B22" s="26">
        <v>14000</v>
      </c>
      <c r="E22" s="30" t="s">
        <v>161</v>
      </c>
      <c r="F22" s="22">
        <v>0</v>
      </c>
    </row>
    <row r="23" spans="1:6" x14ac:dyDescent="0.2">
      <c r="A23" s="118" t="s">
        <v>25</v>
      </c>
      <c r="B23" s="26">
        <v>14000</v>
      </c>
      <c r="E23" s="15" t="s">
        <v>44</v>
      </c>
      <c r="F23" s="34"/>
    </row>
    <row r="24" spans="1:6" x14ac:dyDescent="0.2">
      <c r="A24" s="118" t="s">
        <v>26</v>
      </c>
      <c r="B24" s="26">
        <v>14000</v>
      </c>
      <c r="E24" s="30" t="s">
        <v>66</v>
      </c>
      <c r="F24" s="27">
        <v>0.14000000000000001</v>
      </c>
    </row>
    <row r="25" spans="1:6" x14ac:dyDescent="0.2">
      <c r="A25" s="118" t="s">
        <v>13</v>
      </c>
      <c r="B25" s="27">
        <f>0.14</f>
        <v>0.14000000000000001</v>
      </c>
      <c r="E25" s="30" t="s">
        <v>67</v>
      </c>
      <c r="F25" s="22">
        <v>1410270</v>
      </c>
    </row>
    <row r="26" spans="1:6" x14ac:dyDescent="0.2">
      <c r="A26" s="118" t="s">
        <v>23</v>
      </c>
      <c r="B26" s="26">
        <v>300000</v>
      </c>
      <c r="E26" s="30" t="s">
        <v>84</v>
      </c>
      <c r="F26" s="24">
        <v>0</v>
      </c>
    </row>
    <row r="27" spans="1:6" x14ac:dyDescent="0.2">
      <c r="A27" s="17" t="s">
        <v>45</v>
      </c>
      <c r="B27" s="26">
        <v>100000</v>
      </c>
      <c r="E27" s="30" t="s">
        <v>68</v>
      </c>
      <c r="F27" s="22">
        <f>F7*0.01</f>
        <v>619060</v>
      </c>
    </row>
    <row r="28" spans="1:6" x14ac:dyDescent="0.2">
      <c r="A28" s="17" t="s">
        <v>46</v>
      </c>
      <c r="B28" s="26">
        <v>25000</v>
      </c>
      <c r="E28" s="30" t="s">
        <v>69</v>
      </c>
      <c r="F28" s="22">
        <v>1000000</v>
      </c>
    </row>
    <row r="29" spans="1:6" x14ac:dyDescent="0.2">
      <c r="A29" s="117" t="s">
        <v>47</v>
      </c>
      <c r="B29" s="26">
        <v>700000</v>
      </c>
      <c r="E29" s="30" t="s">
        <v>162</v>
      </c>
      <c r="F29" s="26">
        <v>275000</v>
      </c>
    </row>
    <row r="30" spans="1:6" x14ac:dyDescent="0.2">
      <c r="A30" s="30" t="s">
        <v>48</v>
      </c>
      <c r="B30" s="26">
        <v>1156718</v>
      </c>
      <c r="E30" s="30" t="s">
        <v>163</v>
      </c>
      <c r="F30" s="26">
        <v>0</v>
      </c>
    </row>
    <row r="31" spans="1:6" x14ac:dyDescent="0.2">
      <c r="A31" s="30" t="s">
        <v>49</v>
      </c>
      <c r="B31" s="26">
        <v>1500000</v>
      </c>
      <c r="E31" s="30" t="s">
        <v>164</v>
      </c>
      <c r="F31" s="79">
        <v>0.01</v>
      </c>
    </row>
    <row r="32" spans="1:6" x14ac:dyDescent="0.2">
      <c r="A32" s="30" t="s">
        <v>85</v>
      </c>
      <c r="B32" s="42">
        <v>0</v>
      </c>
      <c r="E32" s="15" t="s">
        <v>165</v>
      </c>
      <c r="F32" s="34"/>
    </row>
    <row r="33" spans="1:6" x14ac:dyDescent="0.2">
      <c r="A33" s="30" t="s">
        <v>50</v>
      </c>
      <c r="B33" s="26">
        <v>784648</v>
      </c>
      <c r="E33" s="30" t="s">
        <v>70</v>
      </c>
      <c r="F33" s="79">
        <v>0.14000000000000001</v>
      </c>
    </row>
    <row r="34" spans="1:6" x14ac:dyDescent="0.2">
      <c r="A34" s="30" t="s">
        <v>87</v>
      </c>
      <c r="B34" s="42">
        <v>0</v>
      </c>
      <c r="E34" s="17" t="s">
        <v>166</v>
      </c>
      <c r="F34" s="23">
        <v>0.25</v>
      </c>
    </row>
    <row r="35" spans="1:6" x14ac:dyDescent="0.2">
      <c r="A35" s="17" t="s">
        <v>51</v>
      </c>
      <c r="B35" s="28">
        <v>11</v>
      </c>
      <c r="E35" s="17" t="s">
        <v>167</v>
      </c>
      <c r="F35" s="19">
        <v>0.1</v>
      </c>
    </row>
    <row r="36" spans="1:6" x14ac:dyDescent="0.2">
      <c r="A36" s="17" t="s">
        <v>52</v>
      </c>
      <c r="B36" s="28">
        <v>11</v>
      </c>
      <c r="E36" s="17" t="s">
        <v>168</v>
      </c>
      <c r="F36" s="19">
        <v>0.1</v>
      </c>
    </row>
    <row r="37" spans="1:6" x14ac:dyDescent="0.2">
      <c r="A37" s="17" t="s">
        <v>176</v>
      </c>
      <c r="B37" s="22">
        <v>1250000</v>
      </c>
      <c r="F37" s="73"/>
    </row>
    <row r="38" spans="1:6" x14ac:dyDescent="0.2">
      <c r="A38" s="17" t="s">
        <v>177</v>
      </c>
      <c r="B38" s="22">
        <v>250000</v>
      </c>
      <c r="F38" s="73"/>
    </row>
    <row r="39" spans="1:6" x14ac:dyDescent="0.2">
      <c r="A39" s="123" t="s">
        <v>135</v>
      </c>
      <c r="B39" s="124">
        <v>0.12</v>
      </c>
    </row>
    <row r="40" spans="1:6" x14ac:dyDescent="0.2">
      <c r="A40" s="30"/>
    </row>
    <row r="41" spans="1:6" x14ac:dyDescent="0.2">
      <c r="A41" s="30"/>
    </row>
    <row r="42" spans="1:6" x14ac:dyDescent="0.2">
      <c r="A42" s="30"/>
    </row>
    <row r="43" spans="1:6" ht="13.5" thickBot="1" x14ac:dyDescent="0.25">
      <c r="A43" s="30"/>
    </row>
    <row r="44" spans="1:6" ht="13.5" thickBot="1" x14ac:dyDescent="0.25">
      <c r="A44" s="125" t="s">
        <v>178</v>
      </c>
      <c r="B44" s="126">
        <f>summary!H19</f>
        <v>21136509.93130897</v>
      </c>
    </row>
    <row r="45" spans="1:6" x14ac:dyDescent="0.2">
      <c r="A45" s="30"/>
    </row>
    <row r="46" spans="1:6" x14ac:dyDescent="0.2">
      <c r="A46" s="30"/>
    </row>
    <row r="47" spans="1:6" x14ac:dyDescent="0.2">
      <c r="A47" s="30"/>
    </row>
    <row r="48" spans="1:6" x14ac:dyDescent="0.2">
      <c r="A48" s="30"/>
    </row>
    <row r="49" spans="1:1" x14ac:dyDescent="0.2">
      <c r="A49" s="30"/>
    </row>
  </sheetData>
  <printOptions horizontalCentered="1"/>
  <pageMargins left="0.24" right="0.75" top="1" bottom="1" header="0.5" footer="0.5"/>
  <pageSetup scale="95" fitToWidth="4" orientation="landscape"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V48"/>
  <sheetViews>
    <sheetView topLeftCell="BQ23" zoomScaleNormal="100" workbookViewId="0">
      <selection activeCell="H40" sqref="H40"/>
    </sheetView>
  </sheetViews>
  <sheetFormatPr defaultRowHeight="12.75" x14ac:dyDescent="0.2"/>
  <cols>
    <col min="1" max="1" width="43.85546875" style="1" customWidth="1"/>
    <col min="2" max="4" width="14.42578125" style="1" bestFit="1" customWidth="1"/>
    <col min="5" max="5" width="12.5703125" style="1" bestFit="1" customWidth="1"/>
    <col min="6" max="6" width="13.42578125" style="1" bestFit="1" customWidth="1"/>
    <col min="7" max="7" width="13" style="1" bestFit="1" customWidth="1"/>
    <col min="8" max="8" width="13.42578125" style="1" bestFit="1" customWidth="1"/>
    <col min="9" max="9" width="12.7109375" style="1" bestFit="1" customWidth="1"/>
    <col min="10" max="10" width="13.42578125" style="1" bestFit="1" customWidth="1"/>
    <col min="11" max="11" width="12.7109375" style="1" bestFit="1" customWidth="1"/>
    <col min="12" max="12" width="13" style="1" bestFit="1" customWidth="1"/>
    <col min="13" max="13" width="13.42578125" style="1" bestFit="1" customWidth="1"/>
    <col min="14" max="16" width="14" style="1" bestFit="1" customWidth="1"/>
    <col min="17" max="17" width="13" style="1" bestFit="1" customWidth="1"/>
    <col min="18" max="18" width="14" style="1" bestFit="1" customWidth="1"/>
    <col min="19" max="19" width="13.42578125" style="1" bestFit="1" customWidth="1"/>
    <col min="20" max="20" width="14" style="1" bestFit="1" customWidth="1"/>
    <col min="21" max="21" width="13.28515625" style="1" bestFit="1" customWidth="1"/>
    <col min="22" max="22" width="14" style="1" bestFit="1" customWidth="1"/>
    <col min="23" max="23" width="13.28515625" style="1" bestFit="1" customWidth="1"/>
    <col min="24" max="24" width="13.42578125" style="1" bestFit="1" customWidth="1"/>
    <col min="25" max="25" width="14" style="1" bestFit="1" customWidth="1"/>
    <col min="26" max="28" width="14.42578125" style="1" bestFit="1" customWidth="1"/>
    <col min="29" max="29" width="13" style="1" bestFit="1" customWidth="1"/>
    <col min="30" max="30" width="14" style="1" bestFit="1" customWidth="1"/>
    <col min="31" max="31" width="13.42578125" style="1" bestFit="1" customWidth="1"/>
    <col min="32" max="32" width="14" style="1" bestFit="1" customWidth="1"/>
    <col min="33" max="33" width="13.28515625" style="1" bestFit="1" customWidth="1"/>
    <col min="34" max="34" width="14" style="1" bestFit="1" customWidth="1"/>
    <col min="35" max="35" width="13.28515625" style="1" bestFit="1" customWidth="1"/>
    <col min="36" max="36" width="13.42578125" style="1" bestFit="1" customWidth="1"/>
    <col min="37" max="37" width="14" style="1" bestFit="1" customWidth="1"/>
    <col min="38" max="40" width="14.42578125" style="1" bestFit="1" customWidth="1"/>
    <col min="41" max="41" width="13" style="1" bestFit="1" customWidth="1"/>
    <col min="42" max="42" width="14" style="1" bestFit="1" customWidth="1"/>
    <col min="43" max="43" width="13.42578125" style="1" bestFit="1" customWidth="1"/>
    <col min="44" max="44" width="14" style="1" bestFit="1" customWidth="1"/>
    <col min="45" max="45" width="13.28515625" style="1" bestFit="1" customWidth="1"/>
    <col min="46" max="46" width="14" style="1" bestFit="1" customWidth="1"/>
    <col min="47" max="47" width="13.28515625" style="1" bestFit="1" customWidth="1"/>
    <col min="48" max="48" width="13.42578125" style="1" bestFit="1" customWidth="1"/>
    <col min="49" max="49" width="14" style="1" bestFit="1" customWidth="1"/>
    <col min="50" max="52" width="14.42578125" style="1" bestFit="1" customWidth="1"/>
    <col min="53" max="53" width="12.7109375" style="1" bestFit="1" customWidth="1"/>
    <col min="54" max="54" width="13.7109375" style="1" bestFit="1" customWidth="1"/>
    <col min="55" max="55" width="13.28515625" style="1" bestFit="1" customWidth="1"/>
    <col min="56" max="56" width="13.7109375" style="1" bestFit="1" customWidth="1"/>
    <col min="57" max="57" width="13" style="1" bestFit="1" customWidth="1"/>
    <col min="58" max="58" width="13.7109375" style="1" bestFit="1" customWidth="1"/>
    <col min="59" max="59" width="13" style="1" bestFit="1" customWidth="1"/>
    <col min="60" max="60" width="13.28515625" style="1" bestFit="1" customWidth="1"/>
    <col min="61" max="61" width="13.7109375" style="1" bestFit="1" customWidth="1"/>
    <col min="62" max="64" width="14.140625" style="1" bestFit="1" customWidth="1"/>
    <col min="65" max="71" width="12.28515625" style="1" bestFit="1" customWidth="1"/>
    <col min="72" max="74" width="13" style="1" bestFit="1" customWidth="1"/>
    <col min="75" max="16384" width="9.140625" style="1"/>
  </cols>
  <sheetData>
    <row r="1" spans="1:74" ht="15.75" x14ac:dyDescent="0.25">
      <c r="A1" s="2" t="s">
        <v>0</v>
      </c>
    </row>
    <row r="2" spans="1:74" x14ac:dyDescent="0.2">
      <c r="A2" s="3" t="s">
        <v>27</v>
      </c>
    </row>
    <row r="4" spans="1:74" x14ac:dyDescent="0.2">
      <c r="A4" s="3" t="s">
        <v>20</v>
      </c>
    </row>
    <row r="5" spans="1:74" x14ac:dyDescent="0.2">
      <c r="A5" s="1" t="s">
        <v>23</v>
      </c>
      <c r="B5" s="9">
        <f>assumptions!B26</f>
        <v>300000</v>
      </c>
    </row>
    <row r="6" spans="1:74" x14ac:dyDescent="0.2">
      <c r="A6" s="1" t="s">
        <v>13</v>
      </c>
      <c r="B6" s="11">
        <f>assumptions!B25</f>
        <v>0.14000000000000001</v>
      </c>
    </row>
    <row r="7" spans="1:74" x14ac:dyDescent="0.2">
      <c r="A7" s="1" t="s">
        <v>24</v>
      </c>
      <c r="B7" s="13">
        <f>assumptions!B22</f>
        <v>14000</v>
      </c>
    </row>
    <row r="8" spans="1:74" x14ac:dyDescent="0.2">
      <c r="A8" s="1" t="s">
        <v>25</v>
      </c>
      <c r="B8" s="13">
        <f>assumptions!B23</f>
        <v>14000</v>
      </c>
    </row>
    <row r="9" spans="1:74" x14ac:dyDescent="0.2">
      <c r="A9" s="1" t="s">
        <v>26</v>
      </c>
      <c r="B9" s="13">
        <f>assumptions!B24</f>
        <v>14000</v>
      </c>
    </row>
    <row r="10" spans="1:74" x14ac:dyDescent="0.2">
      <c r="A10" s="3"/>
    </row>
    <row r="11" spans="1:74" x14ac:dyDescent="0.2">
      <c r="A11" s="8" t="s">
        <v>21</v>
      </c>
      <c r="B11" s="7">
        <v>36494</v>
      </c>
      <c r="C11" s="7">
        <f t="shared" ref="C11:BN11" si="0">B12</f>
        <v>36525</v>
      </c>
      <c r="D11" s="7">
        <f t="shared" si="0"/>
        <v>36556</v>
      </c>
      <c r="E11" s="7">
        <f t="shared" si="0"/>
        <v>36585</v>
      </c>
      <c r="F11" s="7">
        <f t="shared" si="0"/>
        <v>36616</v>
      </c>
      <c r="G11" s="7">
        <f t="shared" si="0"/>
        <v>36646</v>
      </c>
      <c r="H11" s="7">
        <f t="shared" si="0"/>
        <v>36677</v>
      </c>
      <c r="I11" s="7">
        <f t="shared" si="0"/>
        <v>36707</v>
      </c>
      <c r="J11" s="7">
        <f t="shared" si="0"/>
        <v>36738</v>
      </c>
      <c r="K11" s="7">
        <f t="shared" si="0"/>
        <v>36769</v>
      </c>
      <c r="L11" s="7">
        <f t="shared" si="0"/>
        <v>36799</v>
      </c>
      <c r="M11" s="7">
        <f t="shared" si="0"/>
        <v>36830</v>
      </c>
      <c r="N11" s="7">
        <f t="shared" si="0"/>
        <v>36860</v>
      </c>
      <c r="O11" s="7">
        <f t="shared" si="0"/>
        <v>36891</v>
      </c>
      <c r="P11" s="7">
        <f t="shared" si="0"/>
        <v>36922</v>
      </c>
      <c r="Q11" s="7">
        <f t="shared" si="0"/>
        <v>36950</v>
      </c>
      <c r="R11" s="7">
        <f t="shared" si="0"/>
        <v>36981</v>
      </c>
      <c r="S11" s="7">
        <f t="shared" si="0"/>
        <v>37011</v>
      </c>
      <c r="T11" s="7">
        <f t="shared" si="0"/>
        <v>37042</v>
      </c>
      <c r="U11" s="7">
        <f t="shared" si="0"/>
        <v>37072</v>
      </c>
      <c r="V11" s="7">
        <f t="shared" si="0"/>
        <v>37103</v>
      </c>
      <c r="W11" s="7">
        <f t="shared" si="0"/>
        <v>37134</v>
      </c>
      <c r="X11" s="7">
        <f t="shared" si="0"/>
        <v>37164</v>
      </c>
      <c r="Y11" s="7">
        <f t="shared" si="0"/>
        <v>37195</v>
      </c>
      <c r="Z11" s="7">
        <f t="shared" si="0"/>
        <v>37225</v>
      </c>
      <c r="AA11" s="7">
        <f t="shared" si="0"/>
        <v>37256</v>
      </c>
      <c r="AB11" s="7">
        <f t="shared" si="0"/>
        <v>37287</v>
      </c>
      <c r="AC11" s="7">
        <f t="shared" si="0"/>
        <v>37315</v>
      </c>
      <c r="AD11" s="7">
        <f t="shared" si="0"/>
        <v>37346</v>
      </c>
      <c r="AE11" s="7">
        <f t="shared" si="0"/>
        <v>37376</v>
      </c>
      <c r="AF11" s="7">
        <f t="shared" si="0"/>
        <v>37407</v>
      </c>
      <c r="AG11" s="7">
        <f t="shared" si="0"/>
        <v>37437</v>
      </c>
      <c r="AH11" s="7">
        <f t="shared" si="0"/>
        <v>37468</v>
      </c>
      <c r="AI11" s="7">
        <f t="shared" si="0"/>
        <v>37499</v>
      </c>
      <c r="AJ11" s="7">
        <f t="shared" si="0"/>
        <v>37529</v>
      </c>
      <c r="AK11" s="7">
        <f t="shared" si="0"/>
        <v>37560</v>
      </c>
      <c r="AL11" s="7">
        <f t="shared" si="0"/>
        <v>37590</v>
      </c>
      <c r="AM11" s="7">
        <f t="shared" si="0"/>
        <v>37621</v>
      </c>
      <c r="AN11" s="7">
        <f t="shared" si="0"/>
        <v>37652</v>
      </c>
      <c r="AO11" s="7">
        <f t="shared" si="0"/>
        <v>37680</v>
      </c>
      <c r="AP11" s="7">
        <f t="shared" si="0"/>
        <v>37711</v>
      </c>
      <c r="AQ11" s="7">
        <f t="shared" si="0"/>
        <v>37741</v>
      </c>
      <c r="AR11" s="7">
        <f t="shared" si="0"/>
        <v>37772</v>
      </c>
      <c r="AS11" s="7">
        <f t="shared" si="0"/>
        <v>37802</v>
      </c>
      <c r="AT11" s="7">
        <f t="shared" si="0"/>
        <v>37833</v>
      </c>
      <c r="AU11" s="7">
        <f t="shared" si="0"/>
        <v>37864</v>
      </c>
      <c r="AV11" s="7">
        <f t="shared" si="0"/>
        <v>37894</v>
      </c>
      <c r="AW11" s="7">
        <f t="shared" si="0"/>
        <v>37925</v>
      </c>
      <c r="AX11" s="7">
        <f t="shared" si="0"/>
        <v>37955</v>
      </c>
      <c r="AY11" s="7">
        <f t="shared" si="0"/>
        <v>37986</v>
      </c>
      <c r="AZ11" s="7">
        <f t="shared" si="0"/>
        <v>38017</v>
      </c>
      <c r="BA11" s="7">
        <f t="shared" si="0"/>
        <v>38046</v>
      </c>
      <c r="BB11" s="7">
        <f t="shared" si="0"/>
        <v>38077</v>
      </c>
      <c r="BC11" s="7">
        <f t="shared" si="0"/>
        <v>38107</v>
      </c>
      <c r="BD11" s="7">
        <f t="shared" si="0"/>
        <v>38138</v>
      </c>
      <c r="BE11" s="7">
        <f t="shared" si="0"/>
        <v>38168</v>
      </c>
      <c r="BF11" s="7">
        <f t="shared" si="0"/>
        <v>38199</v>
      </c>
      <c r="BG11" s="7">
        <f t="shared" si="0"/>
        <v>38230</v>
      </c>
      <c r="BH11" s="7">
        <f t="shared" si="0"/>
        <v>38260</v>
      </c>
      <c r="BI11" s="7">
        <f t="shared" si="0"/>
        <v>38291</v>
      </c>
      <c r="BJ11" s="7">
        <f t="shared" si="0"/>
        <v>38321</v>
      </c>
      <c r="BK11" s="7">
        <f t="shared" si="0"/>
        <v>38352</v>
      </c>
      <c r="BL11" s="7">
        <f t="shared" si="0"/>
        <v>38383</v>
      </c>
      <c r="BM11" s="7">
        <f t="shared" si="0"/>
        <v>38411</v>
      </c>
      <c r="BN11" s="7">
        <f t="shared" si="0"/>
        <v>38442</v>
      </c>
      <c r="BO11" s="7">
        <f t="shared" ref="BO11:BV11" si="1">BN12</f>
        <v>38472</v>
      </c>
      <c r="BP11" s="7">
        <f t="shared" si="1"/>
        <v>38503</v>
      </c>
      <c r="BQ11" s="7">
        <f t="shared" si="1"/>
        <v>38533</v>
      </c>
      <c r="BR11" s="7">
        <f t="shared" si="1"/>
        <v>38564</v>
      </c>
      <c r="BS11" s="7">
        <f t="shared" si="1"/>
        <v>38595</v>
      </c>
      <c r="BT11" s="7">
        <f t="shared" si="1"/>
        <v>38625</v>
      </c>
      <c r="BU11" s="7">
        <f t="shared" si="1"/>
        <v>38656</v>
      </c>
      <c r="BV11" s="7">
        <f t="shared" si="1"/>
        <v>38686</v>
      </c>
    </row>
    <row r="12" spans="1:74" x14ac:dyDescent="0.2">
      <c r="A12" s="8" t="s">
        <v>22</v>
      </c>
      <c r="B12" s="7">
        <v>36525</v>
      </c>
      <c r="C12" s="7">
        <v>36556</v>
      </c>
      <c r="D12" s="7">
        <v>36585</v>
      </c>
      <c r="E12" s="7">
        <v>36616</v>
      </c>
      <c r="F12" s="7">
        <v>36646</v>
      </c>
      <c r="G12" s="7">
        <v>36677</v>
      </c>
      <c r="H12" s="7">
        <v>36707</v>
      </c>
      <c r="I12" s="7">
        <v>36738</v>
      </c>
      <c r="J12" s="7">
        <v>36769</v>
      </c>
      <c r="K12" s="7">
        <v>36799</v>
      </c>
      <c r="L12" s="7">
        <v>36830</v>
      </c>
      <c r="M12" s="7">
        <v>36860</v>
      </c>
      <c r="N12" s="7">
        <v>36891</v>
      </c>
      <c r="O12" s="7">
        <v>36922</v>
      </c>
      <c r="P12" s="7">
        <v>36950</v>
      </c>
      <c r="Q12" s="7">
        <v>36981</v>
      </c>
      <c r="R12" s="7">
        <v>37011</v>
      </c>
      <c r="S12" s="7">
        <v>37042</v>
      </c>
      <c r="T12" s="7">
        <v>37072</v>
      </c>
      <c r="U12" s="7">
        <v>37103</v>
      </c>
      <c r="V12" s="7">
        <v>37134</v>
      </c>
      <c r="W12" s="7">
        <v>37164</v>
      </c>
      <c r="X12" s="7">
        <v>37195</v>
      </c>
      <c r="Y12" s="7">
        <v>37225</v>
      </c>
      <c r="Z12" s="7">
        <v>37256</v>
      </c>
      <c r="AA12" s="7">
        <v>37287</v>
      </c>
      <c r="AB12" s="7">
        <v>37315</v>
      </c>
      <c r="AC12" s="7">
        <v>37346</v>
      </c>
      <c r="AD12" s="7">
        <v>37376</v>
      </c>
      <c r="AE12" s="7">
        <v>37407</v>
      </c>
      <c r="AF12" s="7">
        <v>37437</v>
      </c>
      <c r="AG12" s="7">
        <v>37468</v>
      </c>
      <c r="AH12" s="7">
        <v>37499</v>
      </c>
      <c r="AI12" s="7">
        <v>37529</v>
      </c>
      <c r="AJ12" s="7">
        <v>37560</v>
      </c>
      <c r="AK12" s="7">
        <v>37590</v>
      </c>
      <c r="AL12" s="7">
        <v>37621</v>
      </c>
      <c r="AM12" s="7">
        <v>37652</v>
      </c>
      <c r="AN12" s="7">
        <v>37680</v>
      </c>
      <c r="AO12" s="7">
        <v>37711</v>
      </c>
      <c r="AP12" s="7">
        <v>37741</v>
      </c>
      <c r="AQ12" s="7">
        <v>37772</v>
      </c>
      <c r="AR12" s="7">
        <v>37802</v>
      </c>
      <c r="AS12" s="7">
        <v>37833</v>
      </c>
      <c r="AT12" s="7">
        <v>37864</v>
      </c>
      <c r="AU12" s="7">
        <v>37894</v>
      </c>
      <c r="AV12" s="7">
        <v>37925</v>
      </c>
      <c r="AW12" s="7">
        <v>37955</v>
      </c>
      <c r="AX12" s="7">
        <v>37986</v>
      </c>
      <c r="AY12" s="7">
        <v>38017</v>
      </c>
      <c r="AZ12" s="7">
        <v>38046</v>
      </c>
      <c r="BA12" s="7">
        <v>38077</v>
      </c>
      <c r="BB12" s="7">
        <v>38107</v>
      </c>
      <c r="BC12" s="7">
        <v>38138</v>
      </c>
      <c r="BD12" s="7">
        <v>38168</v>
      </c>
      <c r="BE12" s="7">
        <v>38199</v>
      </c>
      <c r="BF12" s="7">
        <v>38230</v>
      </c>
      <c r="BG12" s="7">
        <v>38260</v>
      </c>
      <c r="BH12" s="7">
        <v>38291</v>
      </c>
      <c r="BI12" s="7">
        <v>38321</v>
      </c>
      <c r="BJ12" s="7">
        <v>38352</v>
      </c>
      <c r="BK12" s="7">
        <v>38383</v>
      </c>
      <c r="BL12" s="7">
        <v>38411</v>
      </c>
      <c r="BM12" s="7">
        <v>38442</v>
      </c>
      <c r="BN12" s="7">
        <v>38472</v>
      </c>
      <c r="BO12" s="7">
        <v>38503</v>
      </c>
      <c r="BP12" s="7">
        <v>38533</v>
      </c>
      <c r="BQ12" s="7">
        <v>38564</v>
      </c>
      <c r="BR12" s="7">
        <v>38595</v>
      </c>
      <c r="BS12" s="7">
        <v>38625</v>
      </c>
      <c r="BT12" s="7">
        <v>38656</v>
      </c>
      <c r="BU12" s="7">
        <v>38686</v>
      </c>
      <c r="BV12" s="7">
        <v>38717</v>
      </c>
    </row>
    <row r="13" spans="1:74" x14ac:dyDescent="0.2">
      <c r="A13" s="3" t="s">
        <v>1</v>
      </c>
    </row>
    <row r="14" spans="1:74" x14ac:dyDescent="0.2">
      <c r="A14" s="4" t="s">
        <v>6</v>
      </c>
      <c r="B14" s="9">
        <v>25000</v>
      </c>
      <c r="C14" s="9">
        <v>25000</v>
      </c>
      <c r="D14" s="9">
        <v>25000</v>
      </c>
      <c r="E14" s="9">
        <v>25000</v>
      </c>
      <c r="F14" s="9">
        <v>25000</v>
      </c>
      <c r="G14" s="9">
        <v>25000</v>
      </c>
      <c r="H14" s="9">
        <v>25000</v>
      </c>
      <c r="I14" s="9">
        <v>25000</v>
      </c>
      <c r="J14" s="9">
        <v>25000</v>
      </c>
      <c r="K14" s="9">
        <v>25000</v>
      </c>
      <c r="L14" s="9">
        <v>25000</v>
      </c>
      <c r="M14" s="9">
        <v>25000</v>
      </c>
      <c r="N14" s="9">
        <v>25000</v>
      </c>
      <c r="O14" s="9">
        <v>25000</v>
      </c>
      <c r="P14" s="9">
        <v>25000</v>
      </c>
      <c r="Q14" s="9">
        <v>25000</v>
      </c>
      <c r="R14" s="9">
        <v>25000</v>
      </c>
      <c r="S14" s="9">
        <v>25000</v>
      </c>
      <c r="T14" s="9">
        <v>25000</v>
      </c>
      <c r="U14" s="9">
        <v>25000</v>
      </c>
      <c r="V14" s="9">
        <v>25000</v>
      </c>
      <c r="W14" s="9">
        <v>25000</v>
      </c>
      <c r="X14" s="9">
        <v>25000</v>
      </c>
      <c r="Y14" s="9">
        <v>25000</v>
      </c>
      <c r="Z14" s="9">
        <v>25000</v>
      </c>
      <c r="AA14" s="9">
        <v>25000</v>
      </c>
      <c r="AB14" s="9">
        <v>25000</v>
      </c>
      <c r="AC14" s="9">
        <v>25000</v>
      </c>
      <c r="AD14" s="9">
        <v>25000</v>
      </c>
      <c r="AE14" s="9">
        <v>25000</v>
      </c>
      <c r="AF14" s="9">
        <v>25000</v>
      </c>
      <c r="AG14" s="9">
        <v>25000</v>
      </c>
      <c r="AH14" s="9">
        <v>25000</v>
      </c>
      <c r="AI14" s="9">
        <v>25000</v>
      </c>
      <c r="AJ14" s="9">
        <v>25000</v>
      </c>
      <c r="AK14" s="9">
        <v>25000</v>
      </c>
      <c r="AL14" s="9">
        <v>25000</v>
      </c>
      <c r="AM14" s="9">
        <v>25000</v>
      </c>
      <c r="AN14" s="9">
        <v>25000</v>
      </c>
      <c r="AO14" s="9">
        <v>25000</v>
      </c>
      <c r="AP14" s="9">
        <v>25000</v>
      </c>
      <c r="AQ14" s="9">
        <v>25000</v>
      </c>
      <c r="AR14" s="9">
        <v>25000</v>
      </c>
      <c r="AS14" s="9">
        <v>25000</v>
      </c>
      <c r="AT14" s="9">
        <v>25000</v>
      </c>
      <c r="AU14" s="9">
        <v>25000</v>
      </c>
      <c r="AV14" s="9">
        <v>25000</v>
      </c>
      <c r="AW14" s="9">
        <v>25000</v>
      </c>
      <c r="AX14" s="9">
        <v>25000</v>
      </c>
      <c r="AY14" s="9">
        <v>25000</v>
      </c>
      <c r="AZ14" s="9">
        <v>25000</v>
      </c>
      <c r="BA14" s="9">
        <v>25000</v>
      </c>
      <c r="BB14" s="9">
        <v>25000</v>
      </c>
      <c r="BC14" s="9">
        <v>25000</v>
      </c>
      <c r="BD14" s="9">
        <v>25000</v>
      </c>
      <c r="BE14" s="9">
        <v>25000</v>
      </c>
      <c r="BF14" s="9">
        <v>25000</v>
      </c>
      <c r="BG14" s="9">
        <v>25000</v>
      </c>
      <c r="BH14" s="9">
        <v>25000</v>
      </c>
      <c r="BI14" s="9">
        <v>25000</v>
      </c>
      <c r="BJ14" s="9">
        <v>25000</v>
      </c>
      <c r="BK14" s="9">
        <v>25000</v>
      </c>
      <c r="BL14" s="9">
        <v>25000</v>
      </c>
      <c r="BM14" s="9">
        <v>25000</v>
      </c>
      <c r="BN14" s="9">
        <v>25000</v>
      </c>
      <c r="BO14" s="9">
        <v>25000</v>
      </c>
      <c r="BP14" s="9">
        <v>25000</v>
      </c>
      <c r="BQ14" s="9">
        <v>25000</v>
      </c>
      <c r="BR14" s="9">
        <v>25000</v>
      </c>
      <c r="BS14" s="9">
        <v>25000</v>
      </c>
      <c r="BT14" s="9">
        <v>25000</v>
      </c>
      <c r="BU14" s="9">
        <v>25000</v>
      </c>
      <c r="BV14" s="9">
        <v>25000</v>
      </c>
    </row>
    <row r="15" spans="1:74" x14ac:dyDescent="0.2">
      <c r="A15" s="4" t="s">
        <v>7</v>
      </c>
      <c r="B15" s="9">
        <v>0</v>
      </c>
      <c r="C15" s="9">
        <v>15632</v>
      </c>
      <c r="D15" s="9">
        <v>23968.666666666668</v>
      </c>
      <c r="E15" s="9">
        <v>38795.1875</v>
      </c>
      <c r="F15" s="9">
        <v>43838.729166666672</v>
      </c>
      <c r="G15" s="9">
        <v>50896.125</v>
      </c>
      <c r="H15" s="9">
        <v>66321.9375</v>
      </c>
      <c r="I15" s="9">
        <v>72789.747844185345</v>
      </c>
      <c r="J15" s="9">
        <v>80059.561774504095</v>
      </c>
      <c r="K15" s="9">
        <v>87632.649805558205</v>
      </c>
      <c r="L15" s="9">
        <v>98723.817703931622</v>
      </c>
      <c r="M15" s="9">
        <v>109416.58607415909</v>
      </c>
      <c r="N15" s="9">
        <v>116810.408152057</v>
      </c>
      <c r="O15" s="9">
        <v>120967.94950298488</v>
      </c>
      <c r="P15" s="9">
        <v>127030.37943545163</v>
      </c>
      <c r="Q15" s="9">
        <v>131061.79490234796</v>
      </c>
      <c r="R15" s="9">
        <v>133743.11184121031</v>
      </c>
      <c r="S15" s="9">
        <v>135452.52620940568</v>
      </c>
      <c r="T15" s="9">
        <v>141817.52971009014</v>
      </c>
      <c r="U15" s="9">
        <v>143788.99689106553</v>
      </c>
      <c r="V15" s="9">
        <v>145407.68324856317</v>
      </c>
      <c r="W15" s="9">
        <v>145709.52535888247</v>
      </c>
      <c r="X15" s="9">
        <v>145591.91057338173</v>
      </c>
      <c r="Y15" s="9">
        <v>145841.94109750705</v>
      </c>
      <c r="Z15" s="9">
        <v>144622.44811460469</v>
      </c>
      <c r="AA15" s="9">
        <v>143024.2646151869</v>
      </c>
      <c r="AB15" s="9">
        <v>140952.52228638035</v>
      </c>
      <c r="AC15" s="9">
        <v>138811.14821117313</v>
      </c>
      <c r="AD15" s="9">
        <v>136668.12502403132</v>
      </c>
      <c r="AE15" s="9">
        <v>135588.05741632689</v>
      </c>
      <c r="AF15" s="9">
        <v>138937.72288306901</v>
      </c>
      <c r="AG15" s="9">
        <v>137615.079082585</v>
      </c>
      <c r="AH15" s="9">
        <v>136405.63568291592</v>
      </c>
      <c r="AI15" s="9">
        <v>138351.06371832796</v>
      </c>
      <c r="AJ15" s="9">
        <v>137998.97308795556</v>
      </c>
      <c r="AK15" s="9">
        <v>137788.92568883899</v>
      </c>
      <c r="AL15" s="9">
        <v>137714.92277998611</v>
      </c>
      <c r="AM15" s="9">
        <v>138070.47624555093</v>
      </c>
      <c r="AN15" s="9">
        <v>137952.34706495234</v>
      </c>
      <c r="AO15" s="9">
        <v>137237.68439013837</v>
      </c>
      <c r="AP15" s="9">
        <v>136670.33565291335</v>
      </c>
      <c r="AQ15" s="9">
        <v>137995.16195401864</v>
      </c>
      <c r="AR15" s="9">
        <v>138952.63426576272</v>
      </c>
      <c r="AS15" s="9">
        <v>137593.4877854166</v>
      </c>
      <c r="AT15" s="9">
        <v>136358.04350872189</v>
      </c>
      <c r="AU15" s="9">
        <v>138241.03033182331</v>
      </c>
      <c r="AV15" s="9">
        <v>137791.57432440482</v>
      </c>
      <c r="AW15" s="9">
        <v>137047.88228587533</v>
      </c>
      <c r="AX15" s="9">
        <v>136426.58418880598</v>
      </c>
      <c r="AY15" s="9">
        <v>135922.42772623501</v>
      </c>
      <c r="AZ15" s="9">
        <v>135530.39139989199</v>
      </c>
      <c r="BA15" s="9">
        <v>133813.47440975855</v>
      </c>
      <c r="BB15" s="9">
        <v>132264.82808160019</v>
      </c>
      <c r="BC15" s="9">
        <v>131431.23069262417</v>
      </c>
      <c r="BD15" s="9">
        <v>132643.1234479025</v>
      </c>
      <c r="BE15" s="9">
        <v>131556.26230336266</v>
      </c>
      <c r="BF15" s="9">
        <v>131164.20379444759</v>
      </c>
      <c r="BG15" s="9">
        <v>132798.29150655391</v>
      </c>
      <c r="BH15" s="9">
        <v>132115.14315807915</v>
      </c>
      <c r="BI15" s="9">
        <v>131554.97160157328</v>
      </c>
      <c r="BJ15" s="9">
        <v>131112.40638309013</v>
      </c>
      <c r="BK15" s="9">
        <v>130782.31583437696</v>
      </c>
      <c r="BL15" s="9">
        <v>130559.79634036381</v>
      </c>
      <c r="BM15" s="9">
        <v>129694.2246872111</v>
      </c>
      <c r="BN15" s="9">
        <v>128961.19685028963</v>
      </c>
      <c r="BO15" s="9">
        <v>128909.03820857103</v>
      </c>
      <c r="BP15" s="9">
        <v>127123.7313225106</v>
      </c>
      <c r="BQ15" s="9">
        <v>125488.35271835145</v>
      </c>
      <c r="BR15" s="9">
        <v>124550.4145243243</v>
      </c>
      <c r="BS15" s="9">
        <v>122641.06116323134</v>
      </c>
      <c r="BT15" s="9">
        <v>120862.55582554608</v>
      </c>
      <c r="BU15" s="9">
        <v>119209.10089045983</v>
      </c>
      <c r="BV15" s="9">
        <v>117675.15893354526</v>
      </c>
    </row>
    <row r="16" spans="1:74" x14ac:dyDescent="0.2">
      <c r="A16" s="4" t="s">
        <v>8</v>
      </c>
      <c r="B16" s="9">
        <v>0</v>
      </c>
      <c r="C16" s="9">
        <v>1576.981299759304</v>
      </c>
      <c r="D16" s="9">
        <v>2405.7317441214595</v>
      </c>
      <c r="E16" s="9">
        <v>3446.0391779300144</v>
      </c>
      <c r="F16" s="9">
        <v>4757.6914460285161</v>
      </c>
      <c r="G16" s="9">
        <v>6630.4296426587716</v>
      </c>
      <c r="H16" s="9">
        <v>9273.5112247731995</v>
      </c>
      <c r="I16" s="9">
        <v>12390.296500648044</v>
      </c>
      <c r="J16" s="9">
        <v>15723.237830957252</v>
      </c>
      <c r="K16" s="9">
        <v>19155.059058507712</v>
      </c>
      <c r="L16" s="9">
        <v>22674.262520829507</v>
      </c>
      <c r="M16" s="9">
        <v>26806.060373079094</v>
      </c>
      <c r="N16" s="9">
        <v>29887.433915015783</v>
      </c>
      <c r="O16" s="9">
        <v>33145.761048879889</v>
      </c>
      <c r="P16" s="9">
        <v>36595.81896500654</v>
      </c>
      <c r="Q16" s="9">
        <v>40259.408367432021</v>
      </c>
      <c r="R16" s="9">
        <v>44433.966763562377</v>
      </c>
      <c r="S16" s="9">
        <v>49290.483249629768</v>
      </c>
      <c r="T16" s="9">
        <v>53979.251480174455</v>
      </c>
      <c r="U16" s="9">
        <v>58382.818456429144</v>
      </c>
      <c r="V16" s="9">
        <v>62446.457751540904</v>
      </c>
      <c r="W16" s="9">
        <v>66288.343601224915</v>
      </c>
      <c r="X16" s="9">
        <v>69914.140612864954</v>
      </c>
      <c r="Y16" s="9">
        <v>73302.479449185179</v>
      </c>
      <c r="Z16" s="9">
        <v>76382.299721057556</v>
      </c>
      <c r="AA16" s="9">
        <v>79439.852989089224</v>
      </c>
      <c r="AB16" s="9">
        <v>82686.122968233482</v>
      </c>
      <c r="AC16" s="9">
        <v>86256.53650421105</v>
      </c>
      <c r="AD16" s="9">
        <v>90500.804594292931</v>
      </c>
      <c r="AE16" s="9">
        <v>95893.372877781178</v>
      </c>
      <c r="AF16" s="9">
        <v>102016.80990536558</v>
      </c>
      <c r="AG16" s="9">
        <v>108010.45192063058</v>
      </c>
      <c r="AH16" s="9">
        <v>113608.44476026953</v>
      </c>
      <c r="AI16" s="9">
        <v>118919.619193533</v>
      </c>
      <c r="AJ16" s="9">
        <v>124021.60475178767</v>
      </c>
      <c r="AK16" s="9">
        <v>128841.54405808196</v>
      </c>
      <c r="AL16" s="9">
        <v>133399.15652323654</v>
      </c>
      <c r="AM16" s="9">
        <v>137803.65682802547</v>
      </c>
      <c r="AN16" s="9">
        <v>142285.48876903619</v>
      </c>
      <c r="AO16" s="9">
        <v>146960.53038219135</v>
      </c>
      <c r="AP16" s="9">
        <v>152129.38126621593</v>
      </c>
      <c r="AQ16" s="9">
        <v>157911.33423959339</v>
      </c>
      <c r="AR16" s="9">
        <v>163553.65132843005</v>
      </c>
      <c r="AS16" s="9">
        <v>168393.74219242579</v>
      </c>
      <c r="AT16" s="9">
        <v>172390.56052070364</v>
      </c>
      <c r="AU16" s="9">
        <v>175830.79002770316</v>
      </c>
      <c r="AV16" s="9">
        <v>178873.8671606197</v>
      </c>
      <c r="AW16" s="9">
        <v>181520.26714155875</v>
      </c>
      <c r="AX16" s="9">
        <v>183695.03111853171</v>
      </c>
      <c r="AY16" s="9">
        <v>185591.94806288843</v>
      </c>
      <c r="AZ16" s="9">
        <v>187454.70501065307</v>
      </c>
      <c r="BA16" s="9">
        <v>189404.82193718787</v>
      </c>
      <c r="BB16" s="9">
        <v>191664.70735893195</v>
      </c>
      <c r="BC16" s="9">
        <v>194213.10537301854</v>
      </c>
      <c r="BD16" s="9">
        <v>196337.27752851284</v>
      </c>
      <c r="BE16" s="9">
        <v>197621.50748104043</v>
      </c>
      <c r="BF16" s="9">
        <v>198059.48618981318</v>
      </c>
      <c r="BG16" s="9">
        <v>197852.17660025979</v>
      </c>
      <c r="BH16" s="9">
        <v>197190.98088181831</v>
      </c>
      <c r="BI16" s="9">
        <v>196198.84107065265</v>
      </c>
      <c r="BJ16" s="9">
        <v>194875.75777136924</v>
      </c>
      <c r="BK16" s="9">
        <v>193522.06083318189</v>
      </c>
      <c r="BL16" s="9">
        <v>192377.86728432338</v>
      </c>
      <c r="BM16" s="9">
        <v>191584.5870590808</v>
      </c>
      <c r="BN16" s="9">
        <v>191381.38469073566</v>
      </c>
      <c r="BO16" s="9">
        <v>191996.42855834123</v>
      </c>
      <c r="BP16" s="9">
        <v>193022.47594154833</v>
      </c>
      <c r="BQ16" s="9">
        <v>193809.55626670399</v>
      </c>
      <c r="BR16" s="9">
        <v>194120.32171285391</v>
      </c>
      <c r="BS16" s="9">
        <v>194043.48162272398</v>
      </c>
      <c r="BT16" s="9">
        <v>193753.55736070653</v>
      </c>
      <c r="BU16" s="9">
        <v>193316.54670951952</v>
      </c>
      <c r="BV16" s="9">
        <v>192804.42104775176</v>
      </c>
    </row>
    <row r="17" spans="1:74" x14ac:dyDescent="0.2">
      <c r="A17" s="4" t="s">
        <v>9</v>
      </c>
      <c r="B17" s="9">
        <v>0</v>
      </c>
      <c r="C17" s="9">
        <v>2706.2838984692885</v>
      </c>
      <c r="D17" s="9">
        <v>6235.9654330556095</v>
      </c>
      <c r="E17" s="9">
        <v>13010.625867080022</v>
      </c>
      <c r="F17" s="9">
        <v>21328.472699089321</v>
      </c>
      <c r="G17" s="9">
        <v>33611.45208292966</v>
      </c>
      <c r="H17" s="9">
        <v>50925.709978686296</v>
      </c>
      <c r="I17" s="9">
        <v>71326.340670412712</v>
      </c>
      <c r="J17" s="9">
        <v>69217.200394538653</v>
      </c>
      <c r="K17" s="9">
        <v>58212.291135934094</v>
      </c>
      <c r="L17" s="9">
        <v>43601.919775238872</v>
      </c>
      <c r="M17" s="9">
        <v>28777.353552761837</v>
      </c>
      <c r="N17" s="9">
        <v>18302.157932927221</v>
      </c>
      <c r="O17" s="9">
        <v>43386.289448135241</v>
      </c>
      <c r="P17" s="9">
        <v>66373.801599541825</v>
      </c>
      <c r="Q17" s="9">
        <v>91178.796730220027</v>
      </c>
      <c r="R17" s="9">
        <v>116822.92139522731</v>
      </c>
      <c r="S17" s="9">
        <v>142756.99054096456</v>
      </c>
      <c r="T17" s="9">
        <v>229203.21880973541</v>
      </c>
      <c r="U17" s="9">
        <v>245555.45737977803</v>
      </c>
      <c r="V17" s="9">
        <v>262600.40445444133</v>
      </c>
      <c r="W17" s="9">
        <v>281183.94922171073</v>
      </c>
      <c r="X17" s="9">
        <v>293571.78476486943</v>
      </c>
      <c r="Y17" s="9">
        <v>290747.00544081256</v>
      </c>
      <c r="Z17" s="9">
        <v>286949.776601199</v>
      </c>
      <c r="AA17" s="9">
        <v>282695.35426971869</v>
      </c>
      <c r="AB17" s="9">
        <v>278026.71784695098</v>
      </c>
      <c r="AC17" s="9">
        <v>272973.75979086239</v>
      </c>
      <c r="AD17" s="9">
        <v>267346.87827610836</v>
      </c>
      <c r="AE17" s="9">
        <v>261418.33328989524</v>
      </c>
      <c r="AF17" s="9">
        <v>255542.57537906256</v>
      </c>
      <c r="AG17" s="9">
        <v>249804.01514573616</v>
      </c>
      <c r="AH17" s="9">
        <v>244056.41746808394</v>
      </c>
      <c r="AI17" s="9">
        <v>238331.67357047292</v>
      </c>
      <c r="AJ17" s="9">
        <v>232676.28502232363</v>
      </c>
      <c r="AK17" s="9">
        <v>227139.84043675137</v>
      </c>
      <c r="AL17" s="9">
        <v>221776.34265446546</v>
      </c>
      <c r="AM17" s="9">
        <v>216618.04293202492</v>
      </c>
      <c r="AN17" s="9">
        <v>211735.07852137499</v>
      </c>
      <c r="AO17" s="9">
        <v>207116.42247384525</v>
      </c>
      <c r="AP17" s="9">
        <v>202682.73973334036</v>
      </c>
      <c r="AQ17" s="9">
        <v>198426.62227381114</v>
      </c>
      <c r="AR17" s="9">
        <v>194340.95875444834</v>
      </c>
      <c r="AS17" s="9">
        <v>190418.92263768704</v>
      </c>
      <c r="AT17" s="9">
        <v>186653.96078307522</v>
      </c>
      <c r="AU17" s="9">
        <v>183039.78249794836</v>
      </c>
      <c r="AV17" s="9">
        <v>179570.34902661524</v>
      </c>
      <c r="AW17" s="9">
        <v>176239.86346049322</v>
      </c>
      <c r="AX17" s="9">
        <v>172708.14566771867</v>
      </c>
      <c r="AY17" s="9">
        <v>169204.97292746359</v>
      </c>
      <c r="AZ17" s="9">
        <v>165725.21729391933</v>
      </c>
      <c r="BA17" s="9">
        <v>162263.95619121252</v>
      </c>
      <c r="BB17" s="9">
        <v>158816.46418851134</v>
      </c>
      <c r="BC17" s="9">
        <v>155378.20510453198</v>
      </c>
      <c r="BD17" s="9">
        <v>151944.82442825194</v>
      </c>
      <c r="BE17" s="9">
        <v>148512.14204316915</v>
      </c>
      <c r="BF17" s="9">
        <v>145076.14524294672</v>
      </c>
      <c r="BG17" s="9">
        <v>141632.98202677644</v>
      </c>
      <c r="BH17" s="9">
        <v>138161.09636706088</v>
      </c>
      <c r="BI17" s="9">
        <v>134774.29314130291</v>
      </c>
      <c r="BJ17" s="9">
        <v>131268.39563850165</v>
      </c>
      <c r="BK17" s="9">
        <v>127781.20434292704</v>
      </c>
      <c r="BL17" s="9">
        <v>124309.57924242878</v>
      </c>
      <c r="BM17" s="9">
        <v>120850.50607971383</v>
      </c>
      <c r="BN17" s="9">
        <v>117455.05499531435</v>
      </c>
      <c r="BO17" s="9">
        <v>114118.2871340556</v>
      </c>
      <c r="BP17" s="9">
        <v>110835.46143777692</v>
      </c>
      <c r="BQ17" s="9">
        <v>107602.02672372674</v>
      </c>
      <c r="BR17" s="9">
        <v>104413.61408021157</v>
      </c>
      <c r="BS17" s="9">
        <v>101266.02956679264</v>
      </c>
      <c r="BT17" s="9">
        <v>98144.532229116288</v>
      </c>
      <c r="BU17" s="9">
        <v>95115.670038254189</v>
      </c>
      <c r="BV17" s="9">
        <v>92175.733034149409</v>
      </c>
    </row>
    <row r="18" spans="1:74" x14ac:dyDescent="0.2">
      <c r="A18" s="4" t="s">
        <v>10</v>
      </c>
      <c r="B18" s="10">
        <v>0</v>
      </c>
      <c r="C18" s="10">
        <v>3074.9079635729504</v>
      </c>
      <c r="D18" s="10">
        <v>5209.3392753342368</v>
      </c>
      <c r="E18" s="10">
        <v>7741.7554737453966</v>
      </c>
      <c r="F18" s="10">
        <v>10672.156558806433</v>
      </c>
      <c r="G18" s="10">
        <v>14000.542530517341</v>
      </c>
      <c r="H18" s="10">
        <v>17726.913388878122</v>
      </c>
      <c r="I18" s="10">
        <v>8493.6149847538909</v>
      </c>
      <c r="J18" s="10">
        <v>0</v>
      </c>
      <c r="K18" s="10">
        <v>0</v>
      </c>
      <c r="L18" s="10">
        <v>0</v>
      </c>
      <c r="M18" s="10">
        <v>0</v>
      </c>
      <c r="N18" s="10">
        <v>0</v>
      </c>
      <c r="O18" s="10">
        <v>0</v>
      </c>
      <c r="P18" s="10">
        <v>0</v>
      </c>
      <c r="Q18" s="10">
        <v>0</v>
      </c>
      <c r="R18" s="10">
        <v>0</v>
      </c>
      <c r="S18" s="10">
        <v>0</v>
      </c>
      <c r="T18" s="10">
        <v>0</v>
      </c>
      <c r="U18" s="10">
        <v>0</v>
      </c>
      <c r="V18" s="10">
        <v>0</v>
      </c>
      <c r="W18" s="10">
        <v>0</v>
      </c>
      <c r="X18" s="10">
        <v>6831.2549579746556</v>
      </c>
      <c r="Y18" s="10">
        <v>28744.937648858759</v>
      </c>
      <c r="Z18" s="10">
        <v>53409.11192677496</v>
      </c>
      <c r="AA18" s="10">
        <v>78931.437216914142</v>
      </c>
      <c r="AB18" s="10">
        <v>105152.81871661684</v>
      </c>
      <c r="AC18" s="10">
        <v>124274.11578178355</v>
      </c>
      <c r="AD18" s="10">
        <v>129137.06760920024</v>
      </c>
      <c r="AE18" s="10">
        <v>133980.05440034153</v>
      </c>
      <c r="AF18" s="10">
        <v>138809.45437469421</v>
      </c>
      <c r="AG18" s="10">
        <v>143631.39030939573</v>
      </c>
      <c r="AH18" s="10">
        <v>148451.73976948648</v>
      </c>
      <c r="AI18" s="10">
        <v>153276.14492844878</v>
      </c>
      <c r="AJ18" s="10">
        <v>158110.02199544184</v>
      </c>
      <c r="AK18" s="10">
        <v>162983.57187965777</v>
      </c>
      <c r="AL18" s="10">
        <v>167737.48932322126</v>
      </c>
      <c r="AM18" s="10">
        <v>172711.18088981527</v>
      </c>
      <c r="AN18" s="10">
        <v>177674.12671284482</v>
      </c>
      <c r="AO18" s="10">
        <v>182630.74189070027</v>
      </c>
      <c r="AP18" s="10">
        <v>183517.54334753042</v>
      </c>
      <c r="AQ18" s="10">
        <v>180666.88153257687</v>
      </c>
      <c r="AR18" s="10">
        <v>178152.75565135886</v>
      </c>
      <c r="AS18" s="10">
        <v>178593.84738447051</v>
      </c>
      <c r="AT18" s="10">
        <v>179597.43518749927</v>
      </c>
      <c r="AU18" s="10">
        <v>177888.39714252518</v>
      </c>
      <c r="AV18" s="10">
        <v>178764.20948836021</v>
      </c>
      <c r="AW18" s="10">
        <v>180191.9871120727</v>
      </c>
      <c r="AX18" s="10">
        <v>182170.23902494361</v>
      </c>
      <c r="AY18" s="10">
        <v>184280.65128341294</v>
      </c>
      <c r="AZ18" s="10">
        <v>186289.68629553565</v>
      </c>
      <c r="BA18" s="10">
        <v>189517.74746184109</v>
      </c>
      <c r="BB18" s="10">
        <v>192254.00037095649</v>
      </c>
      <c r="BC18" s="10">
        <v>193977.45882982528</v>
      </c>
      <c r="BD18" s="10">
        <v>194074.77459533268</v>
      </c>
      <c r="BE18" s="10">
        <v>197310.08817242773</v>
      </c>
      <c r="BF18" s="10">
        <v>200700.16477279249</v>
      </c>
      <c r="BG18" s="10">
        <v>202716.54986640986</v>
      </c>
      <c r="BH18" s="10">
        <v>207532.77959304163</v>
      </c>
      <c r="BI18" s="10">
        <v>212471.89418647112</v>
      </c>
      <c r="BJ18" s="10">
        <v>217743.44020703901</v>
      </c>
      <c r="BK18" s="10">
        <v>222914.41898951412</v>
      </c>
      <c r="BL18" s="10">
        <v>227752.75713288406</v>
      </c>
      <c r="BM18" s="10">
        <v>232870.68217399425</v>
      </c>
      <c r="BN18" s="10">
        <v>237202.36346366035</v>
      </c>
      <c r="BO18" s="10">
        <v>239976.24609903211</v>
      </c>
      <c r="BP18" s="10">
        <v>244018.33129816415</v>
      </c>
      <c r="BQ18" s="10">
        <v>248100.06429121783</v>
      </c>
      <c r="BR18" s="10">
        <v>251915.64968261024</v>
      </c>
      <c r="BS18" s="10">
        <v>257049.42764725204</v>
      </c>
      <c r="BT18" s="10">
        <v>262239.35458463104</v>
      </c>
      <c r="BU18" s="10">
        <v>267358.68236176646</v>
      </c>
      <c r="BV18" s="10">
        <v>270253.81738655647</v>
      </c>
    </row>
    <row r="19" spans="1:74" x14ac:dyDescent="0.2">
      <c r="A19" s="6" t="s">
        <v>11</v>
      </c>
      <c r="B19" s="9">
        <f>SUM(B14:B18)</f>
        <v>25000</v>
      </c>
      <c r="C19" s="9">
        <f t="shared" ref="C19:BN19" si="2">SUM(C14:C18)</f>
        <v>47990.17316180154</v>
      </c>
      <c r="D19" s="9">
        <f t="shared" si="2"/>
        <v>62819.703119177975</v>
      </c>
      <c r="E19" s="9">
        <f t="shared" si="2"/>
        <v>87993.608018755418</v>
      </c>
      <c r="F19" s="9">
        <f t="shared" si="2"/>
        <v>105597.04987059094</v>
      </c>
      <c r="G19" s="9">
        <f t="shared" si="2"/>
        <v>130138.54925610578</v>
      </c>
      <c r="H19" s="9">
        <f t="shared" si="2"/>
        <v>169248.07209233759</v>
      </c>
      <c r="I19" s="9">
        <f t="shared" si="2"/>
        <v>190000</v>
      </c>
      <c r="J19" s="9">
        <f t="shared" si="2"/>
        <v>190000</v>
      </c>
      <c r="K19" s="9">
        <f t="shared" si="2"/>
        <v>190000</v>
      </c>
      <c r="L19" s="9">
        <f t="shared" si="2"/>
        <v>190000</v>
      </c>
      <c r="M19" s="9">
        <f t="shared" si="2"/>
        <v>190000</v>
      </c>
      <c r="N19" s="9">
        <f t="shared" si="2"/>
        <v>190000</v>
      </c>
      <c r="O19" s="9">
        <f t="shared" si="2"/>
        <v>222500</v>
      </c>
      <c r="P19" s="9">
        <f t="shared" si="2"/>
        <v>255000</v>
      </c>
      <c r="Q19" s="9">
        <f t="shared" si="2"/>
        <v>287500</v>
      </c>
      <c r="R19" s="9">
        <f t="shared" si="2"/>
        <v>320000</v>
      </c>
      <c r="S19" s="9">
        <f t="shared" si="2"/>
        <v>352500</v>
      </c>
      <c r="T19" s="9">
        <f t="shared" si="2"/>
        <v>450000</v>
      </c>
      <c r="U19" s="9">
        <f t="shared" si="2"/>
        <v>472727.27272727271</v>
      </c>
      <c r="V19" s="9">
        <f t="shared" si="2"/>
        <v>495454.54545454541</v>
      </c>
      <c r="W19" s="9">
        <f t="shared" si="2"/>
        <v>518181.81818181812</v>
      </c>
      <c r="X19" s="9">
        <f t="shared" si="2"/>
        <v>540909.09090909082</v>
      </c>
      <c r="Y19" s="9">
        <f t="shared" si="2"/>
        <v>563636.36363636353</v>
      </c>
      <c r="Z19" s="9">
        <f t="shared" si="2"/>
        <v>586363.63636363624</v>
      </c>
      <c r="AA19" s="9">
        <f t="shared" si="2"/>
        <v>609090.90909090894</v>
      </c>
      <c r="AB19" s="9">
        <f t="shared" si="2"/>
        <v>631818.18181818165</v>
      </c>
      <c r="AC19" s="9">
        <f t="shared" si="2"/>
        <v>647315.56028803019</v>
      </c>
      <c r="AD19" s="9">
        <f t="shared" si="2"/>
        <v>648652.87550363282</v>
      </c>
      <c r="AE19" s="9">
        <f t="shared" si="2"/>
        <v>651879.8179843449</v>
      </c>
      <c r="AF19" s="9">
        <f t="shared" si="2"/>
        <v>660306.56254219136</v>
      </c>
      <c r="AG19" s="9">
        <f t="shared" si="2"/>
        <v>664060.93645834748</v>
      </c>
      <c r="AH19" s="9">
        <f t="shared" si="2"/>
        <v>667522.2376807559</v>
      </c>
      <c r="AI19" s="9">
        <f t="shared" si="2"/>
        <v>673878.50141078269</v>
      </c>
      <c r="AJ19" s="9">
        <f t="shared" si="2"/>
        <v>677806.8848575087</v>
      </c>
      <c r="AK19" s="9">
        <f t="shared" si="2"/>
        <v>681753.88206333015</v>
      </c>
      <c r="AL19" s="9">
        <f t="shared" si="2"/>
        <v>685627.91128090932</v>
      </c>
      <c r="AM19" s="9">
        <f t="shared" si="2"/>
        <v>690203.35689541651</v>
      </c>
      <c r="AN19" s="9">
        <f t="shared" si="2"/>
        <v>694647.04106820829</v>
      </c>
      <c r="AO19" s="9">
        <f t="shared" si="2"/>
        <v>698945.37913687527</v>
      </c>
      <c r="AP19" s="9">
        <f t="shared" si="2"/>
        <v>700000</v>
      </c>
      <c r="AQ19" s="9">
        <f t="shared" si="2"/>
        <v>700000</v>
      </c>
      <c r="AR19" s="9">
        <f t="shared" si="2"/>
        <v>700000</v>
      </c>
      <c r="AS19" s="9">
        <f t="shared" si="2"/>
        <v>700000</v>
      </c>
      <c r="AT19" s="9">
        <f t="shared" si="2"/>
        <v>700000</v>
      </c>
      <c r="AU19" s="9">
        <f t="shared" si="2"/>
        <v>700000</v>
      </c>
      <c r="AV19" s="9">
        <f t="shared" si="2"/>
        <v>700000</v>
      </c>
      <c r="AW19" s="9">
        <f t="shared" si="2"/>
        <v>700000</v>
      </c>
      <c r="AX19" s="9">
        <f t="shared" si="2"/>
        <v>700000</v>
      </c>
      <c r="AY19" s="9">
        <f t="shared" si="2"/>
        <v>700000</v>
      </c>
      <c r="AZ19" s="9">
        <f t="shared" si="2"/>
        <v>700000</v>
      </c>
      <c r="BA19" s="9">
        <f t="shared" si="2"/>
        <v>700000</v>
      </c>
      <c r="BB19" s="9">
        <f t="shared" si="2"/>
        <v>700000</v>
      </c>
      <c r="BC19" s="9">
        <f t="shared" si="2"/>
        <v>700000</v>
      </c>
      <c r="BD19" s="9">
        <f t="shared" si="2"/>
        <v>700000</v>
      </c>
      <c r="BE19" s="9">
        <f t="shared" si="2"/>
        <v>700000</v>
      </c>
      <c r="BF19" s="9">
        <f t="shared" si="2"/>
        <v>700000</v>
      </c>
      <c r="BG19" s="9">
        <f t="shared" si="2"/>
        <v>700000</v>
      </c>
      <c r="BH19" s="9">
        <f t="shared" si="2"/>
        <v>700000</v>
      </c>
      <c r="BI19" s="9">
        <f t="shared" si="2"/>
        <v>700000</v>
      </c>
      <c r="BJ19" s="9">
        <f t="shared" si="2"/>
        <v>700000</v>
      </c>
      <c r="BK19" s="9">
        <f t="shared" si="2"/>
        <v>700000</v>
      </c>
      <c r="BL19" s="9">
        <f t="shared" si="2"/>
        <v>700000</v>
      </c>
      <c r="BM19" s="9">
        <f t="shared" si="2"/>
        <v>700000</v>
      </c>
      <c r="BN19" s="9">
        <f t="shared" si="2"/>
        <v>700000</v>
      </c>
      <c r="BO19" s="9">
        <f t="shared" ref="BO19:BV19" si="3">SUM(BO14:BO18)</f>
        <v>700000</v>
      </c>
      <c r="BP19" s="9">
        <f t="shared" si="3"/>
        <v>700000</v>
      </c>
      <c r="BQ19" s="9">
        <f t="shared" si="3"/>
        <v>700000</v>
      </c>
      <c r="BR19" s="9">
        <f t="shared" si="3"/>
        <v>700000</v>
      </c>
      <c r="BS19" s="9">
        <f t="shared" si="3"/>
        <v>700000</v>
      </c>
      <c r="BT19" s="9">
        <f t="shared" si="3"/>
        <v>700000</v>
      </c>
      <c r="BU19" s="9">
        <f t="shared" si="3"/>
        <v>700000</v>
      </c>
      <c r="BV19" s="9">
        <f t="shared" si="3"/>
        <v>697909.13040200295</v>
      </c>
    </row>
    <row r="20" spans="1:74" x14ac:dyDescent="0.2">
      <c r="A20" s="4"/>
    </row>
    <row r="21" spans="1:74" x14ac:dyDescent="0.2">
      <c r="A21" s="4" t="s">
        <v>12</v>
      </c>
      <c r="B21" s="9">
        <f>IF(B19&gt;$B$5,B19-$B$5,0)</f>
        <v>0</v>
      </c>
      <c r="C21" s="9">
        <f t="shared" ref="C21:BN21" si="4">IF(C19&gt;$B$5,C19-$B$5,0)</f>
        <v>0</v>
      </c>
      <c r="D21" s="9">
        <f t="shared" si="4"/>
        <v>0</v>
      </c>
      <c r="E21" s="9">
        <f t="shared" si="4"/>
        <v>0</v>
      </c>
      <c r="F21" s="9">
        <f t="shared" si="4"/>
        <v>0</v>
      </c>
      <c r="G21" s="9">
        <f t="shared" si="4"/>
        <v>0</v>
      </c>
      <c r="H21" s="9">
        <f t="shared" si="4"/>
        <v>0</v>
      </c>
      <c r="I21" s="9">
        <f t="shared" si="4"/>
        <v>0</v>
      </c>
      <c r="J21" s="9">
        <f t="shared" si="4"/>
        <v>0</v>
      </c>
      <c r="K21" s="9">
        <f t="shared" si="4"/>
        <v>0</v>
      </c>
      <c r="L21" s="9">
        <f t="shared" si="4"/>
        <v>0</v>
      </c>
      <c r="M21" s="9">
        <f t="shared" si="4"/>
        <v>0</v>
      </c>
      <c r="N21" s="9">
        <f t="shared" si="4"/>
        <v>0</v>
      </c>
      <c r="O21" s="9">
        <f t="shared" si="4"/>
        <v>0</v>
      </c>
      <c r="P21" s="9">
        <f t="shared" si="4"/>
        <v>0</v>
      </c>
      <c r="Q21" s="9">
        <f t="shared" si="4"/>
        <v>0</v>
      </c>
      <c r="R21" s="9">
        <f t="shared" si="4"/>
        <v>20000</v>
      </c>
      <c r="S21" s="9">
        <f t="shared" si="4"/>
        <v>52500</v>
      </c>
      <c r="T21" s="9">
        <f t="shared" si="4"/>
        <v>150000</v>
      </c>
      <c r="U21" s="9">
        <f t="shared" si="4"/>
        <v>172727.27272727271</v>
      </c>
      <c r="V21" s="9">
        <f t="shared" si="4"/>
        <v>195454.54545454541</v>
      </c>
      <c r="W21" s="9">
        <f t="shared" si="4"/>
        <v>218181.81818181812</v>
      </c>
      <c r="X21" s="9">
        <f t="shared" si="4"/>
        <v>240909.09090909082</v>
      </c>
      <c r="Y21" s="9">
        <f t="shared" si="4"/>
        <v>263636.36363636353</v>
      </c>
      <c r="Z21" s="9">
        <f t="shared" si="4"/>
        <v>286363.63636363624</v>
      </c>
      <c r="AA21" s="9">
        <f t="shared" si="4"/>
        <v>309090.90909090894</v>
      </c>
      <c r="AB21" s="9">
        <f t="shared" si="4"/>
        <v>331818.18181818165</v>
      </c>
      <c r="AC21" s="9">
        <f t="shared" si="4"/>
        <v>347315.56028803019</v>
      </c>
      <c r="AD21" s="9">
        <f t="shared" si="4"/>
        <v>348652.87550363282</v>
      </c>
      <c r="AE21" s="9">
        <f t="shared" si="4"/>
        <v>351879.8179843449</v>
      </c>
      <c r="AF21" s="9">
        <f t="shared" si="4"/>
        <v>360306.56254219136</v>
      </c>
      <c r="AG21" s="9">
        <f t="shared" si="4"/>
        <v>364060.93645834748</v>
      </c>
      <c r="AH21" s="9">
        <f t="shared" si="4"/>
        <v>367522.2376807559</v>
      </c>
      <c r="AI21" s="9">
        <f t="shared" si="4"/>
        <v>373878.50141078269</v>
      </c>
      <c r="AJ21" s="9">
        <f t="shared" si="4"/>
        <v>377806.8848575087</v>
      </c>
      <c r="AK21" s="9">
        <f t="shared" si="4"/>
        <v>381753.88206333015</v>
      </c>
      <c r="AL21" s="9">
        <f t="shared" si="4"/>
        <v>385627.91128090932</v>
      </c>
      <c r="AM21" s="9">
        <f t="shared" si="4"/>
        <v>390203.35689541651</v>
      </c>
      <c r="AN21" s="9">
        <f t="shared" si="4"/>
        <v>394647.04106820829</v>
      </c>
      <c r="AO21" s="9">
        <f t="shared" si="4"/>
        <v>398945.37913687527</v>
      </c>
      <c r="AP21" s="9">
        <f t="shared" si="4"/>
        <v>400000</v>
      </c>
      <c r="AQ21" s="9">
        <f t="shared" si="4"/>
        <v>400000</v>
      </c>
      <c r="AR21" s="9">
        <f t="shared" si="4"/>
        <v>400000</v>
      </c>
      <c r="AS21" s="9">
        <f t="shared" si="4"/>
        <v>400000</v>
      </c>
      <c r="AT21" s="9">
        <f t="shared" si="4"/>
        <v>400000</v>
      </c>
      <c r="AU21" s="9">
        <f t="shared" si="4"/>
        <v>400000</v>
      </c>
      <c r="AV21" s="9">
        <f t="shared" si="4"/>
        <v>400000</v>
      </c>
      <c r="AW21" s="9">
        <f t="shared" si="4"/>
        <v>400000</v>
      </c>
      <c r="AX21" s="9">
        <f t="shared" si="4"/>
        <v>400000</v>
      </c>
      <c r="AY21" s="9">
        <f t="shared" si="4"/>
        <v>400000</v>
      </c>
      <c r="AZ21" s="9">
        <f t="shared" si="4"/>
        <v>400000</v>
      </c>
      <c r="BA21" s="9">
        <f t="shared" si="4"/>
        <v>400000</v>
      </c>
      <c r="BB21" s="9">
        <f t="shared" si="4"/>
        <v>400000</v>
      </c>
      <c r="BC21" s="9">
        <f t="shared" si="4"/>
        <v>400000</v>
      </c>
      <c r="BD21" s="9">
        <f t="shared" si="4"/>
        <v>400000</v>
      </c>
      <c r="BE21" s="9">
        <f t="shared" si="4"/>
        <v>400000</v>
      </c>
      <c r="BF21" s="9">
        <f t="shared" si="4"/>
        <v>400000</v>
      </c>
      <c r="BG21" s="9">
        <f t="shared" si="4"/>
        <v>400000</v>
      </c>
      <c r="BH21" s="9">
        <f t="shared" si="4"/>
        <v>400000</v>
      </c>
      <c r="BI21" s="9">
        <f t="shared" si="4"/>
        <v>400000</v>
      </c>
      <c r="BJ21" s="9">
        <f t="shared" si="4"/>
        <v>400000</v>
      </c>
      <c r="BK21" s="9">
        <f t="shared" si="4"/>
        <v>400000</v>
      </c>
      <c r="BL21" s="9">
        <f t="shared" si="4"/>
        <v>400000</v>
      </c>
      <c r="BM21" s="9">
        <f t="shared" si="4"/>
        <v>400000</v>
      </c>
      <c r="BN21" s="9">
        <f t="shared" si="4"/>
        <v>400000</v>
      </c>
      <c r="BO21" s="9">
        <f t="shared" ref="BO21:BV21" si="5">IF(BO19&gt;$B$5,BO19-$B$5,0)</f>
        <v>400000</v>
      </c>
      <c r="BP21" s="9">
        <f t="shared" si="5"/>
        <v>400000</v>
      </c>
      <c r="BQ21" s="9">
        <f t="shared" si="5"/>
        <v>400000</v>
      </c>
      <c r="BR21" s="9">
        <f t="shared" si="5"/>
        <v>400000</v>
      </c>
      <c r="BS21" s="9">
        <f t="shared" si="5"/>
        <v>400000</v>
      </c>
      <c r="BT21" s="9">
        <f t="shared" si="5"/>
        <v>400000</v>
      </c>
      <c r="BU21" s="9">
        <f t="shared" si="5"/>
        <v>400000</v>
      </c>
      <c r="BV21" s="9">
        <f t="shared" si="5"/>
        <v>397909.13040200295</v>
      </c>
    </row>
    <row r="22" spans="1:74" x14ac:dyDescent="0.2">
      <c r="A22" s="4" t="s">
        <v>13</v>
      </c>
      <c r="B22" s="12">
        <f>$B$6</f>
        <v>0.14000000000000001</v>
      </c>
      <c r="C22" s="12">
        <f t="shared" ref="C22:BN22" si="6">$B$6</f>
        <v>0.14000000000000001</v>
      </c>
      <c r="D22" s="12">
        <f t="shared" si="6"/>
        <v>0.14000000000000001</v>
      </c>
      <c r="E22" s="12">
        <f t="shared" si="6"/>
        <v>0.14000000000000001</v>
      </c>
      <c r="F22" s="12">
        <f t="shared" si="6"/>
        <v>0.14000000000000001</v>
      </c>
      <c r="G22" s="12">
        <f t="shared" si="6"/>
        <v>0.14000000000000001</v>
      </c>
      <c r="H22" s="12">
        <f t="shared" si="6"/>
        <v>0.14000000000000001</v>
      </c>
      <c r="I22" s="12">
        <f t="shared" si="6"/>
        <v>0.14000000000000001</v>
      </c>
      <c r="J22" s="12">
        <f t="shared" si="6"/>
        <v>0.14000000000000001</v>
      </c>
      <c r="K22" s="12">
        <f t="shared" si="6"/>
        <v>0.14000000000000001</v>
      </c>
      <c r="L22" s="12">
        <f t="shared" si="6"/>
        <v>0.14000000000000001</v>
      </c>
      <c r="M22" s="12">
        <f t="shared" si="6"/>
        <v>0.14000000000000001</v>
      </c>
      <c r="N22" s="12">
        <f t="shared" si="6"/>
        <v>0.14000000000000001</v>
      </c>
      <c r="O22" s="12">
        <f t="shared" si="6"/>
        <v>0.14000000000000001</v>
      </c>
      <c r="P22" s="12">
        <f t="shared" si="6"/>
        <v>0.14000000000000001</v>
      </c>
      <c r="Q22" s="12">
        <f t="shared" si="6"/>
        <v>0.14000000000000001</v>
      </c>
      <c r="R22" s="12">
        <f t="shared" si="6"/>
        <v>0.14000000000000001</v>
      </c>
      <c r="S22" s="12">
        <f t="shared" si="6"/>
        <v>0.14000000000000001</v>
      </c>
      <c r="T22" s="12">
        <f t="shared" si="6"/>
        <v>0.14000000000000001</v>
      </c>
      <c r="U22" s="12">
        <f t="shared" si="6"/>
        <v>0.14000000000000001</v>
      </c>
      <c r="V22" s="12">
        <f t="shared" si="6"/>
        <v>0.14000000000000001</v>
      </c>
      <c r="W22" s="12">
        <f t="shared" si="6"/>
        <v>0.14000000000000001</v>
      </c>
      <c r="X22" s="12">
        <f t="shared" si="6"/>
        <v>0.14000000000000001</v>
      </c>
      <c r="Y22" s="12">
        <f t="shared" si="6"/>
        <v>0.14000000000000001</v>
      </c>
      <c r="Z22" s="12">
        <f t="shared" si="6"/>
        <v>0.14000000000000001</v>
      </c>
      <c r="AA22" s="12">
        <f t="shared" si="6"/>
        <v>0.14000000000000001</v>
      </c>
      <c r="AB22" s="12">
        <f t="shared" si="6"/>
        <v>0.14000000000000001</v>
      </c>
      <c r="AC22" s="12">
        <f t="shared" si="6"/>
        <v>0.14000000000000001</v>
      </c>
      <c r="AD22" s="12">
        <f t="shared" si="6"/>
        <v>0.14000000000000001</v>
      </c>
      <c r="AE22" s="12">
        <f t="shared" si="6"/>
        <v>0.14000000000000001</v>
      </c>
      <c r="AF22" s="12">
        <f t="shared" si="6"/>
        <v>0.14000000000000001</v>
      </c>
      <c r="AG22" s="12">
        <f t="shared" si="6"/>
        <v>0.14000000000000001</v>
      </c>
      <c r="AH22" s="12">
        <f t="shared" si="6"/>
        <v>0.14000000000000001</v>
      </c>
      <c r="AI22" s="12">
        <f t="shared" si="6"/>
        <v>0.14000000000000001</v>
      </c>
      <c r="AJ22" s="12">
        <f t="shared" si="6"/>
        <v>0.14000000000000001</v>
      </c>
      <c r="AK22" s="12">
        <f t="shared" si="6"/>
        <v>0.14000000000000001</v>
      </c>
      <c r="AL22" s="12">
        <f t="shared" si="6"/>
        <v>0.14000000000000001</v>
      </c>
      <c r="AM22" s="12">
        <f t="shared" si="6"/>
        <v>0.14000000000000001</v>
      </c>
      <c r="AN22" s="12">
        <f t="shared" si="6"/>
        <v>0.14000000000000001</v>
      </c>
      <c r="AO22" s="12">
        <f t="shared" si="6"/>
        <v>0.14000000000000001</v>
      </c>
      <c r="AP22" s="12">
        <f t="shared" si="6"/>
        <v>0.14000000000000001</v>
      </c>
      <c r="AQ22" s="12">
        <f t="shared" si="6"/>
        <v>0.14000000000000001</v>
      </c>
      <c r="AR22" s="12">
        <f t="shared" si="6"/>
        <v>0.14000000000000001</v>
      </c>
      <c r="AS22" s="12">
        <f t="shared" si="6"/>
        <v>0.14000000000000001</v>
      </c>
      <c r="AT22" s="12">
        <f t="shared" si="6"/>
        <v>0.14000000000000001</v>
      </c>
      <c r="AU22" s="12">
        <f t="shared" si="6"/>
        <v>0.14000000000000001</v>
      </c>
      <c r="AV22" s="12">
        <f t="shared" si="6"/>
        <v>0.14000000000000001</v>
      </c>
      <c r="AW22" s="12">
        <f t="shared" si="6"/>
        <v>0.14000000000000001</v>
      </c>
      <c r="AX22" s="12">
        <f t="shared" si="6"/>
        <v>0.14000000000000001</v>
      </c>
      <c r="AY22" s="12">
        <f t="shared" si="6"/>
        <v>0.14000000000000001</v>
      </c>
      <c r="AZ22" s="12">
        <f t="shared" si="6"/>
        <v>0.14000000000000001</v>
      </c>
      <c r="BA22" s="12">
        <f t="shared" si="6"/>
        <v>0.14000000000000001</v>
      </c>
      <c r="BB22" s="12">
        <f t="shared" si="6"/>
        <v>0.14000000000000001</v>
      </c>
      <c r="BC22" s="12">
        <f t="shared" si="6"/>
        <v>0.14000000000000001</v>
      </c>
      <c r="BD22" s="12">
        <f t="shared" si="6"/>
        <v>0.14000000000000001</v>
      </c>
      <c r="BE22" s="12">
        <f t="shared" si="6"/>
        <v>0.14000000000000001</v>
      </c>
      <c r="BF22" s="12">
        <f t="shared" si="6"/>
        <v>0.14000000000000001</v>
      </c>
      <c r="BG22" s="12">
        <f t="shared" si="6"/>
        <v>0.14000000000000001</v>
      </c>
      <c r="BH22" s="12">
        <f t="shared" si="6"/>
        <v>0.14000000000000001</v>
      </c>
      <c r="BI22" s="12">
        <f t="shared" si="6"/>
        <v>0.14000000000000001</v>
      </c>
      <c r="BJ22" s="12">
        <f t="shared" si="6"/>
        <v>0.14000000000000001</v>
      </c>
      <c r="BK22" s="12">
        <f t="shared" si="6"/>
        <v>0.14000000000000001</v>
      </c>
      <c r="BL22" s="12">
        <f t="shared" si="6"/>
        <v>0.14000000000000001</v>
      </c>
      <c r="BM22" s="12">
        <f t="shared" si="6"/>
        <v>0.14000000000000001</v>
      </c>
      <c r="BN22" s="12">
        <f t="shared" si="6"/>
        <v>0.14000000000000001</v>
      </c>
      <c r="BO22" s="12">
        <f t="shared" ref="BO22:BV22" si="7">$B$6</f>
        <v>0.14000000000000001</v>
      </c>
      <c r="BP22" s="12">
        <f t="shared" si="7"/>
        <v>0.14000000000000001</v>
      </c>
      <c r="BQ22" s="12">
        <f t="shared" si="7"/>
        <v>0.14000000000000001</v>
      </c>
      <c r="BR22" s="12">
        <f t="shared" si="7"/>
        <v>0.14000000000000001</v>
      </c>
      <c r="BS22" s="12">
        <f t="shared" si="7"/>
        <v>0.14000000000000001</v>
      </c>
      <c r="BT22" s="12">
        <f t="shared" si="7"/>
        <v>0.14000000000000001</v>
      </c>
      <c r="BU22" s="12">
        <f t="shared" si="7"/>
        <v>0.14000000000000001</v>
      </c>
      <c r="BV22" s="12">
        <f t="shared" si="7"/>
        <v>0.14000000000000001</v>
      </c>
    </row>
    <row r="23" spans="1:74" x14ac:dyDescent="0.2">
      <c r="A23" s="4" t="s">
        <v>14</v>
      </c>
      <c r="B23" s="13">
        <f>B21*B22</f>
        <v>0</v>
      </c>
      <c r="C23" s="13">
        <f t="shared" ref="C23:BN23" si="8">C21*C22</f>
        <v>0</v>
      </c>
      <c r="D23" s="13">
        <f t="shared" si="8"/>
        <v>0</v>
      </c>
      <c r="E23" s="13">
        <f t="shared" si="8"/>
        <v>0</v>
      </c>
      <c r="F23" s="13">
        <f t="shared" si="8"/>
        <v>0</v>
      </c>
      <c r="G23" s="13">
        <f t="shared" si="8"/>
        <v>0</v>
      </c>
      <c r="H23" s="13">
        <f t="shared" si="8"/>
        <v>0</v>
      </c>
      <c r="I23" s="13">
        <f t="shared" si="8"/>
        <v>0</v>
      </c>
      <c r="J23" s="13">
        <f t="shared" si="8"/>
        <v>0</v>
      </c>
      <c r="K23" s="13">
        <f t="shared" si="8"/>
        <v>0</v>
      </c>
      <c r="L23" s="13">
        <f t="shared" si="8"/>
        <v>0</v>
      </c>
      <c r="M23" s="13">
        <f t="shared" si="8"/>
        <v>0</v>
      </c>
      <c r="N23" s="13">
        <f t="shared" si="8"/>
        <v>0</v>
      </c>
      <c r="O23" s="13">
        <f t="shared" si="8"/>
        <v>0</v>
      </c>
      <c r="P23" s="13">
        <f t="shared" si="8"/>
        <v>0</v>
      </c>
      <c r="Q23" s="13">
        <f t="shared" si="8"/>
        <v>0</v>
      </c>
      <c r="R23" s="13">
        <f t="shared" si="8"/>
        <v>2800.0000000000005</v>
      </c>
      <c r="S23" s="13">
        <f t="shared" si="8"/>
        <v>7350.0000000000009</v>
      </c>
      <c r="T23" s="13">
        <f t="shared" si="8"/>
        <v>21000.000000000004</v>
      </c>
      <c r="U23" s="13">
        <f t="shared" si="8"/>
        <v>24181.81818181818</v>
      </c>
      <c r="V23" s="13">
        <f t="shared" si="8"/>
        <v>27363.63636363636</v>
      </c>
      <c r="W23" s="13">
        <f t="shared" si="8"/>
        <v>30545.45454545454</v>
      </c>
      <c r="X23" s="13">
        <f t="shared" si="8"/>
        <v>33727.272727272721</v>
      </c>
      <c r="Y23" s="13">
        <f t="shared" si="8"/>
        <v>36909.090909090897</v>
      </c>
      <c r="Z23" s="13">
        <f t="shared" si="8"/>
        <v>40090.909090909074</v>
      </c>
      <c r="AA23" s="13">
        <f t="shared" si="8"/>
        <v>43272.727272727258</v>
      </c>
      <c r="AB23" s="13">
        <f t="shared" si="8"/>
        <v>46454.545454545434</v>
      </c>
      <c r="AC23" s="13">
        <f t="shared" si="8"/>
        <v>48624.178440324235</v>
      </c>
      <c r="AD23" s="13">
        <f t="shared" si="8"/>
        <v>48811.402570508602</v>
      </c>
      <c r="AE23" s="13">
        <f t="shared" si="8"/>
        <v>49263.174517808293</v>
      </c>
      <c r="AF23" s="13">
        <f t="shared" si="8"/>
        <v>50442.918755906794</v>
      </c>
      <c r="AG23" s="13">
        <f t="shared" si="8"/>
        <v>50968.531104168651</v>
      </c>
      <c r="AH23" s="13">
        <f t="shared" si="8"/>
        <v>51453.113275305834</v>
      </c>
      <c r="AI23" s="13">
        <f t="shared" si="8"/>
        <v>52342.990197509578</v>
      </c>
      <c r="AJ23" s="13">
        <f t="shared" si="8"/>
        <v>52892.963880051226</v>
      </c>
      <c r="AK23" s="13">
        <f t="shared" si="8"/>
        <v>53445.543488866228</v>
      </c>
      <c r="AL23" s="13">
        <f t="shared" si="8"/>
        <v>53987.907579327308</v>
      </c>
      <c r="AM23" s="13">
        <f t="shared" si="8"/>
        <v>54628.469965358316</v>
      </c>
      <c r="AN23" s="13">
        <f t="shared" si="8"/>
        <v>55250.585749549165</v>
      </c>
      <c r="AO23" s="13">
        <f t="shared" si="8"/>
        <v>55852.353079162545</v>
      </c>
      <c r="AP23" s="13">
        <f t="shared" si="8"/>
        <v>56000.000000000007</v>
      </c>
      <c r="AQ23" s="13">
        <f t="shared" si="8"/>
        <v>56000.000000000007</v>
      </c>
      <c r="AR23" s="13">
        <f t="shared" si="8"/>
        <v>56000.000000000007</v>
      </c>
      <c r="AS23" s="13">
        <f t="shared" si="8"/>
        <v>56000.000000000007</v>
      </c>
      <c r="AT23" s="13">
        <f t="shared" si="8"/>
        <v>56000.000000000007</v>
      </c>
      <c r="AU23" s="13">
        <f t="shared" si="8"/>
        <v>56000.000000000007</v>
      </c>
      <c r="AV23" s="13">
        <f t="shared" si="8"/>
        <v>56000.000000000007</v>
      </c>
      <c r="AW23" s="13">
        <f t="shared" si="8"/>
        <v>56000.000000000007</v>
      </c>
      <c r="AX23" s="13">
        <f t="shared" si="8"/>
        <v>56000.000000000007</v>
      </c>
      <c r="AY23" s="13">
        <f t="shared" si="8"/>
        <v>56000.000000000007</v>
      </c>
      <c r="AZ23" s="13">
        <f t="shared" si="8"/>
        <v>56000.000000000007</v>
      </c>
      <c r="BA23" s="13">
        <f t="shared" si="8"/>
        <v>56000.000000000007</v>
      </c>
      <c r="BB23" s="13">
        <f t="shared" si="8"/>
        <v>56000.000000000007</v>
      </c>
      <c r="BC23" s="13">
        <f t="shared" si="8"/>
        <v>56000.000000000007</v>
      </c>
      <c r="BD23" s="13">
        <f t="shared" si="8"/>
        <v>56000.000000000007</v>
      </c>
      <c r="BE23" s="13">
        <f t="shared" si="8"/>
        <v>56000.000000000007</v>
      </c>
      <c r="BF23" s="13">
        <f t="shared" si="8"/>
        <v>56000.000000000007</v>
      </c>
      <c r="BG23" s="13">
        <f t="shared" si="8"/>
        <v>56000.000000000007</v>
      </c>
      <c r="BH23" s="13">
        <f t="shared" si="8"/>
        <v>56000.000000000007</v>
      </c>
      <c r="BI23" s="13">
        <f t="shared" si="8"/>
        <v>56000.000000000007</v>
      </c>
      <c r="BJ23" s="13">
        <f t="shared" si="8"/>
        <v>56000.000000000007</v>
      </c>
      <c r="BK23" s="13">
        <f t="shared" si="8"/>
        <v>56000.000000000007</v>
      </c>
      <c r="BL23" s="13">
        <f t="shared" si="8"/>
        <v>56000.000000000007</v>
      </c>
      <c r="BM23" s="13">
        <f t="shared" si="8"/>
        <v>56000.000000000007</v>
      </c>
      <c r="BN23" s="13">
        <f t="shared" si="8"/>
        <v>56000.000000000007</v>
      </c>
      <c r="BO23" s="13">
        <f t="shared" ref="BO23:BV23" si="9">BO21*BO22</f>
        <v>56000.000000000007</v>
      </c>
      <c r="BP23" s="13">
        <f t="shared" si="9"/>
        <v>56000.000000000007</v>
      </c>
      <c r="BQ23" s="13">
        <f t="shared" si="9"/>
        <v>56000.000000000007</v>
      </c>
      <c r="BR23" s="13">
        <f t="shared" si="9"/>
        <v>56000.000000000007</v>
      </c>
      <c r="BS23" s="13">
        <f t="shared" si="9"/>
        <v>56000.000000000007</v>
      </c>
      <c r="BT23" s="13">
        <f t="shared" si="9"/>
        <v>56000.000000000007</v>
      </c>
      <c r="BU23" s="13">
        <f t="shared" si="9"/>
        <v>56000.000000000007</v>
      </c>
      <c r="BV23" s="13">
        <f t="shared" si="9"/>
        <v>55707.27825628042</v>
      </c>
    </row>
    <row r="24" spans="1:74" x14ac:dyDescent="0.2">
      <c r="A24" s="4"/>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row>
    <row r="25" spans="1:74" x14ac:dyDescent="0.2">
      <c r="A25" s="4" t="s">
        <v>15</v>
      </c>
      <c r="B25" s="9">
        <f>B12-B11</f>
        <v>31</v>
      </c>
      <c r="C25" s="9">
        <f t="shared" ref="C25:BN25" si="10">C12-C11</f>
        <v>31</v>
      </c>
      <c r="D25" s="9">
        <f t="shared" si="10"/>
        <v>29</v>
      </c>
      <c r="E25" s="9">
        <f t="shared" si="10"/>
        <v>31</v>
      </c>
      <c r="F25" s="9">
        <f t="shared" si="10"/>
        <v>30</v>
      </c>
      <c r="G25" s="9">
        <f t="shared" si="10"/>
        <v>31</v>
      </c>
      <c r="H25" s="9">
        <f t="shared" si="10"/>
        <v>30</v>
      </c>
      <c r="I25" s="9">
        <f t="shared" si="10"/>
        <v>31</v>
      </c>
      <c r="J25" s="9">
        <f t="shared" si="10"/>
        <v>31</v>
      </c>
      <c r="K25" s="9">
        <f t="shared" si="10"/>
        <v>30</v>
      </c>
      <c r="L25" s="9">
        <f t="shared" si="10"/>
        <v>31</v>
      </c>
      <c r="M25" s="9">
        <f t="shared" si="10"/>
        <v>30</v>
      </c>
      <c r="N25" s="9">
        <f t="shared" si="10"/>
        <v>31</v>
      </c>
      <c r="O25" s="9">
        <f t="shared" si="10"/>
        <v>31</v>
      </c>
      <c r="P25" s="9">
        <f t="shared" si="10"/>
        <v>28</v>
      </c>
      <c r="Q25" s="9">
        <f t="shared" si="10"/>
        <v>31</v>
      </c>
      <c r="R25" s="9">
        <f t="shared" si="10"/>
        <v>30</v>
      </c>
      <c r="S25" s="9">
        <f t="shared" si="10"/>
        <v>31</v>
      </c>
      <c r="T25" s="9">
        <f t="shared" si="10"/>
        <v>30</v>
      </c>
      <c r="U25" s="9">
        <f t="shared" si="10"/>
        <v>31</v>
      </c>
      <c r="V25" s="9">
        <f t="shared" si="10"/>
        <v>31</v>
      </c>
      <c r="W25" s="9">
        <f t="shared" si="10"/>
        <v>30</v>
      </c>
      <c r="X25" s="9">
        <f t="shared" si="10"/>
        <v>31</v>
      </c>
      <c r="Y25" s="9">
        <f t="shared" si="10"/>
        <v>30</v>
      </c>
      <c r="Z25" s="9">
        <f t="shared" si="10"/>
        <v>31</v>
      </c>
      <c r="AA25" s="9">
        <f t="shared" si="10"/>
        <v>31</v>
      </c>
      <c r="AB25" s="9">
        <f t="shared" si="10"/>
        <v>28</v>
      </c>
      <c r="AC25" s="9">
        <f t="shared" si="10"/>
        <v>31</v>
      </c>
      <c r="AD25" s="9">
        <f t="shared" si="10"/>
        <v>30</v>
      </c>
      <c r="AE25" s="9">
        <f t="shared" si="10"/>
        <v>31</v>
      </c>
      <c r="AF25" s="9">
        <f t="shared" si="10"/>
        <v>30</v>
      </c>
      <c r="AG25" s="9">
        <f t="shared" si="10"/>
        <v>31</v>
      </c>
      <c r="AH25" s="9">
        <f t="shared" si="10"/>
        <v>31</v>
      </c>
      <c r="AI25" s="9">
        <f t="shared" si="10"/>
        <v>30</v>
      </c>
      <c r="AJ25" s="9">
        <f t="shared" si="10"/>
        <v>31</v>
      </c>
      <c r="AK25" s="9">
        <f t="shared" si="10"/>
        <v>30</v>
      </c>
      <c r="AL25" s="9">
        <f t="shared" si="10"/>
        <v>31</v>
      </c>
      <c r="AM25" s="9">
        <f t="shared" si="10"/>
        <v>31</v>
      </c>
      <c r="AN25" s="9">
        <f t="shared" si="10"/>
        <v>28</v>
      </c>
      <c r="AO25" s="9">
        <f t="shared" si="10"/>
        <v>31</v>
      </c>
      <c r="AP25" s="9">
        <f t="shared" si="10"/>
        <v>30</v>
      </c>
      <c r="AQ25" s="9">
        <f t="shared" si="10"/>
        <v>31</v>
      </c>
      <c r="AR25" s="9">
        <f t="shared" si="10"/>
        <v>30</v>
      </c>
      <c r="AS25" s="9">
        <f t="shared" si="10"/>
        <v>31</v>
      </c>
      <c r="AT25" s="9">
        <f t="shared" si="10"/>
        <v>31</v>
      </c>
      <c r="AU25" s="9">
        <f t="shared" si="10"/>
        <v>30</v>
      </c>
      <c r="AV25" s="9">
        <f t="shared" si="10"/>
        <v>31</v>
      </c>
      <c r="AW25" s="9">
        <f t="shared" si="10"/>
        <v>30</v>
      </c>
      <c r="AX25" s="9">
        <f t="shared" si="10"/>
        <v>31</v>
      </c>
      <c r="AY25" s="9">
        <f t="shared" si="10"/>
        <v>31</v>
      </c>
      <c r="AZ25" s="9">
        <f t="shared" si="10"/>
        <v>29</v>
      </c>
      <c r="BA25" s="9">
        <f t="shared" si="10"/>
        <v>31</v>
      </c>
      <c r="BB25" s="9">
        <f t="shared" si="10"/>
        <v>30</v>
      </c>
      <c r="BC25" s="9">
        <f t="shared" si="10"/>
        <v>31</v>
      </c>
      <c r="BD25" s="9">
        <f t="shared" si="10"/>
        <v>30</v>
      </c>
      <c r="BE25" s="9">
        <f t="shared" si="10"/>
        <v>31</v>
      </c>
      <c r="BF25" s="9">
        <f t="shared" si="10"/>
        <v>31</v>
      </c>
      <c r="BG25" s="9">
        <f t="shared" si="10"/>
        <v>30</v>
      </c>
      <c r="BH25" s="9">
        <f t="shared" si="10"/>
        <v>31</v>
      </c>
      <c r="BI25" s="9">
        <f t="shared" si="10"/>
        <v>30</v>
      </c>
      <c r="BJ25" s="9">
        <f t="shared" si="10"/>
        <v>31</v>
      </c>
      <c r="BK25" s="9">
        <f t="shared" si="10"/>
        <v>31</v>
      </c>
      <c r="BL25" s="9">
        <f t="shared" si="10"/>
        <v>28</v>
      </c>
      <c r="BM25" s="9">
        <f t="shared" si="10"/>
        <v>31</v>
      </c>
      <c r="BN25" s="9">
        <f t="shared" si="10"/>
        <v>30</v>
      </c>
      <c r="BO25" s="9">
        <f t="shared" ref="BO25:BV25" si="11">BO12-BO11</f>
        <v>31</v>
      </c>
      <c r="BP25" s="9">
        <f t="shared" si="11"/>
        <v>30</v>
      </c>
      <c r="BQ25" s="9">
        <f t="shared" si="11"/>
        <v>31</v>
      </c>
      <c r="BR25" s="9">
        <f t="shared" si="11"/>
        <v>31</v>
      </c>
      <c r="BS25" s="9">
        <f t="shared" si="11"/>
        <v>30</v>
      </c>
      <c r="BT25" s="9">
        <f t="shared" si="11"/>
        <v>31</v>
      </c>
      <c r="BU25" s="9">
        <f t="shared" si="11"/>
        <v>30</v>
      </c>
      <c r="BV25" s="9">
        <f t="shared" si="11"/>
        <v>31</v>
      </c>
    </row>
    <row r="26" spans="1:74" x14ac:dyDescent="0.2">
      <c r="A26" s="4" t="s">
        <v>16</v>
      </c>
      <c r="B26" s="9">
        <f>$B$7*B25</f>
        <v>434000</v>
      </c>
      <c r="C26" s="9">
        <f t="shared" ref="C26:BN26" si="12">$B$7*C25</f>
        <v>434000</v>
      </c>
      <c r="D26" s="9">
        <f t="shared" si="12"/>
        <v>406000</v>
      </c>
      <c r="E26" s="9">
        <f t="shared" si="12"/>
        <v>434000</v>
      </c>
      <c r="F26" s="9">
        <f t="shared" si="12"/>
        <v>420000</v>
      </c>
      <c r="G26" s="9">
        <f t="shared" si="12"/>
        <v>434000</v>
      </c>
      <c r="H26" s="9">
        <f t="shared" si="12"/>
        <v>420000</v>
      </c>
      <c r="I26" s="9">
        <f t="shared" si="12"/>
        <v>434000</v>
      </c>
      <c r="J26" s="9">
        <f t="shared" si="12"/>
        <v>434000</v>
      </c>
      <c r="K26" s="9">
        <f t="shared" si="12"/>
        <v>420000</v>
      </c>
      <c r="L26" s="9">
        <f t="shared" si="12"/>
        <v>434000</v>
      </c>
      <c r="M26" s="9">
        <f t="shared" si="12"/>
        <v>420000</v>
      </c>
      <c r="N26" s="9">
        <f t="shared" si="12"/>
        <v>434000</v>
      </c>
      <c r="O26" s="9">
        <f t="shared" si="12"/>
        <v>434000</v>
      </c>
      <c r="P26" s="9">
        <f t="shared" si="12"/>
        <v>392000</v>
      </c>
      <c r="Q26" s="9">
        <f t="shared" si="12"/>
        <v>434000</v>
      </c>
      <c r="R26" s="9">
        <f t="shared" si="12"/>
        <v>420000</v>
      </c>
      <c r="S26" s="9">
        <f t="shared" si="12"/>
        <v>434000</v>
      </c>
      <c r="T26" s="9">
        <f t="shared" si="12"/>
        <v>420000</v>
      </c>
      <c r="U26" s="9">
        <f t="shared" si="12"/>
        <v>434000</v>
      </c>
      <c r="V26" s="9">
        <f t="shared" si="12"/>
        <v>434000</v>
      </c>
      <c r="W26" s="9">
        <f t="shared" si="12"/>
        <v>420000</v>
      </c>
      <c r="X26" s="9">
        <f t="shared" si="12"/>
        <v>434000</v>
      </c>
      <c r="Y26" s="9">
        <f t="shared" si="12"/>
        <v>420000</v>
      </c>
      <c r="Z26" s="9">
        <f t="shared" si="12"/>
        <v>434000</v>
      </c>
      <c r="AA26" s="9">
        <f t="shared" si="12"/>
        <v>434000</v>
      </c>
      <c r="AB26" s="9">
        <f t="shared" si="12"/>
        <v>392000</v>
      </c>
      <c r="AC26" s="9">
        <f t="shared" si="12"/>
        <v>434000</v>
      </c>
      <c r="AD26" s="9">
        <f t="shared" si="12"/>
        <v>420000</v>
      </c>
      <c r="AE26" s="9">
        <f t="shared" si="12"/>
        <v>434000</v>
      </c>
      <c r="AF26" s="9">
        <f t="shared" si="12"/>
        <v>420000</v>
      </c>
      <c r="AG26" s="9">
        <f t="shared" si="12"/>
        <v>434000</v>
      </c>
      <c r="AH26" s="9">
        <f t="shared" si="12"/>
        <v>434000</v>
      </c>
      <c r="AI26" s="9">
        <f t="shared" si="12"/>
        <v>420000</v>
      </c>
      <c r="AJ26" s="9">
        <f t="shared" si="12"/>
        <v>434000</v>
      </c>
      <c r="AK26" s="9">
        <f t="shared" si="12"/>
        <v>420000</v>
      </c>
      <c r="AL26" s="9">
        <f t="shared" si="12"/>
        <v>434000</v>
      </c>
      <c r="AM26" s="9">
        <f t="shared" si="12"/>
        <v>434000</v>
      </c>
      <c r="AN26" s="9">
        <f t="shared" si="12"/>
        <v>392000</v>
      </c>
      <c r="AO26" s="9">
        <f t="shared" si="12"/>
        <v>434000</v>
      </c>
      <c r="AP26" s="9">
        <f t="shared" si="12"/>
        <v>420000</v>
      </c>
      <c r="AQ26" s="9">
        <f t="shared" si="12"/>
        <v>434000</v>
      </c>
      <c r="AR26" s="9">
        <f t="shared" si="12"/>
        <v>420000</v>
      </c>
      <c r="AS26" s="9">
        <f t="shared" si="12"/>
        <v>434000</v>
      </c>
      <c r="AT26" s="9">
        <f t="shared" si="12"/>
        <v>434000</v>
      </c>
      <c r="AU26" s="9">
        <f t="shared" si="12"/>
        <v>420000</v>
      </c>
      <c r="AV26" s="9">
        <f t="shared" si="12"/>
        <v>434000</v>
      </c>
      <c r="AW26" s="9">
        <f t="shared" si="12"/>
        <v>420000</v>
      </c>
      <c r="AX26" s="9">
        <f t="shared" si="12"/>
        <v>434000</v>
      </c>
      <c r="AY26" s="9">
        <f t="shared" si="12"/>
        <v>434000</v>
      </c>
      <c r="AZ26" s="9">
        <f t="shared" si="12"/>
        <v>406000</v>
      </c>
      <c r="BA26" s="9">
        <f t="shared" si="12"/>
        <v>434000</v>
      </c>
      <c r="BB26" s="9">
        <f t="shared" si="12"/>
        <v>420000</v>
      </c>
      <c r="BC26" s="9">
        <f t="shared" si="12"/>
        <v>434000</v>
      </c>
      <c r="BD26" s="9">
        <f t="shared" si="12"/>
        <v>420000</v>
      </c>
      <c r="BE26" s="9">
        <f t="shared" si="12"/>
        <v>434000</v>
      </c>
      <c r="BF26" s="9">
        <f t="shared" si="12"/>
        <v>434000</v>
      </c>
      <c r="BG26" s="9">
        <f t="shared" si="12"/>
        <v>420000</v>
      </c>
      <c r="BH26" s="9">
        <f t="shared" si="12"/>
        <v>434000</v>
      </c>
      <c r="BI26" s="9">
        <f t="shared" si="12"/>
        <v>420000</v>
      </c>
      <c r="BJ26" s="9">
        <f t="shared" si="12"/>
        <v>434000</v>
      </c>
      <c r="BK26" s="9">
        <f t="shared" si="12"/>
        <v>434000</v>
      </c>
      <c r="BL26" s="9">
        <f t="shared" si="12"/>
        <v>392000</v>
      </c>
      <c r="BM26" s="9">
        <f t="shared" si="12"/>
        <v>434000</v>
      </c>
      <c r="BN26" s="9">
        <f t="shared" si="12"/>
        <v>420000</v>
      </c>
      <c r="BO26" s="9">
        <f t="shared" ref="BO26:BV26" si="13">$B$7*BO25</f>
        <v>434000</v>
      </c>
      <c r="BP26" s="9">
        <f t="shared" si="13"/>
        <v>420000</v>
      </c>
      <c r="BQ26" s="9">
        <f t="shared" si="13"/>
        <v>434000</v>
      </c>
      <c r="BR26" s="9">
        <f t="shared" si="13"/>
        <v>434000</v>
      </c>
      <c r="BS26" s="9">
        <f t="shared" si="13"/>
        <v>420000</v>
      </c>
      <c r="BT26" s="9">
        <f t="shared" si="13"/>
        <v>434000</v>
      </c>
      <c r="BU26" s="9">
        <f t="shared" si="13"/>
        <v>420000</v>
      </c>
      <c r="BV26" s="9">
        <f t="shared" si="13"/>
        <v>434000</v>
      </c>
    </row>
    <row r="27" spans="1:74" x14ac:dyDescent="0.2">
      <c r="A27" s="4" t="s">
        <v>17</v>
      </c>
      <c r="B27" s="9">
        <f>($B$8+$B$9)*B25</f>
        <v>868000</v>
      </c>
      <c r="C27" s="9">
        <f t="shared" ref="C27:BN27" si="14">($B$8+$B$9)*C25</f>
        <v>868000</v>
      </c>
      <c r="D27" s="9">
        <f t="shared" si="14"/>
        <v>812000</v>
      </c>
      <c r="E27" s="9">
        <f t="shared" si="14"/>
        <v>868000</v>
      </c>
      <c r="F27" s="9">
        <f t="shared" si="14"/>
        <v>840000</v>
      </c>
      <c r="G27" s="9">
        <f t="shared" si="14"/>
        <v>868000</v>
      </c>
      <c r="H27" s="9">
        <f t="shared" si="14"/>
        <v>840000</v>
      </c>
      <c r="I27" s="9">
        <f t="shared" si="14"/>
        <v>868000</v>
      </c>
      <c r="J27" s="9">
        <f t="shared" si="14"/>
        <v>868000</v>
      </c>
      <c r="K27" s="9">
        <f t="shared" si="14"/>
        <v>840000</v>
      </c>
      <c r="L27" s="9">
        <f t="shared" si="14"/>
        <v>868000</v>
      </c>
      <c r="M27" s="9">
        <f t="shared" si="14"/>
        <v>840000</v>
      </c>
      <c r="N27" s="9">
        <f t="shared" si="14"/>
        <v>868000</v>
      </c>
      <c r="O27" s="9">
        <f t="shared" si="14"/>
        <v>868000</v>
      </c>
      <c r="P27" s="9">
        <f t="shared" si="14"/>
        <v>784000</v>
      </c>
      <c r="Q27" s="9">
        <f t="shared" si="14"/>
        <v>868000</v>
      </c>
      <c r="R27" s="9">
        <f t="shared" si="14"/>
        <v>840000</v>
      </c>
      <c r="S27" s="9">
        <f t="shared" si="14"/>
        <v>868000</v>
      </c>
      <c r="T27" s="9">
        <f t="shared" si="14"/>
        <v>840000</v>
      </c>
      <c r="U27" s="9">
        <f t="shared" si="14"/>
        <v>868000</v>
      </c>
      <c r="V27" s="9">
        <f t="shared" si="14"/>
        <v>868000</v>
      </c>
      <c r="W27" s="9">
        <f t="shared" si="14"/>
        <v>840000</v>
      </c>
      <c r="X27" s="9">
        <f t="shared" si="14"/>
        <v>868000</v>
      </c>
      <c r="Y27" s="9">
        <f t="shared" si="14"/>
        <v>840000</v>
      </c>
      <c r="Z27" s="9">
        <f t="shared" si="14"/>
        <v>868000</v>
      </c>
      <c r="AA27" s="9">
        <f t="shared" si="14"/>
        <v>868000</v>
      </c>
      <c r="AB27" s="9">
        <f t="shared" si="14"/>
        <v>784000</v>
      </c>
      <c r="AC27" s="9">
        <f t="shared" si="14"/>
        <v>868000</v>
      </c>
      <c r="AD27" s="9">
        <f t="shared" si="14"/>
        <v>840000</v>
      </c>
      <c r="AE27" s="9">
        <f t="shared" si="14"/>
        <v>868000</v>
      </c>
      <c r="AF27" s="9">
        <f t="shared" si="14"/>
        <v>840000</v>
      </c>
      <c r="AG27" s="9">
        <f t="shared" si="14"/>
        <v>868000</v>
      </c>
      <c r="AH27" s="9">
        <f t="shared" si="14"/>
        <v>868000</v>
      </c>
      <c r="AI27" s="9">
        <f t="shared" si="14"/>
        <v>840000</v>
      </c>
      <c r="AJ27" s="9">
        <f t="shared" si="14"/>
        <v>868000</v>
      </c>
      <c r="AK27" s="9">
        <f t="shared" si="14"/>
        <v>840000</v>
      </c>
      <c r="AL27" s="9">
        <f t="shared" si="14"/>
        <v>868000</v>
      </c>
      <c r="AM27" s="9">
        <f t="shared" si="14"/>
        <v>868000</v>
      </c>
      <c r="AN27" s="9">
        <f t="shared" si="14"/>
        <v>784000</v>
      </c>
      <c r="AO27" s="9">
        <f t="shared" si="14"/>
        <v>868000</v>
      </c>
      <c r="AP27" s="9">
        <f t="shared" si="14"/>
        <v>840000</v>
      </c>
      <c r="AQ27" s="9">
        <f t="shared" si="14"/>
        <v>868000</v>
      </c>
      <c r="AR27" s="9">
        <f t="shared" si="14"/>
        <v>840000</v>
      </c>
      <c r="AS27" s="9">
        <f t="shared" si="14"/>
        <v>868000</v>
      </c>
      <c r="AT27" s="9">
        <f t="shared" si="14"/>
        <v>868000</v>
      </c>
      <c r="AU27" s="9">
        <f t="shared" si="14"/>
        <v>840000</v>
      </c>
      <c r="AV27" s="9">
        <f t="shared" si="14"/>
        <v>868000</v>
      </c>
      <c r="AW27" s="9">
        <f t="shared" si="14"/>
        <v>840000</v>
      </c>
      <c r="AX27" s="9">
        <f t="shared" si="14"/>
        <v>868000</v>
      </c>
      <c r="AY27" s="9">
        <f t="shared" si="14"/>
        <v>868000</v>
      </c>
      <c r="AZ27" s="9">
        <f t="shared" si="14"/>
        <v>812000</v>
      </c>
      <c r="BA27" s="9">
        <f t="shared" si="14"/>
        <v>868000</v>
      </c>
      <c r="BB27" s="9">
        <f t="shared" si="14"/>
        <v>840000</v>
      </c>
      <c r="BC27" s="9">
        <f t="shared" si="14"/>
        <v>868000</v>
      </c>
      <c r="BD27" s="9">
        <f t="shared" si="14"/>
        <v>840000</v>
      </c>
      <c r="BE27" s="9">
        <f t="shared" si="14"/>
        <v>868000</v>
      </c>
      <c r="BF27" s="9">
        <f t="shared" si="14"/>
        <v>868000</v>
      </c>
      <c r="BG27" s="9">
        <f t="shared" si="14"/>
        <v>840000</v>
      </c>
      <c r="BH27" s="9">
        <f t="shared" si="14"/>
        <v>868000</v>
      </c>
      <c r="BI27" s="9">
        <f t="shared" si="14"/>
        <v>840000</v>
      </c>
      <c r="BJ27" s="9">
        <f t="shared" si="14"/>
        <v>868000</v>
      </c>
      <c r="BK27" s="9">
        <f t="shared" si="14"/>
        <v>868000</v>
      </c>
      <c r="BL27" s="9">
        <f t="shared" si="14"/>
        <v>784000</v>
      </c>
      <c r="BM27" s="9">
        <f t="shared" si="14"/>
        <v>868000</v>
      </c>
      <c r="BN27" s="9">
        <f t="shared" si="14"/>
        <v>840000</v>
      </c>
      <c r="BO27" s="9">
        <f t="shared" ref="BO27:BV27" si="15">($B$8+$B$9)*BO25</f>
        <v>868000</v>
      </c>
      <c r="BP27" s="9">
        <f t="shared" si="15"/>
        <v>840000</v>
      </c>
      <c r="BQ27" s="9">
        <f t="shared" si="15"/>
        <v>868000</v>
      </c>
      <c r="BR27" s="9">
        <f t="shared" si="15"/>
        <v>868000</v>
      </c>
      <c r="BS27" s="9">
        <f t="shared" si="15"/>
        <v>840000</v>
      </c>
      <c r="BT27" s="9">
        <f t="shared" si="15"/>
        <v>868000</v>
      </c>
      <c r="BU27" s="9">
        <f t="shared" si="15"/>
        <v>840000</v>
      </c>
      <c r="BV27" s="9">
        <f t="shared" si="15"/>
        <v>868000</v>
      </c>
    </row>
    <row r="28" spans="1:74" x14ac:dyDescent="0.2">
      <c r="A28" s="4" t="s">
        <v>18</v>
      </c>
      <c r="B28" s="10">
        <f>B23*B25</f>
        <v>0</v>
      </c>
      <c r="C28" s="10">
        <f t="shared" ref="C28:BN28" si="16">C23*C25</f>
        <v>0</v>
      </c>
      <c r="D28" s="10">
        <f t="shared" si="16"/>
        <v>0</v>
      </c>
      <c r="E28" s="10">
        <f t="shared" si="16"/>
        <v>0</v>
      </c>
      <c r="F28" s="10">
        <f t="shared" si="16"/>
        <v>0</v>
      </c>
      <c r="G28" s="10">
        <f t="shared" si="16"/>
        <v>0</v>
      </c>
      <c r="H28" s="10">
        <f t="shared" si="16"/>
        <v>0</v>
      </c>
      <c r="I28" s="10">
        <f t="shared" si="16"/>
        <v>0</v>
      </c>
      <c r="J28" s="10">
        <f t="shared" si="16"/>
        <v>0</v>
      </c>
      <c r="K28" s="10">
        <f t="shared" si="16"/>
        <v>0</v>
      </c>
      <c r="L28" s="10">
        <f t="shared" si="16"/>
        <v>0</v>
      </c>
      <c r="M28" s="10">
        <f t="shared" si="16"/>
        <v>0</v>
      </c>
      <c r="N28" s="10">
        <f t="shared" si="16"/>
        <v>0</v>
      </c>
      <c r="O28" s="10">
        <f t="shared" si="16"/>
        <v>0</v>
      </c>
      <c r="P28" s="10">
        <f t="shared" si="16"/>
        <v>0</v>
      </c>
      <c r="Q28" s="10">
        <f t="shared" si="16"/>
        <v>0</v>
      </c>
      <c r="R28" s="10">
        <f t="shared" si="16"/>
        <v>84000.000000000015</v>
      </c>
      <c r="S28" s="10">
        <f t="shared" si="16"/>
        <v>227850.00000000003</v>
      </c>
      <c r="T28" s="10">
        <f t="shared" si="16"/>
        <v>630000.00000000012</v>
      </c>
      <c r="U28" s="10">
        <f t="shared" si="16"/>
        <v>749636.36363636353</v>
      </c>
      <c r="V28" s="10">
        <f t="shared" si="16"/>
        <v>848272.72727272718</v>
      </c>
      <c r="W28" s="10">
        <f t="shared" si="16"/>
        <v>916363.63636363624</v>
      </c>
      <c r="X28" s="10">
        <f t="shared" si="16"/>
        <v>1045545.4545454544</v>
      </c>
      <c r="Y28" s="10">
        <f t="shared" si="16"/>
        <v>1107272.7272727268</v>
      </c>
      <c r="Z28" s="10">
        <f t="shared" si="16"/>
        <v>1242818.1818181812</v>
      </c>
      <c r="AA28" s="10">
        <f t="shared" si="16"/>
        <v>1341454.5454545449</v>
      </c>
      <c r="AB28" s="10">
        <f t="shared" si="16"/>
        <v>1300727.2727272722</v>
      </c>
      <c r="AC28" s="10">
        <f t="shared" si="16"/>
        <v>1507349.5316500512</v>
      </c>
      <c r="AD28" s="10">
        <f t="shared" si="16"/>
        <v>1464342.077115258</v>
      </c>
      <c r="AE28" s="10">
        <f t="shared" si="16"/>
        <v>1527158.4100520571</v>
      </c>
      <c r="AF28" s="10">
        <f t="shared" si="16"/>
        <v>1513287.5626772039</v>
      </c>
      <c r="AG28" s="10">
        <f t="shared" si="16"/>
        <v>1580024.4642292282</v>
      </c>
      <c r="AH28" s="10">
        <f t="shared" si="16"/>
        <v>1595046.5115344808</v>
      </c>
      <c r="AI28" s="10">
        <f t="shared" si="16"/>
        <v>1570289.7059252874</v>
      </c>
      <c r="AJ28" s="10">
        <f t="shared" si="16"/>
        <v>1639681.8802815881</v>
      </c>
      <c r="AK28" s="10">
        <f t="shared" si="16"/>
        <v>1603366.3046659869</v>
      </c>
      <c r="AL28" s="10">
        <f t="shared" si="16"/>
        <v>1673625.1349591466</v>
      </c>
      <c r="AM28" s="10">
        <f t="shared" si="16"/>
        <v>1693482.5689261078</v>
      </c>
      <c r="AN28" s="10">
        <f t="shared" si="16"/>
        <v>1547016.4009873767</v>
      </c>
      <c r="AO28" s="10">
        <f t="shared" si="16"/>
        <v>1731422.9454540389</v>
      </c>
      <c r="AP28" s="10">
        <f t="shared" si="16"/>
        <v>1680000.0000000002</v>
      </c>
      <c r="AQ28" s="10">
        <f t="shared" si="16"/>
        <v>1736000.0000000002</v>
      </c>
      <c r="AR28" s="10">
        <f t="shared" si="16"/>
        <v>1680000.0000000002</v>
      </c>
      <c r="AS28" s="10">
        <f t="shared" si="16"/>
        <v>1736000.0000000002</v>
      </c>
      <c r="AT28" s="10">
        <f t="shared" si="16"/>
        <v>1736000.0000000002</v>
      </c>
      <c r="AU28" s="10">
        <f t="shared" si="16"/>
        <v>1680000.0000000002</v>
      </c>
      <c r="AV28" s="10">
        <f t="shared" si="16"/>
        <v>1736000.0000000002</v>
      </c>
      <c r="AW28" s="10">
        <f t="shared" si="16"/>
        <v>1680000.0000000002</v>
      </c>
      <c r="AX28" s="10">
        <f t="shared" si="16"/>
        <v>1736000.0000000002</v>
      </c>
      <c r="AY28" s="10">
        <f t="shared" si="16"/>
        <v>1736000.0000000002</v>
      </c>
      <c r="AZ28" s="10">
        <f t="shared" si="16"/>
        <v>1624000.0000000002</v>
      </c>
      <c r="BA28" s="10">
        <f t="shared" si="16"/>
        <v>1736000.0000000002</v>
      </c>
      <c r="BB28" s="10">
        <f t="shared" si="16"/>
        <v>1680000.0000000002</v>
      </c>
      <c r="BC28" s="10">
        <f t="shared" si="16"/>
        <v>1736000.0000000002</v>
      </c>
      <c r="BD28" s="10">
        <f t="shared" si="16"/>
        <v>1680000.0000000002</v>
      </c>
      <c r="BE28" s="10">
        <f t="shared" si="16"/>
        <v>1736000.0000000002</v>
      </c>
      <c r="BF28" s="10">
        <f t="shared" si="16"/>
        <v>1736000.0000000002</v>
      </c>
      <c r="BG28" s="10">
        <f t="shared" si="16"/>
        <v>1680000.0000000002</v>
      </c>
      <c r="BH28" s="10">
        <f t="shared" si="16"/>
        <v>1736000.0000000002</v>
      </c>
      <c r="BI28" s="10">
        <f t="shared" si="16"/>
        <v>1680000.0000000002</v>
      </c>
      <c r="BJ28" s="10">
        <f t="shared" si="16"/>
        <v>1736000.0000000002</v>
      </c>
      <c r="BK28" s="10">
        <f t="shared" si="16"/>
        <v>1736000.0000000002</v>
      </c>
      <c r="BL28" s="10">
        <f t="shared" si="16"/>
        <v>1568000.0000000002</v>
      </c>
      <c r="BM28" s="10">
        <f t="shared" si="16"/>
        <v>1736000.0000000002</v>
      </c>
      <c r="BN28" s="10">
        <f t="shared" si="16"/>
        <v>1680000.0000000002</v>
      </c>
      <c r="BO28" s="10">
        <f t="shared" ref="BO28:BV28" si="17">BO23*BO25</f>
        <v>1736000.0000000002</v>
      </c>
      <c r="BP28" s="10">
        <f t="shared" si="17"/>
        <v>1680000.0000000002</v>
      </c>
      <c r="BQ28" s="10">
        <f t="shared" si="17"/>
        <v>1736000.0000000002</v>
      </c>
      <c r="BR28" s="10">
        <f t="shared" si="17"/>
        <v>1736000.0000000002</v>
      </c>
      <c r="BS28" s="10">
        <f t="shared" si="17"/>
        <v>1680000.0000000002</v>
      </c>
      <c r="BT28" s="10">
        <f t="shared" si="17"/>
        <v>1736000.0000000002</v>
      </c>
      <c r="BU28" s="10">
        <f t="shared" si="17"/>
        <v>1680000.0000000002</v>
      </c>
      <c r="BV28" s="10">
        <f t="shared" si="17"/>
        <v>1726925.6259446931</v>
      </c>
    </row>
    <row r="29" spans="1:74" x14ac:dyDescent="0.2">
      <c r="A29" s="6" t="s">
        <v>19</v>
      </c>
      <c r="B29" s="9">
        <f>SUM(B26:B28)</f>
        <v>1302000</v>
      </c>
      <c r="C29" s="9">
        <f t="shared" ref="C29:BN29" si="18">SUM(C26:C28)</f>
        <v>1302000</v>
      </c>
      <c r="D29" s="9">
        <f t="shared" si="18"/>
        <v>1218000</v>
      </c>
      <c r="E29" s="9">
        <f t="shared" si="18"/>
        <v>1302000</v>
      </c>
      <c r="F29" s="9">
        <f t="shared" si="18"/>
        <v>1260000</v>
      </c>
      <c r="G29" s="9">
        <f t="shared" si="18"/>
        <v>1302000</v>
      </c>
      <c r="H29" s="9">
        <f t="shared" si="18"/>
        <v>1260000</v>
      </c>
      <c r="I29" s="9">
        <f t="shared" si="18"/>
        <v>1302000</v>
      </c>
      <c r="J29" s="9">
        <f t="shared" si="18"/>
        <v>1302000</v>
      </c>
      <c r="K29" s="9">
        <f t="shared" si="18"/>
        <v>1260000</v>
      </c>
      <c r="L29" s="9">
        <f t="shared" si="18"/>
        <v>1302000</v>
      </c>
      <c r="M29" s="9">
        <f t="shared" si="18"/>
        <v>1260000</v>
      </c>
      <c r="N29" s="9">
        <f t="shared" si="18"/>
        <v>1302000</v>
      </c>
      <c r="O29" s="9">
        <f t="shared" si="18"/>
        <v>1302000</v>
      </c>
      <c r="P29" s="9">
        <f t="shared" si="18"/>
        <v>1176000</v>
      </c>
      <c r="Q29" s="9">
        <f t="shared" si="18"/>
        <v>1302000</v>
      </c>
      <c r="R29" s="9">
        <f t="shared" si="18"/>
        <v>1344000</v>
      </c>
      <c r="S29" s="9">
        <f t="shared" si="18"/>
        <v>1529850</v>
      </c>
      <c r="T29" s="9">
        <f t="shared" si="18"/>
        <v>1890000</v>
      </c>
      <c r="U29" s="9">
        <f t="shared" si="18"/>
        <v>2051636.3636363635</v>
      </c>
      <c r="V29" s="9">
        <f t="shared" si="18"/>
        <v>2150272.7272727271</v>
      </c>
      <c r="W29" s="9">
        <f t="shared" si="18"/>
        <v>2176363.6363636362</v>
      </c>
      <c r="X29" s="9">
        <f t="shared" si="18"/>
        <v>2347545.4545454541</v>
      </c>
      <c r="Y29" s="9">
        <f t="shared" si="18"/>
        <v>2367272.7272727266</v>
      </c>
      <c r="Z29" s="9">
        <f t="shared" si="18"/>
        <v>2544818.1818181812</v>
      </c>
      <c r="AA29" s="9">
        <f t="shared" si="18"/>
        <v>2643454.5454545449</v>
      </c>
      <c r="AB29" s="9">
        <f t="shared" si="18"/>
        <v>2476727.2727272725</v>
      </c>
      <c r="AC29" s="9">
        <f t="shared" si="18"/>
        <v>2809349.5316500515</v>
      </c>
      <c r="AD29" s="9">
        <f t="shared" si="18"/>
        <v>2724342.0771152582</v>
      </c>
      <c r="AE29" s="9">
        <f t="shared" si="18"/>
        <v>2829158.4100520574</v>
      </c>
      <c r="AF29" s="9">
        <f t="shared" si="18"/>
        <v>2773287.5626772037</v>
      </c>
      <c r="AG29" s="9">
        <f t="shared" si="18"/>
        <v>2882024.464229228</v>
      </c>
      <c r="AH29" s="9">
        <f t="shared" si="18"/>
        <v>2897046.5115344808</v>
      </c>
      <c r="AI29" s="9">
        <f t="shared" si="18"/>
        <v>2830289.7059252877</v>
      </c>
      <c r="AJ29" s="9">
        <f t="shared" si="18"/>
        <v>2941681.8802815881</v>
      </c>
      <c r="AK29" s="9">
        <f t="shared" si="18"/>
        <v>2863366.3046659869</v>
      </c>
      <c r="AL29" s="9">
        <f t="shared" si="18"/>
        <v>2975625.1349591464</v>
      </c>
      <c r="AM29" s="9">
        <f t="shared" si="18"/>
        <v>2995482.5689261081</v>
      </c>
      <c r="AN29" s="9">
        <f t="shared" si="18"/>
        <v>2723016.4009873765</v>
      </c>
      <c r="AO29" s="9">
        <f t="shared" si="18"/>
        <v>3033422.9454540387</v>
      </c>
      <c r="AP29" s="9">
        <f t="shared" si="18"/>
        <v>2940000</v>
      </c>
      <c r="AQ29" s="9">
        <f t="shared" si="18"/>
        <v>3038000</v>
      </c>
      <c r="AR29" s="9">
        <f t="shared" si="18"/>
        <v>2940000</v>
      </c>
      <c r="AS29" s="9">
        <f t="shared" si="18"/>
        <v>3038000</v>
      </c>
      <c r="AT29" s="9">
        <f t="shared" si="18"/>
        <v>3038000</v>
      </c>
      <c r="AU29" s="9">
        <f t="shared" si="18"/>
        <v>2940000</v>
      </c>
      <c r="AV29" s="9">
        <f t="shared" si="18"/>
        <v>3038000</v>
      </c>
      <c r="AW29" s="9">
        <f t="shared" si="18"/>
        <v>2940000</v>
      </c>
      <c r="AX29" s="9">
        <f t="shared" si="18"/>
        <v>3038000</v>
      </c>
      <c r="AY29" s="9">
        <f t="shared" si="18"/>
        <v>3038000</v>
      </c>
      <c r="AZ29" s="9">
        <f t="shared" si="18"/>
        <v>2842000</v>
      </c>
      <c r="BA29" s="9">
        <f t="shared" si="18"/>
        <v>3038000</v>
      </c>
      <c r="BB29" s="9">
        <f t="shared" si="18"/>
        <v>2940000</v>
      </c>
      <c r="BC29" s="9">
        <f t="shared" si="18"/>
        <v>3038000</v>
      </c>
      <c r="BD29" s="9">
        <f t="shared" si="18"/>
        <v>2940000</v>
      </c>
      <c r="BE29" s="9">
        <f t="shared" si="18"/>
        <v>3038000</v>
      </c>
      <c r="BF29" s="9">
        <f t="shared" si="18"/>
        <v>3038000</v>
      </c>
      <c r="BG29" s="9">
        <f t="shared" si="18"/>
        <v>2940000</v>
      </c>
      <c r="BH29" s="9">
        <f t="shared" si="18"/>
        <v>3038000</v>
      </c>
      <c r="BI29" s="9">
        <f t="shared" si="18"/>
        <v>2940000</v>
      </c>
      <c r="BJ29" s="9">
        <f t="shared" si="18"/>
        <v>3038000</v>
      </c>
      <c r="BK29" s="9">
        <f t="shared" si="18"/>
        <v>3038000</v>
      </c>
      <c r="BL29" s="9">
        <f t="shared" si="18"/>
        <v>2744000</v>
      </c>
      <c r="BM29" s="9">
        <f t="shared" si="18"/>
        <v>3038000</v>
      </c>
      <c r="BN29" s="9">
        <f t="shared" si="18"/>
        <v>2940000</v>
      </c>
      <c r="BO29" s="9">
        <f t="shared" ref="BO29:BV29" si="19">SUM(BO26:BO28)</f>
        <v>3038000</v>
      </c>
      <c r="BP29" s="9">
        <f t="shared" si="19"/>
        <v>2940000</v>
      </c>
      <c r="BQ29" s="9">
        <f t="shared" si="19"/>
        <v>3038000</v>
      </c>
      <c r="BR29" s="9">
        <f t="shared" si="19"/>
        <v>3038000</v>
      </c>
      <c r="BS29" s="9">
        <f t="shared" si="19"/>
        <v>2940000</v>
      </c>
      <c r="BT29" s="9">
        <f t="shared" si="19"/>
        <v>3038000</v>
      </c>
      <c r="BU29" s="9">
        <f t="shared" si="19"/>
        <v>2940000</v>
      </c>
      <c r="BV29" s="9">
        <f t="shared" si="19"/>
        <v>3028925.6259446931</v>
      </c>
    </row>
    <row r="32" spans="1:74" x14ac:dyDescent="0.2">
      <c r="A32" s="3" t="s">
        <v>4</v>
      </c>
    </row>
    <row r="33" spans="1:64" x14ac:dyDescent="0.2">
      <c r="A33" s="8" t="s">
        <v>21</v>
      </c>
      <c r="B33" s="7" t="str">
        <f t="shared" ref="B33:AG33" si="20">A34</f>
        <v>Ending</v>
      </c>
      <c r="C33" s="7">
        <f t="shared" si="20"/>
        <v>36830</v>
      </c>
      <c r="D33" s="7">
        <f t="shared" si="20"/>
        <v>36860</v>
      </c>
      <c r="E33" s="7">
        <f t="shared" si="20"/>
        <v>36891</v>
      </c>
      <c r="F33" s="7">
        <f t="shared" si="20"/>
        <v>36922</v>
      </c>
      <c r="G33" s="7">
        <f t="shared" si="20"/>
        <v>36950</v>
      </c>
      <c r="H33" s="7">
        <f t="shared" si="20"/>
        <v>36981</v>
      </c>
      <c r="I33" s="7">
        <f t="shared" si="20"/>
        <v>37011</v>
      </c>
      <c r="J33" s="7">
        <f t="shared" si="20"/>
        <v>37042</v>
      </c>
      <c r="K33" s="7">
        <f t="shared" si="20"/>
        <v>37072</v>
      </c>
      <c r="L33" s="7">
        <f t="shared" si="20"/>
        <v>37103</v>
      </c>
      <c r="M33" s="7">
        <f t="shared" si="20"/>
        <v>37134</v>
      </c>
      <c r="N33" s="7">
        <f t="shared" si="20"/>
        <v>37164</v>
      </c>
      <c r="O33" s="7">
        <f t="shared" si="20"/>
        <v>37195</v>
      </c>
      <c r="P33" s="7">
        <f t="shared" si="20"/>
        <v>37225</v>
      </c>
      <c r="Q33" s="7">
        <f t="shared" si="20"/>
        <v>37256</v>
      </c>
      <c r="R33" s="7">
        <f t="shared" si="20"/>
        <v>37287</v>
      </c>
      <c r="S33" s="7">
        <f t="shared" si="20"/>
        <v>37315</v>
      </c>
      <c r="T33" s="7">
        <f t="shared" si="20"/>
        <v>37346</v>
      </c>
      <c r="U33" s="7">
        <f t="shared" si="20"/>
        <v>37376</v>
      </c>
      <c r="V33" s="7">
        <f t="shared" si="20"/>
        <v>37407</v>
      </c>
      <c r="W33" s="7">
        <f t="shared" si="20"/>
        <v>37437</v>
      </c>
      <c r="X33" s="7">
        <f t="shared" si="20"/>
        <v>37468</v>
      </c>
      <c r="Y33" s="7">
        <f t="shared" si="20"/>
        <v>37499</v>
      </c>
      <c r="Z33" s="7">
        <f t="shared" si="20"/>
        <v>37529</v>
      </c>
      <c r="AA33" s="7">
        <f t="shared" si="20"/>
        <v>37560</v>
      </c>
      <c r="AB33" s="7">
        <f t="shared" si="20"/>
        <v>37590</v>
      </c>
      <c r="AC33" s="7">
        <f t="shared" si="20"/>
        <v>37621</v>
      </c>
      <c r="AD33" s="7">
        <f t="shared" si="20"/>
        <v>37652</v>
      </c>
      <c r="AE33" s="7">
        <f t="shared" si="20"/>
        <v>37680</v>
      </c>
      <c r="AF33" s="7">
        <f t="shared" si="20"/>
        <v>37711</v>
      </c>
      <c r="AG33" s="7">
        <f t="shared" si="20"/>
        <v>37741</v>
      </c>
      <c r="AH33" s="7">
        <f t="shared" ref="AH33:BL33" si="21">AG34</f>
        <v>37772</v>
      </c>
      <c r="AI33" s="7">
        <f t="shared" si="21"/>
        <v>37802</v>
      </c>
      <c r="AJ33" s="7">
        <f t="shared" si="21"/>
        <v>37833</v>
      </c>
      <c r="AK33" s="7">
        <f t="shared" si="21"/>
        <v>37864</v>
      </c>
      <c r="AL33" s="7">
        <f t="shared" si="21"/>
        <v>37894</v>
      </c>
      <c r="AM33" s="7">
        <f t="shared" si="21"/>
        <v>37925</v>
      </c>
      <c r="AN33" s="7">
        <f t="shared" si="21"/>
        <v>37955</v>
      </c>
      <c r="AO33" s="7">
        <f t="shared" si="21"/>
        <v>37986</v>
      </c>
      <c r="AP33" s="7">
        <f t="shared" si="21"/>
        <v>38017</v>
      </c>
      <c r="AQ33" s="7">
        <f t="shared" si="21"/>
        <v>38046</v>
      </c>
      <c r="AR33" s="7">
        <f t="shared" si="21"/>
        <v>38077</v>
      </c>
      <c r="AS33" s="7">
        <f t="shared" si="21"/>
        <v>38107</v>
      </c>
      <c r="AT33" s="7">
        <f t="shared" si="21"/>
        <v>38138</v>
      </c>
      <c r="AU33" s="7">
        <f t="shared" si="21"/>
        <v>38168</v>
      </c>
      <c r="AV33" s="7">
        <f t="shared" si="21"/>
        <v>38199</v>
      </c>
      <c r="AW33" s="7">
        <f t="shared" si="21"/>
        <v>38230</v>
      </c>
      <c r="AX33" s="7">
        <f t="shared" si="21"/>
        <v>38260</v>
      </c>
      <c r="AY33" s="7">
        <f t="shared" si="21"/>
        <v>38291</v>
      </c>
      <c r="AZ33" s="7">
        <f t="shared" si="21"/>
        <v>38321</v>
      </c>
      <c r="BA33" s="7">
        <f t="shared" si="21"/>
        <v>38352</v>
      </c>
      <c r="BB33" s="7">
        <f t="shared" si="21"/>
        <v>38383</v>
      </c>
      <c r="BC33" s="7">
        <f t="shared" si="21"/>
        <v>38411</v>
      </c>
      <c r="BD33" s="7">
        <f t="shared" si="21"/>
        <v>38442</v>
      </c>
      <c r="BE33" s="7">
        <f t="shared" si="21"/>
        <v>38472</v>
      </c>
      <c r="BF33" s="7">
        <f t="shared" si="21"/>
        <v>38503</v>
      </c>
      <c r="BG33" s="7">
        <f t="shared" si="21"/>
        <v>38533</v>
      </c>
      <c r="BH33" s="7">
        <f t="shared" si="21"/>
        <v>38564</v>
      </c>
      <c r="BI33" s="7">
        <f t="shared" si="21"/>
        <v>38595</v>
      </c>
      <c r="BJ33" s="7">
        <f t="shared" si="21"/>
        <v>38625</v>
      </c>
      <c r="BK33" s="7">
        <f t="shared" si="21"/>
        <v>38656</v>
      </c>
      <c r="BL33" s="7">
        <f t="shared" si="21"/>
        <v>38686</v>
      </c>
    </row>
    <row r="34" spans="1:64" x14ac:dyDescent="0.2">
      <c r="A34" s="8" t="s">
        <v>22</v>
      </c>
      <c r="B34" s="122">
        <v>36830</v>
      </c>
      <c r="C34" s="122">
        <v>36860</v>
      </c>
      <c r="D34" s="122">
        <v>36891</v>
      </c>
      <c r="E34" s="122">
        <v>36922</v>
      </c>
      <c r="F34" s="122">
        <v>36950</v>
      </c>
      <c r="G34" s="122">
        <v>36981</v>
      </c>
      <c r="H34" s="122">
        <v>37011</v>
      </c>
      <c r="I34" s="122">
        <v>37042</v>
      </c>
      <c r="J34" s="122">
        <v>37072</v>
      </c>
      <c r="K34" s="122">
        <v>37103</v>
      </c>
      <c r="L34" s="122">
        <v>37134</v>
      </c>
      <c r="M34" s="122">
        <v>37164</v>
      </c>
      <c r="N34" s="122">
        <v>37195</v>
      </c>
      <c r="O34" s="122">
        <v>37225</v>
      </c>
      <c r="P34" s="122">
        <v>37256</v>
      </c>
      <c r="Q34" s="122">
        <v>37287</v>
      </c>
      <c r="R34" s="122">
        <v>37315</v>
      </c>
      <c r="S34" s="122">
        <v>37346</v>
      </c>
      <c r="T34" s="122">
        <v>37376</v>
      </c>
      <c r="U34" s="122">
        <v>37407</v>
      </c>
      <c r="V34" s="122">
        <v>37437</v>
      </c>
      <c r="W34" s="122">
        <v>37468</v>
      </c>
      <c r="X34" s="122">
        <v>37499</v>
      </c>
      <c r="Y34" s="122">
        <v>37529</v>
      </c>
      <c r="Z34" s="122">
        <v>37560</v>
      </c>
      <c r="AA34" s="122">
        <v>37590</v>
      </c>
      <c r="AB34" s="122">
        <v>37621</v>
      </c>
      <c r="AC34" s="122">
        <v>37652</v>
      </c>
      <c r="AD34" s="122">
        <v>37680</v>
      </c>
      <c r="AE34" s="122">
        <v>37711</v>
      </c>
      <c r="AF34" s="122">
        <v>37741</v>
      </c>
      <c r="AG34" s="122">
        <v>37772</v>
      </c>
      <c r="AH34" s="122">
        <v>37802</v>
      </c>
      <c r="AI34" s="122">
        <v>37833</v>
      </c>
      <c r="AJ34" s="122">
        <v>37864</v>
      </c>
      <c r="AK34" s="122">
        <v>37894</v>
      </c>
      <c r="AL34" s="122">
        <v>37925</v>
      </c>
      <c r="AM34" s="122">
        <v>37955</v>
      </c>
      <c r="AN34" s="122">
        <v>37986</v>
      </c>
      <c r="AO34" s="122">
        <v>38017</v>
      </c>
      <c r="AP34" s="122">
        <v>38046</v>
      </c>
      <c r="AQ34" s="122">
        <v>38077</v>
      </c>
      <c r="AR34" s="122">
        <v>38107</v>
      </c>
      <c r="AS34" s="122">
        <v>38138</v>
      </c>
      <c r="AT34" s="122">
        <v>38168</v>
      </c>
      <c r="AU34" s="122">
        <v>38199</v>
      </c>
      <c r="AV34" s="122">
        <v>38230</v>
      </c>
      <c r="AW34" s="122">
        <v>38260</v>
      </c>
      <c r="AX34" s="122">
        <v>38291</v>
      </c>
      <c r="AY34" s="122">
        <v>38321</v>
      </c>
      <c r="AZ34" s="122">
        <v>38352</v>
      </c>
      <c r="BA34" s="122">
        <v>38383</v>
      </c>
      <c r="BB34" s="122">
        <v>38411</v>
      </c>
      <c r="BC34" s="122">
        <v>38442</v>
      </c>
      <c r="BD34" s="122">
        <v>38472</v>
      </c>
      <c r="BE34" s="122">
        <v>38503</v>
      </c>
      <c r="BF34" s="122">
        <v>38533</v>
      </c>
      <c r="BG34" s="122">
        <v>38564</v>
      </c>
      <c r="BH34" s="122">
        <v>38595</v>
      </c>
      <c r="BI34" s="122">
        <v>38625</v>
      </c>
      <c r="BJ34" s="122">
        <v>38656</v>
      </c>
      <c r="BK34" s="122">
        <v>38686</v>
      </c>
      <c r="BL34" s="122">
        <v>38717</v>
      </c>
    </row>
    <row r="36" spans="1:64" x14ac:dyDescent="0.2">
      <c r="A36" s="74" t="s">
        <v>154</v>
      </c>
      <c r="B36" s="75">
        <f>LCGG_initialcapacity</f>
        <v>275000</v>
      </c>
      <c r="C36" s="75">
        <f t="shared" ref="C36:BL36" si="22">LCGG_initialcapacity</f>
        <v>275000</v>
      </c>
      <c r="D36" s="75">
        <f t="shared" si="22"/>
        <v>275000</v>
      </c>
      <c r="E36" s="75">
        <f t="shared" si="22"/>
        <v>275000</v>
      </c>
      <c r="F36" s="75">
        <f t="shared" si="22"/>
        <v>275000</v>
      </c>
      <c r="G36" s="75">
        <f t="shared" si="22"/>
        <v>275000</v>
      </c>
      <c r="H36" s="75">
        <f t="shared" si="22"/>
        <v>275000</v>
      </c>
      <c r="I36" s="75">
        <f t="shared" si="22"/>
        <v>275000</v>
      </c>
      <c r="J36" s="75">
        <f t="shared" si="22"/>
        <v>275000</v>
      </c>
      <c r="K36" s="75">
        <f t="shared" si="22"/>
        <v>275000</v>
      </c>
      <c r="L36" s="75">
        <f t="shared" si="22"/>
        <v>275000</v>
      </c>
      <c r="M36" s="75">
        <f t="shared" si="22"/>
        <v>275000</v>
      </c>
      <c r="N36" s="75">
        <f t="shared" si="22"/>
        <v>275000</v>
      </c>
      <c r="O36" s="75">
        <f t="shared" si="22"/>
        <v>275000</v>
      </c>
      <c r="P36" s="75">
        <f t="shared" si="22"/>
        <v>275000</v>
      </c>
      <c r="Q36" s="75">
        <f t="shared" si="22"/>
        <v>275000</v>
      </c>
      <c r="R36" s="75">
        <f t="shared" si="22"/>
        <v>275000</v>
      </c>
      <c r="S36" s="75">
        <f t="shared" si="22"/>
        <v>275000</v>
      </c>
      <c r="T36" s="75">
        <f t="shared" si="22"/>
        <v>275000</v>
      </c>
      <c r="U36" s="75">
        <f t="shared" si="22"/>
        <v>275000</v>
      </c>
      <c r="V36" s="75">
        <f t="shared" si="22"/>
        <v>275000</v>
      </c>
      <c r="W36" s="75">
        <f t="shared" si="22"/>
        <v>275000</v>
      </c>
      <c r="X36" s="75">
        <f t="shared" si="22"/>
        <v>275000</v>
      </c>
      <c r="Y36" s="75">
        <f t="shared" si="22"/>
        <v>275000</v>
      </c>
      <c r="Z36" s="75">
        <f t="shared" si="22"/>
        <v>275000</v>
      </c>
      <c r="AA36" s="75">
        <f t="shared" si="22"/>
        <v>275000</v>
      </c>
      <c r="AB36" s="75">
        <f t="shared" si="22"/>
        <v>275000</v>
      </c>
      <c r="AC36" s="75">
        <f t="shared" si="22"/>
        <v>275000</v>
      </c>
      <c r="AD36" s="75">
        <f t="shared" si="22"/>
        <v>275000</v>
      </c>
      <c r="AE36" s="75">
        <f t="shared" si="22"/>
        <v>275000</v>
      </c>
      <c r="AF36" s="75">
        <f t="shared" si="22"/>
        <v>275000</v>
      </c>
      <c r="AG36" s="75">
        <f t="shared" si="22"/>
        <v>275000</v>
      </c>
      <c r="AH36" s="75">
        <f t="shared" si="22"/>
        <v>275000</v>
      </c>
      <c r="AI36" s="75">
        <f t="shared" si="22"/>
        <v>275000</v>
      </c>
      <c r="AJ36" s="75">
        <f t="shared" si="22"/>
        <v>275000</v>
      </c>
      <c r="AK36" s="75">
        <f t="shared" si="22"/>
        <v>275000</v>
      </c>
      <c r="AL36" s="75">
        <f t="shared" si="22"/>
        <v>275000</v>
      </c>
      <c r="AM36" s="75">
        <f t="shared" si="22"/>
        <v>275000</v>
      </c>
      <c r="AN36" s="75">
        <f t="shared" si="22"/>
        <v>275000</v>
      </c>
      <c r="AO36" s="75">
        <f t="shared" si="22"/>
        <v>275000</v>
      </c>
      <c r="AP36" s="75">
        <f t="shared" si="22"/>
        <v>275000</v>
      </c>
      <c r="AQ36" s="75">
        <f t="shared" si="22"/>
        <v>275000</v>
      </c>
      <c r="AR36" s="75">
        <f t="shared" si="22"/>
        <v>275000</v>
      </c>
      <c r="AS36" s="75">
        <f t="shared" si="22"/>
        <v>275000</v>
      </c>
      <c r="AT36" s="75">
        <f t="shared" si="22"/>
        <v>275000</v>
      </c>
      <c r="AU36" s="75">
        <f t="shared" si="22"/>
        <v>275000</v>
      </c>
      <c r="AV36" s="75">
        <f t="shared" si="22"/>
        <v>275000</v>
      </c>
      <c r="AW36" s="75">
        <f t="shared" si="22"/>
        <v>275000</v>
      </c>
      <c r="AX36" s="75">
        <f t="shared" si="22"/>
        <v>275000</v>
      </c>
      <c r="AY36" s="75">
        <f t="shared" si="22"/>
        <v>275000</v>
      </c>
      <c r="AZ36" s="75">
        <f t="shared" si="22"/>
        <v>275000</v>
      </c>
      <c r="BA36" s="75">
        <f t="shared" si="22"/>
        <v>275000</v>
      </c>
      <c r="BB36" s="75">
        <f t="shared" si="22"/>
        <v>275000</v>
      </c>
      <c r="BC36" s="75">
        <f t="shared" si="22"/>
        <v>275000</v>
      </c>
      <c r="BD36" s="75">
        <f t="shared" si="22"/>
        <v>275000</v>
      </c>
      <c r="BE36" s="75">
        <f t="shared" si="22"/>
        <v>275000</v>
      </c>
      <c r="BF36" s="75">
        <f t="shared" si="22"/>
        <v>275000</v>
      </c>
      <c r="BG36" s="75">
        <f t="shared" si="22"/>
        <v>275000</v>
      </c>
      <c r="BH36" s="75">
        <f t="shared" si="22"/>
        <v>275000</v>
      </c>
      <c r="BI36" s="75">
        <f t="shared" si="22"/>
        <v>275000</v>
      </c>
      <c r="BJ36" s="75">
        <f t="shared" si="22"/>
        <v>275000</v>
      </c>
      <c r="BK36" s="75">
        <f t="shared" si="22"/>
        <v>275000</v>
      </c>
      <c r="BL36" s="75">
        <f t="shared" si="22"/>
        <v>275000</v>
      </c>
    </row>
    <row r="37" spans="1:64" x14ac:dyDescent="0.2">
      <c r="A37" s="74" t="s">
        <v>155</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26">
        <v>0</v>
      </c>
      <c r="AL37" s="26">
        <v>0</v>
      </c>
      <c r="AM37" s="26">
        <v>0</v>
      </c>
      <c r="AN37" s="26">
        <v>0</v>
      </c>
      <c r="AO37" s="26">
        <v>0</v>
      </c>
      <c r="AP37" s="26">
        <v>0</v>
      </c>
      <c r="AQ37" s="26">
        <v>0</v>
      </c>
      <c r="AR37" s="26">
        <v>0</v>
      </c>
      <c r="AS37" s="26">
        <v>0</v>
      </c>
      <c r="AT37" s="26">
        <v>0</v>
      </c>
      <c r="AU37" s="26">
        <v>0</v>
      </c>
      <c r="AV37" s="26">
        <v>0</v>
      </c>
      <c r="AW37" s="26">
        <v>0</v>
      </c>
      <c r="AX37" s="26">
        <v>0</v>
      </c>
      <c r="AY37" s="26">
        <v>0</v>
      </c>
      <c r="AZ37" s="26">
        <v>0</v>
      </c>
      <c r="BA37" s="26">
        <v>0</v>
      </c>
      <c r="BB37" s="26">
        <v>0</v>
      </c>
      <c r="BC37" s="26">
        <v>0</v>
      </c>
      <c r="BD37" s="26">
        <v>0</v>
      </c>
      <c r="BE37" s="26">
        <v>0</v>
      </c>
      <c r="BF37" s="26">
        <v>0</v>
      </c>
      <c r="BG37" s="26">
        <v>0</v>
      </c>
      <c r="BH37" s="26">
        <v>0</v>
      </c>
      <c r="BI37" s="26">
        <v>0</v>
      </c>
      <c r="BJ37" s="26">
        <v>0</v>
      </c>
      <c r="BK37" s="26">
        <v>0</v>
      </c>
      <c r="BL37" s="26">
        <v>0</v>
      </c>
    </row>
    <row r="38" spans="1:64" x14ac:dyDescent="0.2">
      <c r="A38" s="74"/>
      <c r="B38" s="76"/>
      <c r="C38" s="76"/>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c r="AR38" s="76"/>
      <c r="AS38" s="76"/>
      <c r="AT38" s="76"/>
      <c r="AU38" s="76"/>
      <c r="AV38" s="76"/>
      <c r="AW38" s="76"/>
      <c r="AX38" s="76"/>
      <c r="AY38" s="76"/>
      <c r="AZ38" s="76"/>
      <c r="BA38" s="76"/>
      <c r="BB38" s="76"/>
      <c r="BC38" s="76"/>
      <c r="BD38" s="76"/>
      <c r="BE38" s="76"/>
      <c r="BF38" s="76"/>
      <c r="BG38" s="76"/>
      <c r="BH38" s="76"/>
      <c r="BI38" s="76"/>
      <c r="BJ38" s="76"/>
      <c r="BK38" s="76"/>
      <c r="BL38" s="76"/>
    </row>
    <row r="39" spans="1:64" x14ac:dyDescent="0.2">
      <c r="A39" s="30" t="s">
        <v>156</v>
      </c>
      <c r="B39" s="26">
        <v>111000</v>
      </c>
      <c r="C39" s="26">
        <v>111000</v>
      </c>
      <c r="D39" s="26">
        <v>111000</v>
      </c>
      <c r="E39" s="26">
        <v>111000</v>
      </c>
      <c r="F39" s="26">
        <v>111000</v>
      </c>
      <c r="G39" s="26">
        <v>111000</v>
      </c>
      <c r="H39" s="26">
        <v>111000</v>
      </c>
      <c r="I39" s="26">
        <v>111000</v>
      </c>
      <c r="J39" s="26">
        <v>111000</v>
      </c>
      <c r="K39" s="26">
        <v>111000</v>
      </c>
      <c r="L39" s="26">
        <v>111000</v>
      </c>
      <c r="M39" s="26">
        <v>111000</v>
      </c>
      <c r="N39" s="26">
        <v>148000</v>
      </c>
      <c r="O39" s="26">
        <v>148000</v>
      </c>
      <c r="P39" s="26">
        <v>148000</v>
      </c>
      <c r="Q39" s="26">
        <v>148000</v>
      </c>
      <c r="R39" s="26">
        <v>148000</v>
      </c>
      <c r="S39" s="26">
        <v>148000</v>
      </c>
      <c r="T39" s="26">
        <v>148000</v>
      </c>
      <c r="U39" s="26">
        <v>148000</v>
      </c>
      <c r="V39" s="26">
        <v>148000</v>
      </c>
      <c r="W39" s="26">
        <v>148000</v>
      </c>
      <c r="X39" s="26">
        <v>148000</v>
      </c>
      <c r="Y39" s="26">
        <v>148000</v>
      </c>
      <c r="Z39" s="26">
        <v>178750</v>
      </c>
      <c r="AA39" s="26">
        <v>178750</v>
      </c>
      <c r="AB39" s="26">
        <v>178750</v>
      </c>
      <c r="AC39" s="26">
        <v>178750</v>
      </c>
      <c r="AD39" s="26">
        <v>178750</v>
      </c>
      <c r="AE39" s="26">
        <v>178750</v>
      </c>
      <c r="AF39" s="26">
        <v>178750</v>
      </c>
      <c r="AG39" s="26">
        <v>178750</v>
      </c>
      <c r="AH39" s="26">
        <v>178750</v>
      </c>
      <c r="AI39" s="26">
        <v>178750</v>
      </c>
      <c r="AJ39" s="26">
        <v>178750</v>
      </c>
      <c r="AK39" s="26">
        <v>178750</v>
      </c>
      <c r="AL39" s="26">
        <v>178750</v>
      </c>
      <c r="AM39" s="26">
        <v>178750</v>
      </c>
      <c r="AN39" s="26">
        <v>178750</v>
      </c>
      <c r="AO39" s="26">
        <v>178750</v>
      </c>
      <c r="AP39" s="26">
        <v>178750</v>
      </c>
      <c r="AQ39" s="26">
        <v>178750</v>
      </c>
      <c r="AR39" s="26">
        <v>178750</v>
      </c>
      <c r="AS39" s="26">
        <v>178750</v>
      </c>
      <c r="AT39" s="26">
        <v>178750</v>
      </c>
      <c r="AU39" s="26">
        <v>178750</v>
      </c>
      <c r="AV39" s="26">
        <v>178750</v>
      </c>
      <c r="AW39" s="26">
        <v>178750</v>
      </c>
      <c r="AX39" s="26">
        <v>178750</v>
      </c>
      <c r="AY39" s="26">
        <v>178750</v>
      </c>
      <c r="AZ39" s="26">
        <v>178750</v>
      </c>
      <c r="BA39" s="26">
        <v>178750</v>
      </c>
      <c r="BB39" s="26">
        <v>178750</v>
      </c>
      <c r="BC39" s="26">
        <v>178750</v>
      </c>
      <c r="BD39" s="26">
        <v>178750</v>
      </c>
      <c r="BE39" s="26">
        <v>178750</v>
      </c>
      <c r="BF39" s="26">
        <v>178750</v>
      </c>
      <c r="BG39" s="26">
        <v>178750</v>
      </c>
      <c r="BH39" s="26">
        <v>178750</v>
      </c>
      <c r="BI39" s="26">
        <v>178750</v>
      </c>
      <c r="BJ39" s="26">
        <v>178750</v>
      </c>
      <c r="BK39" s="26">
        <v>178750</v>
      </c>
      <c r="BL39" s="26">
        <v>178750</v>
      </c>
    </row>
    <row r="40" spans="1:64" x14ac:dyDescent="0.2">
      <c r="A40" s="30" t="s">
        <v>157</v>
      </c>
      <c r="B40" s="26">
        <v>60000</v>
      </c>
      <c r="C40" s="26">
        <v>60000</v>
      </c>
      <c r="D40" s="26">
        <v>60000</v>
      </c>
      <c r="E40" s="26">
        <v>60000</v>
      </c>
      <c r="F40" s="26">
        <v>60000</v>
      </c>
      <c r="G40" s="26">
        <v>60000</v>
      </c>
      <c r="H40" s="26">
        <v>60000</v>
      </c>
      <c r="I40" s="26">
        <v>60000</v>
      </c>
      <c r="J40" s="26">
        <v>60000</v>
      </c>
      <c r="K40" s="26">
        <v>60000</v>
      </c>
      <c r="L40" s="26">
        <v>60000</v>
      </c>
      <c r="M40" s="26">
        <v>60000</v>
      </c>
      <c r="N40" s="26">
        <v>80000</v>
      </c>
      <c r="O40" s="26">
        <v>80000</v>
      </c>
      <c r="P40" s="26">
        <v>80000</v>
      </c>
      <c r="Q40" s="26">
        <v>80000</v>
      </c>
      <c r="R40" s="26">
        <v>80000</v>
      </c>
      <c r="S40" s="26">
        <v>80000</v>
      </c>
      <c r="T40" s="26">
        <v>80000</v>
      </c>
      <c r="U40" s="26">
        <v>80000</v>
      </c>
      <c r="V40" s="26">
        <v>80000</v>
      </c>
      <c r="W40" s="26">
        <v>80000</v>
      </c>
      <c r="X40" s="26">
        <v>80000</v>
      </c>
      <c r="Y40" s="26">
        <v>80000</v>
      </c>
      <c r="Z40" s="26">
        <v>96250</v>
      </c>
      <c r="AA40" s="26">
        <v>96250</v>
      </c>
      <c r="AB40" s="26">
        <v>96250</v>
      </c>
      <c r="AC40" s="26">
        <v>96250</v>
      </c>
      <c r="AD40" s="26">
        <v>96250</v>
      </c>
      <c r="AE40" s="26">
        <v>96250</v>
      </c>
      <c r="AF40" s="26">
        <v>96250</v>
      </c>
      <c r="AG40" s="26">
        <v>96250</v>
      </c>
      <c r="AH40" s="26">
        <v>96250</v>
      </c>
      <c r="AI40" s="26">
        <v>96250</v>
      </c>
      <c r="AJ40" s="26">
        <v>96250</v>
      </c>
      <c r="AK40" s="26">
        <v>96250</v>
      </c>
      <c r="AL40" s="26">
        <v>96250</v>
      </c>
      <c r="AM40" s="26">
        <v>96250</v>
      </c>
      <c r="AN40" s="26">
        <v>96250</v>
      </c>
      <c r="AO40" s="26">
        <v>96250</v>
      </c>
      <c r="AP40" s="26">
        <v>96250</v>
      </c>
      <c r="AQ40" s="26">
        <v>96250</v>
      </c>
      <c r="AR40" s="26">
        <v>96250</v>
      </c>
      <c r="AS40" s="26">
        <v>96250</v>
      </c>
      <c r="AT40" s="26">
        <v>96250</v>
      </c>
      <c r="AU40" s="26">
        <v>96250</v>
      </c>
      <c r="AV40" s="26">
        <v>96250</v>
      </c>
      <c r="AW40" s="26">
        <v>96250</v>
      </c>
      <c r="AX40" s="26">
        <v>96250</v>
      </c>
      <c r="AY40" s="26">
        <v>96250</v>
      </c>
      <c r="AZ40" s="26">
        <v>96250</v>
      </c>
      <c r="BA40" s="26">
        <v>96250</v>
      </c>
      <c r="BB40" s="26">
        <v>96250</v>
      </c>
      <c r="BC40" s="26">
        <v>96250</v>
      </c>
      <c r="BD40" s="26">
        <v>96250</v>
      </c>
      <c r="BE40" s="26">
        <v>96250</v>
      </c>
      <c r="BF40" s="26">
        <v>96250</v>
      </c>
      <c r="BG40" s="26">
        <v>96250</v>
      </c>
      <c r="BH40" s="26">
        <v>96250</v>
      </c>
      <c r="BI40" s="26">
        <v>96250</v>
      </c>
      <c r="BJ40" s="26">
        <v>96250</v>
      </c>
      <c r="BK40" s="26">
        <v>96250</v>
      </c>
      <c r="BL40" s="26">
        <v>96250</v>
      </c>
    </row>
    <row r="41" spans="1:64" x14ac:dyDescent="0.2">
      <c r="A41" s="30" t="s">
        <v>158</v>
      </c>
      <c r="B41" s="26">
        <v>22500</v>
      </c>
      <c r="C41" s="26">
        <v>22500</v>
      </c>
      <c r="D41" s="26">
        <v>22500</v>
      </c>
      <c r="E41" s="26">
        <v>22500</v>
      </c>
      <c r="F41" s="26">
        <v>22500</v>
      </c>
      <c r="G41" s="26">
        <v>22500</v>
      </c>
      <c r="H41" s="26">
        <v>22500</v>
      </c>
      <c r="I41" s="26">
        <v>22500</v>
      </c>
      <c r="J41" s="26">
        <v>22500</v>
      </c>
      <c r="K41" s="26">
        <v>22500</v>
      </c>
      <c r="L41" s="26">
        <v>22500</v>
      </c>
      <c r="M41" s="26">
        <v>22500</v>
      </c>
      <c r="N41" s="26">
        <v>22500</v>
      </c>
      <c r="O41" s="26">
        <v>22500</v>
      </c>
      <c r="P41" s="26">
        <v>22500</v>
      </c>
      <c r="Q41" s="26">
        <v>22500</v>
      </c>
      <c r="R41" s="26">
        <v>22500</v>
      </c>
      <c r="S41" s="26">
        <v>22500</v>
      </c>
      <c r="T41" s="26">
        <v>22500</v>
      </c>
      <c r="U41" s="26">
        <v>22500</v>
      </c>
      <c r="V41" s="26">
        <v>22500</v>
      </c>
      <c r="W41" s="26">
        <v>22500</v>
      </c>
      <c r="X41" s="26">
        <v>22500</v>
      </c>
      <c r="Y41" s="26">
        <v>22500</v>
      </c>
      <c r="Z41" s="26">
        <v>25000</v>
      </c>
      <c r="AA41" s="26">
        <v>25000</v>
      </c>
      <c r="AB41" s="26">
        <v>25000</v>
      </c>
      <c r="AC41" s="26">
        <v>25000</v>
      </c>
      <c r="AD41" s="26">
        <v>25000</v>
      </c>
      <c r="AE41" s="26">
        <v>25000</v>
      </c>
      <c r="AF41" s="26">
        <v>25000</v>
      </c>
      <c r="AG41" s="26">
        <v>25000</v>
      </c>
      <c r="AH41" s="26">
        <v>25000</v>
      </c>
      <c r="AI41" s="26">
        <v>25000</v>
      </c>
      <c r="AJ41" s="26">
        <v>25000</v>
      </c>
      <c r="AK41" s="26">
        <v>25000</v>
      </c>
      <c r="AL41" s="26">
        <v>27500</v>
      </c>
      <c r="AM41" s="26">
        <v>27500</v>
      </c>
      <c r="AN41" s="26">
        <v>27500</v>
      </c>
      <c r="AO41" s="26">
        <v>27500</v>
      </c>
      <c r="AP41" s="26">
        <v>27500</v>
      </c>
      <c r="AQ41" s="26">
        <v>27500</v>
      </c>
      <c r="AR41" s="26">
        <v>27500</v>
      </c>
      <c r="AS41" s="26">
        <v>27500</v>
      </c>
      <c r="AT41" s="26">
        <v>27500</v>
      </c>
      <c r="AU41" s="26">
        <v>27500</v>
      </c>
      <c r="AV41" s="26">
        <v>27500</v>
      </c>
      <c r="AW41" s="26">
        <v>27500</v>
      </c>
      <c r="AX41" s="26">
        <v>27500</v>
      </c>
      <c r="AY41" s="26">
        <v>27500</v>
      </c>
      <c r="AZ41" s="26">
        <v>27500</v>
      </c>
      <c r="BA41" s="26">
        <v>27500</v>
      </c>
      <c r="BB41" s="26">
        <v>27500</v>
      </c>
      <c r="BC41" s="26">
        <v>27500</v>
      </c>
      <c r="BD41" s="26">
        <v>27500</v>
      </c>
      <c r="BE41" s="26">
        <v>27500</v>
      </c>
      <c r="BF41" s="26">
        <v>27500</v>
      </c>
      <c r="BG41" s="26">
        <v>27500</v>
      </c>
      <c r="BH41" s="26">
        <v>27500</v>
      </c>
      <c r="BI41" s="26">
        <v>27500</v>
      </c>
      <c r="BJ41" s="26">
        <v>27500</v>
      </c>
      <c r="BK41" s="26">
        <v>27500</v>
      </c>
      <c r="BL41" s="26">
        <v>27500</v>
      </c>
    </row>
    <row r="42" spans="1:64" x14ac:dyDescent="0.2">
      <c r="A42" s="74"/>
      <c r="B42" s="75"/>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pans="1:64" x14ac:dyDescent="0.2">
      <c r="A43" s="29"/>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row>
    <row r="44" spans="1:64" x14ac:dyDescent="0.2">
      <c r="A44" s="15" t="s">
        <v>159</v>
      </c>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74"/>
      <c r="BF44" s="74"/>
      <c r="BG44" s="74"/>
      <c r="BH44" s="74"/>
      <c r="BI44" s="74"/>
      <c r="BJ44" s="74"/>
      <c r="BK44" s="74"/>
      <c r="BL44" s="74"/>
    </row>
    <row r="45" spans="1:64" x14ac:dyDescent="0.2">
      <c r="A45" s="30" t="s">
        <v>160</v>
      </c>
      <c r="B45" s="26">
        <v>111000</v>
      </c>
      <c r="C45" s="26">
        <v>111000</v>
      </c>
      <c r="D45" s="26">
        <v>111000</v>
      </c>
      <c r="E45" s="26">
        <v>111000</v>
      </c>
      <c r="F45" s="26">
        <v>111000</v>
      </c>
      <c r="G45" s="26">
        <v>111000</v>
      </c>
      <c r="H45" s="26">
        <v>111000</v>
      </c>
      <c r="I45" s="26">
        <v>111000</v>
      </c>
      <c r="J45" s="26">
        <v>111000</v>
      </c>
      <c r="K45" s="26">
        <v>111000</v>
      </c>
      <c r="L45" s="26">
        <v>111000</v>
      </c>
      <c r="M45" s="26">
        <v>111000</v>
      </c>
      <c r="N45" s="26">
        <v>148000</v>
      </c>
      <c r="O45" s="26">
        <v>148000</v>
      </c>
      <c r="P45" s="26">
        <v>148000</v>
      </c>
      <c r="Q45" s="26">
        <v>148000</v>
      </c>
      <c r="R45" s="26">
        <v>148000</v>
      </c>
      <c r="S45" s="26">
        <v>148000</v>
      </c>
      <c r="T45" s="26">
        <v>148000</v>
      </c>
      <c r="U45" s="26">
        <v>148000</v>
      </c>
      <c r="V45" s="26">
        <v>148000</v>
      </c>
      <c r="W45" s="26">
        <v>148000</v>
      </c>
      <c r="X45" s="26">
        <v>148000</v>
      </c>
      <c r="Y45" s="26">
        <v>148000</v>
      </c>
      <c r="Z45" s="26">
        <v>178750</v>
      </c>
      <c r="AA45" s="26">
        <v>178750</v>
      </c>
      <c r="AB45" s="26">
        <v>178750</v>
      </c>
      <c r="AC45" s="26">
        <v>178750</v>
      </c>
      <c r="AD45" s="26">
        <v>178750</v>
      </c>
      <c r="AE45" s="26">
        <v>178750</v>
      </c>
      <c r="AF45" s="26">
        <v>178750</v>
      </c>
      <c r="AG45" s="26">
        <v>178750</v>
      </c>
      <c r="AH45" s="26">
        <v>178750</v>
      </c>
      <c r="AI45" s="26">
        <v>178750</v>
      </c>
      <c r="AJ45" s="26">
        <v>178750</v>
      </c>
      <c r="AK45" s="26">
        <v>178750</v>
      </c>
      <c r="AL45" s="26">
        <v>178750</v>
      </c>
      <c r="AM45" s="26">
        <v>178750</v>
      </c>
      <c r="AN45" s="26">
        <v>178750</v>
      </c>
      <c r="AO45" s="26">
        <v>178750</v>
      </c>
      <c r="AP45" s="26">
        <v>178750</v>
      </c>
      <c r="AQ45" s="26">
        <v>178750</v>
      </c>
      <c r="AR45" s="26">
        <v>178750</v>
      </c>
      <c r="AS45" s="26">
        <v>178750</v>
      </c>
      <c r="AT45" s="26">
        <v>178750</v>
      </c>
      <c r="AU45" s="26">
        <v>178750</v>
      </c>
      <c r="AV45" s="26">
        <v>178750</v>
      </c>
      <c r="AW45" s="26">
        <v>178750</v>
      </c>
      <c r="AX45" s="26">
        <v>178750</v>
      </c>
      <c r="AY45" s="26">
        <v>178750</v>
      </c>
      <c r="AZ45" s="26">
        <v>178750</v>
      </c>
      <c r="BA45" s="26">
        <v>178750</v>
      </c>
      <c r="BB45" s="26">
        <v>178750</v>
      </c>
      <c r="BC45" s="26">
        <v>178750</v>
      </c>
      <c r="BD45" s="26">
        <v>178750</v>
      </c>
      <c r="BE45" s="26">
        <v>178750</v>
      </c>
      <c r="BF45" s="26">
        <v>178750</v>
      </c>
      <c r="BG45" s="26">
        <v>178750</v>
      </c>
      <c r="BH45" s="26">
        <v>178750</v>
      </c>
      <c r="BI45" s="26">
        <v>178750</v>
      </c>
      <c r="BJ45" s="26">
        <v>178750</v>
      </c>
      <c r="BK45" s="26">
        <v>178750</v>
      </c>
      <c r="BL45" s="26">
        <v>178750</v>
      </c>
    </row>
    <row r="46" spans="1:64" x14ac:dyDescent="0.2">
      <c r="A46" s="30" t="s">
        <v>2</v>
      </c>
      <c r="B46" s="26">
        <v>22500</v>
      </c>
      <c r="C46" s="26">
        <v>22500</v>
      </c>
      <c r="D46" s="26">
        <v>22500</v>
      </c>
      <c r="E46" s="26">
        <v>22500</v>
      </c>
      <c r="F46" s="26">
        <v>22500</v>
      </c>
      <c r="G46" s="26">
        <v>22500</v>
      </c>
      <c r="H46" s="26">
        <v>22500</v>
      </c>
      <c r="I46" s="26">
        <v>22500</v>
      </c>
      <c r="J46" s="26">
        <v>22500</v>
      </c>
      <c r="K46" s="26">
        <v>22500</v>
      </c>
      <c r="L46" s="26">
        <v>22500</v>
      </c>
      <c r="M46" s="26">
        <v>22500</v>
      </c>
      <c r="N46" s="26">
        <v>22500</v>
      </c>
      <c r="O46" s="26">
        <v>22500</v>
      </c>
      <c r="P46" s="26">
        <v>22500</v>
      </c>
      <c r="Q46" s="26">
        <v>22500</v>
      </c>
      <c r="R46" s="26">
        <v>22500</v>
      </c>
      <c r="S46" s="26">
        <v>22500</v>
      </c>
      <c r="T46" s="26">
        <v>22500</v>
      </c>
      <c r="U46" s="26">
        <v>22500</v>
      </c>
      <c r="V46" s="26">
        <v>22500</v>
      </c>
      <c r="W46" s="26">
        <v>22500</v>
      </c>
      <c r="X46" s="26">
        <v>22500</v>
      </c>
      <c r="Y46" s="26">
        <v>22500</v>
      </c>
      <c r="Z46" s="26">
        <v>25000</v>
      </c>
      <c r="AA46" s="26">
        <v>25000</v>
      </c>
      <c r="AB46" s="26">
        <v>25000</v>
      </c>
      <c r="AC46" s="26">
        <v>25000</v>
      </c>
      <c r="AD46" s="26">
        <v>25000</v>
      </c>
      <c r="AE46" s="26">
        <v>25000</v>
      </c>
      <c r="AF46" s="26">
        <v>25000</v>
      </c>
      <c r="AG46" s="26">
        <v>25000</v>
      </c>
      <c r="AH46" s="26">
        <v>25000</v>
      </c>
      <c r="AI46" s="26">
        <v>25000</v>
      </c>
      <c r="AJ46" s="26">
        <v>25000</v>
      </c>
      <c r="AK46" s="26">
        <v>25000</v>
      </c>
      <c r="AL46" s="26">
        <v>27500</v>
      </c>
      <c r="AM46" s="26">
        <v>27500</v>
      </c>
      <c r="AN46" s="26">
        <v>27500</v>
      </c>
      <c r="AO46" s="26">
        <v>27500</v>
      </c>
      <c r="AP46" s="26">
        <v>27500</v>
      </c>
      <c r="AQ46" s="26">
        <v>27500</v>
      </c>
      <c r="AR46" s="26">
        <v>27500</v>
      </c>
      <c r="AS46" s="26">
        <v>27500</v>
      </c>
      <c r="AT46" s="26">
        <v>27500</v>
      </c>
      <c r="AU46" s="26">
        <v>27500</v>
      </c>
      <c r="AV46" s="26">
        <v>27500</v>
      </c>
      <c r="AW46" s="26">
        <v>27500</v>
      </c>
      <c r="AX46" s="26">
        <v>27500</v>
      </c>
      <c r="AY46" s="26">
        <v>27500</v>
      </c>
      <c r="AZ46" s="26">
        <v>27500</v>
      </c>
      <c r="BA46" s="26">
        <v>27500</v>
      </c>
      <c r="BB46" s="26">
        <v>27500</v>
      </c>
      <c r="BC46" s="26">
        <v>27500</v>
      </c>
      <c r="BD46" s="26">
        <v>27500</v>
      </c>
      <c r="BE46" s="26">
        <v>27500</v>
      </c>
      <c r="BF46" s="26">
        <v>27500</v>
      </c>
      <c r="BG46" s="26">
        <v>27500</v>
      </c>
      <c r="BH46" s="26">
        <v>27500</v>
      </c>
      <c r="BI46" s="26">
        <v>27500</v>
      </c>
      <c r="BJ46" s="26">
        <v>27500</v>
      </c>
      <c r="BK46" s="26">
        <v>27500</v>
      </c>
      <c r="BL46" s="26">
        <v>27500</v>
      </c>
    </row>
    <row r="47" spans="1:64" x14ac:dyDescent="0.2">
      <c r="A47" s="30" t="s">
        <v>3</v>
      </c>
      <c r="B47" s="78">
        <f>B40-B46</f>
        <v>37500</v>
      </c>
      <c r="C47" s="78">
        <f t="shared" ref="C47:BL47" si="23">C40-C46</f>
        <v>37500</v>
      </c>
      <c r="D47" s="78">
        <f>D40-D46</f>
        <v>37500</v>
      </c>
      <c r="E47" s="78">
        <f t="shared" si="23"/>
        <v>37500</v>
      </c>
      <c r="F47" s="78">
        <f t="shared" si="23"/>
        <v>37500</v>
      </c>
      <c r="G47" s="78">
        <f t="shared" si="23"/>
        <v>37500</v>
      </c>
      <c r="H47" s="78">
        <f t="shared" si="23"/>
        <v>37500</v>
      </c>
      <c r="I47" s="78">
        <f t="shared" si="23"/>
        <v>37500</v>
      </c>
      <c r="J47" s="78">
        <f t="shared" si="23"/>
        <v>37500</v>
      </c>
      <c r="K47" s="78">
        <f t="shared" si="23"/>
        <v>37500</v>
      </c>
      <c r="L47" s="78">
        <f t="shared" si="23"/>
        <v>37500</v>
      </c>
      <c r="M47" s="78">
        <f t="shared" si="23"/>
        <v>37500</v>
      </c>
      <c r="N47" s="78">
        <f t="shared" si="23"/>
        <v>57500</v>
      </c>
      <c r="O47" s="78">
        <f t="shared" si="23"/>
        <v>57500</v>
      </c>
      <c r="P47" s="78">
        <f t="shared" si="23"/>
        <v>57500</v>
      </c>
      <c r="Q47" s="78">
        <f t="shared" si="23"/>
        <v>57500</v>
      </c>
      <c r="R47" s="78">
        <f t="shared" si="23"/>
        <v>57500</v>
      </c>
      <c r="S47" s="78">
        <f t="shared" si="23"/>
        <v>57500</v>
      </c>
      <c r="T47" s="78">
        <f t="shared" si="23"/>
        <v>57500</v>
      </c>
      <c r="U47" s="78">
        <f t="shared" si="23"/>
        <v>57500</v>
      </c>
      <c r="V47" s="78">
        <f t="shared" si="23"/>
        <v>57500</v>
      </c>
      <c r="W47" s="78">
        <f t="shared" si="23"/>
        <v>57500</v>
      </c>
      <c r="X47" s="78">
        <f t="shared" si="23"/>
        <v>57500</v>
      </c>
      <c r="Y47" s="78">
        <f t="shared" si="23"/>
        <v>57500</v>
      </c>
      <c r="Z47" s="78">
        <f t="shared" si="23"/>
        <v>71250</v>
      </c>
      <c r="AA47" s="78">
        <f t="shared" si="23"/>
        <v>71250</v>
      </c>
      <c r="AB47" s="78">
        <f t="shared" si="23"/>
        <v>71250</v>
      </c>
      <c r="AC47" s="78">
        <f t="shared" si="23"/>
        <v>71250</v>
      </c>
      <c r="AD47" s="78">
        <f t="shared" si="23"/>
        <v>71250</v>
      </c>
      <c r="AE47" s="78">
        <f t="shared" si="23"/>
        <v>71250</v>
      </c>
      <c r="AF47" s="78">
        <f t="shared" si="23"/>
        <v>71250</v>
      </c>
      <c r="AG47" s="78">
        <f t="shared" si="23"/>
        <v>71250</v>
      </c>
      <c r="AH47" s="78">
        <f t="shared" si="23"/>
        <v>71250</v>
      </c>
      <c r="AI47" s="78">
        <f t="shared" si="23"/>
        <v>71250</v>
      </c>
      <c r="AJ47" s="78">
        <f t="shared" si="23"/>
        <v>71250</v>
      </c>
      <c r="AK47" s="78">
        <f t="shared" si="23"/>
        <v>71250</v>
      </c>
      <c r="AL47" s="78">
        <f t="shared" si="23"/>
        <v>68750</v>
      </c>
      <c r="AM47" s="78">
        <f t="shared" si="23"/>
        <v>68750</v>
      </c>
      <c r="AN47" s="78">
        <f t="shared" si="23"/>
        <v>68750</v>
      </c>
      <c r="AO47" s="78">
        <f t="shared" si="23"/>
        <v>68750</v>
      </c>
      <c r="AP47" s="78">
        <f t="shared" si="23"/>
        <v>68750</v>
      </c>
      <c r="AQ47" s="78">
        <f t="shared" si="23"/>
        <v>68750</v>
      </c>
      <c r="AR47" s="78">
        <f t="shared" si="23"/>
        <v>68750</v>
      </c>
      <c r="AS47" s="78">
        <f t="shared" si="23"/>
        <v>68750</v>
      </c>
      <c r="AT47" s="78">
        <f t="shared" si="23"/>
        <v>68750</v>
      </c>
      <c r="AU47" s="78">
        <f t="shared" si="23"/>
        <v>68750</v>
      </c>
      <c r="AV47" s="78">
        <f t="shared" si="23"/>
        <v>68750</v>
      </c>
      <c r="AW47" s="78">
        <f t="shared" si="23"/>
        <v>68750</v>
      </c>
      <c r="AX47" s="78">
        <f t="shared" si="23"/>
        <v>68750</v>
      </c>
      <c r="AY47" s="78">
        <f t="shared" si="23"/>
        <v>68750</v>
      </c>
      <c r="AZ47" s="78">
        <f t="shared" si="23"/>
        <v>68750</v>
      </c>
      <c r="BA47" s="78">
        <f t="shared" si="23"/>
        <v>68750</v>
      </c>
      <c r="BB47" s="78">
        <f t="shared" si="23"/>
        <v>68750</v>
      </c>
      <c r="BC47" s="78">
        <f t="shared" si="23"/>
        <v>68750</v>
      </c>
      <c r="BD47" s="78">
        <f t="shared" si="23"/>
        <v>68750</v>
      </c>
      <c r="BE47" s="78">
        <f t="shared" si="23"/>
        <v>68750</v>
      </c>
      <c r="BF47" s="78">
        <f t="shared" si="23"/>
        <v>68750</v>
      </c>
      <c r="BG47" s="78">
        <f t="shared" si="23"/>
        <v>68750</v>
      </c>
      <c r="BH47" s="78">
        <f t="shared" si="23"/>
        <v>68750</v>
      </c>
      <c r="BI47" s="78">
        <f t="shared" si="23"/>
        <v>68750</v>
      </c>
      <c r="BJ47" s="78">
        <f t="shared" si="23"/>
        <v>68750</v>
      </c>
      <c r="BK47" s="78">
        <f t="shared" si="23"/>
        <v>68750</v>
      </c>
      <c r="BL47" s="78">
        <f t="shared" si="23"/>
        <v>68750</v>
      </c>
    </row>
    <row r="48" spans="1:64" x14ac:dyDescent="0.2">
      <c r="B48" s="77">
        <f t="shared" ref="B48:BK48" si="24">SUM(B45:B47)</f>
        <v>171000</v>
      </c>
      <c r="C48" s="77">
        <f t="shared" si="24"/>
        <v>171000</v>
      </c>
      <c r="D48" s="77">
        <f t="shared" si="24"/>
        <v>171000</v>
      </c>
      <c r="E48" s="77">
        <f t="shared" si="24"/>
        <v>171000</v>
      </c>
      <c r="F48" s="77">
        <f t="shared" si="24"/>
        <v>171000</v>
      </c>
      <c r="G48" s="77">
        <f t="shared" si="24"/>
        <v>171000</v>
      </c>
      <c r="H48" s="77">
        <f t="shared" si="24"/>
        <v>171000</v>
      </c>
      <c r="I48" s="77">
        <f t="shared" si="24"/>
        <v>171000</v>
      </c>
      <c r="J48" s="77">
        <f t="shared" si="24"/>
        <v>171000</v>
      </c>
      <c r="K48" s="77">
        <f t="shared" si="24"/>
        <v>171000</v>
      </c>
      <c r="L48" s="77">
        <f t="shared" si="24"/>
        <v>171000</v>
      </c>
      <c r="M48" s="77">
        <f t="shared" si="24"/>
        <v>171000</v>
      </c>
      <c r="N48" s="77">
        <f t="shared" si="24"/>
        <v>228000</v>
      </c>
      <c r="O48" s="77">
        <f t="shared" si="24"/>
        <v>228000</v>
      </c>
      <c r="P48" s="77">
        <f t="shared" si="24"/>
        <v>228000</v>
      </c>
      <c r="Q48" s="77">
        <f t="shared" si="24"/>
        <v>228000</v>
      </c>
      <c r="R48" s="77">
        <f t="shared" si="24"/>
        <v>228000</v>
      </c>
      <c r="S48" s="77">
        <f t="shared" si="24"/>
        <v>228000</v>
      </c>
      <c r="T48" s="77">
        <f t="shared" si="24"/>
        <v>228000</v>
      </c>
      <c r="U48" s="77">
        <f t="shared" si="24"/>
        <v>228000</v>
      </c>
      <c r="V48" s="77">
        <f t="shared" si="24"/>
        <v>228000</v>
      </c>
      <c r="W48" s="77">
        <f t="shared" si="24"/>
        <v>228000</v>
      </c>
      <c r="X48" s="77">
        <f t="shared" si="24"/>
        <v>228000</v>
      </c>
      <c r="Y48" s="77">
        <f t="shared" si="24"/>
        <v>228000</v>
      </c>
      <c r="Z48" s="77">
        <f t="shared" si="24"/>
        <v>275000</v>
      </c>
      <c r="AA48" s="77">
        <f t="shared" si="24"/>
        <v>275000</v>
      </c>
      <c r="AB48" s="77">
        <f t="shared" si="24"/>
        <v>275000</v>
      </c>
      <c r="AC48" s="77">
        <f t="shared" si="24"/>
        <v>275000</v>
      </c>
      <c r="AD48" s="77">
        <f t="shared" si="24"/>
        <v>275000</v>
      </c>
      <c r="AE48" s="77">
        <f t="shared" si="24"/>
        <v>275000</v>
      </c>
      <c r="AF48" s="77">
        <f t="shared" si="24"/>
        <v>275000</v>
      </c>
      <c r="AG48" s="77">
        <f t="shared" si="24"/>
        <v>275000</v>
      </c>
      <c r="AH48" s="77">
        <f t="shared" si="24"/>
        <v>275000</v>
      </c>
      <c r="AI48" s="77">
        <f t="shared" si="24"/>
        <v>275000</v>
      </c>
      <c r="AJ48" s="77">
        <f t="shared" si="24"/>
        <v>275000</v>
      </c>
      <c r="AK48" s="77">
        <f t="shared" si="24"/>
        <v>275000</v>
      </c>
      <c r="AL48" s="77">
        <f t="shared" si="24"/>
        <v>275000</v>
      </c>
      <c r="AM48" s="77">
        <f t="shared" si="24"/>
        <v>275000</v>
      </c>
      <c r="AN48" s="77">
        <f t="shared" si="24"/>
        <v>275000</v>
      </c>
      <c r="AO48" s="77">
        <f t="shared" si="24"/>
        <v>275000</v>
      </c>
      <c r="AP48" s="77">
        <f t="shared" si="24"/>
        <v>275000</v>
      </c>
      <c r="AQ48" s="77">
        <f t="shared" si="24"/>
        <v>275000</v>
      </c>
      <c r="AR48" s="77">
        <f t="shared" si="24"/>
        <v>275000</v>
      </c>
      <c r="AS48" s="77">
        <f t="shared" si="24"/>
        <v>275000</v>
      </c>
      <c r="AT48" s="77">
        <f t="shared" si="24"/>
        <v>275000</v>
      </c>
      <c r="AU48" s="77">
        <f t="shared" si="24"/>
        <v>275000</v>
      </c>
      <c r="AV48" s="77">
        <f t="shared" si="24"/>
        <v>275000</v>
      </c>
      <c r="AW48" s="77">
        <f t="shared" si="24"/>
        <v>275000</v>
      </c>
      <c r="AX48" s="77">
        <f t="shared" si="24"/>
        <v>275000</v>
      </c>
      <c r="AY48" s="77">
        <f t="shared" si="24"/>
        <v>275000</v>
      </c>
      <c r="AZ48" s="77">
        <f t="shared" si="24"/>
        <v>275000</v>
      </c>
      <c r="BA48" s="77">
        <f t="shared" si="24"/>
        <v>275000</v>
      </c>
      <c r="BB48" s="77">
        <f t="shared" si="24"/>
        <v>275000</v>
      </c>
      <c r="BC48" s="77">
        <f t="shared" si="24"/>
        <v>275000</v>
      </c>
      <c r="BD48" s="77">
        <f t="shared" si="24"/>
        <v>275000</v>
      </c>
      <c r="BE48" s="77">
        <f t="shared" si="24"/>
        <v>275000</v>
      </c>
      <c r="BF48" s="77">
        <f t="shared" si="24"/>
        <v>275000</v>
      </c>
      <c r="BG48" s="77">
        <f t="shared" si="24"/>
        <v>275000</v>
      </c>
      <c r="BH48" s="77">
        <f t="shared" si="24"/>
        <v>275000</v>
      </c>
      <c r="BI48" s="77">
        <f t="shared" si="24"/>
        <v>275000</v>
      </c>
      <c r="BJ48" s="77">
        <f t="shared" si="24"/>
        <v>275000</v>
      </c>
      <c r="BK48" s="77">
        <f t="shared" si="24"/>
        <v>275000</v>
      </c>
      <c r="BL48" s="77">
        <f>SUM(BL45:BL47)</f>
        <v>275000</v>
      </c>
    </row>
  </sheetData>
  <printOptions horizontalCentered="1"/>
  <pageMargins left="0.24" right="0.75" top="1" bottom="1" header="0.5" footer="0.5"/>
  <pageSetup scale="60" fitToWidth="5" orientation="landscape" verticalDpi="0"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V59"/>
  <sheetViews>
    <sheetView view="pageBreakPreview" zoomScale="75" zoomScaleNormal="100" workbookViewId="0">
      <pane xSplit="1" ySplit="7" topLeftCell="B8" activePane="bottomRight" state="frozen"/>
      <selection activeCell="F8" sqref="F8"/>
      <selection pane="topRight" activeCell="F8" sqref="F8"/>
      <selection pane="bottomLeft" activeCell="F8" sqref="F8"/>
      <selection pane="bottomRight" activeCell="A13" sqref="A13"/>
    </sheetView>
  </sheetViews>
  <sheetFormatPr defaultRowHeight="12.75" x14ac:dyDescent="0.2"/>
  <cols>
    <col min="1" max="1" width="33.28515625" style="1" customWidth="1"/>
    <col min="2" max="2" width="14.42578125" style="1" bestFit="1" customWidth="1"/>
    <col min="3" max="3" width="13" style="1" bestFit="1" customWidth="1"/>
    <col min="4" max="4" width="13.28515625" style="1" bestFit="1" customWidth="1"/>
    <col min="5" max="5" width="12.7109375" style="1" customWidth="1"/>
    <col min="6" max="6" width="13.42578125" style="1" bestFit="1" customWidth="1"/>
    <col min="7" max="7" width="13" style="1" bestFit="1" customWidth="1"/>
    <col min="8" max="8" width="12.7109375" style="1" bestFit="1" customWidth="1"/>
    <col min="9" max="10" width="13" style="1" bestFit="1" customWidth="1"/>
    <col min="11" max="11" width="15.140625" style="1" bestFit="1" customWidth="1"/>
    <col min="12" max="12" width="13" style="1" bestFit="1" customWidth="1"/>
    <col min="13" max="13" width="13.42578125" style="1" bestFit="1" customWidth="1"/>
    <col min="14" max="16" width="13" style="1" bestFit="1" customWidth="1"/>
    <col min="17" max="18" width="12.7109375" style="1" bestFit="1" customWidth="1"/>
    <col min="19" max="19" width="13.28515625" style="1" bestFit="1" customWidth="1"/>
    <col min="20" max="20" width="12.7109375" style="1" bestFit="1" customWidth="1"/>
    <col min="21" max="21" width="12.5703125" style="1" bestFit="1" customWidth="1"/>
    <col min="22" max="22" width="13.42578125" style="1" bestFit="1" customWidth="1"/>
    <col min="23" max="23" width="12.5703125" style="1" bestFit="1" customWidth="1"/>
    <col min="24" max="24" width="12.7109375" style="1" bestFit="1" customWidth="1"/>
    <col min="25" max="25" width="14" style="1" bestFit="1" customWidth="1"/>
    <col min="26" max="27" width="13.42578125" style="1" bestFit="1" customWidth="1"/>
    <col min="28" max="28" width="13.28515625" style="1" bestFit="1" customWidth="1"/>
    <col min="29" max="29" width="13" style="1" bestFit="1" customWidth="1"/>
    <col min="30" max="31" width="13.42578125" style="1" bestFit="1" customWidth="1"/>
    <col min="32" max="32" width="12.7109375" style="1" bestFit="1" customWidth="1"/>
    <col min="33" max="34" width="13.42578125" style="1" bestFit="1" customWidth="1"/>
    <col min="35" max="37" width="13.28515625" style="1" bestFit="1" customWidth="1"/>
    <col min="38" max="38" width="13" style="1" bestFit="1" customWidth="1"/>
    <col min="39" max="39" width="13.42578125" style="1" bestFit="1" customWidth="1"/>
    <col min="40" max="40" width="14" style="1" bestFit="1" customWidth="1"/>
    <col min="41" max="41" width="13.28515625" style="1" bestFit="1" customWidth="1"/>
    <col min="42" max="42" width="13.7109375" style="1" bestFit="1" customWidth="1"/>
    <col min="43" max="46" width="13.28515625" style="1" bestFit="1" customWidth="1"/>
    <col min="47" max="47" width="13.42578125" style="1" bestFit="1" customWidth="1"/>
    <col min="48" max="48" width="13.28515625" style="1" bestFit="1" customWidth="1"/>
    <col min="49" max="49" width="13.7109375" style="1" bestFit="1" customWidth="1"/>
    <col min="50" max="52" width="13.28515625" style="1" bestFit="1" customWidth="1"/>
    <col min="53" max="54" width="13.7109375" style="1" bestFit="1" customWidth="1"/>
    <col min="55" max="56" width="13.28515625" style="1" bestFit="1" customWidth="1"/>
    <col min="57" max="60" width="13" style="1" bestFit="1" customWidth="1"/>
    <col min="61" max="62" width="13.7109375" style="1" bestFit="1" customWidth="1"/>
    <col min="63" max="63" width="13" style="1" bestFit="1" customWidth="1"/>
    <col min="64" max="65" width="13.42578125" style="1" bestFit="1" customWidth="1"/>
    <col min="66" max="66" width="13.7109375" style="1" bestFit="1" customWidth="1"/>
    <col min="67" max="67" width="13" style="1" bestFit="1" customWidth="1"/>
    <col min="68" max="68" width="13.7109375" style="1" bestFit="1" customWidth="1"/>
    <col min="69" max="70" width="13" style="1" bestFit="1" customWidth="1"/>
    <col min="71" max="71" width="13.7109375" style="1" bestFit="1" customWidth="1"/>
    <col min="72" max="72" width="13" style="1" bestFit="1" customWidth="1"/>
    <col min="73" max="73" width="13.7109375" style="1" bestFit="1" customWidth="1"/>
    <col min="74" max="74" width="12.7109375" style="1" bestFit="1" customWidth="1"/>
    <col min="75" max="16384" width="9.140625" style="1"/>
  </cols>
  <sheetData>
    <row r="1" spans="1:74" customFormat="1" ht="15.75" x14ac:dyDescent="0.25">
      <c r="A1" s="115" t="s">
        <v>0</v>
      </c>
    </row>
    <row r="2" spans="1:74" x14ac:dyDescent="0.2">
      <c r="A2" s="3" t="s">
        <v>140</v>
      </c>
    </row>
    <row r="3" spans="1:74" x14ac:dyDescent="0.2">
      <c r="A3" s="3"/>
    </row>
    <row r="4" spans="1:74" x14ac:dyDescent="0.2">
      <c r="A4" s="3"/>
    </row>
    <row r="5" spans="1:74" x14ac:dyDescent="0.2">
      <c r="A5" s="3" t="s">
        <v>5</v>
      </c>
    </row>
    <row r="6" spans="1:74" x14ac:dyDescent="0.2">
      <c r="A6" s="8" t="s">
        <v>21</v>
      </c>
      <c r="B6" s="7">
        <v>36494</v>
      </c>
      <c r="C6" s="7">
        <f t="shared" ref="C6:BN6" si="0">B7</f>
        <v>36525</v>
      </c>
      <c r="D6" s="7">
        <f t="shared" si="0"/>
        <v>36556</v>
      </c>
      <c r="E6" s="7">
        <f t="shared" si="0"/>
        <v>36585</v>
      </c>
      <c r="F6" s="7">
        <f t="shared" si="0"/>
        <v>36616</v>
      </c>
      <c r="G6" s="7">
        <f t="shared" si="0"/>
        <v>36646</v>
      </c>
      <c r="H6" s="7">
        <f t="shared" si="0"/>
        <v>36677</v>
      </c>
      <c r="I6" s="7">
        <f t="shared" si="0"/>
        <v>36707</v>
      </c>
      <c r="J6" s="7">
        <f t="shared" si="0"/>
        <v>36738</v>
      </c>
      <c r="K6" s="7">
        <f t="shared" si="0"/>
        <v>36769</v>
      </c>
      <c r="L6" s="7">
        <f t="shared" si="0"/>
        <v>36799</v>
      </c>
      <c r="M6" s="7">
        <f t="shared" si="0"/>
        <v>36830</v>
      </c>
      <c r="N6" s="7">
        <f t="shared" si="0"/>
        <v>36860</v>
      </c>
      <c r="O6" s="7">
        <f t="shared" si="0"/>
        <v>36891</v>
      </c>
      <c r="P6" s="7">
        <f t="shared" si="0"/>
        <v>36922</v>
      </c>
      <c r="Q6" s="7">
        <f t="shared" si="0"/>
        <v>36950</v>
      </c>
      <c r="R6" s="7">
        <f t="shared" si="0"/>
        <v>36981</v>
      </c>
      <c r="S6" s="7">
        <f t="shared" si="0"/>
        <v>37011</v>
      </c>
      <c r="T6" s="7">
        <f t="shared" si="0"/>
        <v>37042</v>
      </c>
      <c r="U6" s="7">
        <f t="shared" si="0"/>
        <v>37072</v>
      </c>
      <c r="V6" s="7">
        <f t="shared" si="0"/>
        <v>37103</v>
      </c>
      <c r="W6" s="7">
        <f t="shared" si="0"/>
        <v>37134</v>
      </c>
      <c r="X6" s="7">
        <f t="shared" si="0"/>
        <v>37164</v>
      </c>
      <c r="Y6" s="7">
        <f t="shared" si="0"/>
        <v>37195</v>
      </c>
      <c r="Z6" s="7">
        <f t="shared" si="0"/>
        <v>37225</v>
      </c>
      <c r="AA6" s="7">
        <f t="shared" si="0"/>
        <v>37256</v>
      </c>
      <c r="AB6" s="7">
        <f t="shared" si="0"/>
        <v>37287</v>
      </c>
      <c r="AC6" s="7">
        <f t="shared" si="0"/>
        <v>37315</v>
      </c>
      <c r="AD6" s="7">
        <f t="shared" si="0"/>
        <v>37346</v>
      </c>
      <c r="AE6" s="7">
        <f t="shared" si="0"/>
        <v>37376</v>
      </c>
      <c r="AF6" s="7">
        <f t="shared" si="0"/>
        <v>37407</v>
      </c>
      <c r="AG6" s="7">
        <f t="shared" si="0"/>
        <v>37437</v>
      </c>
      <c r="AH6" s="7">
        <f t="shared" si="0"/>
        <v>37468</v>
      </c>
      <c r="AI6" s="7">
        <f t="shared" si="0"/>
        <v>37499</v>
      </c>
      <c r="AJ6" s="7">
        <f t="shared" si="0"/>
        <v>37529</v>
      </c>
      <c r="AK6" s="7">
        <f t="shared" si="0"/>
        <v>37560</v>
      </c>
      <c r="AL6" s="7">
        <f t="shared" si="0"/>
        <v>37590</v>
      </c>
      <c r="AM6" s="7">
        <f t="shared" si="0"/>
        <v>37621</v>
      </c>
      <c r="AN6" s="7">
        <f t="shared" si="0"/>
        <v>37652</v>
      </c>
      <c r="AO6" s="7">
        <f t="shared" si="0"/>
        <v>37680</v>
      </c>
      <c r="AP6" s="7">
        <f t="shared" si="0"/>
        <v>37711</v>
      </c>
      <c r="AQ6" s="7">
        <f t="shared" si="0"/>
        <v>37741</v>
      </c>
      <c r="AR6" s="7">
        <f t="shared" si="0"/>
        <v>37772</v>
      </c>
      <c r="AS6" s="7">
        <f t="shared" si="0"/>
        <v>37802</v>
      </c>
      <c r="AT6" s="7">
        <f t="shared" si="0"/>
        <v>37833</v>
      </c>
      <c r="AU6" s="7">
        <f t="shared" si="0"/>
        <v>37864</v>
      </c>
      <c r="AV6" s="7">
        <f t="shared" si="0"/>
        <v>37894</v>
      </c>
      <c r="AW6" s="7">
        <f t="shared" si="0"/>
        <v>37925</v>
      </c>
      <c r="AX6" s="7">
        <f t="shared" si="0"/>
        <v>37955</v>
      </c>
      <c r="AY6" s="7">
        <f t="shared" si="0"/>
        <v>37986</v>
      </c>
      <c r="AZ6" s="7">
        <f t="shared" si="0"/>
        <v>38017</v>
      </c>
      <c r="BA6" s="7">
        <f t="shared" si="0"/>
        <v>38046</v>
      </c>
      <c r="BB6" s="7">
        <f t="shared" si="0"/>
        <v>38077</v>
      </c>
      <c r="BC6" s="7">
        <f t="shared" si="0"/>
        <v>38107</v>
      </c>
      <c r="BD6" s="7">
        <f t="shared" si="0"/>
        <v>38138</v>
      </c>
      <c r="BE6" s="7">
        <f t="shared" si="0"/>
        <v>38168</v>
      </c>
      <c r="BF6" s="7">
        <f t="shared" si="0"/>
        <v>38199</v>
      </c>
      <c r="BG6" s="7">
        <f t="shared" si="0"/>
        <v>38230</v>
      </c>
      <c r="BH6" s="7">
        <f t="shared" si="0"/>
        <v>38260</v>
      </c>
      <c r="BI6" s="7">
        <f t="shared" si="0"/>
        <v>38291</v>
      </c>
      <c r="BJ6" s="7">
        <f t="shared" si="0"/>
        <v>38321</v>
      </c>
      <c r="BK6" s="7">
        <f t="shared" si="0"/>
        <v>38352</v>
      </c>
      <c r="BL6" s="7">
        <f t="shared" si="0"/>
        <v>38383</v>
      </c>
      <c r="BM6" s="7">
        <f t="shared" si="0"/>
        <v>38411</v>
      </c>
      <c r="BN6" s="7">
        <f t="shared" si="0"/>
        <v>38442</v>
      </c>
      <c r="BO6" s="7">
        <f t="shared" ref="BO6:BV6" si="1">BN7</f>
        <v>38472</v>
      </c>
      <c r="BP6" s="7">
        <f t="shared" si="1"/>
        <v>38503</v>
      </c>
      <c r="BQ6" s="7">
        <f t="shared" si="1"/>
        <v>38533</v>
      </c>
      <c r="BR6" s="7">
        <f t="shared" si="1"/>
        <v>38564</v>
      </c>
      <c r="BS6" s="7">
        <f t="shared" si="1"/>
        <v>38595</v>
      </c>
      <c r="BT6" s="7">
        <f t="shared" si="1"/>
        <v>38625</v>
      </c>
      <c r="BU6" s="7">
        <f t="shared" si="1"/>
        <v>38656</v>
      </c>
      <c r="BV6" s="7">
        <f t="shared" si="1"/>
        <v>38686</v>
      </c>
    </row>
    <row r="7" spans="1:74" x14ac:dyDescent="0.2">
      <c r="A7" s="8" t="s">
        <v>22</v>
      </c>
      <c r="B7" s="7">
        <v>36525</v>
      </c>
      <c r="C7" s="7">
        <v>36556</v>
      </c>
      <c r="D7" s="7">
        <v>36585</v>
      </c>
      <c r="E7" s="7">
        <v>36616</v>
      </c>
      <c r="F7" s="7">
        <v>36646</v>
      </c>
      <c r="G7" s="7">
        <v>36677</v>
      </c>
      <c r="H7" s="7">
        <v>36707</v>
      </c>
      <c r="I7" s="7">
        <v>36738</v>
      </c>
      <c r="J7" s="7">
        <v>36769</v>
      </c>
      <c r="K7" s="7">
        <v>36799</v>
      </c>
      <c r="L7" s="7">
        <v>36830</v>
      </c>
      <c r="M7" s="7">
        <v>36860</v>
      </c>
      <c r="N7" s="7">
        <v>36891</v>
      </c>
      <c r="O7" s="7">
        <v>36922</v>
      </c>
      <c r="P7" s="7">
        <v>36950</v>
      </c>
      <c r="Q7" s="7">
        <v>36981</v>
      </c>
      <c r="R7" s="7">
        <v>37011</v>
      </c>
      <c r="S7" s="7">
        <v>37042</v>
      </c>
      <c r="T7" s="7">
        <v>37072</v>
      </c>
      <c r="U7" s="7">
        <v>37103</v>
      </c>
      <c r="V7" s="7">
        <v>37134</v>
      </c>
      <c r="W7" s="7">
        <v>37164</v>
      </c>
      <c r="X7" s="7">
        <v>37195</v>
      </c>
      <c r="Y7" s="7">
        <v>37225</v>
      </c>
      <c r="Z7" s="7">
        <v>37256</v>
      </c>
      <c r="AA7" s="7">
        <v>37287</v>
      </c>
      <c r="AB7" s="7">
        <v>37315</v>
      </c>
      <c r="AC7" s="7">
        <v>37346</v>
      </c>
      <c r="AD7" s="7">
        <v>37376</v>
      </c>
      <c r="AE7" s="7">
        <v>37407</v>
      </c>
      <c r="AF7" s="7">
        <v>37437</v>
      </c>
      <c r="AG7" s="7">
        <v>37468</v>
      </c>
      <c r="AH7" s="7">
        <v>37499</v>
      </c>
      <c r="AI7" s="7">
        <v>37529</v>
      </c>
      <c r="AJ7" s="7">
        <v>37560</v>
      </c>
      <c r="AK7" s="7">
        <v>37590</v>
      </c>
      <c r="AL7" s="7">
        <v>37621</v>
      </c>
      <c r="AM7" s="7">
        <v>37652</v>
      </c>
      <c r="AN7" s="7">
        <v>37680</v>
      </c>
      <c r="AO7" s="7">
        <v>37711</v>
      </c>
      <c r="AP7" s="7">
        <v>37741</v>
      </c>
      <c r="AQ7" s="7">
        <v>37772</v>
      </c>
      <c r="AR7" s="7">
        <v>37802</v>
      </c>
      <c r="AS7" s="7">
        <v>37833</v>
      </c>
      <c r="AT7" s="7">
        <v>37864</v>
      </c>
      <c r="AU7" s="7">
        <v>37894</v>
      </c>
      <c r="AV7" s="7">
        <v>37925</v>
      </c>
      <c r="AW7" s="7">
        <v>37955</v>
      </c>
      <c r="AX7" s="7">
        <v>37986</v>
      </c>
      <c r="AY7" s="7">
        <v>38017</v>
      </c>
      <c r="AZ7" s="7">
        <v>38046</v>
      </c>
      <c r="BA7" s="7">
        <v>38077</v>
      </c>
      <c r="BB7" s="7">
        <v>38107</v>
      </c>
      <c r="BC7" s="7">
        <v>38138</v>
      </c>
      <c r="BD7" s="7">
        <v>38168</v>
      </c>
      <c r="BE7" s="7">
        <v>38199</v>
      </c>
      <c r="BF7" s="7">
        <v>38230</v>
      </c>
      <c r="BG7" s="7">
        <v>38260</v>
      </c>
      <c r="BH7" s="7">
        <v>38291</v>
      </c>
      <c r="BI7" s="7">
        <v>38321</v>
      </c>
      <c r="BJ7" s="7">
        <v>38352</v>
      </c>
      <c r="BK7" s="7">
        <v>38383</v>
      </c>
      <c r="BL7" s="7">
        <v>38411</v>
      </c>
      <c r="BM7" s="7">
        <v>38442</v>
      </c>
      <c r="BN7" s="7">
        <v>38472</v>
      </c>
      <c r="BO7" s="7">
        <v>38503</v>
      </c>
      <c r="BP7" s="7">
        <v>38533</v>
      </c>
      <c r="BQ7" s="7">
        <v>38564</v>
      </c>
      <c r="BR7" s="7">
        <v>38595</v>
      </c>
      <c r="BS7" s="7">
        <v>38625</v>
      </c>
      <c r="BT7" s="7">
        <v>38656</v>
      </c>
      <c r="BU7" s="7">
        <v>38686</v>
      </c>
      <c r="BV7" s="7">
        <v>38717</v>
      </c>
    </row>
    <row r="8" spans="1:74" x14ac:dyDescent="0.2">
      <c r="A8" s="86" t="s">
        <v>172</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row>
    <row r="9" spans="1:74" x14ac:dyDescent="0.2">
      <c r="A9" s="3" t="s">
        <v>83</v>
      </c>
    </row>
    <row r="10" spans="1:74" x14ac:dyDescent="0.2">
      <c r="A10" s="5" t="s">
        <v>11</v>
      </c>
      <c r="B10" s="9">
        <f>volumes!B19</f>
        <v>25000</v>
      </c>
      <c r="C10" s="9">
        <f>volumes!C19</f>
        <v>47990.17316180154</v>
      </c>
      <c r="D10" s="9">
        <f>volumes!D19</f>
        <v>62819.703119177975</v>
      </c>
      <c r="E10" s="9">
        <f>volumes!E19</f>
        <v>87993.608018755418</v>
      </c>
      <c r="F10" s="9">
        <f>volumes!F19</f>
        <v>105597.04987059094</v>
      </c>
      <c r="G10" s="9">
        <f>volumes!G19</f>
        <v>130138.54925610578</v>
      </c>
      <c r="H10" s="9">
        <f>volumes!H19</f>
        <v>169248.07209233759</v>
      </c>
      <c r="I10" s="9">
        <f>volumes!I19</f>
        <v>190000</v>
      </c>
      <c r="J10" s="9">
        <f>volumes!J19</f>
        <v>190000</v>
      </c>
      <c r="K10" s="9">
        <f>volumes!K19</f>
        <v>190000</v>
      </c>
      <c r="L10" s="9">
        <f>volumes!L19</f>
        <v>190000</v>
      </c>
      <c r="M10" s="9">
        <f>volumes!M19</f>
        <v>190000</v>
      </c>
      <c r="N10" s="9">
        <f>volumes!N19</f>
        <v>190000</v>
      </c>
      <c r="O10" s="9">
        <f>volumes!O19</f>
        <v>222500</v>
      </c>
      <c r="P10" s="9">
        <f>volumes!P19</f>
        <v>255000</v>
      </c>
      <c r="Q10" s="9">
        <f>volumes!Q19</f>
        <v>287500</v>
      </c>
      <c r="R10" s="9">
        <f>volumes!R19</f>
        <v>320000</v>
      </c>
      <c r="S10" s="9">
        <f>volumes!S19</f>
        <v>352500</v>
      </c>
      <c r="T10" s="9">
        <f>volumes!T19</f>
        <v>450000</v>
      </c>
      <c r="U10" s="9">
        <f>volumes!U19</f>
        <v>472727.27272727271</v>
      </c>
      <c r="V10" s="9">
        <f>volumes!V19</f>
        <v>495454.54545454541</v>
      </c>
      <c r="W10" s="9">
        <f>volumes!W19</f>
        <v>518181.81818181812</v>
      </c>
      <c r="X10" s="9">
        <f>volumes!X19</f>
        <v>540909.09090909082</v>
      </c>
      <c r="Y10" s="9">
        <f>volumes!Y19</f>
        <v>563636.36363636353</v>
      </c>
      <c r="Z10" s="9">
        <f>volumes!Z19</f>
        <v>586363.63636363624</v>
      </c>
      <c r="AA10" s="9">
        <f>volumes!AA19</f>
        <v>609090.90909090894</v>
      </c>
      <c r="AB10" s="9">
        <f>volumes!AB19</f>
        <v>631818.18181818165</v>
      </c>
      <c r="AC10" s="9">
        <f>volumes!AC19</f>
        <v>647315.56028803019</v>
      </c>
      <c r="AD10" s="9">
        <f>volumes!AD19</f>
        <v>648652.87550363282</v>
      </c>
      <c r="AE10" s="9">
        <f>volumes!AE19</f>
        <v>651879.8179843449</v>
      </c>
      <c r="AF10" s="9">
        <f>volumes!AF19</f>
        <v>660306.56254219136</v>
      </c>
      <c r="AG10" s="9">
        <f>volumes!AG19</f>
        <v>664060.93645834748</v>
      </c>
      <c r="AH10" s="9">
        <f>volumes!AH19</f>
        <v>667522.2376807559</v>
      </c>
      <c r="AI10" s="9">
        <f>volumes!AI19</f>
        <v>673878.50141078269</v>
      </c>
      <c r="AJ10" s="9">
        <f>volumes!AJ19</f>
        <v>677806.8848575087</v>
      </c>
      <c r="AK10" s="9">
        <f>volumes!AK19</f>
        <v>681753.88206333015</v>
      </c>
      <c r="AL10" s="9">
        <f>volumes!AL19</f>
        <v>685627.91128090932</v>
      </c>
      <c r="AM10" s="9">
        <f>volumes!AM19</f>
        <v>690203.35689541651</v>
      </c>
      <c r="AN10" s="9">
        <f>volumes!AN19</f>
        <v>694647.04106820829</v>
      </c>
      <c r="AO10" s="9">
        <f>volumes!AO19</f>
        <v>698945.37913687527</v>
      </c>
      <c r="AP10" s="9">
        <f>volumes!AP19</f>
        <v>700000</v>
      </c>
      <c r="AQ10" s="9">
        <f>volumes!AQ19</f>
        <v>700000</v>
      </c>
      <c r="AR10" s="9">
        <f>volumes!AR19</f>
        <v>700000</v>
      </c>
      <c r="AS10" s="9">
        <f>volumes!AS19</f>
        <v>700000</v>
      </c>
      <c r="AT10" s="9">
        <f>volumes!AT19</f>
        <v>700000</v>
      </c>
      <c r="AU10" s="9">
        <f>volumes!AU19</f>
        <v>700000</v>
      </c>
      <c r="AV10" s="9">
        <f>volumes!AV19</f>
        <v>700000</v>
      </c>
      <c r="AW10" s="9">
        <f>volumes!AW19</f>
        <v>700000</v>
      </c>
      <c r="AX10" s="9">
        <f>volumes!AX19</f>
        <v>700000</v>
      </c>
      <c r="AY10" s="9">
        <f>volumes!AY19</f>
        <v>700000</v>
      </c>
      <c r="AZ10" s="9">
        <f>volumes!AZ19</f>
        <v>700000</v>
      </c>
      <c r="BA10" s="9">
        <f>volumes!BA19</f>
        <v>700000</v>
      </c>
      <c r="BB10" s="9">
        <f>volumes!BB19</f>
        <v>700000</v>
      </c>
      <c r="BC10" s="9">
        <f>volumes!BC19</f>
        <v>700000</v>
      </c>
      <c r="BD10" s="9">
        <f>volumes!BD19</f>
        <v>700000</v>
      </c>
      <c r="BE10" s="9">
        <f>volumes!BE19</f>
        <v>700000</v>
      </c>
      <c r="BF10" s="9">
        <f>volumes!BF19</f>
        <v>700000</v>
      </c>
      <c r="BG10" s="9">
        <f>volumes!BG19</f>
        <v>700000</v>
      </c>
      <c r="BH10" s="9">
        <f>volumes!BH19</f>
        <v>700000</v>
      </c>
      <c r="BI10" s="9">
        <f>volumes!BI19</f>
        <v>700000</v>
      </c>
      <c r="BJ10" s="9">
        <f>volumes!BJ19</f>
        <v>700000</v>
      </c>
      <c r="BK10" s="9">
        <f>volumes!BK19</f>
        <v>700000</v>
      </c>
      <c r="BL10" s="9">
        <f>volumes!BL19</f>
        <v>700000</v>
      </c>
      <c r="BM10" s="9">
        <f>volumes!BM19</f>
        <v>700000</v>
      </c>
      <c r="BN10" s="9">
        <f>volumes!BN19</f>
        <v>700000</v>
      </c>
      <c r="BO10" s="9">
        <f>volumes!BO19</f>
        <v>700000</v>
      </c>
      <c r="BP10" s="9">
        <f>volumes!BP19</f>
        <v>700000</v>
      </c>
      <c r="BQ10" s="9">
        <f>volumes!BQ19</f>
        <v>700000</v>
      </c>
      <c r="BR10" s="9">
        <f>volumes!BR19</f>
        <v>700000</v>
      </c>
      <c r="BS10" s="9">
        <f>volumes!BS19</f>
        <v>700000</v>
      </c>
      <c r="BT10" s="9">
        <f>volumes!BT19</f>
        <v>700000</v>
      </c>
      <c r="BU10" s="9">
        <f>volumes!BU19</f>
        <v>700000</v>
      </c>
      <c r="BV10" s="9">
        <f>volumes!BV19</f>
        <v>697909.13040200295</v>
      </c>
    </row>
    <row r="11" spans="1:74" x14ac:dyDescent="0.2">
      <c r="A11" s="4" t="s">
        <v>12</v>
      </c>
      <c r="B11" s="9">
        <f>IF(B10&gt;volumes!$B$5,B10-volumes!$B$5,0)</f>
        <v>0</v>
      </c>
      <c r="C11" s="9">
        <f>IF(C10&gt;volumes!$B$5,C10-volumes!$B$5,0)</f>
        <v>0</v>
      </c>
      <c r="D11" s="9">
        <f>IF(D10&gt;volumes!$B$5,D10-volumes!$B$5,0)</f>
        <v>0</v>
      </c>
      <c r="E11" s="9">
        <f>IF(E10&gt;volumes!$B$5,E10-volumes!$B$5,0)</f>
        <v>0</v>
      </c>
      <c r="F11" s="9">
        <f>IF(F10&gt;volumes!$B$5,F10-volumes!$B$5,0)</f>
        <v>0</v>
      </c>
      <c r="G11" s="9">
        <f>IF(G10&gt;volumes!$B$5,G10-volumes!$B$5,0)</f>
        <v>0</v>
      </c>
      <c r="H11" s="9">
        <f>IF(H10&gt;volumes!$B$5,H10-volumes!$B$5,0)</f>
        <v>0</v>
      </c>
      <c r="I11" s="9">
        <f>IF(I10&gt;volumes!$B$5,I10-volumes!$B$5,0)</f>
        <v>0</v>
      </c>
      <c r="J11" s="9">
        <f>IF(J10&gt;volumes!$B$5,J10-volumes!$B$5,0)</f>
        <v>0</v>
      </c>
      <c r="K11" s="9">
        <f>IF(K10&gt;volumes!$B$5,K10-volumes!$B$5,0)</f>
        <v>0</v>
      </c>
      <c r="L11" s="9">
        <f>IF(L10&gt;volumes!$B$5,L10-volumes!$B$5,0)</f>
        <v>0</v>
      </c>
      <c r="M11" s="9">
        <f>IF(M10&gt;volumes!$B$5,M10-volumes!$B$5,0)</f>
        <v>0</v>
      </c>
      <c r="N11" s="9">
        <f>IF(N10&gt;volumes!$B$5,N10-volumes!$B$5,0)</f>
        <v>0</v>
      </c>
      <c r="O11" s="9">
        <f>IF(O10&gt;volumes!$B$5,O10-volumes!$B$5,0)</f>
        <v>0</v>
      </c>
      <c r="P11" s="9">
        <f>IF(P10&gt;volumes!$B$5,P10-volumes!$B$5,0)</f>
        <v>0</v>
      </c>
      <c r="Q11" s="9">
        <f>IF(Q10&gt;volumes!$B$5,Q10-volumes!$B$5,0)</f>
        <v>0</v>
      </c>
      <c r="R11" s="9">
        <f>IF(R10&gt;volumes!$B$5,R10-volumes!$B$5,0)</f>
        <v>20000</v>
      </c>
      <c r="S11" s="9">
        <f>IF(S10&gt;volumes!$B$5,S10-volumes!$B$5,0)</f>
        <v>52500</v>
      </c>
      <c r="T11" s="9">
        <f>IF(T10&gt;volumes!$B$5,T10-volumes!$B$5,0)</f>
        <v>150000</v>
      </c>
      <c r="U11" s="9">
        <f>IF(U10&gt;volumes!$B$5,U10-volumes!$B$5,0)</f>
        <v>172727.27272727271</v>
      </c>
      <c r="V11" s="9">
        <f>IF(V10&gt;volumes!$B$5,V10-volumes!$B$5,0)</f>
        <v>195454.54545454541</v>
      </c>
      <c r="W11" s="9">
        <f>IF(W10&gt;volumes!$B$5,W10-volumes!$B$5,0)</f>
        <v>218181.81818181812</v>
      </c>
      <c r="X11" s="9">
        <f>IF(X10&gt;volumes!$B$5,X10-volumes!$B$5,0)</f>
        <v>240909.09090909082</v>
      </c>
      <c r="Y11" s="9">
        <f>IF(Y10&gt;volumes!$B$5,Y10-volumes!$B$5,0)</f>
        <v>263636.36363636353</v>
      </c>
      <c r="Z11" s="9">
        <f>IF(Z10&gt;volumes!$B$5,Z10-volumes!$B$5,0)</f>
        <v>286363.63636363624</v>
      </c>
      <c r="AA11" s="9">
        <f>IF(AA10&gt;volumes!$B$5,AA10-volumes!$B$5,0)</f>
        <v>309090.90909090894</v>
      </c>
      <c r="AB11" s="9">
        <f>IF(AB10&gt;volumes!$B$5,AB10-volumes!$B$5,0)</f>
        <v>331818.18181818165</v>
      </c>
      <c r="AC11" s="9">
        <f>IF(AC10&gt;volumes!$B$5,AC10-volumes!$B$5,0)</f>
        <v>347315.56028803019</v>
      </c>
      <c r="AD11" s="9">
        <f>IF(AD10&gt;volumes!$B$5,AD10-volumes!$B$5,0)</f>
        <v>348652.87550363282</v>
      </c>
      <c r="AE11" s="9">
        <f>IF(AE10&gt;volumes!$B$5,AE10-volumes!$B$5,0)</f>
        <v>351879.8179843449</v>
      </c>
      <c r="AF11" s="9">
        <f>IF(AF10&gt;volumes!$B$5,AF10-volumes!$B$5,0)</f>
        <v>360306.56254219136</v>
      </c>
      <c r="AG11" s="9">
        <f>IF(AG10&gt;volumes!$B$5,AG10-volumes!$B$5,0)</f>
        <v>364060.93645834748</v>
      </c>
      <c r="AH11" s="9">
        <f>IF(AH10&gt;volumes!$B$5,AH10-volumes!$B$5,0)</f>
        <v>367522.2376807559</v>
      </c>
      <c r="AI11" s="9">
        <f>IF(AI10&gt;volumes!$B$5,AI10-volumes!$B$5,0)</f>
        <v>373878.50141078269</v>
      </c>
      <c r="AJ11" s="9">
        <f>IF(AJ10&gt;volumes!$B$5,AJ10-volumes!$B$5,0)</f>
        <v>377806.8848575087</v>
      </c>
      <c r="AK11" s="9">
        <f>IF(AK10&gt;volumes!$B$5,AK10-volumes!$B$5,0)</f>
        <v>381753.88206333015</v>
      </c>
      <c r="AL11" s="9">
        <f>IF(AL10&gt;volumes!$B$5,AL10-volumes!$B$5,0)</f>
        <v>385627.91128090932</v>
      </c>
      <c r="AM11" s="9">
        <f>IF(AM10&gt;volumes!$B$5,AM10-volumes!$B$5,0)</f>
        <v>390203.35689541651</v>
      </c>
      <c r="AN11" s="9">
        <f>IF(AN10&gt;volumes!$B$5,AN10-volumes!$B$5,0)</f>
        <v>394647.04106820829</v>
      </c>
      <c r="AO11" s="9">
        <f>IF(AO10&gt;volumes!$B$5,AO10-volumes!$B$5,0)</f>
        <v>398945.37913687527</v>
      </c>
      <c r="AP11" s="9">
        <f>IF(AP10&gt;volumes!$B$5,AP10-volumes!$B$5,0)</f>
        <v>400000</v>
      </c>
      <c r="AQ11" s="9">
        <f>IF(AQ10&gt;volumes!$B$5,AQ10-volumes!$B$5,0)</f>
        <v>400000</v>
      </c>
      <c r="AR11" s="9">
        <f>IF(AR10&gt;volumes!$B$5,AR10-volumes!$B$5,0)</f>
        <v>400000</v>
      </c>
      <c r="AS11" s="9">
        <f>IF(AS10&gt;volumes!$B$5,AS10-volumes!$B$5,0)</f>
        <v>400000</v>
      </c>
      <c r="AT11" s="9">
        <f>IF(AT10&gt;volumes!$B$5,AT10-volumes!$B$5,0)</f>
        <v>400000</v>
      </c>
      <c r="AU11" s="9">
        <f>IF(AU10&gt;volumes!$B$5,AU10-volumes!$B$5,0)</f>
        <v>400000</v>
      </c>
      <c r="AV11" s="9">
        <f>IF(AV10&gt;volumes!$B$5,AV10-volumes!$B$5,0)</f>
        <v>400000</v>
      </c>
      <c r="AW11" s="9">
        <f>IF(AW10&gt;volumes!$B$5,AW10-volumes!$B$5,0)</f>
        <v>400000</v>
      </c>
      <c r="AX11" s="9">
        <f>IF(AX10&gt;volumes!$B$5,AX10-volumes!$B$5,0)</f>
        <v>400000</v>
      </c>
      <c r="AY11" s="9">
        <f>IF(AY10&gt;volumes!$B$5,AY10-volumes!$B$5,0)</f>
        <v>400000</v>
      </c>
      <c r="AZ11" s="9">
        <f>IF(AZ10&gt;volumes!$B$5,AZ10-volumes!$B$5,0)</f>
        <v>400000</v>
      </c>
      <c r="BA11" s="9">
        <f>IF(BA10&gt;volumes!$B$5,BA10-volumes!$B$5,0)</f>
        <v>400000</v>
      </c>
      <c r="BB11" s="9">
        <f>IF(BB10&gt;volumes!$B$5,BB10-volumes!$B$5,0)</f>
        <v>400000</v>
      </c>
      <c r="BC11" s="9">
        <f>IF(BC10&gt;volumes!$B$5,BC10-volumes!$B$5,0)</f>
        <v>400000</v>
      </c>
      <c r="BD11" s="9">
        <f>IF(BD10&gt;volumes!$B$5,BD10-volumes!$B$5,0)</f>
        <v>400000</v>
      </c>
      <c r="BE11" s="9">
        <f>IF(BE10&gt;volumes!$B$5,BE10-volumes!$B$5,0)</f>
        <v>400000</v>
      </c>
      <c r="BF11" s="9">
        <f>IF(BF10&gt;volumes!$B$5,BF10-volumes!$B$5,0)</f>
        <v>400000</v>
      </c>
      <c r="BG11" s="9">
        <f>IF(BG10&gt;volumes!$B$5,BG10-volumes!$B$5,0)</f>
        <v>400000</v>
      </c>
      <c r="BH11" s="9">
        <f>IF(BH10&gt;volumes!$B$5,BH10-volumes!$B$5,0)</f>
        <v>400000</v>
      </c>
      <c r="BI11" s="9">
        <f>IF(BI10&gt;volumes!$B$5,BI10-volumes!$B$5,0)</f>
        <v>400000</v>
      </c>
      <c r="BJ11" s="9">
        <f>IF(BJ10&gt;volumes!$B$5,BJ10-volumes!$B$5,0)</f>
        <v>400000</v>
      </c>
      <c r="BK11" s="9">
        <f>IF(BK10&gt;volumes!$B$5,BK10-volumes!$B$5,0)</f>
        <v>400000</v>
      </c>
      <c r="BL11" s="9">
        <f>IF(BL10&gt;volumes!$B$5,BL10-volumes!$B$5,0)</f>
        <v>400000</v>
      </c>
      <c r="BM11" s="9">
        <f>IF(BM10&gt;volumes!$B$5,BM10-volumes!$B$5,0)</f>
        <v>400000</v>
      </c>
      <c r="BN11" s="9">
        <f>IF(BN10&gt;volumes!$B$5,BN10-volumes!$B$5,0)</f>
        <v>400000</v>
      </c>
      <c r="BO11" s="9">
        <f>IF(BO10&gt;volumes!$B$5,BO10-volumes!$B$5,0)</f>
        <v>400000</v>
      </c>
      <c r="BP11" s="9">
        <f>IF(BP10&gt;volumes!$B$5,BP10-volumes!$B$5,0)</f>
        <v>400000</v>
      </c>
      <c r="BQ11" s="9">
        <f>IF(BQ10&gt;volumes!$B$5,BQ10-volumes!$B$5,0)</f>
        <v>400000</v>
      </c>
      <c r="BR11" s="9">
        <f>IF(BR10&gt;volumes!$B$5,BR10-volumes!$B$5,0)</f>
        <v>400000</v>
      </c>
      <c r="BS11" s="9">
        <f>IF(BS10&gt;volumes!$B$5,BS10-volumes!$B$5,0)</f>
        <v>400000</v>
      </c>
      <c r="BT11" s="9">
        <f>IF(BT10&gt;volumes!$B$5,BT10-volumes!$B$5,0)</f>
        <v>400000</v>
      </c>
      <c r="BU11" s="9">
        <f>IF(BU10&gt;volumes!$B$5,BU10-volumes!$B$5,0)</f>
        <v>400000</v>
      </c>
      <c r="BV11" s="9">
        <f>IF(BV10&gt;volumes!$B$5,BV10-volumes!$B$5,0)</f>
        <v>397909.13040200295</v>
      </c>
    </row>
    <row r="12" spans="1:74" x14ac:dyDescent="0.2">
      <c r="A12" s="4" t="s">
        <v>13</v>
      </c>
      <c r="B12" s="12">
        <f>assumptions!$B$25</f>
        <v>0.14000000000000001</v>
      </c>
      <c r="C12" s="12">
        <f>assumptions!$B$25</f>
        <v>0.14000000000000001</v>
      </c>
      <c r="D12" s="12">
        <f>assumptions!$B$25</f>
        <v>0.14000000000000001</v>
      </c>
      <c r="E12" s="12">
        <f>assumptions!$B$25</f>
        <v>0.14000000000000001</v>
      </c>
      <c r="F12" s="12">
        <f>assumptions!$B$25</f>
        <v>0.14000000000000001</v>
      </c>
      <c r="G12" s="12">
        <f>assumptions!$B$25</f>
        <v>0.14000000000000001</v>
      </c>
      <c r="H12" s="12">
        <f>assumptions!$B$25</f>
        <v>0.14000000000000001</v>
      </c>
      <c r="I12" s="12">
        <f>assumptions!$B$25</f>
        <v>0.14000000000000001</v>
      </c>
      <c r="J12" s="12">
        <f>assumptions!$B$25</f>
        <v>0.14000000000000001</v>
      </c>
      <c r="K12" s="12">
        <f>assumptions!$B$25</f>
        <v>0.14000000000000001</v>
      </c>
      <c r="L12" s="12">
        <f>assumptions!$B$25</f>
        <v>0.14000000000000001</v>
      </c>
      <c r="M12" s="12">
        <f>assumptions!$B$25</f>
        <v>0.14000000000000001</v>
      </c>
      <c r="N12" s="12">
        <f>assumptions!$B$25</f>
        <v>0.14000000000000001</v>
      </c>
      <c r="O12" s="12">
        <f>assumptions!$B$25</f>
        <v>0.14000000000000001</v>
      </c>
      <c r="P12" s="12">
        <f>assumptions!$B$25</f>
        <v>0.14000000000000001</v>
      </c>
      <c r="Q12" s="12">
        <f>assumptions!$B$25</f>
        <v>0.14000000000000001</v>
      </c>
      <c r="R12" s="12">
        <f>assumptions!$B$25</f>
        <v>0.14000000000000001</v>
      </c>
      <c r="S12" s="12">
        <f>assumptions!$B$25</f>
        <v>0.14000000000000001</v>
      </c>
      <c r="T12" s="12">
        <f>assumptions!$B$25</f>
        <v>0.14000000000000001</v>
      </c>
      <c r="U12" s="12">
        <f>assumptions!$B$25</f>
        <v>0.14000000000000001</v>
      </c>
      <c r="V12" s="12">
        <f>assumptions!$B$25</f>
        <v>0.14000000000000001</v>
      </c>
      <c r="W12" s="12">
        <f>assumptions!$B$25</f>
        <v>0.14000000000000001</v>
      </c>
      <c r="X12" s="12">
        <f>assumptions!$B$25</f>
        <v>0.14000000000000001</v>
      </c>
      <c r="Y12" s="12">
        <f>assumptions!$B$25</f>
        <v>0.14000000000000001</v>
      </c>
      <c r="Z12" s="12">
        <f>assumptions!$B$25</f>
        <v>0.14000000000000001</v>
      </c>
      <c r="AA12" s="12">
        <f>assumptions!$B$25</f>
        <v>0.14000000000000001</v>
      </c>
      <c r="AB12" s="12">
        <f>assumptions!$B$25</f>
        <v>0.14000000000000001</v>
      </c>
      <c r="AC12" s="12">
        <f>assumptions!$B$25</f>
        <v>0.14000000000000001</v>
      </c>
      <c r="AD12" s="12">
        <f>assumptions!$B$25</f>
        <v>0.14000000000000001</v>
      </c>
      <c r="AE12" s="12">
        <f>assumptions!$B$25</f>
        <v>0.14000000000000001</v>
      </c>
      <c r="AF12" s="12">
        <f>assumptions!$B$25</f>
        <v>0.14000000000000001</v>
      </c>
      <c r="AG12" s="12">
        <f>assumptions!$B$25</f>
        <v>0.14000000000000001</v>
      </c>
      <c r="AH12" s="12">
        <f>assumptions!$B$25</f>
        <v>0.14000000000000001</v>
      </c>
      <c r="AI12" s="12">
        <f>assumptions!$B$25</f>
        <v>0.14000000000000001</v>
      </c>
      <c r="AJ12" s="12">
        <f>assumptions!$B$25</f>
        <v>0.14000000000000001</v>
      </c>
      <c r="AK12" s="12">
        <f>assumptions!$B$25</f>
        <v>0.14000000000000001</v>
      </c>
      <c r="AL12" s="12">
        <f>assumptions!$B$25</f>
        <v>0.14000000000000001</v>
      </c>
      <c r="AM12" s="12">
        <f>assumptions!$B$25</f>
        <v>0.14000000000000001</v>
      </c>
      <c r="AN12" s="12">
        <f>assumptions!$B$25</f>
        <v>0.14000000000000001</v>
      </c>
      <c r="AO12" s="12">
        <f>assumptions!$B$25</f>
        <v>0.14000000000000001</v>
      </c>
      <c r="AP12" s="12">
        <f>assumptions!$B$25</f>
        <v>0.14000000000000001</v>
      </c>
      <c r="AQ12" s="12">
        <f>assumptions!$B$25</f>
        <v>0.14000000000000001</v>
      </c>
      <c r="AR12" s="12">
        <f>assumptions!$B$25</f>
        <v>0.14000000000000001</v>
      </c>
      <c r="AS12" s="12">
        <f>assumptions!$B$25</f>
        <v>0.14000000000000001</v>
      </c>
      <c r="AT12" s="12">
        <f>assumptions!$B$25</f>
        <v>0.14000000000000001</v>
      </c>
      <c r="AU12" s="12">
        <f>assumptions!$B$25</f>
        <v>0.14000000000000001</v>
      </c>
      <c r="AV12" s="12">
        <f>assumptions!$B$25</f>
        <v>0.14000000000000001</v>
      </c>
      <c r="AW12" s="12">
        <f>assumptions!$B$25</f>
        <v>0.14000000000000001</v>
      </c>
      <c r="AX12" s="12">
        <f>assumptions!$B$25</f>
        <v>0.14000000000000001</v>
      </c>
      <c r="AY12" s="12">
        <f>assumptions!$B$25</f>
        <v>0.14000000000000001</v>
      </c>
      <c r="AZ12" s="12">
        <f>assumptions!$B$25</f>
        <v>0.14000000000000001</v>
      </c>
      <c r="BA12" s="12">
        <f>assumptions!$B$25</f>
        <v>0.14000000000000001</v>
      </c>
      <c r="BB12" s="12">
        <f>assumptions!$B$25</f>
        <v>0.14000000000000001</v>
      </c>
      <c r="BC12" s="12">
        <f>assumptions!$B$25</f>
        <v>0.14000000000000001</v>
      </c>
      <c r="BD12" s="12">
        <f>assumptions!$B$25</f>
        <v>0.14000000000000001</v>
      </c>
      <c r="BE12" s="12">
        <f>assumptions!$B$25</f>
        <v>0.14000000000000001</v>
      </c>
      <c r="BF12" s="12">
        <f>assumptions!$B$25</f>
        <v>0.14000000000000001</v>
      </c>
      <c r="BG12" s="12">
        <f>assumptions!$B$25</f>
        <v>0.14000000000000001</v>
      </c>
      <c r="BH12" s="12">
        <f>assumptions!$B$25</f>
        <v>0.14000000000000001</v>
      </c>
      <c r="BI12" s="12">
        <f>assumptions!$B$25</f>
        <v>0.14000000000000001</v>
      </c>
      <c r="BJ12" s="12">
        <f>assumptions!$B$25</f>
        <v>0.14000000000000001</v>
      </c>
      <c r="BK12" s="12">
        <f>assumptions!$B$25</f>
        <v>0.14000000000000001</v>
      </c>
      <c r="BL12" s="12">
        <f>assumptions!$B$25</f>
        <v>0.14000000000000001</v>
      </c>
      <c r="BM12" s="12">
        <f>assumptions!$B$25</f>
        <v>0.14000000000000001</v>
      </c>
      <c r="BN12" s="12">
        <f>assumptions!$B$25</f>
        <v>0.14000000000000001</v>
      </c>
      <c r="BO12" s="12">
        <f>assumptions!$B$25</f>
        <v>0.14000000000000001</v>
      </c>
      <c r="BP12" s="12">
        <f>assumptions!$B$25</f>
        <v>0.14000000000000001</v>
      </c>
      <c r="BQ12" s="12">
        <f>assumptions!$B$25</f>
        <v>0.14000000000000001</v>
      </c>
      <c r="BR12" s="12">
        <f>assumptions!$B$25</f>
        <v>0.14000000000000001</v>
      </c>
      <c r="BS12" s="12">
        <f>assumptions!$B$25</f>
        <v>0.14000000000000001</v>
      </c>
      <c r="BT12" s="12">
        <f>assumptions!$B$25</f>
        <v>0.14000000000000001</v>
      </c>
      <c r="BU12" s="12">
        <f>assumptions!$B$25</f>
        <v>0.14000000000000001</v>
      </c>
      <c r="BV12" s="12">
        <f>assumptions!$B$25</f>
        <v>0.14000000000000001</v>
      </c>
    </row>
    <row r="13" spans="1:74" x14ac:dyDescent="0.2">
      <c r="A13" s="4" t="s">
        <v>14</v>
      </c>
      <c r="B13" s="13">
        <f>B11*B12</f>
        <v>0</v>
      </c>
      <c r="C13" s="13">
        <f t="shared" ref="C13:BN13" si="2">C11*C12</f>
        <v>0</v>
      </c>
      <c r="D13" s="13">
        <f t="shared" si="2"/>
        <v>0</v>
      </c>
      <c r="E13" s="13">
        <f t="shared" si="2"/>
        <v>0</v>
      </c>
      <c r="F13" s="13">
        <f t="shared" si="2"/>
        <v>0</v>
      </c>
      <c r="G13" s="13">
        <f t="shared" si="2"/>
        <v>0</v>
      </c>
      <c r="H13" s="13">
        <f t="shared" si="2"/>
        <v>0</v>
      </c>
      <c r="I13" s="13">
        <f t="shared" si="2"/>
        <v>0</v>
      </c>
      <c r="J13" s="13">
        <f t="shared" si="2"/>
        <v>0</v>
      </c>
      <c r="K13" s="13">
        <f t="shared" si="2"/>
        <v>0</v>
      </c>
      <c r="L13" s="13">
        <f t="shared" si="2"/>
        <v>0</v>
      </c>
      <c r="M13" s="13">
        <f t="shared" si="2"/>
        <v>0</v>
      </c>
      <c r="N13" s="13">
        <f t="shared" si="2"/>
        <v>0</v>
      </c>
      <c r="O13" s="13">
        <f t="shared" si="2"/>
        <v>0</v>
      </c>
      <c r="P13" s="13">
        <f t="shared" si="2"/>
        <v>0</v>
      </c>
      <c r="Q13" s="13">
        <f t="shared" si="2"/>
        <v>0</v>
      </c>
      <c r="R13" s="13">
        <f t="shared" si="2"/>
        <v>2800.0000000000005</v>
      </c>
      <c r="S13" s="13">
        <f t="shared" si="2"/>
        <v>7350.0000000000009</v>
      </c>
      <c r="T13" s="13">
        <f t="shared" si="2"/>
        <v>21000.000000000004</v>
      </c>
      <c r="U13" s="13">
        <f t="shared" si="2"/>
        <v>24181.81818181818</v>
      </c>
      <c r="V13" s="13">
        <f t="shared" si="2"/>
        <v>27363.63636363636</v>
      </c>
      <c r="W13" s="13">
        <f t="shared" si="2"/>
        <v>30545.45454545454</v>
      </c>
      <c r="X13" s="13">
        <f t="shared" si="2"/>
        <v>33727.272727272721</v>
      </c>
      <c r="Y13" s="13">
        <f t="shared" si="2"/>
        <v>36909.090909090897</v>
      </c>
      <c r="Z13" s="13">
        <f t="shared" si="2"/>
        <v>40090.909090909074</v>
      </c>
      <c r="AA13" s="13">
        <f t="shared" si="2"/>
        <v>43272.727272727258</v>
      </c>
      <c r="AB13" s="13">
        <f t="shared" si="2"/>
        <v>46454.545454545434</v>
      </c>
      <c r="AC13" s="13">
        <f t="shared" si="2"/>
        <v>48624.178440324235</v>
      </c>
      <c r="AD13" s="13">
        <f t="shared" si="2"/>
        <v>48811.402570508602</v>
      </c>
      <c r="AE13" s="13">
        <f t="shared" si="2"/>
        <v>49263.174517808293</v>
      </c>
      <c r="AF13" s="13">
        <f t="shared" si="2"/>
        <v>50442.918755906794</v>
      </c>
      <c r="AG13" s="13">
        <f t="shared" si="2"/>
        <v>50968.531104168651</v>
      </c>
      <c r="AH13" s="13">
        <f t="shared" si="2"/>
        <v>51453.113275305834</v>
      </c>
      <c r="AI13" s="13">
        <f t="shared" si="2"/>
        <v>52342.990197509578</v>
      </c>
      <c r="AJ13" s="13">
        <f t="shared" si="2"/>
        <v>52892.963880051226</v>
      </c>
      <c r="AK13" s="13">
        <f t="shared" si="2"/>
        <v>53445.543488866228</v>
      </c>
      <c r="AL13" s="13">
        <f t="shared" si="2"/>
        <v>53987.907579327308</v>
      </c>
      <c r="AM13" s="13">
        <f t="shared" si="2"/>
        <v>54628.469965358316</v>
      </c>
      <c r="AN13" s="13">
        <f t="shared" si="2"/>
        <v>55250.585749549165</v>
      </c>
      <c r="AO13" s="13">
        <f t="shared" si="2"/>
        <v>55852.353079162545</v>
      </c>
      <c r="AP13" s="13">
        <f t="shared" si="2"/>
        <v>56000.000000000007</v>
      </c>
      <c r="AQ13" s="13">
        <f t="shared" si="2"/>
        <v>56000.000000000007</v>
      </c>
      <c r="AR13" s="13">
        <f t="shared" si="2"/>
        <v>56000.000000000007</v>
      </c>
      <c r="AS13" s="13">
        <f t="shared" si="2"/>
        <v>56000.000000000007</v>
      </c>
      <c r="AT13" s="13">
        <f t="shared" si="2"/>
        <v>56000.000000000007</v>
      </c>
      <c r="AU13" s="13">
        <f t="shared" si="2"/>
        <v>56000.000000000007</v>
      </c>
      <c r="AV13" s="13">
        <f t="shared" si="2"/>
        <v>56000.000000000007</v>
      </c>
      <c r="AW13" s="13">
        <f t="shared" si="2"/>
        <v>56000.000000000007</v>
      </c>
      <c r="AX13" s="13">
        <f t="shared" si="2"/>
        <v>56000.000000000007</v>
      </c>
      <c r="AY13" s="13">
        <f t="shared" si="2"/>
        <v>56000.000000000007</v>
      </c>
      <c r="AZ13" s="13">
        <f t="shared" si="2"/>
        <v>56000.000000000007</v>
      </c>
      <c r="BA13" s="13">
        <f t="shared" si="2"/>
        <v>56000.000000000007</v>
      </c>
      <c r="BB13" s="13">
        <f t="shared" si="2"/>
        <v>56000.000000000007</v>
      </c>
      <c r="BC13" s="13">
        <f t="shared" si="2"/>
        <v>56000.000000000007</v>
      </c>
      <c r="BD13" s="13">
        <f t="shared" si="2"/>
        <v>56000.000000000007</v>
      </c>
      <c r="BE13" s="13">
        <f t="shared" si="2"/>
        <v>56000.000000000007</v>
      </c>
      <c r="BF13" s="13">
        <f t="shared" si="2"/>
        <v>56000.000000000007</v>
      </c>
      <c r="BG13" s="13">
        <f t="shared" si="2"/>
        <v>56000.000000000007</v>
      </c>
      <c r="BH13" s="13">
        <f t="shared" si="2"/>
        <v>56000.000000000007</v>
      </c>
      <c r="BI13" s="13">
        <f t="shared" si="2"/>
        <v>56000.000000000007</v>
      </c>
      <c r="BJ13" s="13">
        <f t="shared" si="2"/>
        <v>56000.000000000007</v>
      </c>
      <c r="BK13" s="13">
        <f t="shared" si="2"/>
        <v>56000.000000000007</v>
      </c>
      <c r="BL13" s="13">
        <f t="shared" si="2"/>
        <v>56000.000000000007</v>
      </c>
      <c r="BM13" s="13">
        <f t="shared" si="2"/>
        <v>56000.000000000007</v>
      </c>
      <c r="BN13" s="13">
        <f t="shared" si="2"/>
        <v>56000.000000000007</v>
      </c>
      <c r="BO13" s="13">
        <f t="shared" ref="BO13:BV13" si="3">BO11*BO12</f>
        <v>56000.000000000007</v>
      </c>
      <c r="BP13" s="13">
        <f t="shared" si="3"/>
        <v>56000.000000000007</v>
      </c>
      <c r="BQ13" s="13">
        <f t="shared" si="3"/>
        <v>56000.000000000007</v>
      </c>
      <c r="BR13" s="13">
        <f t="shared" si="3"/>
        <v>56000.000000000007</v>
      </c>
      <c r="BS13" s="13">
        <f t="shared" si="3"/>
        <v>56000.000000000007</v>
      </c>
      <c r="BT13" s="13">
        <f t="shared" si="3"/>
        <v>56000.000000000007</v>
      </c>
      <c r="BU13" s="13">
        <f t="shared" si="3"/>
        <v>56000.000000000007</v>
      </c>
      <c r="BV13" s="13">
        <f t="shared" si="3"/>
        <v>55707.27825628042</v>
      </c>
    </row>
    <row r="14" spans="1:74" x14ac:dyDescent="0.2">
      <c r="A14" s="4"/>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row>
    <row r="15" spans="1:74" x14ac:dyDescent="0.2">
      <c r="A15" s="4" t="s">
        <v>15</v>
      </c>
      <c r="B15" s="9">
        <f>B7-B6</f>
        <v>31</v>
      </c>
      <c r="C15" s="9">
        <f t="shared" ref="C15:BN15" si="4">C7-C6</f>
        <v>31</v>
      </c>
      <c r="D15" s="9">
        <f t="shared" si="4"/>
        <v>29</v>
      </c>
      <c r="E15" s="9">
        <f t="shared" si="4"/>
        <v>31</v>
      </c>
      <c r="F15" s="9">
        <f t="shared" si="4"/>
        <v>30</v>
      </c>
      <c r="G15" s="9">
        <f t="shared" si="4"/>
        <v>31</v>
      </c>
      <c r="H15" s="9">
        <f t="shared" si="4"/>
        <v>30</v>
      </c>
      <c r="I15" s="9">
        <f t="shared" si="4"/>
        <v>31</v>
      </c>
      <c r="J15" s="9">
        <f t="shared" si="4"/>
        <v>31</v>
      </c>
      <c r="K15" s="9">
        <f t="shared" si="4"/>
        <v>30</v>
      </c>
      <c r="L15" s="9">
        <f t="shared" si="4"/>
        <v>31</v>
      </c>
      <c r="M15" s="9">
        <f t="shared" si="4"/>
        <v>30</v>
      </c>
      <c r="N15" s="9">
        <f t="shared" si="4"/>
        <v>31</v>
      </c>
      <c r="O15" s="9">
        <f t="shared" si="4"/>
        <v>31</v>
      </c>
      <c r="P15" s="9">
        <f t="shared" si="4"/>
        <v>28</v>
      </c>
      <c r="Q15" s="9">
        <f t="shared" si="4"/>
        <v>31</v>
      </c>
      <c r="R15" s="9">
        <f t="shared" si="4"/>
        <v>30</v>
      </c>
      <c r="S15" s="9">
        <f t="shared" si="4"/>
        <v>31</v>
      </c>
      <c r="T15" s="9">
        <f t="shared" si="4"/>
        <v>30</v>
      </c>
      <c r="U15" s="9">
        <f t="shared" si="4"/>
        <v>31</v>
      </c>
      <c r="V15" s="9">
        <f t="shared" si="4"/>
        <v>31</v>
      </c>
      <c r="W15" s="9">
        <f t="shared" si="4"/>
        <v>30</v>
      </c>
      <c r="X15" s="9">
        <f t="shared" si="4"/>
        <v>31</v>
      </c>
      <c r="Y15" s="9">
        <f t="shared" si="4"/>
        <v>30</v>
      </c>
      <c r="Z15" s="9">
        <f t="shared" si="4"/>
        <v>31</v>
      </c>
      <c r="AA15" s="9">
        <f t="shared" si="4"/>
        <v>31</v>
      </c>
      <c r="AB15" s="9">
        <f t="shared" si="4"/>
        <v>28</v>
      </c>
      <c r="AC15" s="9">
        <f t="shared" si="4"/>
        <v>31</v>
      </c>
      <c r="AD15" s="9">
        <f t="shared" si="4"/>
        <v>30</v>
      </c>
      <c r="AE15" s="9">
        <f t="shared" si="4"/>
        <v>31</v>
      </c>
      <c r="AF15" s="9">
        <f t="shared" si="4"/>
        <v>30</v>
      </c>
      <c r="AG15" s="9">
        <f t="shared" si="4"/>
        <v>31</v>
      </c>
      <c r="AH15" s="9">
        <f t="shared" si="4"/>
        <v>31</v>
      </c>
      <c r="AI15" s="9">
        <f t="shared" si="4"/>
        <v>30</v>
      </c>
      <c r="AJ15" s="9">
        <f t="shared" si="4"/>
        <v>31</v>
      </c>
      <c r="AK15" s="9">
        <f t="shared" si="4"/>
        <v>30</v>
      </c>
      <c r="AL15" s="9">
        <f t="shared" si="4"/>
        <v>31</v>
      </c>
      <c r="AM15" s="9">
        <f t="shared" si="4"/>
        <v>31</v>
      </c>
      <c r="AN15" s="9">
        <f t="shared" si="4"/>
        <v>28</v>
      </c>
      <c r="AO15" s="9">
        <f t="shared" si="4"/>
        <v>31</v>
      </c>
      <c r="AP15" s="9">
        <f t="shared" si="4"/>
        <v>30</v>
      </c>
      <c r="AQ15" s="9">
        <f t="shared" si="4"/>
        <v>31</v>
      </c>
      <c r="AR15" s="9">
        <f t="shared" si="4"/>
        <v>30</v>
      </c>
      <c r="AS15" s="9">
        <f t="shared" si="4"/>
        <v>31</v>
      </c>
      <c r="AT15" s="9">
        <f t="shared" si="4"/>
        <v>31</v>
      </c>
      <c r="AU15" s="9">
        <f t="shared" si="4"/>
        <v>30</v>
      </c>
      <c r="AV15" s="9">
        <f t="shared" si="4"/>
        <v>31</v>
      </c>
      <c r="AW15" s="9">
        <f t="shared" si="4"/>
        <v>30</v>
      </c>
      <c r="AX15" s="9">
        <f t="shared" si="4"/>
        <v>31</v>
      </c>
      <c r="AY15" s="9">
        <f t="shared" si="4"/>
        <v>31</v>
      </c>
      <c r="AZ15" s="9">
        <f t="shared" si="4"/>
        <v>29</v>
      </c>
      <c r="BA15" s="9">
        <f t="shared" si="4"/>
        <v>31</v>
      </c>
      <c r="BB15" s="9">
        <f t="shared" si="4"/>
        <v>30</v>
      </c>
      <c r="BC15" s="9">
        <f t="shared" si="4"/>
        <v>31</v>
      </c>
      <c r="BD15" s="9">
        <f t="shared" si="4"/>
        <v>30</v>
      </c>
      <c r="BE15" s="9">
        <f t="shared" si="4"/>
        <v>31</v>
      </c>
      <c r="BF15" s="9">
        <f t="shared" si="4"/>
        <v>31</v>
      </c>
      <c r="BG15" s="9">
        <f t="shared" si="4"/>
        <v>30</v>
      </c>
      <c r="BH15" s="9">
        <f t="shared" si="4"/>
        <v>31</v>
      </c>
      <c r="BI15" s="9">
        <f t="shared" si="4"/>
        <v>30</v>
      </c>
      <c r="BJ15" s="9">
        <f t="shared" si="4"/>
        <v>31</v>
      </c>
      <c r="BK15" s="9">
        <f t="shared" si="4"/>
        <v>31</v>
      </c>
      <c r="BL15" s="9">
        <f t="shared" si="4"/>
        <v>28</v>
      </c>
      <c r="BM15" s="9">
        <f t="shared" si="4"/>
        <v>31</v>
      </c>
      <c r="BN15" s="9">
        <f t="shared" si="4"/>
        <v>30</v>
      </c>
      <c r="BO15" s="9">
        <f t="shared" ref="BO15:BV15" si="5">BO7-BO6</f>
        <v>31</v>
      </c>
      <c r="BP15" s="9">
        <f t="shared" si="5"/>
        <v>30</v>
      </c>
      <c r="BQ15" s="9">
        <f t="shared" si="5"/>
        <v>31</v>
      </c>
      <c r="BR15" s="9">
        <f t="shared" si="5"/>
        <v>31</v>
      </c>
      <c r="BS15" s="9">
        <f t="shared" si="5"/>
        <v>30</v>
      </c>
      <c r="BT15" s="9">
        <f t="shared" si="5"/>
        <v>31</v>
      </c>
      <c r="BU15" s="9">
        <f t="shared" si="5"/>
        <v>30</v>
      </c>
      <c r="BV15" s="9">
        <f t="shared" si="5"/>
        <v>31</v>
      </c>
    </row>
    <row r="16" spans="1:74" x14ac:dyDescent="0.2">
      <c r="A16" s="4" t="s">
        <v>16</v>
      </c>
      <c r="B16" s="9">
        <f>assumptions!$B$22*B15</f>
        <v>434000</v>
      </c>
      <c r="C16" s="9">
        <f>assumptions!$B$22*C15</f>
        <v>434000</v>
      </c>
      <c r="D16" s="9">
        <f>assumptions!$B$22*D15</f>
        <v>406000</v>
      </c>
      <c r="E16" s="9">
        <f>assumptions!$B$22*E15</f>
        <v>434000</v>
      </c>
      <c r="F16" s="9">
        <f>assumptions!$B$22*F15</f>
        <v>420000</v>
      </c>
      <c r="G16" s="9">
        <f>assumptions!$B$22*G15</f>
        <v>434000</v>
      </c>
      <c r="H16" s="9">
        <f>assumptions!$B$22*H15</f>
        <v>420000</v>
      </c>
      <c r="I16" s="9">
        <f>assumptions!$B$22*I15</f>
        <v>434000</v>
      </c>
      <c r="J16" s="9">
        <f>assumptions!$B$22*J15</f>
        <v>434000</v>
      </c>
      <c r="K16" s="9">
        <f>assumptions!$B$22*K15</f>
        <v>420000</v>
      </c>
      <c r="L16" s="9">
        <f>assumptions!$B$22*L15</f>
        <v>434000</v>
      </c>
      <c r="M16" s="9">
        <f>assumptions!$B$22*M15</f>
        <v>420000</v>
      </c>
      <c r="N16" s="9">
        <f>assumptions!$B$22*N15</f>
        <v>434000</v>
      </c>
      <c r="O16" s="9">
        <f>assumptions!$B$22*O15</f>
        <v>434000</v>
      </c>
      <c r="P16" s="9">
        <f>assumptions!$B$22*P15</f>
        <v>392000</v>
      </c>
      <c r="Q16" s="9">
        <f>assumptions!$B$22*Q15</f>
        <v>434000</v>
      </c>
      <c r="R16" s="9">
        <f>assumptions!$B$22*R15</f>
        <v>420000</v>
      </c>
      <c r="S16" s="9">
        <f>assumptions!$B$22*S15</f>
        <v>434000</v>
      </c>
      <c r="T16" s="9">
        <f>assumptions!$B$22*T15</f>
        <v>420000</v>
      </c>
      <c r="U16" s="9">
        <f>assumptions!$B$22*U15</f>
        <v>434000</v>
      </c>
      <c r="V16" s="9">
        <f>assumptions!$B$22*V15</f>
        <v>434000</v>
      </c>
      <c r="W16" s="9">
        <f>assumptions!$B$22*W15</f>
        <v>420000</v>
      </c>
      <c r="X16" s="9">
        <f>assumptions!$B$22*X15</f>
        <v>434000</v>
      </c>
      <c r="Y16" s="9">
        <f>assumptions!$B$22*Y15</f>
        <v>420000</v>
      </c>
      <c r="Z16" s="9">
        <f>assumptions!$B$22*Z15</f>
        <v>434000</v>
      </c>
      <c r="AA16" s="9">
        <f>assumptions!$B$22*AA15</f>
        <v>434000</v>
      </c>
      <c r="AB16" s="9">
        <f>assumptions!$B$22*AB15</f>
        <v>392000</v>
      </c>
      <c r="AC16" s="9">
        <f>assumptions!$B$22*AC15</f>
        <v>434000</v>
      </c>
      <c r="AD16" s="9">
        <f>assumptions!$B$22*AD15</f>
        <v>420000</v>
      </c>
      <c r="AE16" s="9">
        <f>assumptions!$B$22*AE15</f>
        <v>434000</v>
      </c>
      <c r="AF16" s="9">
        <f>assumptions!$B$22*AF15</f>
        <v>420000</v>
      </c>
      <c r="AG16" s="9">
        <f>assumptions!$B$22*AG15</f>
        <v>434000</v>
      </c>
      <c r="AH16" s="9">
        <f>assumptions!$B$22*AH15</f>
        <v>434000</v>
      </c>
      <c r="AI16" s="9">
        <f>assumptions!$B$22*AI15</f>
        <v>420000</v>
      </c>
      <c r="AJ16" s="9">
        <f>assumptions!$B$22*AJ15</f>
        <v>434000</v>
      </c>
      <c r="AK16" s="9">
        <f>assumptions!$B$22*AK15</f>
        <v>420000</v>
      </c>
      <c r="AL16" s="9">
        <f>assumptions!$B$22*AL15</f>
        <v>434000</v>
      </c>
      <c r="AM16" s="9">
        <f>assumptions!$B$22*AM15</f>
        <v>434000</v>
      </c>
      <c r="AN16" s="9">
        <f>assumptions!$B$22*AN15</f>
        <v>392000</v>
      </c>
      <c r="AO16" s="9">
        <f>assumptions!$B$22*AO15</f>
        <v>434000</v>
      </c>
      <c r="AP16" s="9">
        <f>assumptions!$B$22*AP15</f>
        <v>420000</v>
      </c>
      <c r="AQ16" s="9">
        <f>assumptions!$B$22*AQ15</f>
        <v>434000</v>
      </c>
      <c r="AR16" s="9">
        <f>assumptions!$B$22*AR15</f>
        <v>420000</v>
      </c>
      <c r="AS16" s="9">
        <f>assumptions!$B$22*AS15</f>
        <v>434000</v>
      </c>
      <c r="AT16" s="9">
        <f>assumptions!$B$22*AT15</f>
        <v>434000</v>
      </c>
      <c r="AU16" s="9">
        <f>assumptions!$B$22*AU15</f>
        <v>420000</v>
      </c>
      <c r="AV16" s="9">
        <f>assumptions!$B$22*AV15</f>
        <v>434000</v>
      </c>
      <c r="AW16" s="9">
        <f>assumptions!$B$22*AW15</f>
        <v>420000</v>
      </c>
      <c r="AX16" s="9">
        <f>assumptions!$B$22*AX15</f>
        <v>434000</v>
      </c>
      <c r="AY16" s="9">
        <f>assumptions!$B$22*AY15</f>
        <v>434000</v>
      </c>
      <c r="AZ16" s="9">
        <f>assumptions!$B$22*AZ15</f>
        <v>406000</v>
      </c>
      <c r="BA16" s="9">
        <f>assumptions!$B$22*BA15</f>
        <v>434000</v>
      </c>
      <c r="BB16" s="9">
        <f>assumptions!$B$22*BB15</f>
        <v>420000</v>
      </c>
      <c r="BC16" s="9">
        <f>assumptions!$B$22*BC15</f>
        <v>434000</v>
      </c>
      <c r="BD16" s="9">
        <f>assumptions!$B$22*BD15</f>
        <v>420000</v>
      </c>
      <c r="BE16" s="9">
        <f>assumptions!$B$22*BE15</f>
        <v>434000</v>
      </c>
      <c r="BF16" s="9">
        <f>assumptions!$B$22*BF15</f>
        <v>434000</v>
      </c>
      <c r="BG16" s="9">
        <f>assumptions!$B$22*BG15</f>
        <v>420000</v>
      </c>
      <c r="BH16" s="9">
        <f>assumptions!$B$22*BH15</f>
        <v>434000</v>
      </c>
      <c r="BI16" s="9">
        <f>assumptions!$B$22*BI15</f>
        <v>420000</v>
      </c>
      <c r="BJ16" s="9">
        <f>assumptions!$B$22*BJ15</f>
        <v>434000</v>
      </c>
      <c r="BK16" s="9">
        <f>assumptions!$B$22*BK15</f>
        <v>434000</v>
      </c>
      <c r="BL16" s="9">
        <f>assumptions!$B$22*BL15</f>
        <v>392000</v>
      </c>
      <c r="BM16" s="9">
        <f>assumptions!$B$22*BM15</f>
        <v>434000</v>
      </c>
      <c r="BN16" s="9">
        <f>assumptions!$B$22*BN15</f>
        <v>420000</v>
      </c>
      <c r="BO16" s="9">
        <f>assumptions!$B$22*BO15</f>
        <v>434000</v>
      </c>
      <c r="BP16" s="9">
        <f>assumptions!$B$22*BP15</f>
        <v>420000</v>
      </c>
      <c r="BQ16" s="9">
        <f>assumptions!$B$22*BQ15</f>
        <v>434000</v>
      </c>
      <c r="BR16" s="9">
        <f>assumptions!$B$22*BR15</f>
        <v>434000</v>
      </c>
      <c r="BS16" s="9">
        <f>assumptions!$B$22*BS15</f>
        <v>420000</v>
      </c>
      <c r="BT16" s="9">
        <f>assumptions!$B$22*BT15</f>
        <v>434000</v>
      </c>
      <c r="BU16" s="9">
        <f>assumptions!$B$22*BU15</f>
        <v>420000</v>
      </c>
      <c r="BV16" s="9">
        <f>assumptions!$B$22*BV15</f>
        <v>434000</v>
      </c>
    </row>
    <row r="17" spans="1:74" x14ac:dyDescent="0.2">
      <c r="A17" s="4" t="s">
        <v>17</v>
      </c>
      <c r="B17" s="9">
        <f>(assumptions!$B$23+assumptions!$B$24)*' FUGG valuation'!B15</f>
        <v>868000</v>
      </c>
      <c r="C17" s="9">
        <f>(assumptions!$B$23+assumptions!$B$24)*' FUGG valuation'!C15</f>
        <v>868000</v>
      </c>
      <c r="D17" s="9">
        <f>(assumptions!$B$23+assumptions!$B$24)*' FUGG valuation'!D15</f>
        <v>812000</v>
      </c>
      <c r="E17" s="9">
        <f>(assumptions!$B$23+assumptions!$B$24)*' FUGG valuation'!E15</f>
        <v>868000</v>
      </c>
      <c r="F17" s="9">
        <f>(assumptions!$B$23+assumptions!$B$24)*' FUGG valuation'!F15</f>
        <v>840000</v>
      </c>
      <c r="G17" s="9">
        <f>(assumptions!$B$23+assumptions!$B$24)*' FUGG valuation'!G15</f>
        <v>868000</v>
      </c>
      <c r="H17" s="9">
        <f>(assumptions!$B$23+assumptions!$B$24)*' FUGG valuation'!H15</f>
        <v>840000</v>
      </c>
      <c r="I17" s="9">
        <f>(assumptions!$B$23+assumptions!$B$24)*' FUGG valuation'!I15</f>
        <v>868000</v>
      </c>
      <c r="J17" s="9">
        <f>(assumptions!$B$23+assumptions!$B$24)*' FUGG valuation'!J15</f>
        <v>868000</v>
      </c>
      <c r="K17" s="9">
        <f>(assumptions!$B$23+assumptions!$B$24)*' FUGG valuation'!K15</f>
        <v>840000</v>
      </c>
      <c r="L17" s="9">
        <f>(assumptions!$B$23+assumptions!$B$24)*' FUGG valuation'!L15</f>
        <v>868000</v>
      </c>
      <c r="M17" s="9">
        <f>(assumptions!$B$23+assumptions!$B$24)*' FUGG valuation'!M15</f>
        <v>840000</v>
      </c>
      <c r="N17" s="9">
        <f>(assumptions!$B$23+assumptions!$B$24)*' FUGG valuation'!N15</f>
        <v>868000</v>
      </c>
      <c r="O17" s="9">
        <f>(assumptions!$B$23+assumptions!$B$24)*' FUGG valuation'!O15</f>
        <v>868000</v>
      </c>
      <c r="P17" s="9">
        <f>(assumptions!$B$23+assumptions!$B$24)*' FUGG valuation'!P15</f>
        <v>784000</v>
      </c>
      <c r="Q17" s="9">
        <f>(assumptions!$B$23+assumptions!$B$24)*' FUGG valuation'!Q15</f>
        <v>868000</v>
      </c>
      <c r="R17" s="9">
        <f>(assumptions!$B$23+assumptions!$B$24)*' FUGG valuation'!R15</f>
        <v>840000</v>
      </c>
      <c r="S17" s="9">
        <f>(assumptions!$B$23+assumptions!$B$24)*' FUGG valuation'!S15</f>
        <v>868000</v>
      </c>
      <c r="T17" s="9">
        <f>(assumptions!$B$23+assumptions!$B$24)*' FUGG valuation'!T15</f>
        <v>840000</v>
      </c>
      <c r="U17" s="9">
        <f>(assumptions!$B$23+assumptions!$B$24)*' FUGG valuation'!U15</f>
        <v>868000</v>
      </c>
      <c r="V17" s="9">
        <f>(assumptions!$B$23+assumptions!$B$24)*' FUGG valuation'!V15</f>
        <v>868000</v>
      </c>
      <c r="W17" s="9">
        <f>(assumptions!$B$23+assumptions!$B$24)*' FUGG valuation'!W15</f>
        <v>840000</v>
      </c>
      <c r="X17" s="9">
        <f>(assumptions!$B$23+assumptions!$B$24)*' FUGG valuation'!X15</f>
        <v>868000</v>
      </c>
      <c r="Y17" s="9">
        <f>(assumptions!$B$23+assumptions!$B$24)*' FUGG valuation'!Y15</f>
        <v>840000</v>
      </c>
      <c r="Z17" s="9">
        <f>(assumptions!$B$23+assumptions!$B$24)*' FUGG valuation'!Z15</f>
        <v>868000</v>
      </c>
      <c r="AA17" s="9">
        <f>(assumptions!$B$23+assumptions!$B$24)*' FUGG valuation'!AA15</f>
        <v>868000</v>
      </c>
      <c r="AB17" s="9">
        <f>(assumptions!$B$23+assumptions!$B$24)*' FUGG valuation'!AB15</f>
        <v>784000</v>
      </c>
      <c r="AC17" s="9">
        <f>(assumptions!$B$23+assumptions!$B$24)*' FUGG valuation'!AC15</f>
        <v>868000</v>
      </c>
      <c r="AD17" s="9">
        <f>(assumptions!$B$23+assumptions!$B$24)*' FUGG valuation'!AD15</f>
        <v>840000</v>
      </c>
      <c r="AE17" s="9">
        <f>(assumptions!$B$23+assumptions!$B$24)*' FUGG valuation'!AE15</f>
        <v>868000</v>
      </c>
      <c r="AF17" s="9">
        <f>(assumptions!$B$23+assumptions!$B$24)*' FUGG valuation'!AF15</f>
        <v>840000</v>
      </c>
      <c r="AG17" s="9">
        <f>(assumptions!$B$23+assumptions!$B$24)*' FUGG valuation'!AG15</f>
        <v>868000</v>
      </c>
      <c r="AH17" s="9">
        <f>(assumptions!$B$23+assumptions!$B$24)*' FUGG valuation'!AH15</f>
        <v>868000</v>
      </c>
      <c r="AI17" s="9">
        <f>(assumptions!$B$23+assumptions!$B$24)*' FUGG valuation'!AI15</f>
        <v>840000</v>
      </c>
      <c r="AJ17" s="9">
        <f>(assumptions!$B$23+assumptions!$B$24)*' FUGG valuation'!AJ15</f>
        <v>868000</v>
      </c>
      <c r="AK17" s="9">
        <f>(assumptions!$B$23+assumptions!$B$24)*' FUGG valuation'!AK15</f>
        <v>840000</v>
      </c>
      <c r="AL17" s="9">
        <f>(assumptions!$B$23+assumptions!$B$24)*' FUGG valuation'!AL15</f>
        <v>868000</v>
      </c>
      <c r="AM17" s="9">
        <f>(assumptions!$B$23+assumptions!$B$24)*' FUGG valuation'!AM15</f>
        <v>868000</v>
      </c>
      <c r="AN17" s="9">
        <f>(assumptions!$B$23+assumptions!$B$24)*' FUGG valuation'!AN15</f>
        <v>784000</v>
      </c>
      <c r="AO17" s="9">
        <f>(assumptions!$B$23+assumptions!$B$24)*' FUGG valuation'!AO15</f>
        <v>868000</v>
      </c>
      <c r="AP17" s="9">
        <f>(assumptions!$B$23+assumptions!$B$24)*' FUGG valuation'!AP15</f>
        <v>840000</v>
      </c>
      <c r="AQ17" s="9">
        <f>(assumptions!$B$23+assumptions!$B$24)*' FUGG valuation'!AQ15</f>
        <v>868000</v>
      </c>
      <c r="AR17" s="9">
        <f>(assumptions!$B$23+assumptions!$B$24)*' FUGG valuation'!AR15</f>
        <v>840000</v>
      </c>
      <c r="AS17" s="9">
        <f>(assumptions!$B$23+assumptions!$B$24)*' FUGG valuation'!AS15</f>
        <v>868000</v>
      </c>
      <c r="AT17" s="9">
        <f>(assumptions!$B$23+assumptions!$B$24)*' FUGG valuation'!AT15</f>
        <v>868000</v>
      </c>
      <c r="AU17" s="9">
        <f>(assumptions!$B$23+assumptions!$B$24)*' FUGG valuation'!AU15</f>
        <v>840000</v>
      </c>
      <c r="AV17" s="9">
        <f>(assumptions!$B$23+assumptions!$B$24)*' FUGG valuation'!AV15</f>
        <v>868000</v>
      </c>
      <c r="AW17" s="9">
        <f>(assumptions!$B$23+assumptions!$B$24)*' FUGG valuation'!AW15</f>
        <v>840000</v>
      </c>
      <c r="AX17" s="9">
        <f>(assumptions!$B$23+assumptions!$B$24)*' FUGG valuation'!AX15</f>
        <v>868000</v>
      </c>
      <c r="AY17" s="9">
        <f>(assumptions!$B$23+assumptions!$B$24)*' FUGG valuation'!AY15</f>
        <v>868000</v>
      </c>
      <c r="AZ17" s="9">
        <f>(assumptions!$B$23+assumptions!$B$24)*' FUGG valuation'!AZ15</f>
        <v>812000</v>
      </c>
      <c r="BA17" s="9">
        <f>(assumptions!$B$23+assumptions!$B$24)*' FUGG valuation'!BA15</f>
        <v>868000</v>
      </c>
      <c r="BB17" s="9">
        <f>(assumptions!$B$23+assumptions!$B$24)*' FUGG valuation'!BB15</f>
        <v>840000</v>
      </c>
      <c r="BC17" s="9">
        <f>(assumptions!$B$23+assumptions!$B$24)*' FUGG valuation'!BC15</f>
        <v>868000</v>
      </c>
      <c r="BD17" s="9">
        <f>(assumptions!$B$23+assumptions!$B$24)*' FUGG valuation'!BD15</f>
        <v>840000</v>
      </c>
      <c r="BE17" s="9">
        <f>(assumptions!$B$23+assumptions!$B$24)*' FUGG valuation'!BE15</f>
        <v>868000</v>
      </c>
      <c r="BF17" s="9">
        <f>(assumptions!$B$23+assumptions!$B$24)*' FUGG valuation'!BF15</f>
        <v>868000</v>
      </c>
      <c r="BG17" s="9">
        <f>(assumptions!$B$23+assumptions!$B$24)*' FUGG valuation'!BG15</f>
        <v>840000</v>
      </c>
      <c r="BH17" s="9">
        <f>(assumptions!$B$23+assumptions!$B$24)*' FUGG valuation'!BH15</f>
        <v>868000</v>
      </c>
      <c r="BI17" s="9">
        <f>(assumptions!$B$23+assumptions!$B$24)*' FUGG valuation'!BI15</f>
        <v>840000</v>
      </c>
      <c r="BJ17" s="9">
        <f>(assumptions!$B$23+assumptions!$B$24)*' FUGG valuation'!BJ15</f>
        <v>868000</v>
      </c>
      <c r="BK17" s="9">
        <f>(assumptions!$B$23+assumptions!$B$24)*' FUGG valuation'!BK15</f>
        <v>868000</v>
      </c>
      <c r="BL17" s="9">
        <f>(assumptions!$B$23+assumptions!$B$24)*' FUGG valuation'!BL15</f>
        <v>784000</v>
      </c>
      <c r="BM17" s="9">
        <f>(assumptions!$B$23+assumptions!$B$24)*' FUGG valuation'!BM15</f>
        <v>868000</v>
      </c>
      <c r="BN17" s="9">
        <f>(assumptions!$B$23+assumptions!$B$24)*' FUGG valuation'!BN15</f>
        <v>840000</v>
      </c>
      <c r="BO17" s="9">
        <f>(assumptions!$B$23+assumptions!$B$24)*' FUGG valuation'!BO15</f>
        <v>868000</v>
      </c>
      <c r="BP17" s="9">
        <f>(assumptions!$B$23+assumptions!$B$24)*' FUGG valuation'!BP15</f>
        <v>840000</v>
      </c>
      <c r="BQ17" s="9">
        <f>(assumptions!$B$23+assumptions!$B$24)*' FUGG valuation'!BQ15</f>
        <v>868000</v>
      </c>
      <c r="BR17" s="9">
        <f>(assumptions!$B$23+assumptions!$B$24)*' FUGG valuation'!BR15</f>
        <v>868000</v>
      </c>
      <c r="BS17" s="9">
        <f>(assumptions!$B$23+assumptions!$B$24)*' FUGG valuation'!BS15</f>
        <v>840000</v>
      </c>
      <c r="BT17" s="9">
        <f>(assumptions!$B$23+assumptions!$B$24)*' FUGG valuation'!BT15</f>
        <v>868000</v>
      </c>
      <c r="BU17" s="9">
        <f>(assumptions!$B$23+assumptions!$B$24)*' FUGG valuation'!BU15</f>
        <v>840000</v>
      </c>
      <c r="BV17" s="9">
        <f>(assumptions!$B$23+assumptions!$B$24)*' FUGG valuation'!BV15</f>
        <v>868000</v>
      </c>
    </row>
    <row r="18" spans="1:74" x14ac:dyDescent="0.2">
      <c r="A18" s="4" t="s">
        <v>18</v>
      </c>
      <c r="B18" s="10">
        <f>B13*B15</f>
        <v>0</v>
      </c>
      <c r="C18" s="10">
        <f t="shared" ref="C18:BN18" si="6">C13*C15</f>
        <v>0</v>
      </c>
      <c r="D18" s="10">
        <f t="shared" si="6"/>
        <v>0</v>
      </c>
      <c r="E18" s="10">
        <f t="shared" si="6"/>
        <v>0</v>
      </c>
      <c r="F18" s="10">
        <f t="shared" si="6"/>
        <v>0</v>
      </c>
      <c r="G18" s="10">
        <f t="shared" si="6"/>
        <v>0</v>
      </c>
      <c r="H18" s="10">
        <f t="shared" si="6"/>
        <v>0</v>
      </c>
      <c r="I18" s="10">
        <f t="shared" si="6"/>
        <v>0</v>
      </c>
      <c r="J18" s="10">
        <f t="shared" si="6"/>
        <v>0</v>
      </c>
      <c r="K18" s="10">
        <f t="shared" si="6"/>
        <v>0</v>
      </c>
      <c r="L18" s="10">
        <f t="shared" si="6"/>
        <v>0</v>
      </c>
      <c r="M18" s="10">
        <f t="shared" si="6"/>
        <v>0</v>
      </c>
      <c r="N18" s="10">
        <f t="shared" si="6"/>
        <v>0</v>
      </c>
      <c r="O18" s="10">
        <f t="shared" si="6"/>
        <v>0</v>
      </c>
      <c r="P18" s="10">
        <f t="shared" si="6"/>
        <v>0</v>
      </c>
      <c r="Q18" s="10">
        <f t="shared" si="6"/>
        <v>0</v>
      </c>
      <c r="R18" s="10">
        <f t="shared" si="6"/>
        <v>84000.000000000015</v>
      </c>
      <c r="S18" s="10">
        <f t="shared" si="6"/>
        <v>227850.00000000003</v>
      </c>
      <c r="T18" s="10">
        <f t="shared" si="6"/>
        <v>630000.00000000012</v>
      </c>
      <c r="U18" s="10">
        <f t="shared" si="6"/>
        <v>749636.36363636353</v>
      </c>
      <c r="V18" s="10">
        <f t="shared" si="6"/>
        <v>848272.72727272718</v>
      </c>
      <c r="W18" s="10">
        <f t="shared" si="6"/>
        <v>916363.63636363624</v>
      </c>
      <c r="X18" s="10">
        <f t="shared" si="6"/>
        <v>1045545.4545454544</v>
      </c>
      <c r="Y18" s="10">
        <f t="shared" si="6"/>
        <v>1107272.7272727268</v>
      </c>
      <c r="Z18" s="10">
        <f t="shared" si="6"/>
        <v>1242818.1818181812</v>
      </c>
      <c r="AA18" s="10">
        <f t="shared" si="6"/>
        <v>1341454.5454545449</v>
      </c>
      <c r="AB18" s="10">
        <f t="shared" si="6"/>
        <v>1300727.2727272722</v>
      </c>
      <c r="AC18" s="10">
        <f t="shared" si="6"/>
        <v>1507349.5316500512</v>
      </c>
      <c r="AD18" s="10">
        <f t="shared" si="6"/>
        <v>1464342.077115258</v>
      </c>
      <c r="AE18" s="10">
        <f t="shared" si="6"/>
        <v>1527158.4100520571</v>
      </c>
      <c r="AF18" s="10">
        <f t="shared" si="6"/>
        <v>1513287.5626772039</v>
      </c>
      <c r="AG18" s="10">
        <f t="shared" si="6"/>
        <v>1580024.4642292282</v>
      </c>
      <c r="AH18" s="10">
        <f t="shared" si="6"/>
        <v>1595046.5115344808</v>
      </c>
      <c r="AI18" s="10">
        <f t="shared" si="6"/>
        <v>1570289.7059252874</v>
      </c>
      <c r="AJ18" s="10">
        <f t="shared" si="6"/>
        <v>1639681.8802815881</v>
      </c>
      <c r="AK18" s="10">
        <f t="shared" si="6"/>
        <v>1603366.3046659869</v>
      </c>
      <c r="AL18" s="10">
        <f t="shared" si="6"/>
        <v>1673625.1349591466</v>
      </c>
      <c r="AM18" s="10">
        <f t="shared" si="6"/>
        <v>1693482.5689261078</v>
      </c>
      <c r="AN18" s="10">
        <f t="shared" si="6"/>
        <v>1547016.4009873767</v>
      </c>
      <c r="AO18" s="10">
        <f t="shared" si="6"/>
        <v>1731422.9454540389</v>
      </c>
      <c r="AP18" s="10">
        <f t="shared" si="6"/>
        <v>1680000.0000000002</v>
      </c>
      <c r="AQ18" s="10">
        <f t="shared" si="6"/>
        <v>1736000.0000000002</v>
      </c>
      <c r="AR18" s="10">
        <f t="shared" si="6"/>
        <v>1680000.0000000002</v>
      </c>
      <c r="AS18" s="10">
        <f t="shared" si="6"/>
        <v>1736000.0000000002</v>
      </c>
      <c r="AT18" s="10">
        <f t="shared" si="6"/>
        <v>1736000.0000000002</v>
      </c>
      <c r="AU18" s="10">
        <f t="shared" si="6"/>
        <v>1680000.0000000002</v>
      </c>
      <c r="AV18" s="10">
        <f t="shared" si="6"/>
        <v>1736000.0000000002</v>
      </c>
      <c r="AW18" s="10">
        <f t="shared" si="6"/>
        <v>1680000.0000000002</v>
      </c>
      <c r="AX18" s="10">
        <f t="shared" si="6"/>
        <v>1736000.0000000002</v>
      </c>
      <c r="AY18" s="10">
        <f t="shared" si="6"/>
        <v>1736000.0000000002</v>
      </c>
      <c r="AZ18" s="10">
        <f t="shared" si="6"/>
        <v>1624000.0000000002</v>
      </c>
      <c r="BA18" s="10">
        <f t="shared" si="6"/>
        <v>1736000.0000000002</v>
      </c>
      <c r="BB18" s="10">
        <f t="shared" si="6"/>
        <v>1680000.0000000002</v>
      </c>
      <c r="BC18" s="10">
        <f t="shared" si="6"/>
        <v>1736000.0000000002</v>
      </c>
      <c r="BD18" s="10">
        <f t="shared" si="6"/>
        <v>1680000.0000000002</v>
      </c>
      <c r="BE18" s="10">
        <f t="shared" si="6"/>
        <v>1736000.0000000002</v>
      </c>
      <c r="BF18" s="10">
        <f t="shared" si="6"/>
        <v>1736000.0000000002</v>
      </c>
      <c r="BG18" s="10">
        <f t="shared" si="6"/>
        <v>1680000.0000000002</v>
      </c>
      <c r="BH18" s="10">
        <f t="shared" si="6"/>
        <v>1736000.0000000002</v>
      </c>
      <c r="BI18" s="10">
        <f t="shared" si="6"/>
        <v>1680000.0000000002</v>
      </c>
      <c r="BJ18" s="10">
        <f t="shared" si="6"/>
        <v>1736000.0000000002</v>
      </c>
      <c r="BK18" s="10">
        <f t="shared" si="6"/>
        <v>1736000.0000000002</v>
      </c>
      <c r="BL18" s="10">
        <f t="shared" si="6"/>
        <v>1568000.0000000002</v>
      </c>
      <c r="BM18" s="10">
        <f t="shared" si="6"/>
        <v>1736000.0000000002</v>
      </c>
      <c r="BN18" s="10">
        <f t="shared" si="6"/>
        <v>1680000.0000000002</v>
      </c>
      <c r="BO18" s="10">
        <f t="shared" ref="BO18:BV18" si="7">BO13*BO15</f>
        <v>1736000.0000000002</v>
      </c>
      <c r="BP18" s="10">
        <f t="shared" si="7"/>
        <v>1680000.0000000002</v>
      </c>
      <c r="BQ18" s="10">
        <f t="shared" si="7"/>
        <v>1736000.0000000002</v>
      </c>
      <c r="BR18" s="10">
        <f t="shared" si="7"/>
        <v>1736000.0000000002</v>
      </c>
      <c r="BS18" s="10">
        <f t="shared" si="7"/>
        <v>1680000.0000000002</v>
      </c>
      <c r="BT18" s="10">
        <f t="shared" si="7"/>
        <v>1736000.0000000002</v>
      </c>
      <c r="BU18" s="10">
        <f t="shared" si="7"/>
        <v>1680000.0000000002</v>
      </c>
      <c r="BV18" s="10">
        <f t="shared" si="7"/>
        <v>1726925.6259446931</v>
      </c>
    </row>
    <row r="19" spans="1:74" x14ac:dyDescent="0.2">
      <c r="A19" s="6" t="s">
        <v>19</v>
      </c>
      <c r="B19" s="13">
        <f>SUM(B16:B18)</f>
        <v>1302000</v>
      </c>
      <c r="C19" s="13">
        <f t="shared" ref="C19:BN19" si="8">SUM(C16:C18)</f>
        <v>1302000</v>
      </c>
      <c r="D19" s="13">
        <f t="shared" si="8"/>
        <v>1218000</v>
      </c>
      <c r="E19" s="13">
        <f t="shared" si="8"/>
        <v>1302000</v>
      </c>
      <c r="F19" s="13">
        <f t="shared" si="8"/>
        <v>1260000</v>
      </c>
      <c r="G19" s="13">
        <f t="shared" si="8"/>
        <v>1302000</v>
      </c>
      <c r="H19" s="13">
        <f t="shared" si="8"/>
        <v>1260000</v>
      </c>
      <c r="I19" s="13">
        <f t="shared" si="8"/>
        <v>1302000</v>
      </c>
      <c r="J19" s="13">
        <f t="shared" si="8"/>
        <v>1302000</v>
      </c>
      <c r="K19" s="13">
        <f t="shared" si="8"/>
        <v>1260000</v>
      </c>
      <c r="L19" s="13">
        <f t="shared" si="8"/>
        <v>1302000</v>
      </c>
      <c r="M19" s="13">
        <f t="shared" si="8"/>
        <v>1260000</v>
      </c>
      <c r="N19" s="13">
        <f t="shared" si="8"/>
        <v>1302000</v>
      </c>
      <c r="O19" s="13">
        <f t="shared" si="8"/>
        <v>1302000</v>
      </c>
      <c r="P19" s="13">
        <f t="shared" si="8"/>
        <v>1176000</v>
      </c>
      <c r="Q19" s="13">
        <f t="shared" si="8"/>
        <v>1302000</v>
      </c>
      <c r="R19" s="13">
        <f t="shared" si="8"/>
        <v>1344000</v>
      </c>
      <c r="S19" s="13">
        <f t="shared" si="8"/>
        <v>1529850</v>
      </c>
      <c r="T19" s="13">
        <f t="shared" si="8"/>
        <v>1890000</v>
      </c>
      <c r="U19" s="13">
        <f t="shared" si="8"/>
        <v>2051636.3636363635</v>
      </c>
      <c r="V19" s="13">
        <f t="shared" si="8"/>
        <v>2150272.7272727271</v>
      </c>
      <c r="W19" s="13">
        <f t="shared" si="8"/>
        <v>2176363.6363636362</v>
      </c>
      <c r="X19" s="13">
        <f t="shared" si="8"/>
        <v>2347545.4545454541</v>
      </c>
      <c r="Y19" s="13">
        <f t="shared" si="8"/>
        <v>2367272.7272727266</v>
      </c>
      <c r="Z19" s="13">
        <f t="shared" si="8"/>
        <v>2544818.1818181812</v>
      </c>
      <c r="AA19" s="13">
        <f t="shared" si="8"/>
        <v>2643454.5454545449</v>
      </c>
      <c r="AB19" s="13">
        <f t="shared" si="8"/>
        <v>2476727.2727272725</v>
      </c>
      <c r="AC19" s="13">
        <f t="shared" si="8"/>
        <v>2809349.5316500515</v>
      </c>
      <c r="AD19" s="13">
        <f t="shared" si="8"/>
        <v>2724342.0771152582</v>
      </c>
      <c r="AE19" s="13">
        <f t="shared" si="8"/>
        <v>2829158.4100520574</v>
      </c>
      <c r="AF19" s="13">
        <f t="shared" si="8"/>
        <v>2773287.5626772037</v>
      </c>
      <c r="AG19" s="13">
        <f t="shared" si="8"/>
        <v>2882024.464229228</v>
      </c>
      <c r="AH19" s="13">
        <f t="shared" si="8"/>
        <v>2897046.5115344808</v>
      </c>
      <c r="AI19" s="13">
        <f t="shared" si="8"/>
        <v>2830289.7059252877</v>
      </c>
      <c r="AJ19" s="13">
        <f t="shared" si="8"/>
        <v>2941681.8802815881</v>
      </c>
      <c r="AK19" s="13">
        <f t="shared" si="8"/>
        <v>2863366.3046659869</v>
      </c>
      <c r="AL19" s="13">
        <f t="shared" si="8"/>
        <v>2975625.1349591464</v>
      </c>
      <c r="AM19" s="13">
        <f t="shared" si="8"/>
        <v>2995482.5689261081</v>
      </c>
      <c r="AN19" s="13">
        <f t="shared" si="8"/>
        <v>2723016.4009873765</v>
      </c>
      <c r="AO19" s="13">
        <f t="shared" si="8"/>
        <v>3033422.9454540387</v>
      </c>
      <c r="AP19" s="13">
        <f t="shared" si="8"/>
        <v>2940000</v>
      </c>
      <c r="AQ19" s="13">
        <f t="shared" si="8"/>
        <v>3038000</v>
      </c>
      <c r="AR19" s="13">
        <f t="shared" si="8"/>
        <v>2940000</v>
      </c>
      <c r="AS19" s="13">
        <f t="shared" si="8"/>
        <v>3038000</v>
      </c>
      <c r="AT19" s="13">
        <f t="shared" si="8"/>
        <v>3038000</v>
      </c>
      <c r="AU19" s="13">
        <f t="shared" si="8"/>
        <v>2940000</v>
      </c>
      <c r="AV19" s="13">
        <f t="shared" si="8"/>
        <v>3038000</v>
      </c>
      <c r="AW19" s="13">
        <f t="shared" si="8"/>
        <v>2940000</v>
      </c>
      <c r="AX19" s="13">
        <f t="shared" si="8"/>
        <v>3038000</v>
      </c>
      <c r="AY19" s="13">
        <f t="shared" si="8"/>
        <v>3038000</v>
      </c>
      <c r="AZ19" s="13">
        <f t="shared" si="8"/>
        <v>2842000</v>
      </c>
      <c r="BA19" s="13">
        <f t="shared" si="8"/>
        <v>3038000</v>
      </c>
      <c r="BB19" s="13">
        <f t="shared" si="8"/>
        <v>2940000</v>
      </c>
      <c r="BC19" s="13">
        <f t="shared" si="8"/>
        <v>3038000</v>
      </c>
      <c r="BD19" s="13">
        <f t="shared" si="8"/>
        <v>2940000</v>
      </c>
      <c r="BE19" s="13">
        <f t="shared" si="8"/>
        <v>3038000</v>
      </c>
      <c r="BF19" s="13">
        <f t="shared" si="8"/>
        <v>3038000</v>
      </c>
      <c r="BG19" s="13">
        <f t="shared" si="8"/>
        <v>2940000</v>
      </c>
      <c r="BH19" s="13">
        <f t="shared" si="8"/>
        <v>3038000</v>
      </c>
      <c r="BI19" s="13">
        <f t="shared" si="8"/>
        <v>2940000</v>
      </c>
      <c r="BJ19" s="13">
        <f t="shared" si="8"/>
        <v>3038000</v>
      </c>
      <c r="BK19" s="13">
        <f t="shared" si="8"/>
        <v>3038000</v>
      </c>
      <c r="BL19" s="13">
        <f t="shared" si="8"/>
        <v>2744000</v>
      </c>
      <c r="BM19" s="13">
        <f t="shared" si="8"/>
        <v>3038000</v>
      </c>
      <c r="BN19" s="13">
        <f t="shared" si="8"/>
        <v>2940000</v>
      </c>
      <c r="BO19" s="13">
        <f t="shared" ref="BO19:BV19" si="9">SUM(BO16:BO18)</f>
        <v>3038000</v>
      </c>
      <c r="BP19" s="13">
        <f t="shared" si="9"/>
        <v>2940000</v>
      </c>
      <c r="BQ19" s="13">
        <f t="shared" si="9"/>
        <v>3038000</v>
      </c>
      <c r="BR19" s="13">
        <f t="shared" si="9"/>
        <v>3038000</v>
      </c>
      <c r="BS19" s="13">
        <f t="shared" si="9"/>
        <v>2940000</v>
      </c>
      <c r="BT19" s="13">
        <f t="shared" si="9"/>
        <v>3038000</v>
      </c>
      <c r="BU19" s="13">
        <f t="shared" si="9"/>
        <v>2940000</v>
      </c>
      <c r="BV19" s="13">
        <f t="shared" si="9"/>
        <v>3028925.6259446931</v>
      </c>
    </row>
    <row r="21" spans="1:74" x14ac:dyDescent="0.2">
      <c r="A21" s="35" t="s">
        <v>72</v>
      </c>
    </row>
    <row r="22" spans="1:74" x14ac:dyDescent="0.2">
      <c r="A22" s="4" t="s">
        <v>84</v>
      </c>
      <c r="B22" s="43">
        <f>assumptions!$B$32</f>
        <v>0</v>
      </c>
      <c r="C22" s="43">
        <f>assumptions!$B$32</f>
        <v>0</v>
      </c>
      <c r="D22" s="43">
        <f>assumptions!$B$32</f>
        <v>0</v>
      </c>
      <c r="E22" s="43">
        <f>assumptions!$B$32</f>
        <v>0</v>
      </c>
      <c r="F22" s="43">
        <f>assumptions!$B$32</f>
        <v>0</v>
      </c>
      <c r="G22" s="43">
        <f>assumptions!$B$32</f>
        <v>0</v>
      </c>
      <c r="H22" s="43">
        <f>assumptions!$B$32</f>
        <v>0</v>
      </c>
      <c r="I22" s="43">
        <f>assumptions!$B$32</f>
        <v>0</v>
      </c>
      <c r="J22" s="43">
        <f>assumptions!$B$32</f>
        <v>0</v>
      </c>
      <c r="K22" s="43">
        <f>assumptions!$B$32</f>
        <v>0</v>
      </c>
      <c r="L22" s="43">
        <f>assumptions!$B$32</f>
        <v>0</v>
      </c>
      <c r="M22" s="43">
        <f>assumptions!$B$32</f>
        <v>0</v>
      </c>
      <c r="N22" s="43">
        <f>assumptions!$B$32</f>
        <v>0</v>
      </c>
      <c r="O22" s="43">
        <f>assumptions!$B$32</f>
        <v>0</v>
      </c>
      <c r="P22" s="43">
        <f>assumptions!$B$32</f>
        <v>0</v>
      </c>
      <c r="Q22" s="43">
        <f>assumptions!$B$32</f>
        <v>0</v>
      </c>
      <c r="R22" s="43">
        <f>assumptions!$B$32</f>
        <v>0</v>
      </c>
      <c r="S22" s="43">
        <f>assumptions!$B$32</f>
        <v>0</v>
      </c>
      <c r="T22" s="43">
        <f>assumptions!$B$32</f>
        <v>0</v>
      </c>
      <c r="U22" s="43">
        <f>assumptions!$B$32</f>
        <v>0</v>
      </c>
      <c r="V22" s="43">
        <f>assumptions!$B$32</f>
        <v>0</v>
      </c>
      <c r="W22" s="43">
        <f>assumptions!$B$32</f>
        <v>0</v>
      </c>
      <c r="X22" s="43">
        <f>assumptions!$B$32</f>
        <v>0</v>
      </c>
      <c r="Y22" s="43">
        <f>assumptions!$B$32</f>
        <v>0</v>
      </c>
      <c r="Z22" s="43">
        <f>assumptions!$B$32</f>
        <v>0</v>
      </c>
      <c r="AA22" s="43">
        <f>assumptions!$B$32</f>
        <v>0</v>
      </c>
      <c r="AB22" s="43">
        <f>assumptions!$B$32</f>
        <v>0</v>
      </c>
      <c r="AC22" s="43">
        <f>assumptions!$B$32</f>
        <v>0</v>
      </c>
      <c r="AD22" s="43">
        <f>assumptions!$B$32</f>
        <v>0</v>
      </c>
      <c r="AE22" s="43">
        <f>assumptions!$B$32</f>
        <v>0</v>
      </c>
      <c r="AF22" s="43">
        <f>assumptions!$B$32</f>
        <v>0</v>
      </c>
      <c r="AG22" s="43">
        <f>assumptions!$B$32</f>
        <v>0</v>
      </c>
      <c r="AH22" s="43">
        <f>assumptions!$B$32</f>
        <v>0</v>
      </c>
      <c r="AI22" s="43">
        <f>assumptions!$B$32</f>
        <v>0</v>
      </c>
      <c r="AJ22" s="43">
        <f>assumptions!$B$32</f>
        <v>0</v>
      </c>
      <c r="AK22" s="43">
        <f>assumptions!$B$32</f>
        <v>0</v>
      </c>
      <c r="AL22" s="43">
        <f>assumptions!$B$32</f>
        <v>0</v>
      </c>
      <c r="AM22" s="43">
        <f>assumptions!$B$32</f>
        <v>0</v>
      </c>
      <c r="AN22" s="43">
        <f>assumptions!$B$32</f>
        <v>0</v>
      </c>
      <c r="AO22" s="43">
        <f>assumptions!$B$32</f>
        <v>0</v>
      </c>
      <c r="AP22" s="43">
        <f>assumptions!$B$32</f>
        <v>0</v>
      </c>
      <c r="AQ22" s="43">
        <f>assumptions!$B$32</f>
        <v>0</v>
      </c>
      <c r="AR22" s="43">
        <f>assumptions!$B$32</f>
        <v>0</v>
      </c>
      <c r="AS22" s="43">
        <f>assumptions!$B$32</f>
        <v>0</v>
      </c>
      <c r="AT22" s="43">
        <f>assumptions!$B$32</f>
        <v>0</v>
      </c>
      <c r="AU22" s="43">
        <f>assumptions!$B$32</f>
        <v>0</v>
      </c>
      <c r="AV22" s="43">
        <f>assumptions!$B$32</f>
        <v>0</v>
      </c>
      <c r="AW22" s="43">
        <f>assumptions!$B$32</f>
        <v>0</v>
      </c>
      <c r="AX22" s="43">
        <f>assumptions!$B$32</f>
        <v>0</v>
      </c>
      <c r="AY22" s="43">
        <f>assumptions!$B$32</f>
        <v>0</v>
      </c>
      <c r="AZ22" s="43">
        <f>assumptions!$B$32</f>
        <v>0</v>
      </c>
      <c r="BA22" s="43">
        <f>assumptions!$B$32</f>
        <v>0</v>
      </c>
      <c r="BB22" s="43">
        <f>assumptions!$B$32</f>
        <v>0</v>
      </c>
      <c r="BC22" s="43">
        <f>assumptions!$B$32</f>
        <v>0</v>
      </c>
      <c r="BD22" s="43">
        <f>assumptions!$B$32</f>
        <v>0</v>
      </c>
      <c r="BE22" s="43">
        <f>assumptions!$B$32</f>
        <v>0</v>
      </c>
      <c r="BF22" s="43">
        <f>assumptions!$B$32</f>
        <v>0</v>
      </c>
      <c r="BG22" s="43">
        <f>assumptions!$B$32</f>
        <v>0</v>
      </c>
      <c r="BH22" s="43">
        <f>assumptions!$B$32</f>
        <v>0</v>
      </c>
      <c r="BI22" s="43">
        <f>assumptions!$B$32</f>
        <v>0</v>
      </c>
      <c r="BJ22" s="43">
        <f>assumptions!$B$32</f>
        <v>0</v>
      </c>
      <c r="BK22" s="43">
        <f>assumptions!$B$32</f>
        <v>0</v>
      </c>
      <c r="BL22" s="43">
        <f>assumptions!$B$32</f>
        <v>0</v>
      </c>
      <c r="BM22" s="43">
        <f>assumptions!$B$32</f>
        <v>0</v>
      </c>
      <c r="BN22" s="43">
        <f>assumptions!$B$32</f>
        <v>0</v>
      </c>
      <c r="BO22" s="43">
        <f>assumptions!$B$32</f>
        <v>0</v>
      </c>
      <c r="BP22" s="43">
        <f>assumptions!$B$32</f>
        <v>0</v>
      </c>
      <c r="BQ22" s="43">
        <f>assumptions!$B$32</f>
        <v>0</v>
      </c>
      <c r="BR22" s="43">
        <f>assumptions!$B$32</f>
        <v>0</v>
      </c>
      <c r="BS22" s="43">
        <f>assumptions!$B$32</f>
        <v>0</v>
      </c>
      <c r="BT22" s="43">
        <f>assumptions!$B$32</f>
        <v>0</v>
      </c>
      <c r="BU22" s="43">
        <f>assumptions!$B$32</f>
        <v>0</v>
      </c>
      <c r="BV22" s="43">
        <f>assumptions!$B$32</f>
        <v>0</v>
      </c>
    </row>
    <row r="23" spans="1:74" x14ac:dyDescent="0.2">
      <c r="A23" s="1" t="s">
        <v>73</v>
      </c>
      <c r="B23" s="37">
        <f>assumptions!$B$30/12</f>
        <v>96393.166666666672</v>
      </c>
      <c r="C23" s="37">
        <f>B23*(1+C22)</f>
        <v>96393.166666666672</v>
      </c>
      <c r="D23" s="37">
        <f t="shared" ref="D23:BO23" si="10">C23*(1+D22)</f>
        <v>96393.166666666672</v>
      </c>
      <c r="E23" s="37">
        <f t="shared" si="10"/>
        <v>96393.166666666672</v>
      </c>
      <c r="F23" s="37">
        <f t="shared" si="10"/>
        <v>96393.166666666672</v>
      </c>
      <c r="G23" s="37">
        <f t="shared" si="10"/>
        <v>96393.166666666672</v>
      </c>
      <c r="H23" s="37">
        <f t="shared" si="10"/>
        <v>96393.166666666672</v>
      </c>
      <c r="I23" s="37">
        <f t="shared" si="10"/>
        <v>96393.166666666672</v>
      </c>
      <c r="J23" s="37">
        <f t="shared" si="10"/>
        <v>96393.166666666672</v>
      </c>
      <c r="K23" s="37">
        <f t="shared" si="10"/>
        <v>96393.166666666672</v>
      </c>
      <c r="L23" s="37">
        <f t="shared" si="10"/>
        <v>96393.166666666672</v>
      </c>
      <c r="M23" s="37">
        <f t="shared" si="10"/>
        <v>96393.166666666672</v>
      </c>
      <c r="N23" s="37">
        <f t="shared" si="10"/>
        <v>96393.166666666672</v>
      </c>
      <c r="O23" s="37">
        <f t="shared" si="10"/>
        <v>96393.166666666672</v>
      </c>
      <c r="P23" s="37">
        <f t="shared" si="10"/>
        <v>96393.166666666672</v>
      </c>
      <c r="Q23" s="37">
        <f t="shared" si="10"/>
        <v>96393.166666666672</v>
      </c>
      <c r="R23" s="37">
        <f t="shared" si="10"/>
        <v>96393.166666666672</v>
      </c>
      <c r="S23" s="37">
        <f t="shared" si="10"/>
        <v>96393.166666666672</v>
      </c>
      <c r="T23" s="37">
        <f t="shared" si="10"/>
        <v>96393.166666666672</v>
      </c>
      <c r="U23" s="37">
        <f t="shared" si="10"/>
        <v>96393.166666666672</v>
      </c>
      <c r="V23" s="37">
        <f t="shared" si="10"/>
        <v>96393.166666666672</v>
      </c>
      <c r="W23" s="37">
        <f t="shared" si="10"/>
        <v>96393.166666666672</v>
      </c>
      <c r="X23" s="37">
        <f t="shared" si="10"/>
        <v>96393.166666666672</v>
      </c>
      <c r="Y23" s="37">
        <f t="shared" si="10"/>
        <v>96393.166666666672</v>
      </c>
      <c r="Z23" s="37">
        <f t="shared" si="10"/>
        <v>96393.166666666672</v>
      </c>
      <c r="AA23" s="37">
        <f t="shared" si="10"/>
        <v>96393.166666666672</v>
      </c>
      <c r="AB23" s="37">
        <f t="shared" si="10"/>
        <v>96393.166666666672</v>
      </c>
      <c r="AC23" s="37">
        <f t="shared" si="10"/>
        <v>96393.166666666672</v>
      </c>
      <c r="AD23" s="37">
        <f t="shared" si="10"/>
        <v>96393.166666666672</v>
      </c>
      <c r="AE23" s="37">
        <f t="shared" si="10"/>
        <v>96393.166666666672</v>
      </c>
      <c r="AF23" s="37">
        <f t="shared" si="10"/>
        <v>96393.166666666672</v>
      </c>
      <c r="AG23" s="37">
        <f t="shared" si="10"/>
        <v>96393.166666666672</v>
      </c>
      <c r="AH23" s="37">
        <f t="shared" si="10"/>
        <v>96393.166666666672</v>
      </c>
      <c r="AI23" s="37">
        <f t="shared" si="10"/>
        <v>96393.166666666672</v>
      </c>
      <c r="AJ23" s="37">
        <f t="shared" si="10"/>
        <v>96393.166666666672</v>
      </c>
      <c r="AK23" s="37">
        <f t="shared" si="10"/>
        <v>96393.166666666672</v>
      </c>
      <c r="AL23" s="37">
        <f t="shared" si="10"/>
        <v>96393.166666666672</v>
      </c>
      <c r="AM23" s="37">
        <f t="shared" si="10"/>
        <v>96393.166666666672</v>
      </c>
      <c r="AN23" s="37">
        <f t="shared" si="10"/>
        <v>96393.166666666672</v>
      </c>
      <c r="AO23" s="37">
        <f t="shared" si="10"/>
        <v>96393.166666666672</v>
      </c>
      <c r="AP23" s="37">
        <f t="shared" si="10"/>
        <v>96393.166666666672</v>
      </c>
      <c r="AQ23" s="37">
        <f t="shared" si="10"/>
        <v>96393.166666666672</v>
      </c>
      <c r="AR23" s="37">
        <f t="shared" si="10"/>
        <v>96393.166666666672</v>
      </c>
      <c r="AS23" s="37">
        <f t="shared" si="10"/>
        <v>96393.166666666672</v>
      </c>
      <c r="AT23" s="37">
        <f t="shared" si="10"/>
        <v>96393.166666666672</v>
      </c>
      <c r="AU23" s="37">
        <f t="shared" si="10"/>
        <v>96393.166666666672</v>
      </c>
      <c r="AV23" s="37">
        <f t="shared" si="10"/>
        <v>96393.166666666672</v>
      </c>
      <c r="AW23" s="37">
        <f t="shared" si="10"/>
        <v>96393.166666666672</v>
      </c>
      <c r="AX23" s="37">
        <f t="shared" si="10"/>
        <v>96393.166666666672</v>
      </c>
      <c r="AY23" s="37">
        <f t="shared" si="10"/>
        <v>96393.166666666672</v>
      </c>
      <c r="AZ23" s="37">
        <f t="shared" si="10"/>
        <v>96393.166666666672</v>
      </c>
      <c r="BA23" s="37">
        <f t="shared" si="10"/>
        <v>96393.166666666672</v>
      </c>
      <c r="BB23" s="37">
        <f t="shared" si="10"/>
        <v>96393.166666666672</v>
      </c>
      <c r="BC23" s="37">
        <f t="shared" si="10"/>
        <v>96393.166666666672</v>
      </c>
      <c r="BD23" s="37">
        <f t="shared" si="10"/>
        <v>96393.166666666672</v>
      </c>
      <c r="BE23" s="37">
        <f t="shared" si="10"/>
        <v>96393.166666666672</v>
      </c>
      <c r="BF23" s="37">
        <f t="shared" si="10"/>
        <v>96393.166666666672</v>
      </c>
      <c r="BG23" s="37">
        <f t="shared" si="10"/>
        <v>96393.166666666672</v>
      </c>
      <c r="BH23" s="37">
        <f t="shared" si="10"/>
        <v>96393.166666666672</v>
      </c>
      <c r="BI23" s="37">
        <f t="shared" si="10"/>
        <v>96393.166666666672</v>
      </c>
      <c r="BJ23" s="37">
        <f t="shared" si="10"/>
        <v>96393.166666666672</v>
      </c>
      <c r="BK23" s="37">
        <f t="shared" si="10"/>
        <v>96393.166666666672</v>
      </c>
      <c r="BL23" s="37">
        <f t="shared" si="10"/>
        <v>96393.166666666672</v>
      </c>
      <c r="BM23" s="37">
        <f t="shared" si="10"/>
        <v>96393.166666666672</v>
      </c>
      <c r="BN23" s="37">
        <f t="shared" si="10"/>
        <v>96393.166666666672</v>
      </c>
      <c r="BO23" s="37">
        <f t="shared" si="10"/>
        <v>96393.166666666672</v>
      </c>
      <c r="BP23" s="37">
        <f t="shared" ref="BP23:BV23" si="11">BO23*(1+BP22)</f>
        <v>96393.166666666672</v>
      </c>
      <c r="BQ23" s="37">
        <f t="shared" si="11"/>
        <v>96393.166666666672</v>
      </c>
      <c r="BR23" s="37">
        <f t="shared" si="11"/>
        <v>96393.166666666672</v>
      </c>
      <c r="BS23" s="37">
        <f t="shared" si="11"/>
        <v>96393.166666666672</v>
      </c>
      <c r="BT23" s="37">
        <f t="shared" si="11"/>
        <v>96393.166666666672</v>
      </c>
      <c r="BU23" s="37">
        <f t="shared" si="11"/>
        <v>96393.166666666672</v>
      </c>
      <c r="BV23" s="37">
        <f t="shared" si="11"/>
        <v>96393.166666666672</v>
      </c>
    </row>
    <row r="24" spans="1:74" x14ac:dyDescent="0.2">
      <c r="A24" s="1" t="s">
        <v>74</v>
      </c>
      <c r="B24" s="38">
        <v>0</v>
      </c>
      <c r="C24" s="38">
        <f>B24</f>
        <v>0</v>
      </c>
      <c r="D24" s="38">
        <f t="shared" ref="D24:S24" si="12">C24</f>
        <v>0</v>
      </c>
      <c r="E24" s="38">
        <f t="shared" si="12"/>
        <v>0</v>
      </c>
      <c r="F24" s="38">
        <f t="shared" si="12"/>
        <v>0</v>
      </c>
      <c r="G24" s="38">
        <f t="shared" si="12"/>
        <v>0</v>
      </c>
      <c r="H24" s="38">
        <f t="shared" si="12"/>
        <v>0</v>
      </c>
      <c r="I24" s="38">
        <f t="shared" si="12"/>
        <v>0</v>
      </c>
      <c r="J24" s="38">
        <f t="shared" si="12"/>
        <v>0</v>
      </c>
      <c r="K24" s="38">
        <f t="shared" si="12"/>
        <v>0</v>
      </c>
      <c r="L24" s="38">
        <f t="shared" si="12"/>
        <v>0</v>
      </c>
      <c r="M24" s="38">
        <f t="shared" si="12"/>
        <v>0</v>
      </c>
      <c r="N24" s="38">
        <f t="shared" si="12"/>
        <v>0</v>
      </c>
      <c r="O24" s="38">
        <f t="shared" si="12"/>
        <v>0</v>
      </c>
      <c r="P24" s="38">
        <f t="shared" si="12"/>
        <v>0</v>
      </c>
      <c r="Q24" s="38">
        <f t="shared" si="12"/>
        <v>0</v>
      </c>
      <c r="R24" s="38">
        <f t="shared" si="12"/>
        <v>0</v>
      </c>
      <c r="S24" s="38">
        <f t="shared" si="12"/>
        <v>0</v>
      </c>
      <c r="T24" s="39">
        <f>assumptions!$B$31/12</f>
        <v>125000</v>
      </c>
      <c r="U24" s="39">
        <f>T24*(1+U22)</f>
        <v>125000</v>
      </c>
      <c r="V24" s="39">
        <f t="shared" ref="V24:BV24" si="13">U24*(1+V22)</f>
        <v>125000</v>
      </c>
      <c r="W24" s="39">
        <f t="shared" si="13"/>
        <v>125000</v>
      </c>
      <c r="X24" s="39">
        <f t="shared" si="13"/>
        <v>125000</v>
      </c>
      <c r="Y24" s="39">
        <f t="shared" si="13"/>
        <v>125000</v>
      </c>
      <c r="Z24" s="39">
        <f t="shared" si="13"/>
        <v>125000</v>
      </c>
      <c r="AA24" s="39">
        <f t="shared" si="13"/>
        <v>125000</v>
      </c>
      <c r="AB24" s="39">
        <f t="shared" si="13"/>
        <v>125000</v>
      </c>
      <c r="AC24" s="39">
        <f t="shared" si="13"/>
        <v>125000</v>
      </c>
      <c r="AD24" s="39">
        <f t="shared" si="13"/>
        <v>125000</v>
      </c>
      <c r="AE24" s="39">
        <f t="shared" si="13"/>
        <v>125000</v>
      </c>
      <c r="AF24" s="39">
        <f t="shared" si="13"/>
        <v>125000</v>
      </c>
      <c r="AG24" s="39">
        <f t="shared" si="13"/>
        <v>125000</v>
      </c>
      <c r="AH24" s="39">
        <f t="shared" si="13"/>
        <v>125000</v>
      </c>
      <c r="AI24" s="39">
        <f t="shared" si="13"/>
        <v>125000</v>
      </c>
      <c r="AJ24" s="39">
        <f t="shared" si="13"/>
        <v>125000</v>
      </c>
      <c r="AK24" s="39">
        <f t="shared" si="13"/>
        <v>125000</v>
      </c>
      <c r="AL24" s="39">
        <f t="shared" si="13"/>
        <v>125000</v>
      </c>
      <c r="AM24" s="39">
        <f t="shared" si="13"/>
        <v>125000</v>
      </c>
      <c r="AN24" s="39">
        <f t="shared" si="13"/>
        <v>125000</v>
      </c>
      <c r="AO24" s="39">
        <f t="shared" si="13"/>
        <v>125000</v>
      </c>
      <c r="AP24" s="39">
        <f t="shared" si="13"/>
        <v>125000</v>
      </c>
      <c r="AQ24" s="39">
        <f t="shared" si="13"/>
        <v>125000</v>
      </c>
      <c r="AR24" s="39">
        <f t="shared" si="13"/>
        <v>125000</v>
      </c>
      <c r="AS24" s="39">
        <f t="shared" si="13"/>
        <v>125000</v>
      </c>
      <c r="AT24" s="39">
        <f t="shared" si="13"/>
        <v>125000</v>
      </c>
      <c r="AU24" s="39">
        <f t="shared" si="13"/>
        <v>125000</v>
      </c>
      <c r="AV24" s="39">
        <f t="shared" si="13"/>
        <v>125000</v>
      </c>
      <c r="AW24" s="39">
        <f t="shared" si="13"/>
        <v>125000</v>
      </c>
      <c r="AX24" s="39">
        <f t="shared" si="13"/>
        <v>125000</v>
      </c>
      <c r="AY24" s="39">
        <f t="shared" si="13"/>
        <v>125000</v>
      </c>
      <c r="AZ24" s="39">
        <f t="shared" si="13"/>
        <v>125000</v>
      </c>
      <c r="BA24" s="39">
        <f t="shared" si="13"/>
        <v>125000</v>
      </c>
      <c r="BB24" s="39">
        <f t="shared" si="13"/>
        <v>125000</v>
      </c>
      <c r="BC24" s="39">
        <f t="shared" si="13"/>
        <v>125000</v>
      </c>
      <c r="BD24" s="39">
        <f t="shared" si="13"/>
        <v>125000</v>
      </c>
      <c r="BE24" s="39">
        <f t="shared" si="13"/>
        <v>125000</v>
      </c>
      <c r="BF24" s="39">
        <f t="shared" si="13"/>
        <v>125000</v>
      </c>
      <c r="BG24" s="39">
        <f t="shared" si="13"/>
        <v>125000</v>
      </c>
      <c r="BH24" s="39">
        <f t="shared" si="13"/>
        <v>125000</v>
      </c>
      <c r="BI24" s="39">
        <f t="shared" si="13"/>
        <v>125000</v>
      </c>
      <c r="BJ24" s="39">
        <f t="shared" si="13"/>
        <v>125000</v>
      </c>
      <c r="BK24" s="39">
        <f t="shared" si="13"/>
        <v>125000</v>
      </c>
      <c r="BL24" s="39">
        <f t="shared" si="13"/>
        <v>125000</v>
      </c>
      <c r="BM24" s="39">
        <f t="shared" si="13"/>
        <v>125000</v>
      </c>
      <c r="BN24" s="39">
        <f t="shared" si="13"/>
        <v>125000</v>
      </c>
      <c r="BO24" s="39">
        <f t="shared" si="13"/>
        <v>125000</v>
      </c>
      <c r="BP24" s="39">
        <f t="shared" si="13"/>
        <v>125000</v>
      </c>
      <c r="BQ24" s="39">
        <f t="shared" si="13"/>
        <v>125000</v>
      </c>
      <c r="BR24" s="39">
        <f t="shared" si="13"/>
        <v>125000</v>
      </c>
      <c r="BS24" s="39">
        <f t="shared" si="13"/>
        <v>125000</v>
      </c>
      <c r="BT24" s="39">
        <f t="shared" si="13"/>
        <v>125000</v>
      </c>
      <c r="BU24" s="39">
        <f t="shared" si="13"/>
        <v>125000</v>
      </c>
      <c r="BV24" s="39">
        <f t="shared" si="13"/>
        <v>125000</v>
      </c>
    </row>
    <row r="25" spans="1:74" x14ac:dyDescent="0.2">
      <c r="A25" s="5" t="s">
        <v>75</v>
      </c>
      <c r="B25" s="40">
        <f>SUM(B23:B24)</f>
        <v>96393.166666666672</v>
      </c>
      <c r="C25" s="40">
        <f t="shared" ref="C25:BN25" si="14">SUM(C23:C24)</f>
        <v>96393.166666666672</v>
      </c>
      <c r="D25" s="40">
        <f t="shared" si="14"/>
        <v>96393.166666666672</v>
      </c>
      <c r="E25" s="40">
        <f t="shared" si="14"/>
        <v>96393.166666666672</v>
      </c>
      <c r="F25" s="40">
        <f t="shared" si="14"/>
        <v>96393.166666666672</v>
      </c>
      <c r="G25" s="40">
        <f t="shared" si="14"/>
        <v>96393.166666666672</v>
      </c>
      <c r="H25" s="40">
        <f t="shared" si="14"/>
        <v>96393.166666666672</v>
      </c>
      <c r="I25" s="40">
        <f t="shared" si="14"/>
        <v>96393.166666666672</v>
      </c>
      <c r="J25" s="40">
        <f t="shared" si="14"/>
        <v>96393.166666666672</v>
      </c>
      <c r="K25" s="40">
        <f t="shared" si="14"/>
        <v>96393.166666666672</v>
      </c>
      <c r="L25" s="40">
        <f t="shared" si="14"/>
        <v>96393.166666666672</v>
      </c>
      <c r="M25" s="40">
        <f t="shared" si="14"/>
        <v>96393.166666666672</v>
      </c>
      <c r="N25" s="40">
        <f t="shared" si="14"/>
        <v>96393.166666666672</v>
      </c>
      <c r="O25" s="40">
        <f t="shared" si="14"/>
        <v>96393.166666666672</v>
      </c>
      <c r="P25" s="40">
        <f t="shared" si="14"/>
        <v>96393.166666666672</v>
      </c>
      <c r="Q25" s="40">
        <f t="shared" si="14"/>
        <v>96393.166666666672</v>
      </c>
      <c r="R25" s="40">
        <f t="shared" si="14"/>
        <v>96393.166666666672</v>
      </c>
      <c r="S25" s="40">
        <f t="shared" si="14"/>
        <v>96393.166666666672</v>
      </c>
      <c r="T25" s="40">
        <f t="shared" si="14"/>
        <v>221393.16666666669</v>
      </c>
      <c r="U25" s="40">
        <f t="shared" si="14"/>
        <v>221393.16666666669</v>
      </c>
      <c r="V25" s="40">
        <f t="shared" si="14"/>
        <v>221393.16666666669</v>
      </c>
      <c r="W25" s="40">
        <f t="shared" si="14"/>
        <v>221393.16666666669</v>
      </c>
      <c r="X25" s="40">
        <f t="shared" si="14"/>
        <v>221393.16666666669</v>
      </c>
      <c r="Y25" s="40">
        <f t="shared" si="14"/>
        <v>221393.16666666669</v>
      </c>
      <c r="Z25" s="40">
        <f t="shared" si="14"/>
        <v>221393.16666666669</v>
      </c>
      <c r="AA25" s="40">
        <f t="shared" si="14"/>
        <v>221393.16666666669</v>
      </c>
      <c r="AB25" s="40">
        <f t="shared" si="14"/>
        <v>221393.16666666669</v>
      </c>
      <c r="AC25" s="40">
        <f t="shared" si="14"/>
        <v>221393.16666666669</v>
      </c>
      <c r="AD25" s="40">
        <f t="shared" si="14"/>
        <v>221393.16666666669</v>
      </c>
      <c r="AE25" s="40">
        <f t="shared" si="14"/>
        <v>221393.16666666669</v>
      </c>
      <c r="AF25" s="40">
        <f t="shared" si="14"/>
        <v>221393.16666666669</v>
      </c>
      <c r="AG25" s="40">
        <f t="shared" si="14"/>
        <v>221393.16666666669</v>
      </c>
      <c r="AH25" s="40">
        <f t="shared" si="14"/>
        <v>221393.16666666669</v>
      </c>
      <c r="AI25" s="40">
        <f t="shared" si="14"/>
        <v>221393.16666666669</v>
      </c>
      <c r="AJ25" s="40">
        <f t="shared" si="14"/>
        <v>221393.16666666669</v>
      </c>
      <c r="AK25" s="40">
        <f t="shared" si="14"/>
        <v>221393.16666666669</v>
      </c>
      <c r="AL25" s="40">
        <f t="shared" si="14"/>
        <v>221393.16666666669</v>
      </c>
      <c r="AM25" s="40">
        <f t="shared" si="14"/>
        <v>221393.16666666669</v>
      </c>
      <c r="AN25" s="40">
        <f t="shared" si="14"/>
        <v>221393.16666666669</v>
      </c>
      <c r="AO25" s="40">
        <f t="shared" si="14"/>
        <v>221393.16666666669</v>
      </c>
      <c r="AP25" s="40">
        <f t="shared" si="14"/>
        <v>221393.16666666669</v>
      </c>
      <c r="AQ25" s="40">
        <f t="shared" si="14"/>
        <v>221393.16666666669</v>
      </c>
      <c r="AR25" s="40">
        <f t="shared" si="14"/>
        <v>221393.16666666669</v>
      </c>
      <c r="AS25" s="40">
        <f t="shared" si="14"/>
        <v>221393.16666666669</v>
      </c>
      <c r="AT25" s="40">
        <f t="shared" si="14"/>
        <v>221393.16666666669</v>
      </c>
      <c r="AU25" s="40">
        <f t="shared" si="14"/>
        <v>221393.16666666669</v>
      </c>
      <c r="AV25" s="40">
        <f t="shared" si="14"/>
        <v>221393.16666666669</v>
      </c>
      <c r="AW25" s="40">
        <f t="shared" si="14"/>
        <v>221393.16666666669</v>
      </c>
      <c r="AX25" s="40">
        <f t="shared" si="14"/>
        <v>221393.16666666669</v>
      </c>
      <c r="AY25" s="40">
        <f t="shared" si="14"/>
        <v>221393.16666666669</v>
      </c>
      <c r="AZ25" s="40">
        <f t="shared" si="14"/>
        <v>221393.16666666669</v>
      </c>
      <c r="BA25" s="40">
        <f t="shared" si="14"/>
        <v>221393.16666666669</v>
      </c>
      <c r="BB25" s="40">
        <f t="shared" si="14"/>
        <v>221393.16666666669</v>
      </c>
      <c r="BC25" s="40">
        <f t="shared" si="14"/>
        <v>221393.16666666669</v>
      </c>
      <c r="BD25" s="40">
        <f t="shared" si="14"/>
        <v>221393.16666666669</v>
      </c>
      <c r="BE25" s="40">
        <f t="shared" si="14"/>
        <v>221393.16666666669</v>
      </c>
      <c r="BF25" s="40">
        <f t="shared" si="14"/>
        <v>221393.16666666669</v>
      </c>
      <c r="BG25" s="40">
        <f t="shared" si="14"/>
        <v>221393.16666666669</v>
      </c>
      <c r="BH25" s="40">
        <f t="shared" si="14"/>
        <v>221393.16666666669</v>
      </c>
      <c r="BI25" s="40">
        <f t="shared" si="14"/>
        <v>221393.16666666669</v>
      </c>
      <c r="BJ25" s="40">
        <f t="shared" si="14"/>
        <v>221393.16666666669</v>
      </c>
      <c r="BK25" s="40">
        <f t="shared" si="14"/>
        <v>221393.16666666669</v>
      </c>
      <c r="BL25" s="40">
        <f t="shared" si="14"/>
        <v>221393.16666666669</v>
      </c>
      <c r="BM25" s="40">
        <f t="shared" si="14"/>
        <v>221393.16666666669</v>
      </c>
      <c r="BN25" s="40">
        <f t="shared" si="14"/>
        <v>221393.16666666669</v>
      </c>
      <c r="BO25" s="40">
        <f t="shared" ref="BO25:BV25" si="15">SUM(BO23:BO24)</f>
        <v>221393.16666666669</v>
      </c>
      <c r="BP25" s="40">
        <f t="shared" si="15"/>
        <v>221393.16666666669</v>
      </c>
      <c r="BQ25" s="40">
        <f t="shared" si="15"/>
        <v>221393.16666666669</v>
      </c>
      <c r="BR25" s="40">
        <f t="shared" si="15"/>
        <v>221393.16666666669</v>
      </c>
      <c r="BS25" s="40">
        <f t="shared" si="15"/>
        <v>221393.16666666669</v>
      </c>
      <c r="BT25" s="40">
        <f t="shared" si="15"/>
        <v>221393.16666666669</v>
      </c>
      <c r="BU25" s="40">
        <f t="shared" si="15"/>
        <v>221393.16666666669</v>
      </c>
      <c r="BV25" s="40">
        <f t="shared" si="15"/>
        <v>221393.16666666669</v>
      </c>
    </row>
    <row r="26" spans="1:74" x14ac:dyDescent="0.2">
      <c r="A26" s="4"/>
    </row>
    <row r="27" spans="1:74" x14ac:dyDescent="0.2">
      <c r="A27" s="35" t="s">
        <v>76</v>
      </c>
    </row>
    <row r="28" spans="1:74" x14ac:dyDescent="0.2">
      <c r="A28" s="4" t="s">
        <v>86</v>
      </c>
      <c r="B28" s="44">
        <f>GandAEsc</f>
        <v>0</v>
      </c>
      <c r="C28" s="44">
        <f t="shared" ref="C28:BN28" si="16">GandAEsc</f>
        <v>0</v>
      </c>
      <c r="D28" s="44">
        <f t="shared" si="16"/>
        <v>0</v>
      </c>
      <c r="E28" s="44">
        <f t="shared" si="16"/>
        <v>0</v>
      </c>
      <c r="F28" s="44">
        <f t="shared" si="16"/>
        <v>0</v>
      </c>
      <c r="G28" s="44">
        <f t="shared" si="16"/>
        <v>0</v>
      </c>
      <c r="H28" s="44">
        <f t="shared" si="16"/>
        <v>0</v>
      </c>
      <c r="I28" s="44">
        <f t="shared" si="16"/>
        <v>0</v>
      </c>
      <c r="J28" s="44">
        <f t="shared" si="16"/>
        <v>0</v>
      </c>
      <c r="K28" s="44">
        <f t="shared" si="16"/>
        <v>0</v>
      </c>
      <c r="L28" s="44">
        <f t="shared" si="16"/>
        <v>0</v>
      </c>
      <c r="M28" s="44">
        <f t="shared" si="16"/>
        <v>0</v>
      </c>
      <c r="N28" s="44">
        <f t="shared" si="16"/>
        <v>0</v>
      </c>
      <c r="O28" s="44">
        <f t="shared" si="16"/>
        <v>0</v>
      </c>
      <c r="P28" s="44">
        <f t="shared" si="16"/>
        <v>0</v>
      </c>
      <c r="Q28" s="44">
        <f t="shared" si="16"/>
        <v>0</v>
      </c>
      <c r="R28" s="44">
        <f t="shared" si="16"/>
        <v>0</v>
      </c>
      <c r="S28" s="44">
        <f t="shared" si="16"/>
        <v>0</v>
      </c>
      <c r="T28" s="44">
        <f t="shared" si="16"/>
        <v>0</v>
      </c>
      <c r="U28" s="44">
        <f t="shared" si="16"/>
        <v>0</v>
      </c>
      <c r="V28" s="44">
        <f t="shared" si="16"/>
        <v>0</v>
      </c>
      <c r="W28" s="44">
        <f t="shared" si="16"/>
        <v>0</v>
      </c>
      <c r="X28" s="44">
        <f t="shared" si="16"/>
        <v>0</v>
      </c>
      <c r="Y28" s="44">
        <f t="shared" si="16"/>
        <v>0</v>
      </c>
      <c r="Z28" s="44">
        <f t="shared" si="16"/>
        <v>0</v>
      </c>
      <c r="AA28" s="44">
        <f t="shared" si="16"/>
        <v>0</v>
      </c>
      <c r="AB28" s="44">
        <f t="shared" si="16"/>
        <v>0</v>
      </c>
      <c r="AC28" s="44">
        <f t="shared" si="16"/>
        <v>0</v>
      </c>
      <c r="AD28" s="44">
        <f t="shared" si="16"/>
        <v>0</v>
      </c>
      <c r="AE28" s="44">
        <f t="shared" si="16"/>
        <v>0</v>
      </c>
      <c r="AF28" s="44">
        <f t="shared" si="16"/>
        <v>0</v>
      </c>
      <c r="AG28" s="44">
        <f t="shared" si="16"/>
        <v>0</v>
      </c>
      <c r="AH28" s="44">
        <f t="shared" si="16"/>
        <v>0</v>
      </c>
      <c r="AI28" s="44">
        <f t="shared" si="16"/>
        <v>0</v>
      </c>
      <c r="AJ28" s="44">
        <f t="shared" si="16"/>
        <v>0</v>
      </c>
      <c r="AK28" s="44">
        <f t="shared" si="16"/>
        <v>0</v>
      </c>
      <c r="AL28" s="44">
        <f t="shared" si="16"/>
        <v>0</v>
      </c>
      <c r="AM28" s="44">
        <f t="shared" si="16"/>
        <v>0</v>
      </c>
      <c r="AN28" s="44">
        <f t="shared" si="16"/>
        <v>0</v>
      </c>
      <c r="AO28" s="44">
        <f t="shared" si="16"/>
        <v>0</v>
      </c>
      <c r="AP28" s="44">
        <f t="shared" si="16"/>
        <v>0</v>
      </c>
      <c r="AQ28" s="44">
        <f t="shared" si="16"/>
        <v>0</v>
      </c>
      <c r="AR28" s="44">
        <f t="shared" si="16"/>
        <v>0</v>
      </c>
      <c r="AS28" s="44">
        <f t="shared" si="16"/>
        <v>0</v>
      </c>
      <c r="AT28" s="44">
        <f t="shared" si="16"/>
        <v>0</v>
      </c>
      <c r="AU28" s="44">
        <f t="shared" si="16"/>
        <v>0</v>
      </c>
      <c r="AV28" s="44">
        <f t="shared" si="16"/>
        <v>0</v>
      </c>
      <c r="AW28" s="44">
        <f t="shared" si="16"/>
        <v>0</v>
      </c>
      <c r="AX28" s="44">
        <f t="shared" si="16"/>
        <v>0</v>
      </c>
      <c r="AY28" s="44">
        <f t="shared" si="16"/>
        <v>0</v>
      </c>
      <c r="AZ28" s="44">
        <f t="shared" si="16"/>
        <v>0</v>
      </c>
      <c r="BA28" s="44">
        <f t="shared" si="16"/>
        <v>0</v>
      </c>
      <c r="BB28" s="44">
        <f t="shared" si="16"/>
        <v>0</v>
      </c>
      <c r="BC28" s="44">
        <f t="shared" si="16"/>
        <v>0</v>
      </c>
      <c r="BD28" s="44">
        <f t="shared" si="16"/>
        <v>0</v>
      </c>
      <c r="BE28" s="44">
        <f t="shared" si="16"/>
        <v>0</v>
      </c>
      <c r="BF28" s="44">
        <f t="shared" si="16"/>
        <v>0</v>
      </c>
      <c r="BG28" s="44">
        <f t="shared" si="16"/>
        <v>0</v>
      </c>
      <c r="BH28" s="44">
        <f t="shared" si="16"/>
        <v>0</v>
      </c>
      <c r="BI28" s="44">
        <f t="shared" si="16"/>
        <v>0</v>
      </c>
      <c r="BJ28" s="44">
        <f t="shared" si="16"/>
        <v>0</v>
      </c>
      <c r="BK28" s="44">
        <f t="shared" si="16"/>
        <v>0</v>
      </c>
      <c r="BL28" s="44">
        <f t="shared" si="16"/>
        <v>0</v>
      </c>
      <c r="BM28" s="44">
        <f t="shared" si="16"/>
        <v>0</v>
      </c>
      <c r="BN28" s="44">
        <f t="shared" si="16"/>
        <v>0</v>
      </c>
      <c r="BO28" s="44">
        <f t="shared" ref="BO28:BV28" si="17">GandAEsc</f>
        <v>0</v>
      </c>
      <c r="BP28" s="44">
        <f t="shared" si="17"/>
        <v>0</v>
      </c>
      <c r="BQ28" s="44">
        <f t="shared" si="17"/>
        <v>0</v>
      </c>
      <c r="BR28" s="44">
        <f t="shared" si="17"/>
        <v>0</v>
      </c>
      <c r="BS28" s="44">
        <f t="shared" si="17"/>
        <v>0</v>
      </c>
      <c r="BT28" s="44">
        <f t="shared" si="17"/>
        <v>0</v>
      </c>
      <c r="BU28" s="44">
        <f t="shared" si="17"/>
        <v>0</v>
      </c>
      <c r="BV28" s="44">
        <f t="shared" si="17"/>
        <v>0</v>
      </c>
    </row>
    <row r="29" spans="1:74" x14ac:dyDescent="0.2">
      <c r="A29" s="5" t="s">
        <v>77</v>
      </c>
      <c r="B29" s="37">
        <f>assumptions!$B$33/12</f>
        <v>65387.333333333336</v>
      </c>
      <c r="C29" s="37">
        <f>B29*(1+C28)</f>
        <v>65387.333333333336</v>
      </c>
      <c r="D29" s="37">
        <f t="shared" ref="D29:BO29" si="18">C29*(1+D28)</f>
        <v>65387.333333333336</v>
      </c>
      <c r="E29" s="37">
        <f t="shared" si="18"/>
        <v>65387.333333333336</v>
      </c>
      <c r="F29" s="37">
        <f t="shared" si="18"/>
        <v>65387.333333333336</v>
      </c>
      <c r="G29" s="37">
        <f t="shared" si="18"/>
        <v>65387.333333333336</v>
      </c>
      <c r="H29" s="37">
        <f t="shared" si="18"/>
        <v>65387.333333333336</v>
      </c>
      <c r="I29" s="37">
        <f t="shared" si="18"/>
        <v>65387.333333333336</v>
      </c>
      <c r="J29" s="37">
        <f t="shared" si="18"/>
        <v>65387.333333333336</v>
      </c>
      <c r="K29" s="37">
        <f t="shared" si="18"/>
        <v>65387.333333333336</v>
      </c>
      <c r="L29" s="37">
        <f t="shared" si="18"/>
        <v>65387.333333333336</v>
      </c>
      <c r="M29" s="37">
        <f t="shared" si="18"/>
        <v>65387.333333333336</v>
      </c>
      <c r="N29" s="37">
        <f t="shared" si="18"/>
        <v>65387.333333333336</v>
      </c>
      <c r="O29" s="37">
        <f t="shared" si="18"/>
        <v>65387.333333333336</v>
      </c>
      <c r="P29" s="37">
        <f t="shared" si="18"/>
        <v>65387.333333333336</v>
      </c>
      <c r="Q29" s="37">
        <f t="shared" si="18"/>
        <v>65387.333333333336</v>
      </c>
      <c r="R29" s="37">
        <f t="shared" si="18"/>
        <v>65387.333333333336</v>
      </c>
      <c r="S29" s="37">
        <f t="shared" si="18"/>
        <v>65387.333333333336</v>
      </c>
      <c r="T29" s="37">
        <f t="shared" si="18"/>
        <v>65387.333333333336</v>
      </c>
      <c r="U29" s="37">
        <f t="shared" si="18"/>
        <v>65387.333333333336</v>
      </c>
      <c r="V29" s="37">
        <f t="shared" si="18"/>
        <v>65387.333333333336</v>
      </c>
      <c r="W29" s="37">
        <f t="shared" si="18"/>
        <v>65387.333333333336</v>
      </c>
      <c r="X29" s="37">
        <f t="shared" si="18"/>
        <v>65387.333333333336</v>
      </c>
      <c r="Y29" s="37">
        <f t="shared" si="18"/>
        <v>65387.333333333336</v>
      </c>
      <c r="Z29" s="37">
        <f t="shared" si="18"/>
        <v>65387.333333333336</v>
      </c>
      <c r="AA29" s="37">
        <f t="shared" si="18"/>
        <v>65387.333333333336</v>
      </c>
      <c r="AB29" s="37">
        <f t="shared" si="18"/>
        <v>65387.333333333336</v>
      </c>
      <c r="AC29" s="37">
        <f t="shared" si="18"/>
        <v>65387.333333333336</v>
      </c>
      <c r="AD29" s="37">
        <f t="shared" si="18"/>
        <v>65387.333333333336</v>
      </c>
      <c r="AE29" s="37">
        <f t="shared" si="18"/>
        <v>65387.333333333336</v>
      </c>
      <c r="AF29" s="37">
        <f t="shared" si="18"/>
        <v>65387.333333333336</v>
      </c>
      <c r="AG29" s="37">
        <f t="shared" si="18"/>
        <v>65387.333333333336</v>
      </c>
      <c r="AH29" s="37">
        <f t="shared" si="18"/>
        <v>65387.333333333336</v>
      </c>
      <c r="AI29" s="37">
        <f t="shared" si="18"/>
        <v>65387.333333333336</v>
      </c>
      <c r="AJ29" s="37">
        <f t="shared" si="18"/>
        <v>65387.333333333336</v>
      </c>
      <c r="AK29" s="37">
        <f t="shared" si="18"/>
        <v>65387.333333333336</v>
      </c>
      <c r="AL29" s="37">
        <f t="shared" si="18"/>
        <v>65387.333333333336</v>
      </c>
      <c r="AM29" s="37">
        <f t="shared" si="18"/>
        <v>65387.333333333336</v>
      </c>
      <c r="AN29" s="37">
        <f t="shared" si="18"/>
        <v>65387.333333333336</v>
      </c>
      <c r="AO29" s="37">
        <f t="shared" si="18"/>
        <v>65387.333333333336</v>
      </c>
      <c r="AP29" s="37">
        <f t="shared" si="18"/>
        <v>65387.333333333336</v>
      </c>
      <c r="AQ29" s="37">
        <f t="shared" si="18"/>
        <v>65387.333333333336</v>
      </c>
      <c r="AR29" s="37">
        <f t="shared" si="18"/>
        <v>65387.333333333336</v>
      </c>
      <c r="AS29" s="37">
        <f t="shared" si="18"/>
        <v>65387.333333333336</v>
      </c>
      <c r="AT29" s="37">
        <f t="shared" si="18"/>
        <v>65387.333333333336</v>
      </c>
      <c r="AU29" s="37">
        <f t="shared" si="18"/>
        <v>65387.333333333336</v>
      </c>
      <c r="AV29" s="37">
        <f t="shared" si="18"/>
        <v>65387.333333333336</v>
      </c>
      <c r="AW29" s="37">
        <f t="shared" si="18"/>
        <v>65387.333333333336</v>
      </c>
      <c r="AX29" s="37">
        <f t="shared" si="18"/>
        <v>65387.333333333336</v>
      </c>
      <c r="AY29" s="37">
        <f t="shared" si="18"/>
        <v>65387.333333333336</v>
      </c>
      <c r="AZ29" s="37">
        <f t="shared" si="18"/>
        <v>65387.333333333336</v>
      </c>
      <c r="BA29" s="37">
        <f t="shared" si="18"/>
        <v>65387.333333333336</v>
      </c>
      <c r="BB29" s="37">
        <f t="shared" si="18"/>
        <v>65387.333333333336</v>
      </c>
      <c r="BC29" s="37">
        <f t="shared" si="18"/>
        <v>65387.333333333336</v>
      </c>
      <c r="BD29" s="37">
        <f t="shared" si="18"/>
        <v>65387.333333333336</v>
      </c>
      <c r="BE29" s="37">
        <f t="shared" si="18"/>
        <v>65387.333333333336</v>
      </c>
      <c r="BF29" s="37">
        <f t="shared" si="18"/>
        <v>65387.333333333336</v>
      </c>
      <c r="BG29" s="37">
        <f t="shared" si="18"/>
        <v>65387.333333333336</v>
      </c>
      <c r="BH29" s="37">
        <f t="shared" si="18"/>
        <v>65387.333333333336</v>
      </c>
      <c r="BI29" s="37">
        <f t="shared" si="18"/>
        <v>65387.333333333336</v>
      </c>
      <c r="BJ29" s="37">
        <f t="shared" si="18"/>
        <v>65387.333333333336</v>
      </c>
      <c r="BK29" s="37">
        <f t="shared" si="18"/>
        <v>65387.333333333336</v>
      </c>
      <c r="BL29" s="37">
        <f t="shared" si="18"/>
        <v>65387.333333333336</v>
      </c>
      <c r="BM29" s="37">
        <f t="shared" si="18"/>
        <v>65387.333333333336</v>
      </c>
      <c r="BN29" s="37">
        <f t="shared" si="18"/>
        <v>65387.333333333336</v>
      </c>
      <c r="BO29" s="37">
        <f t="shared" si="18"/>
        <v>65387.333333333336</v>
      </c>
      <c r="BP29" s="37">
        <f t="shared" ref="BP29:BV29" si="19">BO29*(1+BP28)</f>
        <v>65387.333333333336</v>
      </c>
      <c r="BQ29" s="37">
        <f t="shared" si="19"/>
        <v>65387.333333333336</v>
      </c>
      <c r="BR29" s="37">
        <f t="shared" si="19"/>
        <v>65387.333333333336</v>
      </c>
      <c r="BS29" s="37">
        <f t="shared" si="19"/>
        <v>65387.333333333336</v>
      </c>
      <c r="BT29" s="37">
        <f t="shared" si="19"/>
        <v>65387.333333333336</v>
      </c>
      <c r="BU29" s="37">
        <f t="shared" si="19"/>
        <v>65387.333333333336</v>
      </c>
      <c r="BV29" s="37">
        <f t="shared" si="19"/>
        <v>65387.333333333336</v>
      </c>
    </row>
    <row r="30" spans="1:74" x14ac:dyDescent="0.2">
      <c r="A30" s="4"/>
    </row>
    <row r="31" spans="1:74" x14ac:dyDescent="0.2">
      <c r="A31" s="5" t="s">
        <v>78</v>
      </c>
      <c r="B31" s="41">
        <f>B25+B29</f>
        <v>161780.5</v>
      </c>
      <c r="C31" s="41">
        <f t="shared" ref="C31:BN31" si="20">C25+C29</f>
        <v>161780.5</v>
      </c>
      <c r="D31" s="41">
        <f t="shared" si="20"/>
        <v>161780.5</v>
      </c>
      <c r="E31" s="41">
        <f t="shared" si="20"/>
        <v>161780.5</v>
      </c>
      <c r="F31" s="41">
        <f t="shared" si="20"/>
        <v>161780.5</v>
      </c>
      <c r="G31" s="41">
        <f t="shared" si="20"/>
        <v>161780.5</v>
      </c>
      <c r="H31" s="41">
        <f t="shared" si="20"/>
        <v>161780.5</v>
      </c>
      <c r="I31" s="41">
        <f t="shared" si="20"/>
        <v>161780.5</v>
      </c>
      <c r="J31" s="41">
        <f t="shared" si="20"/>
        <v>161780.5</v>
      </c>
      <c r="K31" s="41">
        <f t="shared" si="20"/>
        <v>161780.5</v>
      </c>
      <c r="L31" s="41">
        <f t="shared" si="20"/>
        <v>161780.5</v>
      </c>
      <c r="M31" s="41">
        <f t="shared" si="20"/>
        <v>161780.5</v>
      </c>
      <c r="N31" s="41">
        <f t="shared" si="20"/>
        <v>161780.5</v>
      </c>
      <c r="O31" s="41">
        <f t="shared" si="20"/>
        <v>161780.5</v>
      </c>
      <c r="P31" s="41">
        <f t="shared" si="20"/>
        <v>161780.5</v>
      </c>
      <c r="Q31" s="41">
        <f t="shared" si="20"/>
        <v>161780.5</v>
      </c>
      <c r="R31" s="41">
        <f t="shared" si="20"/>
        <v>161780.5</v>
      </c>
      <c r="S31" s="41">
        <f t="shared" si="20"/>
        <v>161780.5</v>
      </c>
      <c r="T31" s="41">
        <f t="shared" si="20"/>
        <v>286780.5</v>
      </c>
      <c r="U31" s="41">
        <f t="shared" si="20"/>
        <v>286780.5</v>
      </c>
      <c r="V31" s="41">
        <f t="shared" si="20"/>
        <v>286780.5</v>
      </c>
      <c r="W31" s="41">
        <f t="shared" si="20"/>
        <v>286780.5</v>
      </c>
      <c r="X31" s="41">
        <f t="shared" si="20"/>
        <v>286780.5</v>
      </c>
      <c r="Y31" s="41">
        <f t="shared" si="20"/>
        <v>286780.5</v>
      </c>
      <c r="Z31" s="41">
        <f t="shared" si="20"/>
        <v>286780.5</v>
      </c>
      <c r="AA31" s="41">
        <f t="shared" si="20"/>
        <v>286780.5</v>
      </c>
      <c r="AB31" s="41">
        <f t="shared" si="20"/>
        <v>286780.5</v>
      </c>
      <c r="AC31" s="41">
        <f t="shared" si="20"/>
        <v>286780.5</v>
      </c>
      <c r="AD31" s="41">
        <f t="shared" si="20"/>
        <v>286780.5</v>
      </c>
      <c r="AE31" s="41">
        <f t="shared" si="20"/>
        <v>286780.5</v>
      </c>
      <c r="AF31" s="41">
        <f t="shared" si="20"/>
        <v>286780.5</v>
      </c>
      <c r="AG31" s="41">
        <f t="shared" si="20"/>
        <v>286780.5</v>
      </c>
      <c r="AH31" s="41">
        <f t="shared" si="20"/>
        <v>286780.5</v>
      </c>
      <c r="AI31" s="41">
        <f t="shared" si="20"/>
        <v>286780.5</v>
      </c>
      <c r="AJ31" s="41">
        <f t="shared" si="20"/>
        <v>286780.5</v>
      </c>
      <c r="AK31" s="41">
        <f t="shared" si="20"/>
        <v>286780.5</v>
      </c>
      <c r="AL31" s="41">
        <f t="shared" si="20"/>
        <v>286780.5</v>
      </c>
      <c r="AM31" s="41">
        <f t="shared" si="20"/>
        <v>286780.5</v>
      </c>
      <c r="AN31" s="41">
        <f t="shared" si="20"/>
        <v>286780.5</v>
      </c>
      <c r="AO31" s="41">
        <f t="shared" si="20"/>
        <v>286780.5</v>
      </c>
      <c r="AP31" s="41">
        <f t="shared" si="20"/>
        <v>286780.5</v>
      </c>
      <c r="AQ31" s="41">
        <f t="shared" si="20"/>
        <v>286780.5</v>
      </c>
      <c r="AR31" s="41">
        <f t="shared" si="20"/>
        <v>286780.5</v>
      </c>
      <c r="AS31" s="41">
        <f t="shared" si="20"/>
        <v>286780.5</v>
      </c>
      <c r="AT31" s="41">
        <f t="shared" si="20"/>
        <v>286780.5</v>
      </c>
      <c r="AU31" s="41">
        <f t="shared" si="20"/>
        <v>286780.5</v>
      </c>
      <c r="AV31" s="41">
        <f t="shared" si="20"/>
        <v>286780.5</v>
      </c>
      <c r="AW31" s="41">
        <f t="shared" si="20"/>
        <v>286780.5</v>
      </c>
      <c r="AX31" s="41">
        <f t="shared" si="20"/>
        <v>286780.5</v>
      </c>
      <c r="AY31" s="41">
        <f t="shared" si="20"/>
        <v>286780.5</v>
      </c>
      <c r="AZ31" s="41">
        <f t="shared" si="20"/>
        <v>286780.5</v>
      </c>
      <c r="BA31" s="41">
        <f t="shared" si="20"/>
        <v>286780.5</v>
      </c>
      <c r="BB31" s="41">
        <f t="shared" si="20"/>
        <v>286780.5</v>
      </c>
      <c r="BC31" s="41">
        <f t="shared" si="20"/>
        <v>286780.5</v>
      </c>
      <c r="BD31" s="41">
        <f t="shared" si="20"/>
        <v>286780.5</v>
      </c>
      <c r="BE31" s="41">
        <f t="shared" si="20"/>
        <v>286780.5</v>
      </c>
      <c r="BF31" s="41">
        <f t="shared" si="20"/>
        <v>286780.5</v>
      </c>
      <c r="BG31" s="41">
        <f t="shared" si="20"/>
        <v>286780.5</v>
      </c>
      <c r="BH31" s="41">
        <f t="shared" si="20"/>
        <v>286780.5</v>
      </c>
      <c r="BI31" s="41">
        <f t="shared" si="20"/>
        <v>286780.5</v>
      </c>
      <c r="BJ31" s="41">
        <f t="shared" si="20"/>
        <v>286780.5</v>
      </c>
      <c r="BK31" s="41">
        <f t="shared" si="20"/>
        <v>286780.5</v>
      </c>
      <c r="BL31" s="41">
        <f t="shared" si="20"/>
        <v>286780.5</v>
      </c>
      <c r="BM31" s="41">
        <f t="shared" si="20"/>
        <v>286780.5</v>
      </c>
      <c r="BN31" s="41">
        <f t="shared" si="20"/>
        <v>286780.5</v>
      </c>
      <c r="BO31" s="41">
        <f t="shared" ref="BO31:BV31" si="21">BO25+BO29</f>
        <v>286780.5</v>
      </c>
      <c r="BP31" s="41">
        <f t="shared" si="21"/>
        <v>286780.5</v>
      </c>
      <c r="BQ31" s="41">
        <f t="shared" si="21"/>
        <v>286780.5</v>
      </c>
      <c r="BR31" s="41">
        <f t="shared" si="21"/>
        <v>286780.5</v>
      </c>
      <c r="BS31" s="41">
        <f t="shared" si="21"/>
        <v>286780.5</v>
      </c>
      <c r="BT31" s="41">
        <f t="shared" si="21"/>
        <v>286780.5</v>
      </c>
      <c r="BU31" s="41">
        <f t="shared" si="21"/>
        <v>286780.5</v>
      </c>
      <c r="BV31" s="41">
        <f t="shared" si="21"/>
        <v>286780.5</v>
      </c>
    </row>
    <row r="32" spans="1:74" x14ac:dyDescent="0.2">
      <c r="A32" s="4"/>
    </row>
    <row r="33" spans="1:74" x14ac:dyDescent="0.2">
      <c r="A33" s="35" t="s">
        <v>79</v>
      </c>
      <c r="B33" s="13">
        <f>B19-B31</f>
        <v>1140219.5</v>
      </c>
      <c r="C33" s="13">
        <f t="shared" ref="C33:BN33" si="22">C19-C31</f>
        <v>1140219.5</v>
      </c>
      <c r="D33" s="13">
        <f t="shared" si="22"/>
        <v>1056219.5</v>
      </c>
      <c r="E33" s="13">
        <f t="shared" si="22"/>
        <v>1140219.5</v>
      </c>
      <c r="F33" s="13">
        <f t="shared" si="22"/>
        <v>1098219.5</v>
      </c>
      <c r="G33" s="13">
        <f t="shared" si="22"/>
        <v>1140219.5</v>
      </c>
      <c r="H33" s="13">
        <f t="shared" si="22"/>
        <v>1098219.5</v>
      </c>
      <c r="I33" s="13">
        <f t="shared" si="22"/>
        <v>1140219.5</v>
      </c>
      <c r="J33" s="13">
        <f t="shared" si="22"/>
        <v>1140219.5</v>
      </c>
      <c r="K33" s="13">
        <f t="shared" si="22"/>
        <v>1098219.5</v>
      </c>
      <c r="L33" s="13">
        <f t="shared" si="22"/>
        <v>1140219.5</v>
      </c>
      <c r="M33" s="13">
        <f t="shared" si="22"/>
        <v>1098219.5</v>
      </c>
      <c r="N33" s="13">
        <f t="shared" si="22"/>
        <v>1140219.5</v>
      </c>
      <c r="O33" s="13">
        <f t="shared" si="22"/>
        <v>1140219.5</v>
      </c>
      <c r="P33" s="13">
        <f t="shared" si="22"/>
        <v>1014219.5</v>
      </c>
      <c r="Q33" s="13">
        <f t="shared" si="22"/>
        <v>1140219.5</v>
      </c>
      <c r="R33" s="13">
        <f t="shared" si="22"/>
        <v>1182219.5</v>
      </c>
      <c r="S33" s="13">
        <f t="shared" si="22"/>
        <v>1368069.5</v>
      </c>
      <c r="T33" s="13">
        <f t="shared" si="22"/>
        <v>1603219.5</v>
      </c>
      <c r="U33" s="13">
        <f t="shared" si="22"/>
        <v>1764855.8636363635</v>
      </c>
      <c r="V33" s="13">
        <f t="shared" si="22"/>
        <v>1863492.2272727271</v>
      </c>
      <c r="W33" s="13">
        <f t="shared" si="22"/>
        <v>1889583.1363636362</v>
      </c>
      <c r="X33" s="13">
        <f t="shared" si="22"/>
        <v>2060764.9545454541</v>
      </c>
      <c r="Y33" s="13">
        <f t="shared" si="22"/>
        <v>2080492.2272727266</v>
      </c>
      <c r="Z33" s="13">
        <f t="shared" si="22"/>
        <v>2258037.6818181812</v>
      </c>
      <c r="AA33" s="13">
        <f t="shared" si="22"/>
        <v>2356674.0454545449</v>
      </c>
      <c r="AB33" s="13">
        <f t="shared" si="22"/>
        <v>2189946.7727272725</v>
      </c>
      <c r="AC33" s="13">
        <f t="shared" si="22"/>
        <v>2522569.0316500515</v>
      </c>
      <c r="AD33" s="13">
        <f t="shared" si="22"/>
        <v>2437561.5771152582</v>
      </c>
      <c r="AE33" s="13">
        <f t="shared" si="22"/>
        <v>2542377.9100520574</v>
      </c>
      <c r="AF33" s="13">
        <f t="shared" si="22"/>
        <v>2486507.0626772037</v>
      </c>
      <c r="AG33" s="13">
        <f t="shared" si="22"/>
        <v>2595243.964229228</v>
      </c>
      <c r="AH33" s="13">
        <f t="shared" si="22"/>
        <v>2610266.0115344808</v>
      </c>
      <c r="AI33" s="13">
        <f t="shared" si="22"/>
        <v>2543509.2059252877</v>
      </c>
      <c r="AJ33" s="13">
        <f t="shared" si="22"/>
        <v>2654901.3802815881</v>
      </c>
      <c r="AK33" s="13">
        <f t="shared" si="22"/>
        <v>2576585.8046659869</v>
      </c>
      <c r="AL33" s="13">
        <f t="shared" si="22"/>
        <v>2688844.6349591464</v>
      </c>
      <c r="AM33" s="13">
        <f t="shared" si="22"/>
        <v>2708702.0689261081</v>
      </c>
      <c r="AN33" s="13">
        <f t="shared" si="22"/>
        <v>2436235.9009873765</v>
      </c>
      <c r="AO33" s="13">
        <f t="shared" si="22"/>
        <v>2746642.4454540387</v>
      </c>
      <c r="AP33" s="13">
        <f t="shared" si="22"/>
        <v>2653219.5</v>
      </c>
      <c r="AQ33" s="13">
        <f t="shared" si="22"/>
        <v>2751219.5</v>
      </c>
      <c r="AR33" s="13">
        <f t="shared" si="22"/>
        <v>2653219.5</v>
      </c>
      <c r="AS33" s="13">
        <f t="shared" si="22"/>
        <v>2751219.5</v>
      </c>
      <c r="AT33" s="13">
        <f t="shared" si="22"/>
        <v>2751219.5</v>
      </c>
      <c r="AU33" s="13">
        <f t="shared" si="22"/>
        <v>2653219.5</v>
      </c>
      <c r="AV33" s="13">
        <f t="shared" si="22"/>
        <v>2751219.5</v>
      </c>
      <c r="AW33" s="13">
        <f t="shared" si="22"/>
        <v>2653219.5</v>
      </c>
      <c r="AX33" s="13">
        <f t="shared" si="22"/>
        <v>2751219.5</v>
      </c>
      <c r="AY33" s="13">
        <f t="shared" si="22"/>
        <v>2751219.5</v>
      </c>
      <c r="AZ33" s="13">
        <f t="shared" si="22"/>
        <v>2555219.5</v>
      </c>
      <c r="BA33" s="13">
        <f t="shared" si="22"/>
        <v>2751219.5</v>
      </c>
      <c r="BB33" s="13">
        <f t="shared" si="22"/>
        <v>2653219.5</v>
      </c>
      <c r="BC33" s="13">
        <f t="shared" si="22"/>
        <v>2751219.5</v>
      </c>
      <c r="BD33" s="13">
        <f t="shared" si="22"/>
        <v>2653219.5</v>
      </c>
      <c r="BE33" s="13">
        <f t="shared" si="22"/>
        <v>2751219.5</v>
      </c>
      <c r="BF33" s="13">
        <f t="shared" si="22"/>
        <v>2751219.5</v>
      </c>
      <c r="BG33" s="13">
        <f t="shared" si="22"/>
        <v>2653219.5</v>
      </c>
      <c r="BH33" s="13">
        <f t="shared" si="22"/>
        <v>2751219.5</v>
      </c>
      <c r="BI33" s="13">
        <f t="shared" si="22"/>
        <v>2653219.5</v>
      </c>
      <c r="BJ33" s="13">
        <f t="shared" si="22"/>
        <v>2751219.5</v>
      </c>
      <c r="BK33" s="13">
        <f t="shared" si="22"/>
        <v>2751219.5</v>
      </c>
      <c r="BL33" s="13">
        <f t="shared" si="22"/>
        <v>2457219.5</v>
      </c>
      <c r="BM33" s="13">
        <f t="shared" si="22"/>
        <v>2751219.5</v>
      </c>
      <c r="BN33" s="13">
        <f t="shared" si="22"/>
        <v>2653219.5</v>
      </c>
      <c r="BO33" s="13">
        <f t="shared" ref="BO33:BV33" si="23">BO19-BO31</f>
        <v>2751219.5</v>
      </c>
      <c r="BP33" s="13">
        <f t="shared" si="23"/>
        <v>2653219.5</v>
      </c>
      <c r="BQ33" s="13">
        <f t="shared" si="23"/>
        <v>2751219.5</v>
      </c>
      <c r="BR33" s="13">
        <f t="shared" si="23"/>
        <v>2751219.5</v>
      </c>
      <c r="BS33" s="13">
        <f t="shared" si="23"/>
        <v>2653219.5</v>
      </c>
      <c r="BT33" s="13">
        <f t="shared" si="23"/>
        <v>2751219.5</v>
      </c>
      <c r="BU33" s="13">
        <f t="shared" si="23"/>
        <v>2653219.5</v>
      </c>
      <c r="BV33" s="13">
        <f t="shared" si="23"/>
        <v>2742145.1259446931</v>
      </c>
    </row>
    <row r="34" spans="1:74" x14ac:dyDescent="0.2">
      <c r="A34" s="4"/>
    </row>
    <row r="35" spans="1:74" x14ac:dyDescent="0.2">
      <c r="A35" s="4" t="s">
        <v>80</v>
      </c>
      <c r="B35" s="37"/>
      <c r="C35" s="37"/>
      <c r="D35" s="37"/>
      <c r="E35" s="37">
        <f>HLOOKUP(E7,'FUGG financing'!$C$24:$AP$31,7,FALSE)</f>
        <v>663885.67019758327</v>
      </c>
      <c r="F35" s="37"/>
      <c r="G35" s="37"/>
      <c r="H35" s="37">
        <f>HLOOKUP(H7,'FUGG financing'!$C$24:$AP$31,7,FALSE)</f>
        <v>656669.5216084792</v>
      </c>
      <c r="I35" s="37"/>
      <c r="J35" s="37"/>
      <c r="K35" s="37">
        <f>HLOOKUP(K7,'FUGG financing'!$C$24:$AP$31,7,FALSE)</f>
        <v>1003903.6146420279</v>
      </c>
      <c r="L35" s="37"/>
      <c r="M35" s="37"/>
      <c r="N35" s="37">
        <f>HLOOKUP(N7,'FUGG financing'!$C$24:$AP$31,7,FALSE)</f>
        <v>1003903.6146420279</v>
      </c>
      <c r="O35" s="37"/>
      <c r="P35" s="37"/>
      <c r="Q35" s="37">
        <f>HLOOKUP(Q7,'FUGG financing'!$C$24:$AP$31,7,FALSE)</f>
        <v>982079.62301937502</v>
      </c>
      <c r="R35" s="37"/>
      <c r="S35" s="37"/>
      <c r="T35" s="37">
        <f>HLOOKUP(T7,'FUGG financing'!$C$24:$AP$31,7,FALSE)</f>
        <v>971846.58703014499</v>
      </c>
      <c r="U35" s="37"/>
      <c r="V35" s="37"/>
      <c r="W35" s="37">
        <f>HLOOKUP(W7,'FUGG financing'!$C$24:$AP$31,7,FALSE)</f>
        <v>960962.76004789222</v>
      </c>
      <c r="X35" s="37"/>
      <c r="Y35" s="37"/>
      <c r="Z35" s="37">
        <f>HLOOKUP(Z7,'FUGG financing'!$C$24:$AP$31,7,FALSE)</f>
        <v>955701.7780357406</v>
      </c>
      <c r="AA35" s="37"/>
      <c r="AB35" s="37"/>
      <c r="AC35" s="37">
        <f>HLOOKUP(AC7,'FUGG financing'!$C$24:$AP$31,7,FALSE)</f>
        <v>913168.14003621659</v>
      </c>
      <c r="AD35" s="37"/>
      <c r="AE35" s="37"/>
      <c r="AF35" s="37">
        <f>HLOOKUP(AF7,'FUGG financing'!$C$24:$AP$31,7,FALSE)</f>
        <v>900536.77734057768</v>
      </c>
      <c r="AG35" s="37"/>
      <c r="AH35" s="37"/>
      <c r="AI35" s="37">
        <f>HLOOKUP(AI7,'FUGG financing'!$C$24:$AP$31,7,FALSE)</f>
        <v>887171.098115645</v>
      </c>
      <c r="AJ35" s="37"/>
      <c r="AK35" s="37"/>
      <c r="AL35" s="37">
        <f>HLOOKUP(AL7,'FUGG financing'!$C$24:$AP$31,7,FALSE)</f>
        <v>863662.11558133748</v>
      </c>
      <c r="AM35" s="37"/>
      <c r="AN35" s="37"/>
      <c r="AO35" s="37">
        <f>HLOOKUP(AO7,'FUGG financing'!$C$24:$AP$31,7,FALSE)</f>
        <v>821463.42191865831</v>
      </c>
      <c r="AP35" s="37"/>
      <c r="AQ35" s="37"/>
      <c r="AR35" s="37">
        <f>HLOOKUP(AR7,'FUGG financing'!$C$24:$AP$31,7,FALSE)</f>
        <v>806134.81967491959</v>
      </c>
      <c r="AS35" s="37"/>
      <c r="AT35" s="37"/>
      <c r="AU35" s="37">
        <f>HLOOKUP(AU7,'FUGG financing'!$C$24:$AP$31,7,FALSE)</f>
        <v>789985.11030087189</v>
      </c>
      <c r="AV35" s="37"/>
      <c r="AW35" s="37"/>
      <c r="AX35" s="37">
        <f>HLOOKUP(AX7,'FUGG financing'!$C$24:$AP$31,7,FALSE)</f>
        <v>777880.28405874956</v>
      </c>
      <c r="AY35" s="37"/>
      <c r="AZ35" s="37"/>
      <c r="BA35" s="37">
        <f>HLOOKUP(BA7,'FUGG financing'!$C$24:$AP$31,7,FALSE)</f>
        <v>743735.46195876179</v>
      </c>
      <c r="BB35" s="37"/>
      <c r="BC35" s="37"/>
      <c r="BD35" s="37">
        <f>HLOOKUP(BD7,'FUGG financing'!$C$24:$AP$31,7,FALSE)</f>
        <v>717410.18333923607</v>
      </c>
      <c r="BE35" s="37"/>
      <c r="BF35" s="37"/>
      <c r="BG35" s="37">
        <f>HLOOKUP(BG7,'FUGG financing'!$C$24:$AP$31,7,FALSE)</f>
        <v>698183.75871293095</v>
      </c>
      <c r="BH35" s="37"/>
      <c r="BI35" s="37"/>
      <c r="BJ35" s="37">
        <f>HLOOKUP(BJ7,'FUGG financing'!$C$24:$AP$31,7,FALSE)</f>
        <v>670711.83234277472</v>
      </c>
      <c r="BK35" s="37"/>
      <c r="BL35" s="37"/>
      <c r="BM35" s="37">
        <f>HLOOKUP(BM7,'FUGG financing'!$C$24:$AP$31,7,FALSE)</f>
        <v>628750.60291153181</v>
      </c>
      <c r="BN35" s="37"/>
      <c r="BO35" s="37"/>
      <c r="BP35" s="37">
        <f>HLOOKUP(BP7,'FUGG financing'!$C$24:$AP$31,7,FALSE)</f>
        <v>607270.75939918053</v>
      </c>
      <c r="BQ35" s="37"/>
      <c r="BR35" s="37"/>
      <c r="BS35" s="37">
        <f>HLOOKUP(BS7,'FUGG financing'!$C$24:$AP$31,7,FALSE)</f>
        <v>584761.00390861649</v>
      </c>
      <c r="BT35" s="37"/>
      <c r="BU35" s="37"/>
      <c r="BV35" s="37">
        <f>HLOOKUP(BV7,'FUGG financing'!$C$24:$AP$31,7,FALSE)</f>
        <v>564576.44252421381</v>
      </c>
    </row>
    <row r="36" spans="1:74" x14ac:dyDescent="0.2">
      <c r="A36" s="30" t="s">
        <v>81</v>
      </c>
      <c r="B36" s="58">
        <f>172000</f>
        <v>172000</v>
      </c>
      <c r="C36" s="37">
        <f>B36</f>
        <v>172000</v>
      </c>
      <c r="D36" s="37">
        <f t="shared" ref="D36:BO36" si="24">C36</f>
        <v>172000</v>
      </c>
      <c r="E36" s="37">
        <f t="shared" si="24"/>
        <v>172000</v>
      </c>
      <c r="F36" s="37">
        <f t="shared" si="24"/>
        <v>172000</v>
      </c>
      <c r="G36" s="37">
        <f t="shared" si="24"/>
        <v>172000</v>
      </c>
      <c r="H36" s="37">
        <f t="shared" si="24"/>
        <v>172000</v>
      </c>
      <c r="I36" s="37">
        <f t="shared" si="24"/>
        <v>172000</v>
      </c>
      <c r="J36" s="37">
        <f t="shared" si="24"/>
        <v>172000</v>
      </c>
      <c r="K36" s="37">
        <f t="shared" si="24"/>
        <v>172000</v>
      </c>
      <c r="L36" s="37">
        <f t="shared" si="24"/>
        <v>172000</v>
      </c>
      <c r="M36" s="37">
        <f t="shared" si="24"/>
        <v>172000</v>
      </c>
      <c r="N36" s="37">
        <f t="shared" si="24"/>
        <v>172000</v>
      </c>
      <c r="O36" s="37">
        <f t="shared" si="24"/>
        <v>172000</v>
      </c>
      <c r="P36" s="37">
        <f t="shared" si="24"/>
        <v>172000</v>
      </c>
      <c r="Q36" s="37">
        <f t="shared" si="24"/>
        <v>172000</v>
      </c>
      <c r="R36" s="37">
        <f t="shared" si="24"/>
        <v>172000</v>
      </c>
      <c r="S36" s="37">
        <f t="shared" si="24"/>
        <v>172000</v>
      </c>
      <c r="T36" s="37">
        <f t="shared" si="24"/>
        <v>172000</v>
      </c>
      <c r="U36" s="37">
        <f t="shared" si="24"/>
        <v>172000</v>
      </c>
      <c r="V36" s="37">
        <f t="shared" si="24"/>
        <v>172000</v>
      </c>
      <c r="W36" s="37">
        <f t="shared" si="24"/>
        <v>172000</v>
      </c>
      <c r="X36" s="37">
        <f t="shared" si="24"/>
        <v>172000</v>
      </c>
      <c r="Y36" s="37">
        <f t="shared" si="24"/>
        <v>172000</v>
      </c>
      <c r="Z36" s="37">
        <f t="shared" si="24"/>
        <v>172000</v>
      </c>
      <c r="AA36" s="37">
        <f t="shared" si="24"/>
        <v>172000</v>
      </c>
      <c r="AB36" s="37">
        <f t="shared" si="24"/>
        <v>172000</v>
      </c>
      <c r="AC36" s="37">
        <f t="shared" si="24"/>
        <v>172000</v>
      </c>
      <c r="AD36" s="37">
        <f t="shared" si="24"/>
        <v>172000</v>
      </c>
      <c r="AE36" s="37">
        <f t="shared" si="24"/>
        <v>172000</v>
      </c>
      <c r="AF36" s="37">
        <f t="shared" si="24"/>
        <v>172000</v>
      </c>
      <c r="AG36" s="37">
        <f t="shared" si="24"/>
        <v>172000</v>
      </c>
      <c r="AH36" s="37">
        <f t="shared" si="24"/>
        <v>172000</v>
      </c>
      <c r="AI36" s="37">
        <f t="shared" si="24"/>
        <v>172000</v>
      </c>
      <c r="AJ36" s="37">
        <f t="shared" si="24"/>
        <v>172000</v>
      </c>
      <c r="AK36" s="37">
        <f t="shared" si="24"/>
        <v>172000</v>
      </c>
      <c r="AL36" s="37">
        <f t="shared" si="24"/>
        <v>172000</v>
      </c>
      <c r="AM36" s="37">
        <f t="shared" si="24"/>
        <v>172000</v>
      </c>
      <c r="AN36" s="37">
        <f t="shared" si="24"/>
        <v>172000</v>
      </c>
      <c r="AO36" s="37">
        <f t="shared" si="24"/>
        <v>172000</v>
      </c>
      <c r="AP36" s="37">
        <f t="shared" si="24"/>
        <v>172000</v>
      </c>
      <c r="AQ36" s="37">
        <f t="shared" si="24"/>
        <v>172000</v>
      </c>
      <c r="AR36" s="37">
        <f t="shared" si="24"/>
        <v>172000</v>
      </c>
      <c r="AS36" s="37">
        <f t="shared" si="24"/>
        <v>172000</v>
      </c>
      <c r="AT36" s="37">
        <f t="shared" si="24"/>
        <v>172000</v>
      </c>
      <c r="AU36" s="37">
        <f t="shared" si="24"/>
        <v>172000</v>
      </c>
      <c r="AV36" s="37">
        <f t="shared" si="24"/>
        <v>172000</v>
      </c>
      <c r="AW36" s="37">
        <f t="shared" si="24"/>
        <v>172000</v>
      </c>
      <c r="AX36" s="37">
        <f t="shared" si="24"/>
        <v>172000</v>
      </c>
      <c r="AY36" s="37">
        <f t="shared" si="24"/>
        <v>172000</v>
      </c>
      <c r="AZ36" s="37">
        <f t="shared" si="24"/>
        <v>172000</v>
      </c>
      <c r="BA36" s="37">
        <f t="shared" si="24"/>
        <v>172000</v>
      </c>
      <c r="BB36" s="37">
        <f t="shared" si="24"/>
        <v>172000</v>
      </c>
      <c r="BC36" s="37">
        <f t="shared" si="24"/>
        <v>172000</v>
      </c>
      <c r="BD36" s="37">
        <f t="shared" si="24"/>
        <v>172000</v>
      </c>
      <c r="BE36" s="37">
        <f t="shared" si="24"/>
        <v>172000</v>
      </c>
      <c r="BF36" s="37">
        <f t="shared" si="24"/>
        <v>172000</v>
      </c>
      <c r="BG36" s="37">
        <f t="shared" si="24"/>
        <v>172000</v>
      </c>
      <c r="BH36" s="37">
        <f t="shared" si="24"/>
        <v>172000</v>
      </c>
      <c r="BI36" s="37">
        <f t="shared" si="24"/>
        <v>172000</v>
      </c>
      <c r="BJ36" s="37">
        <f t="shared" si="24"/>
        <v>172000</v>
      </c>
      <c r="BK36" s="37">
        <f t="shared" si="24"/>
        <v>172000</v>
      </c>
      <c r="BL36" s="37">
        <f t="shared" si="24"/>
        <v>172000</v>
      </c>
      <c r="BM36" s="37">
        <f t="shared" si="24"/>
        <v>172000</v>
      </c>
      <c r="BN36" s="37">
        <f t="shared" si="24"/>
        <v>172000</v>
      </c>
      <c r="BO36" s="37">
        <f t="shared" si="24"/>
        <v>172000</v>
      </c>
      <c r="BP36" s="37">
        <f t="shared" ref="BP36:BV36" si="25">BO36</f>
        <v>172000</v>
      </c>
      <c r="BQ36" s="37">
        <f t="shared" si="25"/>
        <v>172000</v>
      </c>
      <c r="BR36" s="37">
        <f t="shared" si="25"/>
        <v>172000</v>
      </c>
      <c r="BS36" s="37">
        <f t="shared" si="25"/>
        <v>172000</v>
      </c>
      <c r="BT36" s="37">
        <f t="shared" si="25"/>
        <v>172000</v>
      </c>
      <c r="BU36" s="37">
        <f t="shared" si="25"/>
        <v>172000</v>
      </c>
      <c r="BV36" s="37">
        <f t="shared" si="25"/>
        <v>172000</v>
      </c>
    </row>
    <row r="37" spans="1:74" x14ac:dyDescent="0.2">
      <c r="A37" s="4"/>
    </row>
    <row r="38" spans="1:74" x14ac:dyDescent="0.2">
      <c r="A38" s="6" t="s">
        <v>82</v>
      </c>
      <c r="B38" s="13">
        <f>B33-B35-B36</f>
        <v>968219.5</v>
      </c>
      <c r="C38" s="13">
        <f t="shared" ref="C38:BN38" si="26">C33-C35-C36</f>
        <v>968219.5</v>
      </c>
      <c r="D38" s="13">
        <f t="shared" si="26"/>
        <v>884219.5</v>
      </c>
      <c r="E38" s="13">
        <f t="shared" si="26"/>
        <v>304333.82980241673</v>
      </c>
      <c r="F38" s="13">
        <f t="shared" si="26"/>
        <v>926219.5</v>
      </c>
      <c r="G38" s="13">
        <f t="shared" si="26"/>
        <v>968219.5</v>
      </c>
      <c r="H38" s="13">
        <f t="shared" si="26"/>
        <v>269549.9783915208</v>
      </c>
      <c r="I38" s="13">
        <f t="shared" si="26"/>
        <v>968219.5</v>
      </c>
      <c r="J38" s="13">
        <f t="shared" si="26"/>
        <v>968219.5</v>
      </c>
      <c r="K38" s="13">
        <f t="shared" si="26"/>
        <v>-77684.114642027882</v>
      </c>
      <c r="L38" s="13">
        <f t="shared" si="26"/>
        <v>968219.5</v>
      </c>
      <c r="M38" s="13">
        <f t="shared" si="26"/>
        <v>926219.5</v>
      </c>
      <c r="N38" s="13">
        <f t="shared" si="26"/>
        <v>-35684.114642027882</v>
      </c>
      <c r="O38" s="13">
        <f t="shared" si="26"/>
        <v>968219.5</v>
      </c>
      <c r="P38" s="13">
        <f t="shared" si="26"/>
        <v>842219.5</v>
      </c>
      <c r="Q38" s="13">
        <f t="shared" si="26"/>
        <v>-13860.123019375023</v>
      </c>
      <c r="R38" s="13">
        <f t="shared" si="26"/>
        <v>1010219.5</v>
      </c>
      <c r="S38" s="13">
        <f t="shared" si="26"/>
        <v>1196069.5</v>
      </c>
      <c r="T38" s="13">
        <f t="shared" si="26"/>
        <v>459372.91296985501</v>
      </c>
      <c r="U38" s="13">
        <f t="shared" si="26"/>
        <v>1592855.8636363635</v>
      </c>
      <c r="V38" s="13">
        <f t="shared" si="26"/>
        <v>1691492.2272727271</v>
      </c>
      <c r="W38" s="13">
        <f t="shared" si="26"/>
        <v>756620.37631574401</v>
      </c>
      <c r="X38" s="13">
        <f t="shared" si="26"/>
        <v>1888764.9545454541</v>
      </c>
      <c r="Y38" s="13">
        <f t="shared" si="26"/>
        <v>1908492.2272727266</v>
      </c>
      <c r="Z38" s="13">
        <f t="shared" si="26"/>
        <v>1130335.9037824406</v>
      </c>
      <c r="AA38" s="13">
        <f t="shared" si="26"/>
        <v>2184674.0454545449</v>
      </c>
      <c r="AB38" s="13">
        <f t="shared" si="26"/>
        <v>2017946.7727272725</v>
      </c>
      <c r="AC38" s="13">
        <f t="shared" si="26"/>
        <v>1437400.891613835</v>
      </c>
      <c r="AD38" s="13">
        <f t="shared" si="26"/>
        <v>2265561.5771152582</v>
      </c>
      <c r="AE38" s="13">
        <f t="shared" si="26"/>
        <v>2370377.9100520574</v>
      </c>
      <c r="AF38" s="13">
        <f t="shared" si="26"/>
        <v>1413970.285336626</v>
      </c>
      <c r="AG38" s="13">
        <f t="shared" si="26"/>
        <v>2423243.964229228</v>
      </c>
      <c r="AH38" s="13">
        <f t="shared" si="26"/>
        <v>2438266.0115344808</v>
      </c>
      <c r="AI38" s="13">
        <f t="shared" si="26"/>
        <v>1484338.1078096428</v>
      </c>
      <c r="AJ38" s="13">
        <f t="shared" si="26"/>
        <v>2482901.3802815881</v>
      </c>
      <c r="AK38" s="13">
        <f t="shared" si="26"/>
        <v>2404585.8046659869</v>
      </c>
      <c r="AL38" s="13">
        <f t="shared" si="26"/>
        <v>1653182.519377809</v>
      </c>
      <c r="AM38" s="13">
        <f t="shared" si="26"/>
        <v>2536702.0689261081</v>
      </c>
      <c r="AN38" s="13">
        <f t="shared" si="26"/>
        <v>2264235.9009873765</v>
      </c>
      <c r="AO38" s="13">
        <f t="shared" si="26"/>
        <v>1753179.0235353804</v>
      </c>
      <c r="AP38" s="13">
        <f t="shared" si="26"/>
        <v>2481219.5</v>
      </c>
      <c r="AQ38" s="13">
        <f t="shared" si="26"/>
        <v>2579219.5</v>
      </c>
      <c r="AR38" s="13">
        <f t="shared" si="26"/>
        <v>1675084.6803250804</v>
      </c>
      <c r="AS38" s="13">
        <f t="shared" si="26"/>
        <v>2579219.5</v>
      </c>
      <c r="AT38" s="13">
        <f t="shared" si="26"/>
        <v>2579219.5</v>
      </c>
      <c r="AU38" s="13">
        <f t="shared" si="26"/>
        <v>1691234.389699128</v>
      </c>
      <c r="AV38" s="13">
        <f t="shared" si="26"/>
        <v>2579219.5</v>
      </c>
      <c r="AW38" s="13">
        <f t="shared" si="26"/>
        <v>2481219.5</v>
      </c>
      <c r="AX38" s="13">
        <f t="shared" si="26"/>
        <v>1801339.2159412503</v>
      </c>
      <c r="AY38" s="13">
        <f t="shared" si="26"/>
        <v>2579219.5</v>
      </c>
      <c r="AZ38" s="13">
        <f t="shared" si="26"/>
        <v>2383219.5</v>
      </c>
      <c r="BA38" s="13">
        <f t="shared" si="26"/>
        <v>1835484.0380412382</v>
      </c>
      <c r="BB38" s="13">
        <f t="shared" si="26"/>
        <v>2481219.5</v>
      </c>
      <c r="BC38" s="13">
        <f t="shared" si="26"/>
        <v>2579219.5</v>
      </c>
      <c r="BD38" s="13">
        <f t="shared" si="26"/>
        <v>1763809.3166607639</v>
      </c>
      <c r="BE38" s="13">
        <f t="shared" si="26"/>
        <v>2579219.5</v>
      </c>
      <c r="BF38" s="13">
        <f t="shared" si="26"/>
        <v>2579219.5</v>
      </c>
      <c r="BG38" s="13">
        <f t="shared" si="26"/>
        <v>1783035.7412870689</v>
      </c>
      <c r="BH38" s="13">
        <f t="shared" si="26"/>
        <v>2579219.5</v>
      </c>
      <c r="BI38" s="13">
        <f t="shared" si="26"/>
        <v>2481219.5</v>
      </c>
      <c r="BJ38" s="13">
        <f t="shared" si="26"/>
        <v>1908507.6676572254</v>
      </c>
      <c r="BK38" s="13">
        <f t="shared" si="26"/>
        <v>2579219.5</v>
      </c>
      <c r="BL38" s="13">
        <f t="shared" si="26"/>
        <v>2285219.5</v>
      </c>
      <c r="BM38" s="13">
        <f t="shared" si="26"/>
        <v>1950468.8970884681</v>
      </c>
      <c r="BN38" s="13">
        <f t="shared" si="26"/>
        <v>2481219.5</v>
      </c>
      <c r="BO38" s="13">
        <f t="shared" ref="BO38:BV38" si="27">BO33-BO35-BO36</f>
        <v>2579219.5</v>
      </c>
      <c r="BP38" s="13">
        <f t="shared" si="27"/>
        <v>1873948.7406008195</v>
      </c>
      <c r="BQ38" s="13">
        <f t="shared" si="27"/>
        <v>2579219.5</v>
      </c>
      <c r="BR38" s="13">
        <f t="shared" si="27"/>
        <v>2579219.5</v>
      </c>
      <c r="BS38" s="13">
        <f t="shared" si="27"/>
        <v>1896458.4960913835</v>
      </c>
      <c r="BT38" s="13">
        <f t="shared" si="27"/>
        <v>2579219.5</v>
      </c>
      <c r="BU38" s="13">
        <f t="shared" si="27"/>
        <v>2481219.5</v>
      </c>
      <c r="BV38" s="13">
        <f t="shared" si="27"/>
        <v>2005568.6834204793</v>
      </c>
    </row>
    <row r="39" spans="1:74" x14ac:dyDescent="0.2">
      <c r="A39" s="6"/>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row>
    <row r="40" spans="1:74" x14ac:dyDescent="0.2">
      <c r="A40" s="3" t="s">
        <v>171</v>
      </c>
    </row>
    <row r="41" spans="1:74" ht="13.5" x14ac:dyDescent="0.25">
      <c r="A41" s="59" t="s">
        <v>112</v>
      </c>
      <c r="B41" s="41">
        <v>0</v>
      </c>
      <c r="C41" s="13">
        <f>B58</f>
        <v>1250000</v>
      </c>
      <c r="D41" s="13">
        <f t="shared" ref="D41:BO41" si="28">C58</f>
        <v>1250000</v>
      </c>
      <c r="E41" s="13">
        <f t="shared" si="28"/>
        <v>1250000</v>
      </c>
      <c r="F41" s="13">
        <f t="shared" si="28"/>
        <v>1250000</v>
      </c>
      <c r="G41" s="13">
        <f t="shared" si="28"/>
        <v>1250000</v>
      </c>
      <c r="H41" s="13">
        <f t="shared" si="28"/>
        <v>1250000</v>
      </c>
      <c r="I41" s="13">
        <f t="shared" si="28"/>
        <v>1250000</v>
      </c>
      <c r="J41" s="13">
        <f t="shared" si="28"/>
        <v>1250000</v>
      </c>
      <c r="K41" s="13">
        <f t="shared" si="28"/>
        <v>1250000</v>
      </c>
      <c r="L41" s="13">
        <f t="shared" si="28"/>
        <v>1250000</v>
      </c>
      <c r="M41" s="13">
        <f t="shared" si="28"/>
        <v>1250000</v>
      </c>
      <c r="N41" s="13">
        <f t="shared" si="28"/>
        <v>1250000</v>
      </c>
      <c r="O41" s="13">
        <f t="shared" si="28"/>
        <v>1250000</v>
      </c>
      <c r="P41" s="13">
        <f t="shared" si="28"/>
        <v>1250000</v>
      </c>
      <c r="Q41" s="13">
        <f t="shared" si="28"/>
        <v>1250000</v>
      </c>
      <c r="R41" s="13">
        <f t="shared" si="28"/>
        <v>232445.21422660723</v>
      </c>
      <c r="S41" s="13">
        <f t="shared" si="28"/>
        <v>1250000</v>
      </c>
      <c r="T41" s="13">
        <f t="shared" si="28"/>
        <v>1250000</v>
      </c>
      <c r="U41" s="13">
        <f t="shared" si="28"/>
        <v>695445.21422660723</v>
      </c>
      <c r="V41" s="13">
        <f t="shared" si="28"/>
        <v>1250000</v>
      </c>
      <c r="W41" s="13">
        <f t="shared" si="28"/>
        <v>1250000</v>
      </c>
      <c r="X41" s="13">
        <f t="shared" si="28"/>
        <v>981808.85059024347</v>
      </c>
      <c r="Y41" s="13">
        <f t="shared" si="28"/>
        <v>1250000</v>
      </c>
      <c r="Z41" s="13">
        <f t="shared" si="28"/>
        <v>1250000</v>
      </c>
      <c r="AA41" s="13">
        <f t="shared" si="28"/>
        <v>1250000</v>
      </c>
      <c r="AB41" s="13">
        <f t="shared" si="28"/>
        <v>250000</v>
      </c>
      <c r="AC41" s="13">
        <f t="shared" si="28"/>
        <v>250000</v>
      </c>
      <c r="AD41" s="13">
        <f t="shared" si="28"/>
        <v>250000</v>
      </c>
      <c r="AE41" s="13">
        <f t="shared" si="28"/>
        <v>250000</v>
      </c>
      <c r="AF41" s="13">
        <f t="shared" si="28"/>
        <v>250000</v>
      </c>
      <c r="AG41" s="13">
        <f t="shared" si="28"/>
        <v>250000</v>
      </c>
      <c r="AH41" s="13">
        <f t="shared" si="28"/>
        <v>250000</v>
      </c>
      <c r="AI41" s="13">
        <f t="shared" si="28"/>
        <v>250000</v>
      </c>
      <c r="AJ41" s="13">
        <f t="shared" si="28"/>
        <v>250000</v>
      </c>
      <c r="AK41" s="13">
        <f t="shared" si="28"/>
        <v>250000</v>
      </c>
      <c r="AL41" s="13">
        <f t="shared" si="28"/>
        <v>250000</v>
      </c>
      <c r="AM41" s="13">
        <f t="shared" si="28"/>
        <v>250000</v>
      </c>
      <c r="AN41" s="13">
        <f t="shared" si="28"/>
        <v>250000</v>
      </c>
      <c r="AO41" s="13">
        <f t="shared" si="28"/>
        <v>250000</v>
      </c>
      <c r="AP41" s="13">
        <f t="shared" si="28"/>
        <v>250000</v>
      </c>
      <c r="AQ41" s="13">
        <f t="shared" si="28"/>
        <v>250000</v>
      </c>
      <c r="AR41" s="13">
        <f t="shared" si="28"/>
        <v>250000</v>
      </c>
      <c r="AS41" s="13">
        <f t="shared" si="28"/>
        <v>250000</v>
      </c>
      <c r="AT41" s="13">
        <f t="shared" si="28"/>
        <v>250000</v>
      </c>
      <c r="AU41" s="13">
        <f t="shared" si="28"/>
        <v>250000</v>
      </c>
      <c r="AV41" s="13">
        <f t="shared" si="28"/>
        <v>250000</v>
      </c>
      <c r="AW41" s="13">
        <f t="shared" si="28"/>
        <v>250000</v>
      </c>
      <c r="AX41" s="13">
        <f t="shared" si="28"/>
        <v>250000</v>
      </c>
      <c r="AY41" s="13">
        <f t="shared" si="28"/>
        <v>250000</v>
      </c>
      <c r="AZ41" s="13">
        <f t="shared" si="28"/>
        <v>250000</v>
      </c>
      <c r="BA41" s="13">
        <f t="shared" si="28"/>
        <v>250000</v>
      </c>
      <c r="BB41" s="13">
        <f t="shared" si="28"/>
        <v>250000</v>
      </c>
      <c r="BC41" s="13">
        <f t="shared" si="28"/>
        <v>250000</v>
      </c>
      <c r="BD41" s="13">
        <f t="shared" si="28"/>
        <v>250000</v>
      </c>
      <c r="BE41" s="13">
        <f t="shared" si="28"/>
        <v>250000</v>
      </c>
      <c r="BF41" s="13">
        <f t="shared" si="28"/>
        <v>250000</v>
      </c>
      <c r="BG41" s="13">
        <f t="shared" si="28"/>
        <v>250000</v>
      </c>
      <c r="BH41" s="13">
        <f t="shared" si="28"/>
        <v>250000</v>
      </c>
      <c r="BI41" s="13">
        <f t="shared" si="28"/>
        <v>250000</v>
      </c>
      <c r="BJ41" s="13">
        <f t="shared" si="28"/>
        <v>250000</v>
      </c>
      <c r="BK41" s="13">
        <f t="shared" si="28"/>
        <v>250000</v>
      </c>
      <c r="BL41" s="13">
        <f t="shared" si="28"/>
        <v>250000</v>
      </c>
      <c r="BM41" s="13">
        <f t="shared" si="28"/>
        <v>250000</v>
      </c>
      <c r="BN41" s="13">
        <f t="shared" si="28"/>
        <v>250000</v>
      </c>
      <c r="BO41" s="13">
        <f t="shared" si="28"/>
        <v>250000</v>
      </c>
      <c r="BP41" s="13">
        <f t="shared" ref="BP41:BV41" si="29">BO58</f>
        <v>250000</v>
      </c>
      <c r="BQ41" s="13">
        <f t="shared" si="29"/>
        <v>250000</v>
      </c>
      <c r="BR41" s="13">
        <f t="shared" si="29"/>
        <v>250000</v>
      </c>
      <c r="BS41" s="13">
        <f t="shared" si="29"/>
        <v>250000</v>
      </c>
      <c r="BT41" s="13">
        <f t="shared" si="29"/>
        <v>250000</v>
      </c>
      <c r="BU41" s="13">
        <f t="shared" si="29"/>
        <v>250000</v>
      </c>
      <c r="BV41" s="13">
        <f t="shared" si="29"/>
        <v>250000</v>
      </c>
    </row>
    <row r="42" spans="1:74" x14ac:dyDescent="0.2">
      <c r="A42" s="4"/>
    </row>
    <row r="43" spans="1:74" x14ac:dyDescent="0.2">
      <c r="A43" s="35" t="s">
        <v>113</v>
      </c>
    </row>
    <row r="44" spans="1:74" x14ac:dyDescent="0.2">
      <c r="A44" s="4" t="s">
        <v>114</v>
      </c>
      <c r="B44" s="13">
        <f>B38</f>
        <v>968219.5</v>
      </c>
      <c r="C44" s="13">
        <f>C38</f>
        <v>968219.5</v>
      </c>
      <c r="D44" s="13">
        <f>D38</f>
        <v>884219.5</v>
      </c>
      <c r="E44" s="13">
        <f t="shared" ref="E44:BP44" si="30">E38</f>
        <v>304333.82980241673</v>
      </c>
      <c r="F44" s="13">
        <f t="shared" si="30"/>
        <v>926219.5</v>
      </c>
      <c r="G44" s="13">
        <f t="shared" si="30"/>
        <v>968219.5</v>
      </c>
      <c r="H44" s="13">
        <f t="shared" si="30"/>
        <v>269549.9783915208</v>
      </c>
      <c r="I44" s="13">
        <f t="shared" si="30"/>
        <v>968219.5</v>
      </c>
      <c r="J44" s="13">
        <f t="shared" si="30"/>
        <v>968219.5</v>
      </c>
      <c r="K44" s="13">
        <f t="shared" si="30"/>
        <v>-77684.114642027882</v>
      </c>
      <c r="L44" s="13">
        <f t="shared" si="30"/>
        <v>968219.5</v>
      </c>
      <c r="M44" s="13">
        <f t="shared" si="30"/>
        <v>926219.5</v>
      </c>
      <c r="N44" s="13">
        <f t="shared" si="30"/>
        <v>-35684.114642027882</v>
      </c>
      <c r="O44" s="13">
        <f t="shared" si="30"/>
        <v>968219.5</v>
      </c>
      <c r="P44" s="13">
        <f t="shared" si="30"/>
        <v>842219.5</v>
      </c>
      <c r="Q44" s="13">
        <f t="shared" si="30"/>
        <v>-13860.123019375023</v>
      </c>
      <c r="R44" s="13">
        <f t="shared" si="30"/>
        <v>1010219.5</v>
      </c>
      <c r="S44" s="13">
        <f t="shared" si="30"/>
        <v>1196069.5</v>
      </c>
      <c r="T44" s="13">
        <f t="shared" si="30"/>
        <v>459372.91296985501</v>
      </c>
      <c r="U44" s="13">
        <f t="shared" si="30"/>
        <v>1592855.8636363635</v>
      </c>
      <c r="V44" s="13">
        <f t="shared" si="30"/>
        <v>1691492.2272727271</v>
      </c>
      <c r="W44" s="13">
        <f t="shared" si="30"/>
        <v>756620.37631574401</v>
      </c>
      <c r="X44" s="13">
        <f t="shared" si="30"/>
        <v>1888764.9545454541</v>
      </c>
      <c r="Y44" s="13">
        <f t="shared" si="30"/>
        <v>1908492.2272727266</v>
      </c>
      <c r="Z44" s="13">
        <f t="shared" si="30"/>
        <v>1130335.9037824406</v>
      </c>
      <c r="AA44" s="13">
        <f t="shared" si="30"/>
        <v>2184674.0454545449</v>
      </c>
      <c r="AB44" s="13">
        <f t="shared" si="30"/>
        <v>2017946.7727272725</v>
      </c>
      <c r="AC44" s="13">
        <f t="shared" si="30"/>
        <v>1437400.891613835</v>
      </c>
      <c r="AD44" s="13">
        <f t="shared" si="30"/>
        <v>2265561.5771152582</v>
      </c>
      <c r="AE44" s="13">
        <f t="shared" si="30"/>
        <v>2370377.9100520574</v>
      </c>
      <c r="AF44" s="13">
        <f t="shared" si="30"/>
        <v>1413970.285336626</v>
      </c>
      <c r="AG44" s="13">
        <f t="shared" si="30"/>
        <v>2423243.964229228</v>
      </c>
      <c r="AH44" s="13">
        <f t="shared" si="30"/>
        <v>2438266.0115344808</v>
      </c>
      <c r="AI44" s="13">
        <f t="shared" si="30"/>
        <v>1484338.1078096428</v>
      </c>
      <c r="AJ44" s="13">
        <f t="shared" si="30"/>
        <v>2482901.3802815881</v>
      </c>
      <c r="AK44" s="13">
        <f t="shared" si="30"/>
        <v>2404585.8046659869</v>
      </c>
      <c r="AL44" s="13">
        <f t="shared" si="30"/>
        <v>1653182.519377809</v>
      </c>
      <c r="AM44" s="13">
        <f t="shared" si="30"/>
        <v>2536702.0689261081</v>
      </c>
      <c r="AN44" s="13">
        <f t="shared" si="30"/>
        <v>2264235.9009873765</v>
      </c>
      <c r="AO44" s="13">
        <f t="shared" si="30"/>
        <v>1753179.0235353804</v>
      </c>
      <c r="AP44" s="13">
        <f t="shared" si="30"/>
        <v>2481219.5</v>
      </c>
      <c r="AQ44" s="13">
        <f t="shared" si="30"/>
        <v>2579219.5</v>
      </c>
      <c r="AR44" s="13">
        <f t="shared" si="30"/>
        <v>1675084.6803250804</v>
      </c>
      <c r="AS44" s="13">
        <f t="shared" si="30"/>
        <v>2579219.5</v>
      </c>
      <c r="AT44" s="13">
        <f t="shared" si="30"/>
        <v>2579219.5</v>
      </c>
      <c r="AU44" s="13">
        <f t="shared" si="30"/>
        <v>1691234.389699128</v>
      </c>
      <c r="AV44" s="13">
        <f t="shared" si="30"/>
        <v>2579219.5</v>
      </c>
      <c r="AW44" s="13">
        <f t="shared" si="30"/>
        <v>2481219.5</v>
      </c>
      <c r="AX44" s="13">
        <f t="shared" si="30"/>
        <v>1801339.2159412503</v>
      </c>
      <c r="AY44" s="13">
        <f t="shared" si="30"/>
        <v>2579219.5</v>
      </c>
      <c r="AZ44" s="13">
        <f t="shared" si="30"/>
        <v>2383219.5</v>
      </c>
      <c r="BA44" s="13">
        <f t="shared" si="30"/>
        <v>1835484.0380412382</v>
      </c>
      <c r="BB44" s="13">
        <f t="shared" si="30"/>
        <v>2481219.5</v>
      </c>
      <c r="BC44" s="13">
        <f t="shared" si="30"/>
        <v>2579219.5</v>
      </c>
      <c r="BD44" s="13">
        <f t="shared" si="30"/>
        <v>1763809.3166607639</v>
      </c>
      <c r="BE44" s="13">
        <f t="shared" si="30"/>
        <v>2579219.5</v>
      </c>
      <c r="BF44" s="13">
        <f t="shared" si="30"/>
        <v>2579219.5</v>
      </c>
      <c r="BG44" s="13">
        <f t="shared" si="30"/>
        <v>1783035.7412870689</v>
      </c>
      <c r="BH44" s="13">
        <f t="shared" si="30"/>
        <v>2579219.5</v>
      </c>
      <c r="BI44" s="13">
        <f t="shared" si="30"/>
        <v>2481219.5</v>
      </c>
      <c r="BJ44" s="13">
        <f t="shared" si="30"/>
        <v>1908507.6676572254</v>
      </c>
      <c r="BK44" s="13">
        <f t="shared" si="30"/>
        <v>2579219.5</v>
      </c>
      <c r="BL44" s="13">
        <f t="shared" si="30"/>
        <v>2285219.5</v>
      </c>
      <c r="BM44" s="13">
        <f t="shared" si="30"/>
        <v>1950468.8970884681</v>
      </c>
      <c r="BN44" s="13">
        <f t="shared" si="30"/>
        <v>2481219.5</v>
      </c>
      <c r="BO44" s="13">
        <f t="shared" si="30"/>
        <v>2579219.5</v>
      </c>
      <c r="BP44" s="13">
        <f t="shared" si="30"/>
        <v>1873948.7406008195</v>
      </c>
      <c r="BQ44" s="13">
        <f t="shared" ref="BQ44:BV44" si="31">BQ38</f>
        <v>2579219.5</v>
      </c>
      <c r="BR44" s="13">
        <f t="shared" si="31"/>
        <v>2579219.5</v>
      </c>
      <c r="BS44" s="13">
        <f t="shared" si="31"/>
        <v>1896458.4960913835</v>
      </c>
      <c r="BT44" s="13">
        <f t="shared" si="31"/>
        <v>2579219.5</v>
      </c>
      <c r="BU44" s="13">
        <f t="shared" si="31"/>
        <v>2481219.5</v>
      </c>
      <c r="BV44" s="13">
        <f t="shared" si="31"/>
        <v>2005568.6834204793</v>
      </c>
    </row>
    <row r="45" spans="1:74" ht="15" x14ac:dyDescent="0.35">
      <c r="A45" s="5" t="s">
        <v>115</v>
      </c>
      <c r="B45" s="60">
        <f>B36</f>
        <v>172000</v>
      </c>
      <c r="C45" s="60">
        <f>C36</f>
        <v>172000</v>
      </c>
      <c r="D45" s="60">
        <f>D36</f>
        <v>172000</v>
      </c>
      <c r="E45" s="60">
        <f t="shared" ref="E45:BP45" si="32">E36</f>
        <v>172000</v>
      </c>
      <c r="F45" s="60">
        <f t="shared" si="32"/>
        <v>172000</v>
      </c>
      <c r="G45" s="60">
        <f t="shared" si="32"/>
        <v>172000</v>
      </c>
      <c r="H45" s="60">
        <f t="shared" si="32"/>
        <v>172000</v>
      </c>
      <c r="I45" s="60">
        <f t="shared" si="32"/>
        <v>172000</v>
      </c>
      <c r="J45" s="60">
        <f t="shared" si="32"/>
        <v>172000</v>
      </c>
      <c r="K45" s="60">
        <f t="shared" si="32"/>
        <v>172000</v>
      </c>
      <c r="L45" s="60">
        <f t="shared" si="32"/>
        <v>172000</v>
      </c>
      <c r="M45" s="60">
        <f t="shared" si="32"/>
        <v>172000</v>
      </c>
      <c r="N45" s="60">
        <f t="shared" si="32"/>
        <v>172000</v>
      </c>
      <c r="O45" s="60">
        <f t="shared" si="32"/>
        <v>172000</v>
      </c>
      <c r="P45" s="60">
        <f t="shared" si="32"/>
        <v>172000</v>
      </c>
      <c r="Q45" s="60">
        <f t="shared" si="32"/>
        <v>172000</v>
      </c>
      <c r="R45" s="60">
        <f t="shared" si="32"/>
        <v>172000</v>
      </c>
      <c r="S45" s="60">
        <f t="shared" si="32"/>
        <v>172000</v>
      </c>
      <c r="T45" s="60">
        <f t="shared" si="32"/>
        <v>172000</v>
      </c>
      <c r="U45" s="60">
        <f t="shared" si="32"/>
        <v>172000</v>
      </c>
      <c r="V45" s="60">
        <f t="shared" si="32"/>
        <v>172000</v>
      </c>
      <c r="W45" s="60">
        <f t="shared" si="32"/>
        <v>172000</v>
      </c>
      <c r="X45" s="60">
        <f t="shared" si="32"/>
        <v>172000</v>
      </c>
      <c r="Y45" s="60">
        <f t="shared" si="32"/>
        <v>172000</v>
      </c>
      <c r="Z45" s="60">
        <f t="shared" si="32"/>
        <v>172000</v>
      </c>
      <c r="AA45" s="60">
        <f t="shared" si="32"/>
        <v>172000</v>
      </c>
      <c r="AB45" s="60">
        <f t="shared" si="32"/>
        <v>172000</v>
      </c>
      <c r="AC45" s="60">
        <f t="shared" si="32"/>
        <v>172000</v>
      </c>
      <c r="AD45" s="60">
        <f t="shared" si="32"/>
        <v>172000</v>
      </c>
      <c r="AE45" s="60">
        <f t="shared" si="32"/>
        <v>172000</v>
      </c>
      <c r="AF45" s="60">
        <f t="shared" si="32"/>
        <v>172000</v>
      </c>
      <c r="AG45" s="60">
        <f t="shared" si="32"/>
        <v>172000</v>
      </c>
      <c r="AH45" s="60">
        <f t="shared" si="32"/>
        <v>172000</v>
      </c>
      <c r="AI45" s="60">
        <f t="shared" si="32"/>
        <v>172000</v>
      </c>
      <c r="AJ45" s="60">
        <f t="shared" si="32"/>
        <v>172000</v>
      </c>
      <c r="AK45" s="60">
        <f t="shared" si="32"/>
        <v>172000</v>
      </c>
      <c r="AL45" s="60">
        <f t="shared" si="32"/>
        <v>172000</v>
      </c>
      <c r="AM45" s="60">
        <f t="shared" si="32"/>
        <v>172000</v>
      </c>
      <c r="AN45" s="60">
        <f t="shared" si="32"/>
        <v>172000</v>
      </c>
      <c r="AO45" s="60">
        <f t="shared" si="32"/>
        <v>172000</v>
      </c>
      <c r="AP45" s="60">
        <f t="shared" si="32"/>
        <v>172000</v>
      </c>
      <c r="AQ45" s="60">
        <f t="shared" si="32"/>
        <v>172000</v>
      </c>
      <c r="AR45" s="60">
        <f t="shared" si="32"/>
        <v>172000</v>
      </c>
      <c r="AS45" s="60">
        <f t="shared" si="32"/>
        <v>172000</v>
      </c>
      <c r="AT45" s="60">
        <f t="shared" si="32"/>
        <v>172000</v>
      </c>
      <c r="AU45" s="60">
        <f t="shared" si="32"/>
        <v>172000</v>
      </c>
      <c r="AV45" s="60">
        <f t="shared" si="32"/>
        <v>172000</v>
      </c>
      <c r="AW45" s="60">
        <f t="shared" si="32"/>
        <v>172000</v>
      </c>
      <c r="AX45" s="60">
        <f t="shared" si="32"/>
        <v>172000</v>
      </c>
      <c r="AY45" s="60">
        <f t="shared" si="32"/>
        <v>172000</v>
      </c>
      <c r="AZ45" s="60">
        <f t="shared" si="32"/>
        <v>172000</v>
      </c>
      <c r="BA45" s="60">
        <f t="shared" si="32"/>
        <v>172000</v>
      </c>
      <c r="BB45" s="60">
        <f t="shared" si="32"/>
        <v>172000</v>
      </c>
      <c r="BC45" s="60">
        <f t="shared" si="32"/>
        <v>172000</v>
      </c>
      <c r="BD45" s="60">
        <f t="shared" si="32"/>
        <v>172000</v>
      </c>
      <c r="BE45" s="60">
        <f t="shared" si="32"/>
        <v>172000</v>
      </c>
      <c r="BF45" s="60">
        <f t="shared" si="32"/>
        <v>172000</v>
      </c>
      <c r="BG45" s="60">
        <f t="shared" si="32"/>
        <v>172000</v>
      </c>
      <c r="BH45" s="60">
        <f t="shared" si="32"/>
        <v>172000</v>
      </c>
      <c r="BI45" s="60">
        <f t="shared" si="32"/>
        <v>172000</v>
      </c>
      <c r="BJ45" s="60">
        <f t="shared" si="32"/>
        <v>172000</v>
      </c>
      <c r="BK45" s="60">
        <f t="shared" si="32"/>
        <v>172000</v>
      </c>
      <c r="BL45" s="60">
        <f t="shared" si="32"/>
        <v>172000</v>
      </c>
      <c r="BM45" s="60">
        <f t="shared" si="32"/>
        <v>172000</v>
      </c>
      <c r="BN45" s="60">
        <f t="shared" si="32"/>
        <v>172000</v>
      </c>
      <c r="BO45" s="60">
        <f t="shared" si="32"/>
        <v>172000</v>
      </c>
      <c r="BP45" s="60">
        <f t="shared" si="32"/>
        <v>172000</v>
      </c>
      <c r="BQ45" s="60">
        <f t="shared" ref="BQ45:BV45" si="33">BQ36</f>
        <v>172000</v>
      </c>
      <c r="BR45" s="60">
        <f t="shared" si="33"/>
        <v>172000</v>
      </c>
      <c r="BS45" s="60">
        <f t="shared" si="33"/>
        <v>172000</v>
      </c>
      <c r="BT45" s="60">
        <f t="shared" si="33"/>
        <v>172000</v>
      </c>
      <c r="BU45" s="60">
        <f t="shared" si="33"/>
        <v>172000</v>
      </c>
      <c r="BV45" s="60">
        <f t="shared" si="33"/>
        <v>172000</v>
      </c>
    </row>
    <row r="46" spans="1:74" x14ac:dyDescent="0.2">
      <c r="A46" s="5" t="s">
        <v>116</v>
      </c>
      <c r="B46" s="13">
        <f>B44+B45</f>
        <v>1140219.5</v>
      </c>
      <c r="C46" s="13">
        <f>C44+C45</f>
        <v>1140219.5</v>
      </c>
      <c r="D46" s="13">
        <f>D44+D45</f>
        <v>1056219.5</v>
      </c>
      <c r="E46" s="13">
        <f t="shared" ref="E46:BP46" si="34">E44+E45</f>
        <v>476333.82980241673</v>
      </c>
      <c r="F46" s="13">
        <f t="shared" si="34"/>
        <v>1098219.5</v>
      </c>
      <c r="G46" s="13">
        <f t="shared" si="34"/>
        <v>1140219.5</v>
      </c>
      <c r="H46" s="13">
        <f t="shared" si="34"/>
        <v>441549.9783915208</v>
      </c>
      <c r="I46" s="13">
        <f t="shared" si="34"/>
        <v>1140219.5</v>
      </c>
      <c r="J46" s="13">
        <f t="shared" si="34"/>
        <v>1140219.5</v>
      </c>
      <c r="K46" s="13">
        <f t="shared" si="34"/>
        <v>94315.885357972118</v>
      </c>
      <c r="L46" s="13">
        <f t="shared" si="34"/>
        <v>1140219.5</v>
      </c>
      <c r="M46" s="13">
        <f t="shared" si="34"/>
        <v>1098219.5</v>
      </c>
      <c r="N46" s="13">
        <f t="shared" si="34"/>
        <v>136315.88535797212</v>
      </c>
      <c r="O46" s="13">
        <f t="shared" si="34"/>
        <v>1140219.5</v>
      </c>
      <c r="P46" s="13">
        <f t="shared" si="34"/>
        <v>1014219.5</v>
      </c>
      <c r="Q46" s="13">
        <f t="shared" si="34"/>
        <v>158139.87698062498</v>
      </c>
      <c r="R46" s="13">
        <f t="shared" si="34"/>
        <v>1182219.5</v>
      </c>
      <c r="S46" s="13">
        <f t="shared" si="34"/>
        <v>1368069.5</v>
      </c>
      <c r="T46" s="13">
        <f t="shared" si="34"/>
        <v>631372.91296985501</v>
      </c>
      <c r="U46" s="13">
        <f t="shared" si="34"/>
        <v>1764855.8636363635</v>
      </c>
      <c r="V46" s="13">
        <f t="shared" si="34"/>
        <v>1863492.2272727271</v>
      </c>
      <c r="W46" s="13">
        <f t="shared" si="34"/>
        <v>928620.37631574401</v>
      </c>
      <c r="X46" s="13">
        <f t="shared" si="34"/>
        <v>2060764.9545454541</v>
      </c>
      <c r="Y46" s="13">
        <f t="shared" si="34"/>
        <v>2080492.2272727266</v>
      </c>
      <c r="Z46" s="13">
        <f t="shared" si="34"/>
        <v>1302335.9037824406</v>
      </c>
      <c r="AA46" s="13">
        <f t="shared" si="34"/>
        <v>2356674.0454545449</v>
      </c>
      <c r="AB46" s="13">
        <f t="shared" si="34"/>
        <v>2189946.7727272725</v>
      </c>
      <c r="AC46" s="13">
        <f t="shared" si="34"/>
        <v>1609400.891613835</v>
      </c>
      <c r="AD46" s="13">
        <f t="shared" si="34"/>
        <v>2437561.5771152582</v>
      </c>
      <c r="AE46" s="13">
        <f t="shared" si="34"/>
        <v>2542377.9100520574</v>
      </c>
      <c r="AF46" s="13">
        <f t="shared" si="34"/>
        <v>1585970.285336626</v>
      </c>
      <c r="AG46" s="13">
        <f t="shared" si="34"/>
        <v>2595243.964229228</v>
      </c>
      <c r="AH46" s="13">
        <f t="shared" si="34"/>
        <v>2610266.0115344808</v>
      </c>
      <c r="AI46" s="13">
        <f t="shared" si="34"/>
        <v>1656338.1078096428</v>
      </c>
      <c r="AJ46" s="13">
        <f t="shared" si="34"/>
        <v>2654901.3802815881</v>
      </c>
      <c r="AK46" s="13">
        <f t="shared" si="34"/>
        <v>2576585.8046659869</v>
      </c>
      <c r="AL46" s="13">
        <f t="shared" si="34"/>
        <v>1825182.519377809</v>
      </c>
      <c r="AM46" s="13">
        <f t="shared" si="34"/>
        <v>2708702.0689261081</v>
      </c>
      <c r="AN46" s="13">
        <f t="shared" si="34"/>
        <v>2436235.9009873765</v>
      </c>
      <c r="AO46" s="13">
        <f t="shared" si="34"/>
        <v>1925179.0235353804</v>
      </c>
      <c r="AP46" s="13">
        <f t="shared" si="34"/>
        <v>2653219.5</v>
      </c>
      <c r="AQ46" s="13">
        <f t="shared" si="34"/>
        <v>2751219.5</v>
      </c>
      <c r="AR46" s="13">
        <f t="shared" si="34"/>
        <v>1847084.6803250804</v>
      </c>
      <c r="AS46" s="13">
        <f t="shared" si="34"/>
        <v>2751219.5</v>
      </c>
      <c r="AT46" s="13">
        <f t="shared" si="34"/>
        <v>2751219.5</v>
      </c>
      <c r="AU46" s="13">
        <f t="shared" si="34"/>
        <v>1863234.389699128</v>
      </c>
      <c r="AV46" s="13">
        <f t="shared" si="34"/>
        <v>2751219.5</v>
      </c>
      <c r="AW46" s="13">
        <f t="shared" si="34"/>
        <v>2653219.5</v>
      </c>
      <c r="AX46" s="13">
        <f t="shared" si="34"/>
        <v>1973339.2159412503</v>
      </c>
      <c r="AY46" s="13">
        <f t="shared" si="34"/>
        <v>2751219.5</v>
      </c>
      <c r="AZ46" s="13">
        <f t="shared" si="34"/>
        <v>2555219.5</v>
      </c>
      <c r="BA46" s="13">
        <f t="shared" si="34"/>
        <v>2007484.0380412382</v>
      </c>
      <c r="BB46" s="13">
        <f t="shared" si="34"/>
        <v>2653219.5</v>
      </c>
      <c r="BC46" s="13">
        <f t="shared" si="34"/>
        <v>2751219.5</v>
      </c>
      <c r="BD46" s="13">
        <f t="shared" si="34"/>
        <v>1935809.3166607639</v>
      </c>
      <c r="BE46" s="13">
        <f t="shared" si="34"/>
        <v>2751219.5</v>
      </c>
      <c r="BF46" s="13">
        <f t="shared" si="34"/>
        <v>2751219.5</v>
      </c>
      <c r="BG46" s="13">
        <f t="shared" si="34"/>
        <v>1955035.7412870689</v>
      </c>
      <c r="BH46" s="13">
        <f t="shared" si="34"/>
        <v>2751219.5</v>
      </c>
      <c r="BI46" s="13">
        <f t="shared" si="34"/>
        <v>2653219.5</v>
      </c>
      <c r="BJ46" s="13">
        <f t="shared" si="34"/>
        <v>2080507.6676572254</v>
      </c>
      <c r="BK46" s="13">
        <f t="shared" si="34"/>
        <v>2751219.5</v>
      </c>
      <c r="BL46" s="13">
        <f t="shared" si="34"/>
        <v>2457219.5</v>
      </c>
      <c r="BM46" s="13">
        <f t="shared" si="34"/>
        <v>2122468.8970884681</v>
      </c>
      <c r="BN46" s="13">
        <f t="shared" si="34"/>
        <v>2653219.5</v>
      </c>
      <c r="BO46" s="13">
        <f t="shared" si="34"/>
        <v>2751219.5</v>
      </c>
      <c r="BP46" s="13">
        <f t="shared" si="34"/>
        <v>2045948.7406008195</v>
      </c>
      <c r="BQ46" s="13">
        <f t="shared" ref="BQ46:BV46" si="35">BQ44+BQ45</f>
        <v>2751219.5</v>
      </c>
      <c r="BR46" s="13">
        <f t="shared" si="35"/>
        <v>2751219.5</v>
      </c>
      <c r="BS46" s="13">
        <f t="shared" si="35"/>
        <v>2068458.4960913835</v>
      </c>
      <c r="BT46" s="13">
        <f t="shared" si="35"/>
        <v>2751219.5</v>
      </c>
      <c r="BU46" s="13">
        <f t="shared" si="35"/>
        <v>2653219.5</v>
      </c>
      <c r="BV46" s="13">
        <f t="shared" si="35"/>
        <v>2177568.6834204793</v>
      </c>
    </row>
    <row r="47" spans="1:74" x14ac:dyDescent="0.2">
      <c r="A47" s="4"/>
    </row>
    <row r="48" spans="1:74" x14ac:dyDescent="0.2">
      <c r="A48" s="35" t="s">
        <v>117</v>
      </c>
    </row>
    <row r="49" spans="1:74" ht="15" x14ac:dyDescent="0.35">
      <c r="A49" s="5" t="s">
        <v>118</v>
      </c>
      <c r="B49" s="61">
        <f>-'FUGG financing'!C6</f>
        <v>-42955041</v>
      </c>
      <c r="C49" s="62">
        <v>0</v>
      </c>
      <c r="D49" s="61">
        <v>0</v>
      </c>
      <c r="E49" s="63">
        <f>D49</f>
        <v>0</v>
      </c>
      <c r="F49" s="63">
        <f t="shared" ref="F49:BQ49" si="36">E49</f>
        <v>0</v>
      </c>
      <c r="G49" s="63">
        <f t="shared" si="36"/>
        <v>0</v>
      </c>
      <c r="H49" s="63">
        <f t="shared" si="36"/>
        <v>0</v>
      </c>
      <c r="I49" s="63">
        <f t="shared" si="36"/>
        <v>0</v>
      </c>
      <c r="J49" s="63">
        <f t="shared" si="36"/>
        <v>0</v>
      </c>
      <c r="K49" s="63">
        <f>-Expansion_Cost</f>
        <v>-22000000</v>
      </c>
      <c r="L49" s="63">
        <f>J49</f>
        <v>0</v>
      </c>
      <c r="M49" s="63">
        <f t="shared" si="36"/>
        <v>0</v>
      </c>
      <c r="N49" s="63">
        <f t="shared" si="36"/>
        <v>0</v>
      </c>
      <c r="O49" s="63">
        <f t="shared" si="36"/>
        <v>0</v>
      </c>
      <c r="P49" s="63">
        <f t="shared" si="36"/>
        <v>0</v>
      </c>
      <c r="Q49" s="63">
        <f t="shared" si="36"/>
        <v>0</v>
      </c>
      <c r="R49" s="63">
        <f t="shared" si="36"/>
        <v>0</v>
      </c>
      <c r="S49" s="63">
        <f t="shared" si="36"/>
        <v>0</v>
      </c>
      <c r="T49" s="63">
        <f t="shared" si="36"/>
        <v>0</v>
      </c>
      <c r="U49" s="63">
        <f t="shared" si="36"/>
        <v>0</v>
      </c>
      <c r="V49" s="63">
        <f t="shared" si="36"/>
        <v>0</v>
      </c>
      <c r="W49" s="63">
        <f>V49</f>
        <v>0</v>
      </c>
      <c r="X49" s="63">
        <v>0</v>
      </c>
      <c r="Y49" s="63">
        <f t="shared" si="36"/>
        <v>0</v>
      </c>
      <c r="Z49" s="63">
        <f t="shared" si="36"/>
        <v>0</v>
      </c>
      <c r="AA49" s="63">
        <f t="shared" si="36"/>
        <v>0</v>
      </c>
      <c r="AB49" s="63">
        <f t="shared" si="36"/>
        <v>0</v>
      </c>
      <c r="AC49" s="63">
        <f t="shared" si="36"/>
        <v>0</v>
      </c>
      <c r="AD49" s="63">
        <f t="shared" si="36"/>
        <v>0</v>
      </c>
      <c r="AE49" s="63">
        <f t="shared" si="36"/>
        <v>0</v>
      </c>
      <c r="AF49" s="63">
        <f t="shared" si="36"/>
        <v>0</v>
      </c>
      <c r="AG49" s="63">
        <f t="shared" si="36"/>
        <v>0</v>
      </c>
      <c r="AH49" s="63">
        <f t="shared" si="36"/>
        <v>0</v>
      </c>
      <c r="AI49" s="63">
        <f t="shared" si="36"/>
        <v>0</v>
      </c>
      <c r="AJ49" s="63">
        <f t="shared" si="36"/>
        <v>0</v>
      </c>
      <c r="AK49" s="63">
        <f t="shared" si="36"/>
        <v>0</v>
      </c>
      <c r="AL49" s="63">
        <f t="shared" si="36"/>
        <v>0</v>
      </c>
      <c r="AM49" s="63">
        <f t="shared" si="36"/>
        <v>0</v>
      </c>
      <c r="AN49" s="63">
        <f t="shared" si="36"/>
        <v>0</v>
      </c>
      <c r="AO49" s="63">
        <f t="shared" si="36"/>
        <v>0</v>
      </c>
      <c r="AP49" s="63">
        <f t="shared" si="36"/>
        <v>0</v>
      </c>
      <c r="AQ49" s="63">
        <f t="shared" si="36"/>
        <v>0</v>
      </c>
      <c r="AR49" s="63">
        <f t="shared" si="36"/>
        <v>0</v>
      </c>
      <c r="AS49" s="63">
        <f t="shared" si="36"/>
        <v>0</v>
      </c>
      <c r="AT49" s="63">
        <f t="shared" si="36"/>
        <v>0</v>
      </c>
      <c r="AU49" s="63">
        <f t="shared" si="36"/>
        <v>0</v>
      </c>
      <c r="AV49" s="63">
        <f t="shared" si="36"/>
        <v>0</v>
      </c>
      <c r="AW49" s="63">
        <f t="shared" si="36"/>
        <v>0</v>
      </c>
      <c r="AX49" s="63">
        <f t="shared" si="36"/>
        <v>0</v>
      </c>
      <c r="AY49" s="63">
        <f t="shared" si="36"/>
        <v>0</v>
      </c>
      <c r="AZ49" s="63">
        <f t="shared" si="36"/>
        <v>0</v>
      </c>
      <c r="BA49" s="63">
        <f t="shared" si="36"/>
        <v>0</v>
      </c>
      <c r="BB49" s="63">
        <f t="shared" si="36"/>
        <v>0</v>
      </c>
      <c r="BC49" s="63">
        <f t="shared" si="36"/>
        <v>0</v>
      </c>
      <c r="BD49" s="63">
        <f t="shared" si="36"/>
        <v>0</v>
      </c>
      <c r="BE49" s="63">
        <f t="shared" si="36"/>
        <v>0</v>
      </c>
      <c r="BF49" s="63">
        <f t="shared" si="36"/>
        <v>0</v>
      </c>
      <c r="BG49" s="63">
        <f t="shared" si="36"/>
        <v>0</v>
      </c>
      <c r="BH49" s="63">
        <f t="shared" si="36"/>
        <v>0</v>
      </c>
      <c r="BI49" s="63">
        <f t="shared" si="36"/>
        <v>0</v>
      </c>
      <c r="BJ49" s="63">
        <f t="shared" si="36"/>
        <v>0</v>
      </c>
      <c r="BK49" s="63">
        <f t="shared" si="36"/>
        <v>0</v>
      </c>
      <c r="BL49" s="63">
        <f t="shared" si="36"/>
        <v>0</v>
      </c>
      <c r="BM49" s="63">
        <f t="shared" si="36"/>
        <v>0</v>
      </c>
      <c r="BN49" s="63">
        <f t="shared" si="36"/>
        <v>0</v>
      </c>
      <c r="BO49" s="63">
        <f t="shared" si="36"/>
        <v>0</v>
      </c>
      <c r="BP49" s="63">
        <f t="shared" si="36"/>
        <v>0</v>
      </c>
      <c r="BQ49" s="63">
        <f t="shared" si="36"/>
        <v>0</v>
      </c>
      <c r="BR49" s="63">
        <f>BQ49</f>
        <v>0</v>
      </c>
      <c r="BS49" s="63">
        <f>BR49</f>
        <v>0</v>
      </c>
      <c r="BT49" s="63">
        <f>BS49</f>
        <v>0</v>
      </c>
      <c r="BU49" s="63">
        <f>BT49</f>
        <v>0</v>
      </c>
      <c r="BV49" s="63">
        <f>BU49</f>
        <v>0</v>
      </c>
    </row>
    <row r="50" spans="1:74" x14ac:dyDescent="0.2">
      <c r="A50" s="5" t="s">
        <v>119</v>
      </c>
      <c r="B50" s="41">
        <f>SUM(B49:B49)</f>
        <v>-42955041</v>
      </c>
      <c r="C50" s="41">
        <f>SUM(C49:C49)</f>
        <v>0</v>
      </c>
      <c r="D50" s="41">
        <f>SUM(D49:D49)</f>
        <v>0</v>
      </c>
      <c r="E50" s="41">
        <f>SUM(E49:E49)</f>
        <v>0</v>
      </c>
      <c r="F50" s="41">
        <f t="shared" ref="F50:BQ50" si="37">SUM(F49:F49)</f>
        <v>0</v>
      </c>
      <c r="G50" s="41">
        <f t="shared" si="37"/>
        <v>0</v>
      </c>
      <c r="H50" s="41">
        <f t="shared" si="37"/>
        <v>0</v>
      </c>
      <c r="I50" s="41">
        <f t="shared" si="37"/>
        <v>0</v>
      </c>
      <c r="J50" s="41">
        <f t="shared" si="37"/>
        <v>0</v>
      </c>
      <c r="K50" s="41">
        <f t="shared" si="37"/>
        <v>-22000000</v>
      </c>
      <c r="L50" s="41">
        <f t="shared" si="37"/>
        <v>0</v>
      </c>
      <c r="M50" s="41">
        <f t="shared" si="37"/>
        <v>0</v>
      </c>
      <c r="N50" s="41">
        <f t="shared" si="37"/>
        <v>0</v>
      </c>
      <c r="O50" s="41">
        <f t="shared" si="37"/>
        <v>0</v>
      </c>
      <c r="P50" s="41">
        <f t="shared" si="37"/>
        <v>0</v>
      </c>
      <c r="Q50" s="41">
        <f t="shared" si="37"/>
        <v>0</v>
      </c>
      <c r="R50" s="41">
        <f t="shared" si="37"/>
        <v>0</v>
      </c>
      <c r="S50" s="41">
        <f t="shared" si="37"/>
        <v>0</v>
      </c>
      <c r="T50" s="41">
        <f t="shared" si="37"/>
        <v>0</v>
      </c>
      <c r="U50" s="41">
        <f t="shared" si="37"/>
        <v>0</v>
      </c>
      <c r="V50" s="41">
        <f t="shared" si="37"/>
        <v>0</v>
      </c>
      <c r="W50" s="41">
        <f t="shared" si="37"/>
        <v>0</v>
      </c>
      <c r="X50" s="41">
        <f t="shared" si="37"/>
        <v>0</v>
      </c>
      <c r="Y50" s="41">
        <f t="shared" si="37"/>
        <v>0</v>
      </c>
      <c r="Z50" s="41">
        <f t="shared" si="37"/>
        <v>0</v>
      </c>
      <c r="AA50" s="41">
        <f t="shared" si="37"/>
        <v>0</v>
      </c>
      <c r="AB50" s="41">
        <f t="shared" si="37"/>
        <v>0</v>
      </c>
      <c r="AC50" s="41">
        <f t="shared" si="37"/>
        <v>0</v>
      </c>
      <c r="AD50" s="41">
        <f t="shared" si="37"/>
        <v>0</v>
      </c>
      <c r="AE50" s="41">
        <f t="shared" si="37"/>
        <v>0</v>
      </c>
      <c r="AF50" s="41">
        <f t="shared" si="37"/>
        <v>0</v>
      </c>
      <c r="AG50" s="41">
        <f t="shared" si="37"/>
        <v>0</v>
      </c>
      <c r="AH50" s="41">
        <f t="shared" si="37"/>
        <v>0</v>
      </c>
      <c r="AI50" s="41">
        <f t="shared" si="37"/>
        <v>0</v>
      </c>
      <c r="AJ50" s="41">
        <f t="shared" si="37"/>
        <v>0</v>
      </c>
      <c r="AK50" s="41">
        <f t="shared" si="37"/>
        <v>0</v>
      </c>
      <c r="AL50" s="41">
        <f t="shared" si="37"/>
        <v>0</v>
      </c>
      <c r="AM50" s="41">
        <f t="shared" si="37"/>
        <v>0</v>
      </c>
      <c r="AN50" s="41">
        <f t="shared" si="37"/>
        <v>0</v>
      </c>
      <c r="AO50" s="41">
        <f t="shared" si="37"/>
        <v>0</v>
      </c>
      <c r="AP50" s="41">
        <f t="shared" si="37"/>
        <v>0</v>
      </c>
      <c r="AQ50" s="41">
        <f t="shared" si="37"/>
        <v>0</v>
      </c>
      <c r="AR50" s="41">
        <f t="shared" si="37"/>
        <v>0</v>
      </c>
      <c r="AS50" s="41">
        <f t="shared" si="37"/>
        <v>0</v>
      </c>
      <c r="AT50" s="41">
        <f t="shared" si="37"/>
        <v>0</v>
      </c>
      <c r="AU50" s="41">
        <f t="shared" si="37"/>
        <v>0</v>
      </c>
      <c r="AV50" s="41">
        <f t="shared" si="37"/>
        <v>0</v>
      </c>
      <c r="AW50" s="41">
        <f t="shared" si="37"/>
        <v>0</v>
      </c>
      <c r="AX50" s="41">
        <f t="shared" si="37"/>
        <v>0</v>
      </c>
      <c r="AY50" s="41">
        <f t="shared" si="37"/>
        <v>0</v>
      </c>
      <c r="AZ50" s="41">
        <f t="shared" si="37"/>
        <v>0</v>
      </c>
      <c r="BA50" s="41">
        <f t="shared" si="37"/>
        <v>0</v>
      </c>
      <c r="BB50" s="41">
        <f t="shared" si="37"/>
        <v>0</v>
      </c>
      <c r="BC50" s="41">
        <f t="shared" si="37"/>
        <v>0</v>
      </c>
      <c r="BD50" s="41">
        <f t="shared" si="37"/>
        <v>0</v>
      </c>
      <c r="BE50" s="41">
        <f t="shared" si="37"/>
        <v>0</v>
      </c>
      <c r="BF50" s="41">
        <f t="shared" si="37"/>
        <v>0</v>
      </c>
      <c r="BG50" s="41">
        <f t="shared" si="37"/>
        <v>0</v>
      </c>
      <c r="BH50" s="41">
        <f t="shared" si="37"/>
        <v>0</v>
      </c>
      <c r="BI50" s="41">
        <f t="shared" si="37"/>
        <v>0</v>
      </c>
      <c r="BJ50" s="41">
        <f t="shared" si="37"/>
        <v>0</v>
      </c>
      <c r="BK50" s="41">
        <f t="shared" si="37"/>
        <v>0</v>
      </c>
      <c r="BL50" s="41">
        <f t="shared" si="37"/>
        <v>0</v>
      </c>
      <c r="BM50" s="41">
        <f t="shared" si="37"/>
        <v>0</v>
      </c>
      <c r="BN50" s="41">
        <f t="shared" si="37"/>
        <v>0</v>
      </c>
      <c r="BO50" s="41">
        <f t="shared" si="37"/>
        <v>0</v>
      </c>
      <c r="BP50" s="41">
        <f t="shared" si="37"/>
        <v>0</v>
      </c>
      <c r="BQ50" s="41">
        <f t="shared" si="37"/>
        <v>0</v>
      </c>
      <c r="BR50" s="41">
        <f>SUM(BR49:BR49)</f>
        <v>0</v>
      </c>
      <c r="BS50" s="41">
        <f>SUM(BS49:BS49)</f>
        <v>0</v>
      </c>
      <c r="BT50" s="41">
        <f>SUM(BT49:BT49)</f>
        <v>0</v>
      </c>
      <c r="BU50" s="41">
        <f>SUM(BU49:BU49)</f>
        <v>0</v>
      </c>
      <c r="BV50" s="41">
        <f>SUM(BV49:BV49)</f>
        <v>0</v>
      </c>
    </row>
    <row r="51" spans="1:74" x14ac:dyDescent="0.2">
      <c r="A51" s="4"/>
    </row>
    <row r="52" spans="1:74" x14ac:dyDescent="0.2">
      <c r="A52" s="35" t="s">
        <v>120</v>
      </c>
      <c r="W52" s="37"/>
    </row>
    <row r="53" spans="1:74" x14ac:dyDescent="0.2">
      <c r="A53" s="4" t="s">
        <v>121</v>
      </c>
      <c r="B53" s="37">
        <f>'FUGG financing'!C8</f>
        <v>36511784.850000001</v>
      </c>
      <c r="C53" s="37">
        <f>-IF(ISERROR(HLOOKUP(C7,'FUGG financing'!$C$24:$AP$37,6,FALSE)),0,HLOOKUP(C7,'FUGG financing'!$C$24:$AP$37,6,FALSE))</f>
        <v>0</v>
      </c>
      <c r="D53" s="37">
        <f>-IF(ISERROR(HLOOKUP(D7,'FUGG financing'!$C$24:$AP$37,6,FALSE)),0,HLOOKUP(D7,'FUGG financing'!$C$24:$AP$37,6,FALSE))</f>
        <v>0</v>
      </c>
      <c r="E53" s="37">
        <f>-IF(ISERROR(HLOOKUP(E7,'FUGG financing'!$C$24:$AP$37,6,FALSE)),0,HLOOKUP(E7,'FUGG financing'!$C$24:$AP$37,6,FALSE))</f>
        <v>0</v>
      </c>
      <c r="F53" s="37">
        <f>-IF(ISERROR(HLOOKUP(F7,'FUGG financing'!$C$24:$AP$37,6,FALSE)),0,HLOOKUP(F7,'FUGG financing'!$C$24:$AP$37,6,FALSE))</f>
        <v>0</v>
      </c>
      <c r="G53" s="37">
        <f>-IF(ISERROR(HLOOKUP(G7,'FUGG financing'!$C$24:$AP$37,6,FALSE)),0,HLOOKUP(G7,'FUGG financing'!$C$24:$AP$37,6,FALSE))</f>
        <v>0</v>
      </c>
      <c r="H53" s="37">
        <f>-IF(ISERROR(HLOOKUP(H7,'FUGG financing'!$C$24:$AP$37,6,FALSE)),0,HLOOKUP(H7,'FUGG financing'!$C$24:$AP$37,6,FALSE))</f>
        <v>0</v>
      </c>
      <c r="I53" s="37">
        <f>-IF(ISERROR(HLOOKUP(I7,'FUGG financing'!$C$24:$AP$37,6,FALSE)),0,HLOOKUP(I7,'FUGG financing'!$C$24:$AP$37,6,FALSE))</f>
        <v>0</v>
      </c>
      <c r="J53" s="37">
        <f>-IF(ISERROR(HLOOKUP(J7,'FUGG financing'!$C$24:$AP$37,6,FALSE)),0,HLOOKUP(J7,'FUGG financing'!$C$24:$AP$37,6,FALSE))</f>
        <v>0</v>
      </c>
      <c r="K53" s="37">
        <f>(-IF(ISERROR(HLOOKUP(K7,'FUGG financing'!$C$24:$AP$37,6,FALSE)),0,HLOOKUP(K7,'FUGG financing'!$C$24:$AP$37,6,FALSE)))+(assumptions!B18)</f>
        <v>18700000</v>
      </c>
      <c r="L53" s="37">
        <f>-IF(ISERROR(HLOOKUP(L7,'FUGG financing'!$C$24:$AP$37,6,FALSE)),0,HLOOKUP(L7,'FUGG financing'!$C$24:$AP$37,6,FALSE))</f>
        <v>0</v>
      </c>
      <c r="M53" s="37">
        <f>-IF(ISERROR(HLOOKUP(M7,'FUGG financing'!$C$24:$AP$37,6,FALSE)),0,HLOOKUP(M7,'FUGG financing'!$C$24:$AP$37,6,FALSE))</f>
        <v>0</v>
      </c>
      <c r="N53" s="37">
        <f>-IF(ISERROR(HLOOKUP(N7,'FUGG financing'!$C$24:$AP$37,6,FALSE)),0,HLOOKUP(N7,'FUGG financing'!$C$24:$AP$37,6,FALSE))</f>
        <v>0</v>
      </c>
      <c r="O53" s="37">
        <f>-IF(ISERROR(HLOOKUP(O7,'FUGG financing'!$C$24:$AP$37,6,FALSE)),0,HLOOKUP(O7,'FUGG financing'!$C$24:$AP$37,6,FALSE))</f>
        <v>0</v>
      </c>
      <c r="P53" s="37">
        <f>-IF(ISERROR(HLOOKUP(P7,'FUGG financing'!$C$24:$AP$37,6,FALSE)),0,HLOOKUP(P7,'FUGG financing'!$C$24:$AP$37,6,FALSE))</f>
        <v>0</v>
      </c>
      <c r="Q53" s="37">
        <f>-IF(ISERROR(HLOOKUP(Q7,'FUGG financing'!$C$24:$AP$37,6,FALSE)),0,HLOOKUP(Q7,'FUGG financing'!$C$24:$AP$37,6,FALSE))</f>
        <v>-1175694.6627540179</v>
      </c>
      <c r="R53" s="37">
        <f>-IF(ISERROR(HLOOKUP(R7,'FUGG financing'!$C$24:$AP$37,6,FALSE)),0,HLOOKUP(R7,'FUGG financing'!$C$24:$AP$37,6,FALSE))</f>
        <v>0</v>
      </c>
      <c r="S53" s="37">
        <f>-IF(ISERROR(HLOOKUP(S7,'FUGG financing'!$C$24:$AP$37,6,FALSE)),0,HLOOKUP(S7,'FUGG financing'!$C$24:$AP$37,6,FALSE))</f>
        <v>0</v>
      </c>
      <c r="T53" s="37">
        <f>-IF(ISERROR(HLOOKUP(T7,'FUGG financing'!$C$24:$AP$37,6,FALSE)),0,HLOOKUP(T7,'FUGG financing'!$C$24:$AP$37,6,FALSE))</f>
        <v>-1185927.6987432479</v>
      </c>
      <c r="U53" s="37">
        <f>-IF(ISERROR(HLOOKUP(U7,'FUGG financing'!$C$24:$AP$37,6,FALSE)),0,HLOOKUP(U7,'FUGG financing'!$C$24:$AP$37,6,FALSE))</f>
        <v>0</v>
      </c>
      <c r="V53" s="37">
        <f>-IF(ISERROR(HLOOKUP(V7,'FUGG financing'!$C$24:$AP$37,6,FALSE)),0,HLOOKUP(V7,'FUGG financing'!$C$24:$AP$37,6,FALSE))</f>
        <v>0</v>
      </c>
      <c r="W53" s="37">
        <f>(-IF(ISERROR(HLOOKUP(W7,'FUGG financing'!$C$24:$AP$37,6,FALSE)),0,HLOOKUP(W7,'FUGG financing'!$C$24:$AP$37,6,FALSE)))</f>
        <v>-1196811.5257255007</v>
      </c>
      <c r="X53" s="37">
        <f>-IF(ISERROR(HLOOKUP(X7,'FUGG financing'!$C$24:$AP$37,6,FALSE)),0,HLOOKUP(X7,'FUGG financing'!$C$24:$AP$37,6,FALSE))</f>
        <v>0</v>
      </c>
      <c r="Y53" s="37">
        <f>-IF(ISERROR(HLOOKUP(Y7,'FUGG financing'!$C$24:$AP$37,6,FALSE)),0,HLOOKUP(Y7,'FUGG financing'!$C$24:$AP$37,6,FALSE))</f>
        <v>0</v>
      </c>
      <c r="Z53" s="37">
        <f>-IF(ISERROR(HLOOKUP(Z7,'FUGG financing'!$C$24:$AP$37,6,FALSE)),0,HLOOKUP(Z7,'FUGG financing'!$C$24:$AP$37,6,FALSE))</f>
        <v>-1202072.5077376522</v>
      </c>
      <c r="AA53" s="37">
        <f>-IF(ISERROR(HLOOKUP(AA7,'FUGG financing'!$C$24:$AP$37,6,FALSE)),0,HLOOKUP(AA7,'FUGG financing'!$C$24:$AP$37,6,FALSE))</f>
        <v>0</v>
      </c>
      <c r="AB53" s="37">
        <f>-IF(ISERROR(HLOOKUP(AB7,'FUGG financing'!$C$24:$AP$37,6,FALSE)),0,HLOOKUP(AB7,'FUGG financing'!$C$24:$AP$37,6,FALSE))</f>
        <v>0</v>
      </c>
      <c r="AC53" s="37">
        <f>-IF(ISERROR(HLOOKUP(AC7,'FUGG financing'!$C$24:$AP$37,6,FALSE)),0,HLOOKUP(AC7,'FUGG financing'!$C$24:$AP$37,6,FALSE))</f>
        <v>-1244606.1457371763</v>
      </c>
      <c r="AD53" s="37">
        <f>-IF(ISERROR(HLOOKUP(AD7,'FUGG financing'!$C$24:$AP$37,6,FALSE)),0,HLOOKUP(AD7,'FUGG financing'!$C$24:$AP$37,6,FALSE))</f>
        <v>0</v>
      </c>
      <c r="AE53" s="37">
        <f>-IF(ISERROR(HLOOKUP(AE7,'FUGG financing'!$C$24:$AP$37,6,FALSE)),0,HLOOKUP(AE7,'FUGG financing'!$C$24:$AP$37,6,FALSE))</f>
        <v>0</v>
      </c>
      <c r="AF53" s="37">
        <f>-IF(ISERROR(HLOOKUP(AF7,'FUGG financing'!$C$24:$AP$37,6,FALSE)),0,HLOOKUP(AF7,'FUGG financing'!$C$24:$AP$37,6,FALSE))</f>
        <v>-1257237.5084328151</v>
      </c>
      <c r="AG53" s="37">
        <f>-IF(ISERROR(HLOOKUP(AG7,'FUGG financing'!$C$24:$AP$37,6,FALSE)),0,HLOOKUP(AG7,'FUGG financing'!$C$24:$AP$37,6,FALSE))</f>
        <v>0</v>
      </c>
      <c r="AH53" s="37">
        <f>-IF(ISERROR(HLOOKUP(AH7,'FUGG financing'!$C$24:$AP$37,6,FALSE)),0,HLOOKUP(AH7,'FUGG financing'!$C$24:$AP$37,6,FALSE))</f>
        <v>0</v>
      </c>
      <c r="AI53" s="37">
        <f>-IF(ISERROR(HLOOKUP(AI7,'FUGG financing'!$C$24:$AP$37,6,FALSE)),0,HLOOKUP(AI7,'FUGG financing'!$C$24:$AP$37,6,FALSE))</f>
        <v>-1270603.1876577479</v>
      </c>
      <c r="AJ53" s="37">
        <f>-IF(ISERROR(HLOOKUP(AJ7,'FUGG financing'!$C$24:$AP$37,6,FALSE)),0,HLOOKUP(AJ7,'FUGG financing'!$C$24:$AP$37,6,FALSE))</f>
        <v>0</v>
      </c>
      <c r="AK53" s="37">
        <f>-IF(ISERROR(HLOOKUP(AK7,'FUGG financing'!$C$24:$AP$37,6,FALSE)),0,HLOOKUP(AK7,'FUGG financing'!$C$24:$AP$37,6,FALSE))</f>
        <v>0</v>
      </c>
      <c r="AL53" s="37">
        <f>-IF(ISERROR(HLOOKUP(AL7,'FUGG financing'!$C$24:$AP$37,6,FALSE)),0,HLOOKUP(AL7,'FUGG financing'!$C$24:$AP$37,6,FALSE))</f>
        <v>-1294112.1701920554</v>
      </c>
      <c r="AM53" s="37">
        <f>-IF(ISERROR(HLOOKUP(AM7,'FUGG financing'!$C$24:$AP$37,6,FALSE)),0,HLOOKUP(AM7,'FUGG financing'!$C$24:$AP$37,6,FALSE))</f>
        <v>0</v>
      </c>
      <c r="AN53" s="37">
        <f>-IF(ISERROR(HLOOKUP(AN7,'FUGG financing'!$C$24:$AP$37,6,FALSE)),0,HLOOKUP(AN7,'FUGG financing'!$C$24:$AP$37,6,FALSE))</f>
        <v>0</v>
      </c>
      <c r="AO53" s="37">
        <f>-IF(ISERROR(HLOOKUP(AO7,'FUGG financing'!$C$24:$AP$37,6,FALSE)),0,HLOOKUP(AO7,'FUGG financing'!$C$24:$AP$37,6,FALSE))</f>
        <v>-1336310.8638547345</v>
      </c>
      <c r="AP53" s="37">
        <f>-IF(ISERROR(HLOOKUP(AP7,'FUGG financing'!$C$24:$AP$37,6,FALSE)),0,HLOOKUP(AP7,'FUGG financing'!$C$24:$AP$37,6,FALSE))</f>
        <v>0</v>
      </c>
      <c r="AQ53" s="37">
        <f>-IF(ISERROR(HLOOKUP(AQ7,'FUGG financing'!$C$24:$AP$37,6,FALSE)),0,HLOOKUP(AQ7,'FUGG financing'!$C$24:$AP$37,6,FALSE))</f>
        <v>0</v>
      </c>
      <c r="AR53" s="37">
        <f>-IF(ISERROR(HLOOKUP(AR7,'FUGG financing'!$C$24:$AP$37,6,FALSE)),0,HLOOKUP(AR7,'FUGG financing'!$C$24:$AP$37,6,FALSE))</f>
        <v>-1351639.4660984732</v>
      </c>
      <c r="AS53" s="37">
        <f>-IF(ISERROR(HLOOKUP(AS7,'FUGG financing'!$C$24:$AP$37,6,FALSE)),0,HLOOKUP(AS7,'FUGG financing'!$C$24:$AP$37,6,FALSE))</f>
        <v>0</v>
      </c>
      <c r="AT53" s="37">
        <f>-IF(ISERROR(HLOOKUP(AT7,'FUGG financing'!$C$24:$AP$37,6,FALSE)),0,HLOOKUP(AT7,'FUGG financing'!$C$24:$AP$37,6,FALSE))</f>
        <v>0</v>
      </c>
      <c r="AU53" s="37">
        <f>-IF(ISERROR(HLOOKUP(AU7,'FUGG financing'!$C$24:$AP$37,6,FALSE)),0,HLOOKUP(AU7,'FUGG financing'!$C$24:$AP$37,6,FALSE))</f>
        <v>-1367789.1754725208</v>
      </c>
      <c r="AV53" s="37">
        <f>-IF(ISERROR(HLOOKUP(AV7,'FUGG financing'!$C$24:$AP$37,6,FALSE)),0,HLOOKUP(AV7,'FUGG financing'!$C$24:$AP$37,6,FALSE))</f>
        <v>0</v>
      </c>
      <c r="AW53" s="37">
        <f>-IF(ISERROR(HLOOKUP(AW7,'FUGG financing'!$C$24:$AP$37,6,FALSE)),0,HLOOKUP(AW7,'FUGG financing'!$C$24:$AP$37,6,FALSE))</f>
        <v>0</v>
      </c>
      <c r="AX53" s="37">
        <f>-IF(ISERROR(HLOOKUP(AX7,'FUGG financing'!$C$24:$AP$37,6,FALSE)),0,HLOOKUP(AX7,'FUGG financing'!$C$24:$AP$37,6,FALSE))</f>
        <v>-1379894.0017146431</v>
      </c>
      <c r="AY53" s="37">
        <f>-IF(ISERROR(HLOOKUP(AY7,'FUGG financing'!$C$24:$AP$37,6,FALSE)),0,HLOOKUP(AY7,'FUGG financing'!$C$24:$AP$37,6,FALSE))</f>
        <v>0</v>
      </c>
      <c r="AZ53" s="37">
        <f>-IF(ISERROR(HLOOKUP(AZ7,'FUGG financing'!$C$24:$AP$37,6,FALSE)),0,HLOOKUP(AZ7,'FUGG financing'!$C$24:$AP$37,6,FALSE))</f>
        <v>0</v>
      </c>
      <c r="BA53" s="37">
        <f>-IF(ISERROR(HLOOKUP(BA7,'FUGG financing'!$C$24:$AP$37,6,FALSE)),0,HLOOKUP(BA7,'FUGG financing'!$C$24:$AP$37,6,FALSE))</f>
        <v>-1414038.823814631</v>
      </c>
      <c r="BB53" s="37">
        <f>-IF(ISERROR(HLOOKUP(BB7,'FUGG financing'!$C$24:$AP$37,6,FALSE)),0,HLOOKUP(BB7,'FUGG financing'!$C$24:$AP$37,6,FALSE))</f>
        <v>0</v>
      </c>
      <c r="BC53" s="37">
        <f>-IF(ISERROR(HLOOKUP(BC7,'FUGG financing'!$C$24:$AP$37,6,FALSE)),0,HLOOKUP(BC7,'FUGG financing'!$C$24:$AP$37,6,FALSE))</f>
        <v>0</v>
      </c>
      <c r="BD53" s="37">
        <f>-IF(ISERROR(HLOOKUP(BD7,'FUGG financing'!$C$24:$AP$37,6,FALSE)),0,HLOOKUP(BD7,'FUGG financing'!$C$24:$AP$37,6,FALSE))</f>
        <v>-1440364.1024341567</v>
      </c>
      <c r="BE53" s="37">
        <f>-IF(ISERROR(HLOOKUP(BE7,'FUGG financing'!$C$24:$AP$37,6,FALSE)),0,HLOOKUP(BE7,'FUGG financing'!$C$24:$AP$37,6,FALSE))</f>
        <v>0</v>
      </c>
      <c r="BF53" s="37">
        <f>-IF(ISERROR(HLOOKUP(BF7,'FUGG financing'!$C$24:$AP$37,6,FALSE)),0,HLOOKUP(BF7,'FUGG financing'!$C$24:$AP$37,6,FALSE))</f>
        <v>0</v>
      </c>
      <c r="BG53" s="37">
        <f>-IF(ISERROR(HLOOKUP(BG7,'FUGG financing'!$C$24:$AP$37,6,FALSE)),0,HLOOKUP(BG7,'FUGG financing'!$C$24:$AP$37,6,FALSE))</f>
        <v>-1459590.5270604617</v>
      </c>
      <c r="BH53" s="37">
        <f>-IF(ISERROR(HLOOKUP(BH7,'FUGG financing'!$C$24:$AP$37,6,FALSE)),0,HLOOKUP(BH7,'FUGG financing'!$C$24:$AP$37,6,FALSE))</f>
        <v>0</v>
      </c>
      <c r="BI53" s="37">
        <f>-IF(ISERROR(HLOOKUP(BI7,'FUGG financing'!$C$24:$AP$37,6,FALSE)),0,HLOOKUP(BI7,'FUGG financing'!$C$24:$AP$37,6,FALSE))</f>
        <v>0</v>
      </c>
      <c r="BJ53" s="37">
        <f>-IF(ISERROR(HLOOKUP(BJ7,'FUGG financing'!$C$24:$AP$37,6,FALSE)),0,HLOOKUP(BJ7,'FUGG financing'!$C$24:$AP$37,6,FALSE))</f>
        <v>-1487062.4534306182</v>
      </c>
      <c r="BK53" s="37">
        <f>-IF(ISERROR(HLOOKUP(BK7,'FUGG financing'!$C$24:$AP$37,6,FALSE)),0,HLOOKUP(BK7,'FUGG financing'!$C$24:$AP$37,6,FALSE))</f>
        <v>0</v>
      </c>
      <c r="BL53" s="37">
        <f>-IF(ISERROR(HLOOKUP(BL7,'FUGG financing'!$C$24:$AP$37,6,FALSE)),0,HLOOKUP(BL7,'FUGG financing'!$C$24:$AP$37,6,FALSE))</f>
        <v>0</v>
      </c>
      <c r="BM53" s="37">
        <f>-IF(ISERROR(HLOOKUP(BM7,'FUGG financing'!$C$24:$AP$37,6,FALSE)),0,HLOOKUP(BM7,'FUGG financing'!$C$24:$AP$37,6,FALSE))</f>
        <v>-1529023.6828618608</v>
      </c>
      <c r="BN53" s="37">
        <f>-IF(ISERROR(HLOOKUP(BN7,'FUGG financing'!$C$24:$AP$37,6,FALSE)),0,HLOOKUP(BN7,'FUGG financing'!$C$24:$AP$37,6,FALSE))</f>
        <v>0</v>
      </c>
      <c r="BO53" s="37">
        <f>-IF(ISERROR(HLOOKUP(BO7,'FUGG financing'!$C$24:$AP$37,6,FALSE)),0,HLOOKUP(BO7,'FUGG financing'!$C$24:$AP$37,6,FALSE))</f>
        <v>0</v>
      </c>
      <c r="BP53" s="37">
        <f>-IF(ISERROR(HLOOKUP(BP7,'FUGG financing'!$C$24:$AP$37,6,FALSE)),0,HLOOKUP(BP7,'FUGG financing'!$C$24:$AP$37,6,FALSE))</f>
        <v>-1550503.5263742122</v>
      </c>
      <c r="BQ53" s="37">
        <f>-IF(ISERROR(HLOOKUP(BQ7,'FUGG financing'!$C$24:$AP$37,6,FALSE)),0,HLOOKUP(BQ7,'FUGG financing'!$C$24:$AP$37,6,FALSE))</f>
        <v>0</v>
      </c>
      <c r="BR53" s="37">
        <f>-IF(ISERROR(HLOOKUP(BR7,'FUGG financing'!$C$24:$AP$37,6,FALSE)),0,HLOOKUP(BR7,'FUGG financing'!$C$24:$AP$37,6,FALSE))</f>
        <v>0</v>
      </c>
      <c r="BS53" s="37">
        <f>-IF(ISERROR(HLOOKUP(BS7,'FUGG financing'!$C$24:$AP$37,6,FALSE)),0,HLOOKUP(BS7,'FUGG financing'!$C$24:$AP$37,6,FALSE))</f>
        <v>-1573013.2818647763</v>
      </c>
      <c r="BT53" s="37">
        <f>-IF(ISERROR(HLOOKUP(BT7,'FUGG financing'!$C$24:$AP$37,6,FALSE)),0,HLOOKUP(BT7,'FUGG financing'!$C$24:$AP$37,6,FALSE))</f>
        <v>0</v>
      </c>
      <c r="BU53" s="37">
        <f>-IF(ISERROR(HLOOKUP(BU7,'FUGG financing'!$C$24:$AP$37,6,FALSE)),0,HLOOKUP(BU7,'FUGG financing'!$C$24:$AP$37,6,FALSE))</f>
        <v>0</v>
      </c>
      <c r="BV53" s="37">
        <f>-IF(ISERROR(HLOOKUP(BV7,'FUGG financing'!$C$24:$AP$37,6,FALSE)),0,HLOOKUP(BV7,'FUGG financing'!$C$24:$AP$37,6,FALSE))</f>
        <v>-1593197.843249179</v>
      </c>
    </row>
    <row r="54" spans="1:74" x14ac:dyDescent="0.2">
      <c r="A54" s="4" t="s">
        <v>122</v>
      </c>
      <c r="B54" s="37">
        <f>-(B50+B53)</f>
        <v>6443256.1499999985</v>
      </c>
      <c r="C54" s="53">
        <f>-C49</f>
        <v>0</v>
      </c>
      <c r="D54" s="53">
        <f>-D49</f>
        <v>0</v>
      </c>
      <c r="E54" s="53">
        <f t="shared" ref="E54:BP54" si="38">-E49</f>
        <v>0</v>
      </c>
      <c r="F54" s="53">
        <f t="shared" si="38"/>
        <v>0</v>
      </c>
      <c r="G54" s="53">
        <f t="shared" si="38"/>
        <v>0</v>
      </c>
      <c r="H54" s="53">
        <f t="shared" si="38"/>
        <v>0</v>
      </c>
      <c r="I54" s="53">
        <f t="shared" si="38"/>
        <v>0</v>
      </c>
      <c r="J54" s="53">
        <f t="shared" si="38"/>
        <v>0</v>
      </c>
      <c r="K54" s="40">
        <f>-(K49+K53)</f>
        <v>3300000</v>
      </c>
      <c r="L54" s="53">
        <f t="shared" si="38"/>
        <v>0</v>
      </c>
      <c r="M54" s="53">
        <f t="shared" si="38"/>
        <v>0</v>
      </c>
      <c r="N54" s="53">
        <f t="shared" si="38"/>
        <v>0</v>
      </c>
      <c r="O54" s="53">
        <f t="shared" si="38"/>
        <v>0</v>
      </c>
      <c r="P54" s="53">
        <f t="shared" si="38"/>
        <v>0</v>
      </c>
      <c r="Q54" s="53">
        <f t="shared" si="38"/>
        <v>0</v>
      </c>
      <c r="R54" s="53">
        <f t="shared" si="38"/>
        <v>0</v>
      </c>
      <c r="S54" s="53">
        <f t="shared" si="38"/>
        <v>0</v>
      </c>
      <c r="T54" s="53">
        <f t="shared" si="38"/>
        <v>0</v>
      </c>
      <c r="U54" s="53">
        <f t="shared" si="38"/>
        <v>0</v>
      </c>
      <c r="V54" s="53">
        <f t="shared" si="38"/>
        <v>0</v>
      </c>
      <c r="W54" s="53">
        <f t="shared" si="38"/>
        <v>0</v>
      </c>
      <c r="X54" s="53">
        <f t="shared" si="38"/>
        <v>0</v>
      </c>
      <c r="Y54" s="53">
        <f t="shared" si="38"/>
        <v>0</v>
      </c>
      <c r="Z54" s="40">
        <f t="shared" si="38"/>
        <v>0</v>
      </c>
      <c r="AA54" s="114">
        <f t="shared" si="38"/>
        <v>0</v>
      </c>
      <c r="AB54" s="53">
        <f t="shared" si="38"/>
        <v>0</v>
      </c>
      <c r="AC54" s="53">
        <f t="shared" si="38"/>
        <v>0</v>
      </c>
      <c r="AD54" s="53">
        <f t="shared" si="38"/>
        <v>0</v>
      </c>
      <c r="AE54" s="53">
        <f t="shared" si="38"/>
        <v>0</v>
      </c>
      <c r="AF54" s="53">
        <f t="shared" si="38"/>
        <v>0</v>
      </c>
      <c r="AG54" s="53">
        <f t="shared" si="38"/>
        <v>0</v>
      </c>
      <c r="AH54" s="53">
        <f t="shared" si="38"/>
        <v>0</v>
      </c>
      <c r="AI54" s="53">
        <f t="shared" si="38"/>
        <v>0</v>
      </c>
      <c r="AJ54" s="53">
        <f t="shared" si="38"/>
        <v>0</v>
      </c>
      <c r="AK54" s="53">
        <f t="shared" si="38"/>
        <v>0</v>
      </c>
      <c r="AL54" s="53">
        <f t="shared" si="38"/>
        <v>0</v>
      </c>
      <c r="AM54" s="53">
        <f t="shared" si="38"/>
        <v>0</v>
      </c>
      <c r="AN54" s="53">
        <f t="shared" si="38"/>
        <v>0</v>
      </c>
      <c r="AO54" s="53">
        <f t="shared" si="38"/>
        <v>0</v>
      </c>
      <c r="AP54" s="53">
        <f t="shared" si="38"/>
        <v>0</v>
      </c>
      <c r="AQ54" s="53">
        <f t="shared" si="38"/>
        <v>0</v>
      </c>
      <c r="AR54" s="53">
        <f t="shared" si="38"/>
        <v>0</v>
      </c>
      <c r="AS54" s="53">
        <f t="shared" si="38"/>
        <v>0</v>
      </c>
      <c r="AT54" s="53">
        <f t="shared" si="38"/>
        <v>0</v>
      </c>
      <c r="AU54" s="53">
        <f t="shared" si="38"/>
        <v>0</v>
      </c>
      <c r="AV54" s="53">
        <f t="shared" si="38"/>
        <v>0</v>
      </c>
      <c r="AW54" s="53">
        <f t="shared" si="38"/>
        <v>0</v>
      </c>
      <c r="AX54" s="53">
        <f t="shared" si="38"/>
        <v>0</v>
      </c>
      <c r="AY54" s="53">
        <f t="shared" si="38"/>
        <v>0</v>
      </c>
      <c r="AZ54" s="53">
        <f t="shared" si="38"/>
        <v>0</v>
      </c>
      <c r="BA54" s="53">
        <f t="shared" si="38"/>
        <v>0</v>
      </c>
      <c r="BB54" s="53">
        <f t="shared" si="38"/>
        <v>0</v>
      </c>
      <c r="BC54" s="53">
        <f t="shared" si="38"/>
        <v>0</v>
      </c>
      <c r="BD54" s="53">
        <f t="shared" si="38"/>
        <v>0</v>
      </c>
      <c r="BE54" s="53">
        <f t="shared" si="38"/>
        <v>0</v>
      </c>
      <c r="BF54" s="53">
        <f t="shared" si="38"/>
        <v>0</v>
      </c>
      <c r="BG54" s="53">
        <f t="shared" si="38"/>
        <v>0</v>
      </c>
      <c r="BH54" s="53">
        <f t="shared" si="38"/>
        <v>0</v>
      </c>
      <c r="BI54" s="53">
        <f t="shared" si="38"/>
        <v>0</v>
      </c>
      <c r="BJ54" s="53">
        <f t="shared" si="38"/>
        <v>0</v>
      </c>
      <c r="BK54" s="53">
        <f t="shared" si="38"/>
        <v>0</v>
      </c>
      <c r="BL54" s="53">
        <f t="shared" si="38"/>
        <v>0</v>
      </c>
      <c r="BM54" s="53">
        <f t="shared" si="38"/>
        <v>0</v>
      </c>
      <c r="BN54" s="53">
        <f t="shared" si="38"/>
        <v>0</v>
      </c>
      <c r="BO54" s="53">
        <f t="shared" si="38"/>
        <v>0</v>
      </c>
      <c r="BP54" s="53">
        <f t="shared" si="38"/>
        <v>0</v>
      </c>
      <c r="BQ54" s="53">
        <f t="shared" ref="BQ54:BV54" si="39">-BQ49</f>
        <v>0</v>
      </c>
      <c r="BR54" s="53">
        <f t="shared" si="39"/>
        <v>0</v>
      </c>
      <c r="BS54" s="53">
        <f t="shared" si="39"/>
        <v>0</v>
      </c>
      <c r="BT54" s="53">
        <f t="shared" si="39"/>
        <v>0</v>
      </c>
      <c r="BU54" s="53">
        <f t="shared" si="39"/>
        <v>0</v>
      </c>
      <c r="BV54" s="53">
        <f t="shared" si="39"/>
        <v>0</v>
      </c>
    </row>
    <row r="55" spans="1:74" ht="15" x14ac:dyDescent="0.35">
      <c r="A55" s="5" t="s">
        <v>123</v>
      </c>
      <c r="B55" s="61">
        <f>-B46+assumptions!B37</f>
        <v>109780.5</v>
      </c>
      <c r="C55" s="63">
        <f>IF(C41+C46+C50+C53+C54-assumptions!$B$37&gt;0,-(C41+C46+C50+C53+C54-assumptions!$B$37),0)</f>
        <v>-1140219.5</v>
      </c>
      <c r="D55" s="63">
        <f>IF(D41+D46+D50+D53+D54-assumptions!$B$37&gt;0,-(D41+D46+D50+D53+D54-assumptions!$B$37),0)</f>
        <v>-1056219.5</v>
      </c>
      <c r="E55" s="63">
        <f>IF(E41+E46+E50+E53+E54-assumptions!$B$37&gt;0,-(E41+E46+E50+E53+E54-assumptions!$B$37),0)</f>
        <v>-476333.82980241673</v>
      </c>
      <c r="F55" s="63">
        <f>IF(F41+F46+F50+F53+F54-assumptions!$B$37&gt;0,-(F41+F46+F50+F53+F54-assumptions!$B$37),0)</f>
        <v>-1098219.5</v>
      </c>
      <c r="G55" s="63">
        <f>IF(G41+G46+G50+G53+G54-assumptions!$B$37&gt;0,-(G41+G46+G50+G53+G54-assumptions!$B$37),0)</f>
        <v>-1140219.5</v>
      </c>
      <c r="H55" s="63">
        <f>IF(H41+H46+H50+H53+H54-assumptions!$B$37&gt;0,-(H41+H46+H50+H53+H54-assumptions!$B$37),0)</f>
        <v>-441549.97839152068</v>
      </c>
      <c r="I55" s="63">
        <f>IF(I41+I46+I50+I53+I54-assumptions!$B$37&gt;0,-(I41+I46+I50+I53+I54-assumptions!$B$37),0)</f>
        <v>-1140219.5</v>
      </c>
      <c r="J55" s="63">
        <f>IF(J41+J46+J50+J53+J54-assumptions!$B$37&gt;0,-(J41+J46+J50+J53+J54-assumptions!$B$37),0)</f>
        <v>-1140219.5</v>
      </c>
      <c r="K55" s="63">
        <f>IF(K41+K46+K50+K53+K54-assumptions!$B$37&gt;0,-(K41+K46+K50+K53+K54-assumptions!$B$37),0)</f>
        <v>-94315.885357972234</v>
      </c>
      <c r="L55" s="63">
        <f>IF(L41+L46+L50+L53+L54-assumptions!$B$37&gt;0,-(L41+L46+L50+L53+L54-assumptions!$B$37),0)</f>
        <v>-1140219.5</v>
      </c>
      <c r="M55" s="63">
        <f>IF(M41+M46+M50+M53+M54-assumptions!$B$37&gt;0,-(M41+M46+M50+M53+M54-assumptions!$B$37),0)</f>
        <v>-1098219.5</v>
      </c>
      <c r="N55" s="63">
        <f>IF(N41+N46+N50+N53+N54-assumptions!$B$37&gt;0,-(N41+N46+N50+N53+N54-assumptions!$B$37),0)</f>
        <v>-136315.88535797223</v>
      </c>
      <c r="O55" s="63">
        <f>IF(O41+O46+O50+O53+O54-assumptions!$B$37&gt;0,-(O41+O46+O50+O53+O54-assumptions!$B$37),0)</f>
        <v>-1140219.5</v>
      </c>
      <c r="P55" s="63">
        <f>IF(P41+P46+P50+P53+P54-assumptions!$B$37&gt;0,-(P41+P46+P50+P53+P54-assumptions!$B$37),0)</f>
        <v>-1014219.5</v>
      </c>
      <c r="Q55" s="63">
        <f>IF(Q41+Q46+Q50+Q53+Q54-assumptions!$B$37&gt;0,-(Q41+Q46+Q50+Q53+Q54-assumptions!$B$37),0)</f>
        <v>0</v>
      </c>
      <c r="R55" s="63">
        <f>IF(R41+R46+R50+R53+R54-assumptions!$B$37&gt;0,-(R41+R46+R50+R53+R54-assumptions!$B$37),0)</f>
        <v>-164664.71422660723</v>
      </c>
      <c r="S55" s="63">
        <f>IF(S41+S46+S50+S53+S54-assumptions!$B$37&gt;0,-(S41+S46+S50+S53+S54-assumptions!$B$37),0)</f>
        <v>-1368069.5</v>
      </c>
      <c r="T55" s="63">
        <f>IF(T41+T46+T50+T53+T54-assumptions!$B$37&gt;0,-(T41+T46+T50+T53+T54-assumptions!$B$37),0)</f>
        <v>0</v>
      </c>
      <c r="U55" s="63">
        <f>IF(U41+U46+U50+U53+U54-assumptions!$B$37&gt;0,-(U41+U46+U50+U53+U54-assumptions!$B$37),0)</f>
        <v>-1210301.0778629705</v>
      </c>
      <c r="V55" s="63">
        <f>IF(V41+V46+V50+V53+V54-assumptions!$B$37&gt;0,-(V41+V46+V50+V53+V54-assumptions!$B$37),0)</f>
        <v>-1863492.2272727271</v>
      </c>
      <c r="W55" s="63">
        <f>IF(W41+W46+W50+W53+W54-assumptions!$B$37&gt;0,-(W41+W46+W50+W53+W54-assumptions!$B$37),0)</f>
        <v>0</v>
      </c>
      <c r="X55" s="63">
        <f>IF(X41+X46+X50+X53+X54-assumptions!$B$37&gt;0,-(X41+X46+X50+X53+X54-assumptions!$B$37),0)</f>
        <v>-1792573.8051356976</v>
      </c>
      <c r="Y55" s="63">
        <f>IF(Y41+Y46+Y50+Y53+Y54-assumptions!$B$37&gt;0,-(Y41+Y46+Y50+Y53+Y54-assumptions!$B$37),0)</f>
        <v>-2080492.2272727266</v>
      </c>
      <c r="Z55" s="63">
        <f>IF(Z41+Z46+Z50+Z53+Z54-assumptions!$B$37&gt;0,-(Z41+Z46+Z50+Z53+Z54-assumptions!$B$37),0)</f>
        <v>-100263.39604478818</v>
      </c>
      <c r="AA55" s="63">
        <f>IF(AA41+AA46+AA50+AA53+AA54-assumptions!$B$38&gt;0,-(AA41+AA46+AA50+AA53+AA54-assumptions!$B$38),0)</f>
        <v>-3356674.0454545449</v>
      </c>
      <c r="AB55" s="63">
        <f>IF(AB41+AB46+AB50+AB53+AB54-assumptions!$B$38&gt;0,-(AB41+AB46+AB50+AB53+AB54-assumptions!$B$38),0)</f>
        <v>-2189946.7727272725</v>
      </c>
      <c r="AC55" s="63">
        <f>IF(AC41+AC46+AC50+AC53+AC54-assumptions!$B$38&gt;0,-(AC41+AC46+AC50+AC53+AC54-assumptions!$B$38),0)</f>
        <v>-364794.74587665871</v>
      </c>
      <c r="AD55" s="63">
        <f>IF(AD41+AD46+AD50+AD53+AD54-assumptions!$B$38&gt;0,-(AD41+AD46+AD50+AD53+AD54-assumptions!$B$38),0)</f>
        <v>-2437561.5771152582</v>
      </c>
      <c r="AE55" s="63">
        <f>IF(AE41+AE46+AE50+AE53+AE54-assumptions!$B$38&gt;0,-(AE41+AE46+AE50+AE53+AE54-assumptions!$B$38),0)</f>
        <v>-2542377.9100520574</v>
      </c>
      <c r="AF55" s="63">
        <f>IF(AF41+AF46+AF50+AF53+AF54-assumptions!$B$38&gt;0,-(AF41+AF46+AF50+AF53+AF54-assumptions!$B$38),0)</f>
        <v>-328732.77690381091</v>
      </c>
      <c r="AG55" s="63">
        <f>IF(AG41+AG46+AG50+AG53+AG54-assumptions!$B$38&gt;0,-(AG41+AG46+AG50+AG53+AG54-assumptions!$B$38),0)</f>
        <v>-2595243.964229228</v>
      </c>
      <c r="AH55" s="63">
        <f>IF(AH41+AH46+AH50+AH53+AH54-assumptions!$B$38&gt;0,-(AH41+AH46+AH50+AH53+AH54-assumptions!$B$38),0)</f>
        <v>-2610266.0115344808</v>
      </c>
      <c r="AI55" s="63">
        <f>IF(AI41+AI46+AI50+AI53+AI54-assumptions!$B$38&gt;0,-(AI41+AI46+AI50+AI53+AI54-assumptions!$B$38),0)</f>
        <v>-385734.92015189491</v>
      </c>
      <c r="AJ55" s="63">
        <f>IF(AJ41+AJ46+AJ50+AJ53+AJ54-assumptions!$B$38&gt;0,-(AJ41+AJ46+AJ50+AJ53+AJ54-assumptions!$B$38),0)</f>
        <v>-2654901.3802815881</v>
      </c>
      <c r="AK55" s="63">
        <f>IF(AK41+AK46+AK50+AK53+AK54-assumptions!$B$38&gt;0,-(AK41+AK46+AK50+AK53+AK54-assumptions!$B$38),0)</f>
        <v>-2576585.8046659869</v>
      </c>
      <c r="AL55" s="63">
        <f>IF(AL41+AL46+AL50+AL53+AL54-assumptions!$B$38&gt;0,-(AL41+AL46+AL50+AL53+AL54-assumptions!$B$38),0)</f>
        <v>-531070.34918575361</v>
      </c>
      <c r="AM55" s="63">
        <f>IF(AM41+AM46+AM50+AM53+AM54-assumptions!$B$38&gt;0,-(AM41+AM46+AM50+AM53+AM54-assumptions!$B$38),0)</f>
        <v>-2708702.0689261081</v>
      </c>
      <c r="AN55" s="63">
        <f>IF(AN41+AN46+AN50+AN53+AN54-assumptions!$B$38&gt;0,-(AN41+AN46+AN50+AN53+AN54-assumptions!$B$38),0)</f>
        <v>-2436235.9009873765</v>
      </c>
      <c r="AO55" s="63">
        <f>IF(AO41+AO46+AO50+AO53+AO54-assumptions!$B$38&gt;0,-(AO41+AO46+AO50+AO53+AO54-assumptions!$B$38),0)</f>
        <v>-588868.15968064568</v>
      </c>
      <c r="AP55" s="63">
        <f>IF(AP41+AP46+AP50+AP53+AP54-assumptions!$B$38&gt;0,-(AP41+AP46+AP50+AP53+AP54-assumptions!$B$38),0)</f>
        <v>-2653219.5</v>
      </c>
      <c r="AQ55" s="63">
        <f>IF(AQ41+AQ46+AQ50+AQ53+AQ54-assumptions!$B$38&gt;0,-(AQ41+AQ46+AQ50+AQ53+AQ54-assumptions!$B$38),0)</f>
        <v>-2751219.5</v>
      </c>
      <c r="AR55" s="63">
        <f>IF(AR41+AR46+AR50+AR53+AR54-assumptions!$B$38&gt;0,-(AR41+AR46+AR50+AR53+AR54-assumptions!$B$38),0)</f>
        <v>-495445.21422660723</v>
      </c>
      <c r="AS55" s="63">
        <f>IF(AS41+AS46+AS50+AS53+AS54-assumptions!$B$38&gt;0,-(AS41+AS46+AS50+AS53+AS54-assumptions!$B$38),0)</f>
        <v>-2751219.5</v>
      </c>
      <c r="AT55" s="63">
        <f>IF(AT41+AT46+AT50+AT53+AT54-assumptions!$B$38&gt;0,-(AT41+AT46+AT50+AT53+AT54-assumptions!$B$38),0)</f>
        <v>-2751219.5</v>
      </c>
      <c r="AU55" s="63">
        <f>IF(AU41+AU46+AU50+AU53+AU54-assumptions!$B$38&gt;0,-(AU41+AU46+AU50+AU53+AU54-assumptions!$B$38),0)</f>
        <v>-495445.21422660723</v>
      </c>
      <c r="AV55" s="63">
        <f>IF(AV41+AV46+AV50+AV53+AV54-assumptions!$B$38&gt;0,-(AV41+AV46+AV50+AV53+AV54-assumptions!$B$38),0)</f>
        <v>-2751219.5</v>
      </c>
      <c r="AW55" s="63">
        <f>IF(AW41+AW46+AW50+AW53+AW54-assumptions!$B$38&gt;0,-(AW41+AW46+AW50+AW53+AW54-assumptions!$B$38),0)</f>
        <v>-2653219.5</v>
      </c>
      <c r="AX55" s="63">
        <f>IF(AX41+AX46+AX50+AX53+AX54-assumptions!$B$38&gt;0,-(AX41+AX46+AX50+AX53+AX54-assumptions!$B$38),0)</f>
        <v>-593445.21422660723</v>
      </c>
      <c r="AY55" s="63">
        <f>IF(AY41+AY46+AY50+AY53+AY54-assumptions!$B$38&gt;0,-(AY41+AY46+AY50+AY53+AY54-assumptions!$B$38),0)</f>
        <v>-2751219.5</v>
      </c>
      <c r="AZ55" s="63">
        <f>IF(AZ41+AZ46+AZ50+AZ53+AZ54-assumptions!$B$38&gt;0,-(AZ41+AZ46+AZ50+AZ53+AZ54-assumptions!$B$38),0)</f>
        <v>-2555219.5</v>
      </c>
      <c r="BA55" s="63">
        <f>IF(BA41+BA46+BA50+BA53+BA54-assumptions!$B$38&gt;0,-(BA41+BA46+BA50+BA53+BA54-assumptions!$B$38),0)</f>
        <v>-593445.21422660723</v>
      </c>
      <c r="BB55" s="63">
        <f>IF(BB41+BB46+BB50+BB53+BB54-assumptions!$B$38&gt;0,-(BB41+BB46+BB50+BB53+BB54-assumptions!$B$38),0)</f>
        <v>-2653219.5</v>
      </c>
      <c r="BC55" s="63">
        <f>IF(BC41+BC46+BC50+BC53+BC54-assumptions!$B$38&gt;0,-(BC41+BC46+BC50+BC53+BC54-assumptions!$B$38),0)</f>
        <v>-2751219.5</v>
      </c>
      <c r="BD55" s="63">
        <f>IF(BD41+BD46+BD50+BD53+BD54-assumptions!$B$38&gt;0,-(BD41+BD46+BD50+BD53+BD54-assumptions!$B$38),0)</f>
        <v>-495445.214226607</v>
      </c>
      <c r="BE55" s="63">
        <f>IF(BE41+BE46+BE50+BE53+BE54-assumptions!$B$38&gt;0,-(BE41+BE46+BE50+BE53+BE54-assumptions!$B$38),0)</f>
        <v>-2751219.5</v>
      </c>
      <c r="BF55" s="63">
        <f>IF(BF41+BF46+BF50+BF53+BF54-assumptions!$B$38&gt;0,-(BF41+BF46+BF50+BF53+BF54-assumptions!$B$38),0)</f>
        <v>-2751219.5</v>
      </c>
      <c r="BG55" s="63">
        <f>IF(BG41+BG46+BG50+BG53+BG54-assumptions!$B$38&gt;0,-(BG41+BG46+BG50+BG53+BG54-assumptions!$B$38),0)</f>
        <v>-495445.21422660723</v>
      </c>
      <c r="BH55" s="63">
        <f>IF(BH41+BH46+BH50+BH53+BH54-assumptions!$B$38&gt;0,-(BH41+BH46+BH50+BH53+BH54-assumptions!$B$38),0)</f>
        <v>-2751219.5</v>
      </c>
      <c r="BI55" s="63">
        <f>IF(BI41+BI46+BI50+BI53+BI54-assumptions!$B$38&gt;0,-(BI41+BI46+BI50+BI53+BI54-assumptions!$B$38),0)</f>
        <v>-2653219.5</v>
      </c>
      <c r="BJ55" s="63">
        <f>IF(BJ41+BJ46+BJ50+BJ53+BJ54-assumptions!$B$38&gt;0,-(BJ41+BJ46+BJ50+BJ53+BJ54-assumptions!$B$38),0)</f>
        <v>-593445.21422660723</v>
      </c>
      <c r="BK55" s="63">
        <f>IF(BK41+BK46+BK50+BK53+BK54-assumptions!$B$38&gt;0,-(BK41+BK46+BK50+BK53+BK54-assumptions!$B$38),0)</f>
        <v>-2751219.5</v>
      </c>
      <c r="BL55" s="63">
        <f>IF(BL41+BL46+BL50+BL53+BL54-assumptions!$B$38&gt;0,-(BL41+BL46+BL50+BL53+BL54-assumptions!$B$38),0)</f>
        <v>-2457219.5</v>
      </c>
      <c r="BM55" s="63">
        <f>IF(BM41+BM46+BM50+BM53+BM54-assumptions!$B$38&gt;0,-(BM41+BM46+BM50+BM53+BM54-assumptions!$B$38),0)</f>
        <v>-593445.21422660723</v>
      </c>
      <c r="BN55" s="63">
        <f>IF(BN41+BN46+BN50+BN53+BN54-assumptions!$B$38&gt;0,-(BN41+BN46+BN50+BN53+BN54-assumptions!$B$38),0)</f>
        <v>-2653219.5</v>
      </c>
      <c r="BO55" s="63">
        <f>IF(BO41+BO46+BO50+BO53+BO54-assumptions!$B$38&gt;0,-(BO41+BO46+BO50+BO53+BO54-assumptions!$B$38),0)</f>
        <v>-2751219.5</v>
      </c>
      <c r="BP55" s="63">
        <f>IF(BP41+BP46+BP50+BP53+BP54-assumptions!$B$38&gt;0,-(BP41+BP46+BP50+BP53+BP54-assumptions!$B$38),0)</f>
        <v>-495445.21422660747</v>
      </c>
      <c r="BQ55" s="63">
        <f>IF(BQ41+BQ46+BQ50+BQ53+BQ54-assumptions!$B$38&gt;0,-(BQ41+BQ46+BQ50+BQ53+BQ54-assumptions!$B$38),0)</f>
        <v>-2751219.5</v>
      </c>
      <c r="BR55" s="63">
        <f>IF(BR41+BR46+BR50+BR53+BR54-assumptions!$B$38&gt;0,-(BR41+BR46+BR50+BR53+BR54-assumptions!$B$38),0)</f>
        <v>-2751219.5</v>
      </c>
      <c r="BS55" s="63">
        <f>IF(BS41+BS46+BS50+BS53+BS54-assumptions!$B$38&gt;0,-(BS41+BS46+BS50+BS53+BS54-assumptions!$B$38),0)</f>
        <v>-495445.21422660723</v>
      </c>
      <c r="BT55" s="63">
        <f>IF(BT41+BT46+BT50+BT53+BT54-assumptions!$B$38&gt;0,-(BT41+BT46+BT50+BT53+BT54-assumptions!$B$38),0)</f>
        <v>-2751219.5</v>
      </c>
      <c r="BU55" s="63">
        <f>IF(BU41+BU46+BU50+BU53+BU54-assumptions!$B$38&gt;0,-(BU41+BU46+BU50+BU53+BU54-assumptions!$B$38),0)</f>
        <v>-2653219.5</v>
      </c>
      <c r="BV55" s="63">
        <f>IF(BV41+BV46+BV50+BV53+BV54-assumptions!$B$38&gt;0,-(BV41+BV46+BV50+BV53+BV54-assumptions!$B$38),0)</f>
        <v>-584370.84017130034</v>
      </c>
    </row>
    <row r="56" spans="1:74" x14ac:dyDescent="0.2">
      <c r="A56" s="5" t="s">
        <v>124</v>
      </c>
      <c r="B56" s="41">
        <f>SUM(B53:B55)</f>
        <v>43064821.5</v>
      </c>
      <c r="C56" s="41">
        <f>SUM(C53:C55)</f>
        <v>-1140219.5</v>
      </c>
      <c r="D56" s="41">
        <f>SUM(D53:D55)</f>
        <v>-1056219.5</v>
      </c>
      <c r="E56" s="41">
        <f t="shared" ref="E56:BP56" si="40">SUM(E53:E55)</f>
        <v>-476333.82980241673</v>
      </c>
      <c r="F56" s="41">
        <f t="shared" si="40"/>
        <v>-1098219.5</v>
      </c>
      <c r="G56" s="41">
        <f t="shared" si="40"/>
        <v>-1140219.5</v>
      </c>
      <c r="H56" s="41">
        <f t="shared" si="40"/>
        <v>-441549.97839152068</v>
      </c>
      <c r="I56" s="41">
        <f t="shared" si="40"/>
        <v>-1140219.5</v>
      </c>
      <c r="J56" s="41">
        <f t="shared" si="40"/>
        <v>-1140219.5</v>
      </c>
      <c r="K56" s="41">
        <f t="shared" si="40"/>
        <v>21905684.114642028</v>
      </c>
      <c r="L56" s="41">
        <f t="shared" si="40"/>
        <v>-1140219.5</v>
      </c>
      <c r="M56" s="41">
        <f t="shared" si="40"/>
        <v>-1098219.5</v>
      </c>
      <c r="N56" s="41">
        <f t="shared" si="40"/>
        <v>-136315.88535797223</v>
      </c>
      <c r="O56" s="41">
        <f t="shared" si="40"/>
        <v>-1140219.5</v>
      </c>
      <c r="P56" s="41">
        <f t="shared" si="40"/>
        <v>-1014219.5</v>
      </c>
      <c r="Q56" s="41">
        <f t="shared" si="40"/>
        <v>-1175694.6627540179</v>
      </c>
      <c r="R56" s="41">
        <f t="shared" si="40"/>
        <v>-164664.71422660723</v>
      </c>
      <c r="S56" s="41">
        <f t="shared" si="40"/>
        <v>-1368069.5</v>
      </c>
      <c r="T56" s="41">
        <f t="shared" si="40"/>
        <v>-1185927.6987432479</v>
      </c>
      <c r="U56" s="41">
        <f t="shared" si="40"/>
        <v>-1210301.0778629705</v>
      </c>
      <c r="V56" s="41">
        <f t="shared" si="40"/>
        <v>-1863492.2272727271</v>
      </c>
      <c r="W56" s="41">
        <f t="shared" si="40"/>
        <v>-1196811.5257255007</v>
      </c>
      <c r="X56" s="41">
        <f t="shared" si="40"/>
        <v>-1792573.8051356976</v>
      </c>
      <c r="Y56" s="41">
        <f t="shared" si="40"/>
        <v>-2080492.2272727266</v>
      </c>
      <c r="Z56" s="41">
        <f t="shared" si="40"/>
        <v>-1302335.9037824403</v>
      </c>
      <c r="AA56" s="41">
        <f t="shared" si="40"/>
        <v>-3356674.0454545449</v>
      </c>
      <c r="AB56" s="41">
        <f t="shared" si="40"/>
        <v>-2189946.7727272725</v>
      </c>
      <c r="AC56" s="41">
        <f t="shared" si="40"/>
        <v>-1609400.891613835</v>
      </c>
      <c r="AD56" s="41">
        <f t="shared" si="40"/>
        <v>-2437561.5771152582</v>
      </c>
      <c r="AE56" s="41">
        <f t="shared" si="40"/>
        <v>-2542377.9100520574</v>
      </c>
      <c r="AF56" s="41">
        <f t="shared" si="40"/>
        <v>-1585970.285336626</v>
      </c>
      <c r="AG56" s="41">
        <f t="shared" si="40"/>
        <v>-2595243.964229228</v>
      </c>
      <c r="AH56" s="41">
        <f t="shared" si="40"/>
        <v>-2610266.0115344808</v>
      </c>
      <c r="AI56" s="41">
        <f t="shared" si="40"/>
        <v>-1656338.1078096428</v>
      </c>
      <c r="AJ56" s="41">
        <f t="shared" si="40"/>
        <v>-2654901.3802815881</v>
      </c>
      <c r="AK56" s="41">
        <f t="shared" si="40"/>
        <v>-2576585.8046659869</v>
      </c>
      <c r="AL56" s="41">
        <f t="shared" si="40"/>
        <v>-1825182.519377809</v>
      </c>
      <c r="AM56" s="41">
        <f t="shared" si="40"/>
        <v>-2708702.0689261081</v>
      </c>
      <c r="AN56" s="41">
        <f t="shared" si="40"/>
        <v>-2436235.9009873765</v>
      </c>
      <c r="AO56" s="41">
        <f t="shared" si="40"/>
        <v>-1925179.0235353801</v>
      </c>
      <c r="AP56" s="41">
        <f t="shared" si="40"/>
        <v>-2653219.5</v>
      </c>
      <c r="AQ56" s="41">
        <f t="shared" si="40"/>
        <v>-2751219.5</v>
      </c>
      <c r="AR56" s="41">
        <f t="shared" si="40"/>
        <v>-1847084.6803250804</v>
      </c>
      <c r="AS56" s="41">
        <f t="shared" si="40"/>
        <v>-2751219.5</v>
      </c>
      <c r="AT56" s="41">
        <f t="shared" si="40"/>
        <v>-2751219.5</v>
      </c>
      <c r="AU56" s="41">
        <f t="shared" si="40"/>
        <v>-1863234.389699128</v>
      </c>
      <c r="AV56" s="41">
        <f t="shared" si="40"/>
        <v>-2751219.5</v>
      </c>
      <c r="AW56" s="41">
        <f t="shared" si="40"/>
        <v>-2653219.5</v>
      </c>
      <c r="AX56" s="41">
        <f t="shared" si="40"/>
        <v>-1973339.2159412503</v>
      </c>
      <c r="AY56" s="41">
        <f t="shared" si="40"/>
        <v>-2751219.5</v>
      </c>
      <c r="AZ56" s="41">
        <f t="shared" si="40"/>
        <v>-2555219.5</v>
      </c>
      <c r="BA56" s="41">
        <f t="shared" si="40"/>
        <v>-2007484.0380412382</v>
      </c>
      <c r="BB56" s="41">
        <f t="shared" si="40"/>
        <v>-2653219.5</v>
      </c>
      <c r="BC56" s="41">
        <f t="shared" si="40"/>
        <v>-2751219.5</v>
      </c>
      <c r="BD56" s="41">
        <f t="shared" si="40"/>
        <v>-1935809.3166607637</v>
      </c>
      <c r="BE56" s="41">
        <f t="shared" si="40"/>
        <v>-2751219.5</v>
      </c>
      <c r="BF56" s="41">
        <f t="shared" si="40"/>
        <v>-2751219.5</v>
      </c>
      <c r="BG56" s="41">
        <f t="shared" si="40"/>
        <v>-1955035.7412870689</v>
      </c>
      <c r="BH56" s="41">
        <f t="shared" si="40"/>
        <v>-2751219.5</v>
      </c>
      <c r="BI56" s="41">
        <f t="shared" si="40"/>
        <v>-2653219.5</v>
      </c>
      <c r="BJ56" s="41">
        <f t="shared" si="40"/>
        <v>-2080507.6676572254</v>
      </c>
      <c r="BK56" s="41">
        <f t="shared" si="40"/>
        <v>-2751219.5</v>
      </c>
      <c r="BL56" s="41">
        <f t="shared" si="40"/>
        <v>-2457219.5</v>
      </c>
      <c r="BM56" s="41">
        <f t="shared" si="40"/>
        <v>-2122468.8970884681</v>
      </c>
      <c r="BN56" s="41">
        <f t="shared" si="40"/>
        <v>-2653219.5</v>
      </c>
      <c r="BO56" s="41">
        <f t="shared" si="40"/>
        <v>-2751219.5</v>
      </c>
      <c r="BP56" s="41">
        <f t="shared" si="40"/>
        <v>-2045948.7406008197</v>
      </c>
      <c r="BQ56" s="41">
        <f t="shared" ref="BQ56:BV56" si="41">SUM(BQ53:BQ55)</f>
        <v>-2751219.5</v>
      </c>
      <c r="BR56" s="41">
        <f t="shared" si="41"/>
        <v>-2751219.5</v>
      </c>
      <c r="BS56" s="41">
        <f t="shared" si="41"/>
        <v>-2068458.4960913835</v>
      </c>
      <c r="BT56" s="41">
        <f t="shared" si="41"/>
        <v>-2751219.5</v>
      </c>
      <c r="BU56" s="41">
        <f t="shared" si="41"/>
        <v>-2653219.5</v>
      </c>
      <c r="BV56" s="41">
        <f t="shared" si="41"/>
        <v>-2177568.6834204793</v>
      </c>
    </row>
    <row r="57" spans="1:74" x14ac:dyDescent="0.2">
      <c r="A57" s="4"/>
    </row>
    <row r="58" spans="1:74" ht="13.5" x14ac:dyDescent="0.25">
      <c r="A58" s="59" t="s">
        <v>125</v>
      </c>
      <c r="B58" s="13">
        <f>B46+B50+B56</f>
        <v>1250000</v>
      </c>
      <c r="C58" s="13">
        <f>C41+C46+C50+C56</f>
        <v>1250000</v>
      </c>
      <c r="D58" s="13">
        <f t="shared" ref="D58:BO58" si="42">D41+D46+D50+D56</f>
        <v>1250000</v>
      </c>
      <c r="E58" s="13">
        <f t="shared" si="42"/>
        <v>1250000</v>
      </c>
      <c r="F58" s="13">
        <f t="shared" si="42"/>
        <v>1250000</v>
      </c>
      <c r="G58" s="13">
        <f t="shared" si="42"/>
        <v>1250000</v>
      </c>
      <c r="H58" s="13">
        <f t="shared" si="42"/>
        <v>1250000</v>
      </c>
      <c r="I58" s="13">
        <f t="shared" si="42"/>
        <v>1250000</v>
      </c>
      <c r="J58" s="13">
        <f t="shared" si="42"/>
        <v>1250000</v>
      </c>
      <c r="K58" s="13">
        <f t="shared" si="42"/>
        <v>1250000</v>
      </c>
      <c r="L58" s="13">
        <f t="shared" si="42"/>
        <v>1250000</v>
      </c>
      <c r="M58" s="13">
        <f t="shared" si="42"/>
        <v>1250000</v>
      </c>
      <c r="N58" s="13">
        <f t="shared" si="42"/>
        <v>1250000</v>
      </c>
      <c r="O58" s="13">
        <f t="shared" si="42"/>
        <v>1250000</v>
      </c>
      <c r="P58" s="13">
        <f t="shared" si="42"/>
        <v>1250000</v>
      </c>
      <c r="Q58" s="13">
        <f t="shared" si="42"/>
        <v>232445.21422660723</v>
      </c>
      <c r="R58" s="13">
        <f t="shared" si="42"/>
        <v>1250000</v>
      </c>
      <c r="S58" s="13">
        <f t="shared" si="42"/>
        <v>1250000</v>
      </c>
      <c r="T58" s="13">
        <f t="shared" si="42"/>
        <v>695445.21422660723</v>
      </c>
      <c r="U58" s="13">
        <f t="shared" si="42"/>
        <v>1250000</v>
      </c>
      <c r="V58" s="13">
        <f t="shared" si="42"/>
        <v>1250000</v>
      </c>
      <c r="W58" s="13">
        <f t="shared" si="42"/>
        <v>981808.85059024347</v>
      </c>
      <c r="X58" s="13">
        <f t="shared" si="42"/>
        <v>1250000</v>
      </c>
      <c r="Y58" s="13">
        <f t="shared" si="42"/>
        <v>1250000</v>
      </c>
      <c r="Z58" s="13">
        <f t="shared" si="42"/>
        <v>1250000</v>
      </c>
      <c r="AA58" s="13">
        <f t="shared" si="42"/>
        <v>250000</v>
      </c>
      <c r="AB58" s="13">
        <f t="shared" si="42"/>
        <v>250000</v>
      </c>
      <c r="AC58" s="13">
        <f t="shared" si="42"/>
        <v>250000</v>
      </c>
      <c r="AD58" s="13">
        <f t="shared" si="42"/>
        <v>250000</v>
      </c>
      <c r="AE58" s="13">
        <f t="shared" si="42"/>
        <v>250000</v>
      </c>
      <c r="AF58" s="13">
        <f t="shared" si="42"/>
        <v>250000</v>
      </c>
      <c r="AG58" s="13">
        <f t="shared" si="42"/>
        <v>250000</v>
      </c>
      <c r="AH58" s="13">
        <f t="shared" si="42"/>
        <v>250000</v>
      </c>
      <c r="AI58" s="13">
        <f t="shared" si="42"/>
        <v>250000</v>
      </c>
      <c r="AJ58" s="13">
        <f t="shared" si="42"/>
        <v>250000</v>
      </c>
      <c r="AK58" s="13">
        <f t="shared" si="42"/>
        <v>250000</v>
      </c>
      <c r="AL58" s="13">
        <f t="shared" si="42"/>
        <v>250000</v>
      </c>
      <c r="AM58" s="13">
        <f t="shared" si="42"/>
        <v>250000</v>
      </c>
      <c r="AN58" s="13">
        <f t="shared" si="42"/>
        <v>250000</v>
      </c>
      <c r="AO58" s="13">
        <f t="shared" si="42"/>
        <v>250000</v>
      </c>
      <c r="AP58" s="13">
        <f t="shared" si="42"/>
        <v>250000</v>
      </c>
      <c r="AQ58" s="13">
        <f t="shared" si="42"/>
        <v>250000</v>
      </c>
      <c r="AR58" s="13">
        <f t="shared" si="42"/>
        <v>250000</v>
      </c>
      <c r="AS58" s="13">
        <f t="shared" si="42"/>
        <v>250000</v>
      </c>
      <c r="AT58" s="13">
        <f t="shared" si="42"/>
        <v>250000</v>
      </c>
      <c r="AU58" s="13">
        <f t="shared" si="42"/>
        <v>250000</v>
      </c>
      <c r="AV58" s="13">
        <f t="shared" si="42"/>
        <v>250000</v>
      </c>
      <c r="AW58" s="13">
        <f t="shared" si="42"/>
        <v>250000</v>
      </c>
      <c r="AX58" s="13">
        <f t="shared" si="42"/>
        <v>250000</v>
      </c>
      <c r="AY58" s="13">
        <f t="shared" si="42"/>
        <v>250000</v>
      </c>
      <c r="AZ58" s="13">
        <f t="shared" si="42"/>
        <v>250000</v>
      </c>
      <c r="BA58" s="13">
        <f t="shared" si="42"/>
        <v>250000</v>
      </c>
      <c r="BB58" s="13">
        <f t="shared" si="42"/>
        <v>250000</v>
      </c>
      <c r="BC58" s="13">
        <f t="shared" si="42"/>
        <v>250000</v>
      </c>
      <c r="BD58" s="13">
        <f t="shared" si="42"/>
        <v>250000</v>
      </c>
      <c r="BE58" s="13">
        <f t="shared" si="42"/>
        <v>250000</v>
      </c>
      <c r="BF58" s="13">
        <f t="shared" si="42"/>
        <v>250000</v>
      </c>
      <c r="BG58" s="13">
        <f t="shared" si="42"/>
        <v>250000</v>
      </c>
      <c r="BH58" s="13">
        <f t="shared" si="42"/>
        <v>250000</v>
      </c>
      <c r="BI58" s="13">
        <f t="shared" si="42"/>
        <v>250000</v>
      </c>
      <c r="BJ58" s="13">
        <f t="shared" si="42"/>
        <v>250000</v>
      </c>
      <c r="BK58" s="13">
        <f t="shared" si="42"/>
        <v>250000</v>
      </c>
      <c r="BL58" s="13">
        <f t="shared" si="42"/>
        <v>250000</v>
      </c>
      <c r="BM58" s="13">
        <f t="shared" si="42"/>
        <v>250000</v>
      </c>
      <c r="BN58" s="13">
        <f t="shared" si="42"/>
        <v>250000</v>
      </c>
      <c r="BO58" s="13">
        <f t="shared" si="42"/>
        <v>250000</v>
      </c>
      <c r="BP58" s="13">
        <f t="shared" ref="BP58:BV58" si="43">BP41+BP46+BP50+BP56</f>
        <v>250000</v>
      </c>
      <c r="BQ58" s="13">
        <f t="shared" si="43"/>
        <v>250000</v>
      </c>
      <c r="BR58" s="13">
        <f t="shared" si="43"/>
        <v>250000</v>
      </c>
      <c r="BS58" s="13">
        <f t="shared" si="43"/>
        <v>250000</v>
      </c>
      <c r="BT58" s="13">
        <f t="shared" si="43"/>
        <v>250000</v>
      </c>
      <c r="BU58" s="13">
        <f t="shared" si="43"/>
        <v>250000</v>
      </c>
      <c r="BV58" s="13">
        <f t="shared" si="43"/>
        <v>250000</v>
      </c>
    </row>
    <row r="59" spans="1:74" ht="13.5" x14ac:dyDescent="0.25">
      <c r="A59" s="59" t="s">
        <v>126</v>
      </c>
      <c r="B59" s="13">
        <f t="shared" ref="B59:AG59" si="44">B58-B41</f>
        <v>1250000</v>
      </c>
      <c r="C59" s="13">
        <f t="shared" si="44"/>
        <v>0</v>
      </c>
      <c r="D59" s="13">
        <f t="shared" si="44"/>
        <v>0</v>
      </c>
      <c r="E59" s="13">
        <f t="shared" si="44"/>
        <v>0</v>
      </c>
      <c r="F59" s="13">
        <f t="shared" si="44"/>
        <v>0</v>
      </c>
      <c r="G59" s="13">
        <f t="shared" si="44"/>
        <v>0</v>
      </c>
      <c r="H59" s="13">
        <f t="shared" si="44"/>
        <v>0</v>
      </c>
      <c r="I59" s="13">
        <f t="shared" si="44"/>
        <v>0</v>
      </c>
      <c r="J59" s="13">
        <f t="shared" si="44"/>
        <v>0</v>
      </c>
      <c r="K59" s="13">
        <f t="shared" si="44"/>
        <v>0</v>
      </c>
      <c r="L59" s="13">
        <f t="shared" si="44"/>
        <v>0</v>
      </c>
      <c r="M59" s="13">
        <f t="shared" si="44"/>
        <v>0</v>
      </c>
      <c r="N59" s="13">
        <f t="shared" si="44"/>
        <v>0</v>
      </c>
      <c r="O59" s="13">
        <f t="shared" si="44"/>
        <v>0</v>
      </c>
      <c r="P59" s="13">
        <f t="shared" si="44"/>
        <v>0</v>
      </c>
      <c r="Q59" s="13">
        <f t="shared" si="44"/>
        <v>-1017554.7857733928</v>
      </c>
      <c r="R59" s="13">
        <f t="shared" si="44"/>
        <v>1017554.7857733928</v>
      </c>
      <c r="S59" s="13">
        <f t="shared" si="44"/>
        <v>0</v>
      </c>
      <c r="T59" s="13">
        <f t="shared" si="44"/>
        <v>-554554.78577339277</v>
      </c>
      <c r="U59" s="13">
        <f t="shared" si="44"/>
        <v>554554.78577339277</v>
      </c>
      <c r="V59" s="13">
        <f t="shared" si="44"/>
        <v>0</v>
      </c>
      <c r="W59" s="13">
        <f t="shared" si="44"/>
        <v>-268191.14940975653</v>
      </c>
      <c r="X59" s="13">
        <f t="shared" si="44"/>
        <v>268191.14940975653</v>
      </c>
      <c r="Y59" s="13">
        <f t="shared" si="44"/>
        <v>0</v>
      </c>
      <c r="Z59" s="13">
        <f t="shared" si="44"/>
        <v>0</v>
      </c>
      <c r="AA59" s="13">
        <f t="shared" si="44"/>
        <v>-1000000</v>
      </c>
      <c r="AB59" s="13">
        <f t="shared" si="44"/>
        <v>0</v>
      </c>
      <c r="AC59" s="13">
        <f t="shared" si="44"/>
        <v>0</v>
      </c>
      <c r="AD59" s="13">
        <f t="shared" si="44"/>
        <v>0</v>
      </c>
      <c r="AE59" s="13">
        <f t="shared" si="44"/>
        <v>0</v>
      </c>
      <c r="AF59" s="13">
        <f t="shared" si="44"/>
        <v>0</v>
      </c>
      <c r="AG59" s="13">
        <f t="shared" si="44"/>
        <v>0</v>
      </c>
      <c r="AH59" s="13">
        <f t="shared" ref="AH59:BM59" si="45">AH58-AH41</f>
        <v>0</v>
      </c>
      <c r="AI59" s="13">
        <f t="shared" si="45"/>
        <v>0</v>
      </c>
      <c r="AJ59" s="13">
        <f t="shared" si="45"/>
        <v>0</v>
      </c>
      <c r="AK59" s="13">
        <f t="shared" si="45"/>
        <v>0</v>
      </c>
      <c r="AL59" s="13">
        <f t="shared" si="45"/>
        <v>0</v>
      </c>
      <c r="AM59" s="13">
        <f t="shared" si="45"/>
        <v>0</v>
      </c>
      <c r="AN59" s="13">
        <f t="shared" si="45"/>
        <v>0</v>
      </c>
      <c r="AO59" s="13">
        <f t="shared" si="45"/>
        <v>0</v>
      </c>
      <c r="AP59" s="13">
        <f t="shared" si="45"/>
        <v>0</v>
      </c>
      <c r="AQ59" s="13">
        <f t="shared" si="45"/>
        <v>0</v>
      </c>
      <c r="AR59" s="13">
        <f t="shared" si="45"/>
        <v>0</v>
      </c>
      <c r="AS59" s="13">
        <f t="shared" si="45"/>
        <v>0</v>
      </c>
      <c r="AT59" s="13">
        <f t="shared" si="45"/>
        <v>0</v>
      </c>
      <c r="AU59" s="13">
        <f t="shared" si="45"/>
        <v>0</v>
      </c>
      <c r="AV59" s="13">
        <f t="shared" si="45"/>
        <v>0</v>
      </c>
      <c r="AW59" s="13">
        <f t="shared" si="45"/>
        <v>0</v>
      </c>
      <c r="AX59" s="13">
        <f t="shared" si="45"/>
        <v>0</v>
      </c>
      <c r="AY59" s="13">
        <f t="shared" si="45"/>
        <v>0</v>
      </c>
      <c r="AZ59" s="13">
        <f t="shared" si="45"/>
        <v>0</v>
      </c>
      <c r="BA59" s="13">
        <f t="shared" si="45"/>
        <v>0</v>
      </c>
      <c r="BB59" s="13">
        <f t="shared" si="45"/>
        <v>0</v>
      </c>
      <c r="BC59" s="13">
        <f t="shared" si="45"/>
        <v>0</v>
      </c>
      <c r="BD59" s="13">
        <f t="shared" si="45"/>
        <v>0</v>
      </c>
      <c r="BE59" s="13">
        <f t="shared" si="45"/>
        <v>0</v>
      </c>
      <c r="BF59" s="13">
        <f t="shared" si="45"/>
        <v>0</v>
      </c>
      <c r="BG59" s="13">
        <f t="shared" si="45"/>
        <v>0</v>
      </c>
      <c r="BH59" s="13">
        <f t="shared" si="45"/>
        <v>0</v>
      </c>
      <c r="BI59" s="13">
        <f t="shared" si="45"/>
        <v>0</v>
      </c>
      <c r="BJ59" s="13">
        <f t="shared" si="45"/>
        <v>0</v>
      </c>
      <c r="BK59" s="13">
        <f t="shared" si="45"/>
        <v>0</v>
      </c>
      <c r="BL59" s="13">
        <f t="shared" si="45"/>
        <v>0</v>
      </c>
      <c r="BM59" s="13">
        <f t="shared" si="45"/>
        <v>0</v>
      </c>
      <c r="BN59" s="13">
        <f t="shared" ref="BN59:BV59" si="46">BN58-BN41</f>
        <v>0</v>
      </c>
      <c r="BO59" s="13">
        <f t="shared" si="46"/>
        <v>0</v>
      </c>
      <c r="BP59" s="13">
        <f t="shared" si="46"/>
        <v>0</v>
      </c>
      <c r="BQ59" s="13">
        <f t="shared" si="46"/>
        <v>0</v>
      </c>
      <c r="BR59" s="13">
        <f t="shared" si="46"/>
        <v>0</v>
      </c>
      <c r="BS59" s="13">
        <f t="shared" si="46"/>
        <v>0</v>
      </c>
      <c r="BT59" s="13">
        <f t="shared" si="46"/>
        <v>0</v>
      </c>
      <c r="BU59" s="13">
        <f t="shared" si="46"/>
        <v>0</v>
      </c>
      <c r="BV59" s="13">
        <f t="shared" si="46"/>
        <v>0</v>
      </c>
    </row>
  </sheetData>
  <printOptions horizontalCentered="1"/>
  <pageMargins left="0.24" right="0.17" top="1" bottom="1" header="0.5" footer="0.5"/>
  <pageSetup scale="62" fitToWidth="3" orientation="landscape" r:id="rId1"/>
  <headerFooter alignWithMargins="0"/>
  <colBreaks count="2" manualBreakCount="2">
    <brk id="15" max="1048575" man="1"/>
    <brk id="38" max="1048575"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AP60"/>
  <sheetViews>
    <sheetView view="pageBreakPreview" topLeftCell="Q1" zoomScale="60" zoomScaleNormal="100" workbookViewId="0">
      <selection activeCell="F8" sqref="F8"/>
    </sheetView>
  </sheetViews>
  <sheetFormatPr defaultRowHeight="12.75" x14ac:dyDescent="0.2"/>
  <cols>
    <col min="1" max="1" width="17.42578125" style="1" customWidth="1"/>
    <col min="2" max="2" width="15.5703125" style="1" customWidth="1"/>
    <col min="3" max="4" width="13.42578125" style="1" customWidth="1"/>
    <col min="5" max="5" width="16.5703125" style="1" customWidth="1"/>
    <col min="6" max="6" width="14.42578125" style="1" customWidth="1"/>
    <col min="7" max="7" width="13.42578125" style="1" customWidth="1"/>
    <col min="8" max="9" width="14.140625" style="1" customWidth="1"/>
    <col min="10" max="10" width="13.42578125" style="1" customWidth="1"/>
    <col min="11" max="11" width="13.28515625" style="1" customWidth="1"/>
    <col min="12" max="15" width="14.140625" style="1" customWidth="1"/>
    <col min="16" max="20" width="14.42578125" style="1" customWidth="1"/>
    <col min="21" max="22" width="14.140625" style="1" customWidth="1"/>
    <col min="23" max="25" width="14" style="1" customWidth="1"/>
    <col min="26" max="27" width="14.140625" style="1" customWidth="1"/>
    <col min="28" max="29" width="14.42578125" style="1" customWidth="1"/>
    <col min="30" max="30" width="14.140625" style="1" customWidth="1"/>
    <col min="31" max="31" width="13.7109375" style="1" customWidth="1"/>
    <col min="32" max="33" width="14" style="1" customWidth="1"/>
    <col min="34" max="36" width="13.7109375" style="1" customWidth="1"/>
    <col min="37" max="37" width="13.42578125" style="1" customWidth="1"/>
    <col min="38" max="39" width="14" style="1" customWidth="1"/>
    <col min="40" max="40" width="13.7109375" style="1" customWidth="1"/>
    <col min="41" max="41" width="14.140625" style="1" customWidth="1"/>
    <col min="42" max="42" width="14.42578125" style="1" customWidth="1"/>
    <col min="43" max="16384" width="9.140625" style="1"/>
  </cols>
  <sheetData>
    <row r="1" spans="1:6" ht="15.75" x14ac:dyDescent="0.25">
      <c r="A1" s="2" t="s">
        <v>0</v>
      </c>
      <c r="B1" s="2"/>
    </row>
    <row r="2" spans="1:6" x14ac:dyDescent="0.2">
      <c r="A2" s="3" t="s">
        <v>141</v>
      </c>
      <c r="B2" s="3"/>
    </row>
    <row r="3" spans="1:6" x14ac:dyDescent="0.2">
      <c r="A3" s="30"/>
    </row>
    <row r="4" spans="1:6" x14ac:dyDescent="0.2">
      <c r="A4" s="15"/>
      <c r="B4" s="3"/>
    </row>
    <row r="5" spans="1:6" x14ac:dyDescent="0.2">
      <c r="A5" s="15" t="s">
        <v>57</v>
      </c>
      <c r="E5" s="3" t="s">
        <v>127</v>
      </c>
    </row>
    <row r="6" spans="1:6" x14ac:dyDescent="0.2">
      <c r="A6" s="30" t="s">
        <v>88</v>
      </c>
      <c r="C6" s="47">
        <f>C8/C7</f>
        <v>42955041</v>
      </c>
      <c r="E6" s="1" t="s">
        <v>88</v>
      </c>
      <c r="F6" s="41">
        <f>Expansion_Cost</f>
        <v>22000000</v>
      </c>
    </row>
    <row r="7" spans="1:6" x14ac:dyDescent="0.2">
      <c r="A7" s="30" t="s">
        <v>89</v>
      </c>
      <c r="C7" s="46">
        <f>assumptions!B17</f>
        <v>0.85</v>
      </c>
      <c r="E7" s="1" t="s">
        <v>128</v>
      </c>
      <c r="F7" s="46">
        <f>assumptions!B17</f>
        <v>0.85</v>
      </c>
    </row>
    <row r="8" spans="1:6" x14ac:dyDescent="0.2">
      <c r="A8" s="30" t="s">
        <v>90</v>
      </c>
      <c r="C8" s="47">
        <f>assumptions!B7</f>
        <v>36511784.850000001</v>
      </c>
      <c r="E8" s="1" t="s">
        <v>129</v>
      </c>
      <c r="F8" s="41">
        <f>F6*F7</f>
        <v>18700000</v>
      </c>
    </row>
    <row r="9" spans="1:6" x14ac:dyDescent="0.2">
      <c r="A9" s="30"/>
      <c r="E9" s="1" t="s">
        <v>130</v>
      </c>
    </row>
    <row r="10" spans="1:6" x14ac:dyDescent="0.2">
      <c r="A10" s="30" t="s">
        <v>91</v>
      </c>
      <c r="C10" s="48">
        <f>assumptions!B9</f>
        <v>5.9900000000000002E-2</v>
      </c>
    </row>
    <row r="11" spans="1:6" x14ac:dyDescent="0.2">
      <c r="A11" s="30" t="s">
        <v>92</v>
      </c>
    </row>
    <row r="12" spans="1:6" x14ac:dyDescent="0.2">
      <c r="A12" s="119" t="s">
        <v>109</v>
      </c>
      <c r="B12" s="52" t="s">
        <v>110</v>
      </c>
      <c r="C12" s="52" t="s">
        <v>97</v>
      </c>
    </row>
    <row r="13" spans="1:6" x14ac:dyDescent="0.2">
      <c r="A13" s="120" t="s">
        <v>111</v>
      </c>
      <c r="B13" s="51">
        <v>36524</v>
      </c>
      <c r="C13" s="48">
        <f>assumptions!B10</f>
        <v>0.01</v>
      </c>
    </row>
    <row r="14" spans="1:6" x14ac:dyDescent="0.2">
      <c r="A14" s="51">
        <v>36524</v>
      </c>
      <c r="B14" s="51">
        <v>37255</v>
      </c>
      <c r="C14" s="48">
        <f>assumptions!B11</f>
        <v>1.125E-2</v>
      </c>
    </row>
    <row r="15" spans="1:6" x14ac:dyDescent="0.2">
      <c r="A15" s="51">
        <v>37255</v>
      </c>
      <c r="B15" s="51">
        <v>37985</v>
      </c>
      <c r="C15" s="48">
        <f>assumptions!B12</f>
        <v>1.2500000000000001E-2</v>
      </c>
    </row>
    <row r="16" spans="1:6" x14ac:dyDescent="0.2">
      <c r="A16" s="51">
        <v>37985</v>
      </c>
      <c r="B16" s="51">
        <v>38716</v>
      </c>
      <c r="C16" s="48">
        <f>assumptions!B13</f>
        <v>1.375E-2</v>
      </c>
    </row>
    <row r="17" spans="1:42" x14ac:dyDescent="0.2">
      <c r="A17" s="51">
        <v>38716</v>
      </c>
      <c r="B17" s="51">
        <v>39446</v>
      </c>
      <c r="C17" s="48">
        <f>assumptions!B14</f>
        <v>1.4999999999999999E-2</v>
      </c>
    </row>
    <row r="18" spans="1:42" x14ac:dyDescent="0.2">
      <c r="A18" s="51">
        <v>39446</v>
      </c>
      <c r="B18" s="51">
        <v>40177</v>
      </c>
      <c r="C18" s="48">
        <f>assumptions!B15</f>
        <v>1.7500000000000002E-2</v>
      </c>
    </row>
    <row r="19" spans="1:42" x14ac:dyDescent="0.2">
      <c r="A19" s="121"/>
      <c r="B19" s="45"/>
    </row>
    <row r="20" spans="1:42" x14ac:dyDescent="0.2">
      <c r="A20" s="30" t="s">
        <v>93</v>
      </c>
      <c r="B20" s="30"/>
      <c r="C20" s="49">
        <f>AVERAGE(C13:C18)</f>
        <v>1.3333333333333334E-2</v>
      </c>
    </row>
    <row r="21" spans="1:42" x14ac:dyDescent="0.2">
      <c r="A21" s="30"/>
      <c r="B21" s="30"/>
    </row>
    <row r="22" spans="1:42" x14ac:dyDescent="0.2">
      <c r="A22" s="15" t="s">
        <v>57</v>
      </c>
      <c r="B22" s="30"/>
    </row>
    <row r="23" spans="1:42" x14ac:dyDescent="0.2">
      <c r="A23" s="30" t="s">
        <v>94</v>
      </c>
      <c r="B23" s="30"/>
      <c r="C23" s="1">
        <v>0</v>
      </c>
      <c r="D23" s="1">
        <v>1</v>
      </c>
      <c r="E23" s="1">
        <v>2</v>
      </c>
      <c r="F23" s="1">
        <v>3</v>
      </c>
      <c r="G23" s="1">
        <v>4</v>
      </c>
      <c r="H23" s="1">
        <v>5</v>
      </c>
      <c r="I23" s="1">
        <v>6</v>
      </c>
      <c r="J23" s="1">
        <v>7</v>
      </c>
      <c r="K23" s="1">
        <v>8</v>
      </c>
      <c r="L23" s="1">
        <v>9</v>
      </c>
      <c r="M23" s="1">
        <v>10</v>
      </c>
      <c r="N23" s="1">
        <v>11</v>
      </c>
      <c r="O23" s="1">
        <v>12</v>
      </c>
      <c r="P23" s="1">
        <v>13</v>
      </c>
      <c r="Q23" s="1">
        <v>14</v>
      </c>
      <c r="R23" s="1">
        <v>15</v>
      </c>
      <c r="S23" s="1">
        <v>16</v>
      </c>
      <c r="T23" s="1">
        <v>17</v>
      </c>
      <c r="U23" s="1">
        <v>18</v>
      </c>
      <c r="V23" s="1">
        <v>19</v>
      </c>
      <c r="W23" s="1">
        <v>20</v>
      </c>
      <c r="X23" s="1">
        <v>21</v>
      </c>
      <c r="Y23" s="1">
        <v>22</v>
      </c>
      <c r="Z23" s="1">
        <v>23</v>
      </c>
      <c r="AA23" s="1">
        <v>24</v>
      </c>
      <c r="AB23" s="1">
        <v>25</v>
      </c>
      <c r="AC23" s="1">
        <v>26</v>
      </c>
      <c r="AD23" s="1">
        <v>27</v>
      </c>
      <c r="AE23" s="1">
        <v>28</v>
      </c>
      <c r="AF23" s="1">
        <v>29</v>
      </c>
      <c r="AG23" s="1">
        <v>30</v>
      </c>
      <c r="AH23" s="1">
        <v>31</v>
      </c>
      <c r="AI23" s="1">
        <v>32</v>
      </c>
      <c r="AJ23" s="1">
        <v>33</v>
      </c>
      <c r="AK23" s="1">
        <v>34</v>
      </c>
      <c r="AL23" s="1">
        <v>35</v>
      </c>
      <c r="AM23" s="1">
        <v>36</v>
      </c>
      <c r="AN23" s="1">
        <v>37</v>
      </c>
      <c r="AO23" s="1">
        <v>38</v>
      </c>
      <c r="AP23" s="1">
        <v>39</v>
      </c>
    </row>
    <row r="24" spans="1:42" x14ac:dyDescent="0.2">
      <c r="A24" s="30" t="s">
        <v>95</v>
      </c>
      <c r="B24" s="30"/>
      <c r="C24" s="50">
        <v>36524</v>
      </c>
      <c r="D24" s="50">
        <v>36616</v>
      </c>
      <c r="E24" s="50">
        <v>36707</v>
      </c>
      <c r="F24" s="50">
        <v>36799</v>
      </c>
      <c r="G24" s="50">
        <v>36891</v>
      </c>
      <c r="H24" s="50">
        <v>36981</v>
      </c>
      <c r="I24" s="50">
        <v>37072</v>
      </c>
      <c r="J24" s="50">
        <v>37164</v>
      </c>
      <c r="K24" s="50">
        <v>37256</v>
      </c>
      <c r="L24" s="50">
        <v>37346</v>
      </c>
      <c r="M24" s="50">
        <v>37437</v>
      </c>
      <c r="N24" s="50">
        <v>37529</v>
      </c>
      <c r="O24" s="50">
        <v>37621</v>
      </c>
      <c r="P24" s="50">
        <v>37711</v>
      </c>
      <c r="Q24" s="50">
        <v>37802</v>
      </c>
      <c r="R24" s="50">
        <v>37894</v>
      </c>
      <c r="S24" s="50">
        <v>37986</v>
      </c>
      <c r="T24" s="50">
        <v>38077</v>
      </c>
      <c r="U24" s="50">
        <v>38168</v>
      </c>
      <c r="V24" s="50">
        <v>38260</v>
      </c>
      <c r="W24" s="50">
        <v>38352</v>
      </c>
      <c r="X24" s="50">
        <v>38442</v>
      </c>
      <c r="Y24" s="50">
        <v>38533</v>
      </c>
      <c r="Z24" s="50">
        <v>38625</v>
      </c>
      <c r="AA24" s="50">
        <v>38717</v>
      </c>
      <c r="AB24" s="50">
        <v>38807</v>
      </c>
      <c r="AC24" s="50">
        <v>38898</v>
      </c>
      <c r="AD24" s="50">
        <v>38990</v>
      </c>
      <c r="AE24" s="50">
        <v>39082</v>
      </c>
      <c r="AF24" s="50">
        <v>39172</v>
      </c>
      <c r="AG24" s="50">
        <v>39263</v>
      </c>
      <c r="AH24" s="50">
        <v>39355</v>
      </c>
      <c r="AI24" s="50">
        <v>39447</v>
      </c>
      <c r="AJ24" s="50">
        <v>39538</v>
      </c>
      <c r="AK24" s="50">
        <v>39629</v>
      </c>
      <c r="AL24" s="50">
        <v>39721</v>
      </c>
      <c r="AM24" s="50">
        <v>39813</v>
      </c>
      <c r="AN24" s="50">
        <v>39903</v>
      </c>
      <c r="AO24" s="50">
        <v>39994</v>
      </c>
      <c r="AP24" s="50">
        <v>40086</v>
      </c>
    </row>
    <row r="25" spans="1:42" x14ac:dyDescent="0.2">
      <c r="A25" s="30" t="s">
        <v>96</v>
      </c>
      <c r="B25" s="30"/>
      <c r="C25" s="48">
        <f>$C$10</f>
        <v>5.9900000000000002E-2</v>
      </c>
      <c r="D25" s="48">
        <f t="shared" ref="D25:AP25" si="0">$C$10</f>
        <v>5.9900000000000002E-2</v>
      </c>
      <c r="E25" s="48">
        <f t="shared" si="0"/>
        <v>5.9900000000000002E-2</v>
      </c>
      <c r="F25" s="48">
        <f t="shared" si="0"/>
        <v>5.9900000000000002E-2</v>
      </c>
      <c r="G25" s="48">
        <f t="shared" si="0"/>
        <v>5.9900000000000002E-2</v>
      </c>
      <c r="H25" s="48">
        <f t="shared" si="0"/>
        <v>5.9900000000000002E-2</v>
      </c>
      <c r="I25" s="48">
        <f t="shared" si="0"/>
        <v>5.9900000000000002E-2</v>
      </c>
      <c r="J25" s="48">
        <f t="shared" si="0"/>
        <v>5.9900000000000002E-2</v>
      </c>
      <c r="K25" s="48">
        <f t="shared" si="0"/>
        <v>5.9900000000000002E-2</v>
      </c>
      <c r="L25" s="48">
        <f t="shared" si="0"/>
        <v>5.9900000000000002E-2</v>
      </c>
      <c r="M25" s="48">
        <f t="shared" si="0"/>
        <v>5.9900000000000002E-2</v>
      </c>
      <c r="N25" s="48">
        <f t="shared" si="0"/>
        <v>5.9900000000000002E-2</v>
      </c>
      <c r="O25" s="48">
        <f t="shared" si="0"/>
        <v>5.9900000000000002E-2</v>
      </c>
      <c r="P25" s="48">
        <f t="shared" si="0"/>
        <v>5.9900000000000002E-2</v>
      </c>
      <c r="Q25" s="48">
        <f t="shared" si="0"/>
        <v>5.9900000000000002E-2</v>
      </c>
      <c r="R25" s="48">
        <f t="shared" si="0"/>
        <v>5.9900000000000002E-2</v>
      </c>
      <c r="S25" s="48">
        <f t="shared" si="0"/>
        <v>5.9900000000000002E-2</v>
      </c>
      <c r="T25" s="48">
        <f t="shared" si="0"/>
        <v>5.9900000000000002E-2</v>
      </c>
      <c r="U25" s="48">
        <f t="shared" si="0"/>
        <v>5.9900000000000002E-2</v>
      </c>
      <c r="V25" s="48">
        <f t="shared" si="0"/>
        <v>5.9900000000000002E-2</v>
      </c>
      <c r="W25" s="48">
        <f t="shared" si="0"/>
        <v>5.9900000000000002E-2</v>
      </c>
      <c r="X25" s="48">
        <f t="shared" si="0"/>
        <v>5.9900000000000002E-2</v>
      </c>
      <c r="Y25" s="48">
        <f t="shared" si="0"/>
        <v>5.9900000000000002E-2</v>
      </c>
      <c r="Z25" s="48">
        <f t="shared" si="0"/>
        <v>5.9900000000000002E-2</v>
      </c>
      <c r="AA25" s="48">
        <f t="shared" si="0"/>
        <v>5.9900000000000002E-2</v>
      </c>
      <c r="AB25" s="48">
        <f t="shared" si="0"/>
        <v>5.9900000000000002E-2</v>
      </c>
      <c r="AC25" s="48">
        <f t="shared" si="0"/>
        <v>5.9900000000000002E-2</v>
      </c>
      <c r="AD25" s="48">
        <f t="shared" si="0"/>
        <v>5.9900000000000002E-2</v>
      </c>
      <c r="AE25" s="48">
        <f t="shared" si="0"/>
        <v>5.9900000000000002E-2</v>
      </c>
      <c r="AF25" s="48">
        <f t="shared" si="0"/>
        <v>5.9900000000000002E-2</v>
      </c>
      <c r="AG25" s="48">
        <f t="shared" si="0"/>
        <v>5.9900000000000002E-2</v>
      </c>
      <c r="AH25" s="48">
        <f t="shared" si="0"/>
        <v>5.9900000000000002E-2</v>
      </c>
      <c r="AI25" s="48">
        <f t="shared" si="0"/>
        <v>5.9900000000000002E-2</v>
      </c>
      <c r="AJ25" s="48">
        <f t="shared" si="0"/>
        <v>5.9900000000000002E-2</v>
      </c>
      <c r="AK25" s="48">
        <f t="shared" si="0"/>
        <v>5.9900000000000002E-2</v>
      </c>
      <c r="AL25" s="48">
        <f t="shared" si="0"/>
        <v>5.9900000000000002E-2</v>
      </c>
      <c r="AM25" s="48">
        <f t="shared" si="0"/>
        <v>5.9900000000000002E-2</v>
      </c>
      <c r="AN25" s="48">
        <f t="shared" si="0"/>
        <v>5.9900000000000002E-2</v>
      </c>
      <c r="AO25" s="48">
        <f t="shared" si="0"/>
        <v>5.9900000000000002E-2</v>
      </c>
      <c r="AP25" s="48">
        <f t="shared" si="0"/>
        <v>5.9900000000000002E-2</v>
      </c>
    </row>
    <row r="26" spans="1:42" x14ac:dyDescent="0.2">
      <c r="A26" s="30" t="s">
        <v>97</v>
      </c>
      <c r="C26" s="49">
        <f>C13</f>
        <v>0.01</v>
      </c>
      <c r="D26" s="49">
        <f>VLOOKUP(D24,$A$13:$C$18,3)</f>
        <v>1.125E-2</v>
      </c>
      <c r="E26" s="49">
        <f t="shared" ref="E26:AP26" si="1">VLOOKUP(E24,$A$13:$C$18,3)</f>
        <v>1.125E-2</v>
      </c>
      <c r="F26" s="49">
        <f t="shared" si="1"/>
        <v>1.125E-2</v>
      </c>
      <c r="G26" s="49">
        <f t="shared" si="1"/>
        <v>1.125E-2</v>
      </c>
      <c r="H26" s="49">
        <f t="shared" si="1"/>
        <v>1.125E-2</v>
      </c>
      <c r="I26" s="49">
        <f t="shared" si="1"/>
        <v>1.125E-2</v>
      </c>
      <c r="J26" s="49">
        <f t="shared" si="1"/>
        <v>1.125E-2</v>
      </c>
      <c r="K26" s="49">
        <f t="shared" si="1"/>
        <v>1.2500000000000001E-2</v>
      </c>
      <c r="L26" s="49">
        <f t="shared" si="1"/>
        <v>1.2500000000000001E-2</v>
      </c>
      <c r="M26" s="49">
        <f t="shared" si="1"/>
        <v>1.2500000000000001E-2</v>
      </c>
      <c r="N26" s="49">
        <f t="shared" si="1"/>
        <v>1.2500000000000001E-2</v>
      </c>
      <c r="O26" s="49">
        <f t="shared" si="1"/>
        <v>1.2500000000000001E-2</v>
      </c>
      <c r="P26" s="49">
        <f t="shared" si="1"/>
        <v>1.2500000000000001E-2</v>
      </c>
      <c r="Q26" s="49">
        <f t="shared" si="1"/>
        <v>1.2500000000000001E-2</v>
      </c>
      <c r="R26" s="49">
        <f t="shared" si="1"/>
        <v>1.2500000000000001E-2</v>
      </c>
      <c r="S26" s="49">
        <f t="shared" si="1"/>
        <v>1.375E-2</v>
      </c>
      <c r="T26" s="49">
        <f t="shared" si="1"/>
        <v>1.375E-2</v>
      </c>
      <c r="U26" s="49">
        <f t="shared" si="1"/>
        <v>1.375E-2</v>
      </c>
      <c r="V26" s="49">
        <f t="shared" si="1"/>
        <v>1.375E-2</v>
      </c>
      <c r="W26" s="49">
        <f t="shared" si="1"/>
        <v>1.375E-2</v>
      </c>
      <c r="X26" s="49">
        <f t="shared" si="1"/>
        <v>1.375E-2</v>
      </c>
      <c r="Y26" s="49">
        <f t="shared" si="1"/>
        <v>1.375E-2</v>
      </c>
      <c r="Z26" s="49">
        <f t="shared" si="1"/>
        <v>1.375E-2</v>
      </c>
      <c r="AA26" s="49">
        <f t="shared" si="1"/>
        <v>1.4999999999999999E-2</v>
      </c>
      <c r="AB26" s="49">
        <f t="shared" si="1"/>
        <v>1.4999999999999999E-2</v>
      </c>
      <c r="AC26" s="49">
        <f t="shared" si="1"/>
        <v>1.4999999999999999E-2</v>
      </c>
      <c r="AD26" s="49">
        <f t="shared" si="1"/>
        <v>1.4999999999999999E-2</v>
      </c>
      <c r="AE26" s="49">
        <f t="shared" si="1"/>
        <v>1.4999999999999999E-2</v>
      </c>
      <c r="AF26" s="49">
        <f t="shared" si="1"/>
        <v>1.4999999999999999E-2</v>
      </c>
      <c r="AG26" s="49">
        <f t="shared" si="1"/>
        <v>1.4999999999999999E-2</v>
      </c>
      <c r="AH26" s="49">
        <f t="shared" si="1"/>
        <v>1.4999999999999999E-2</v>
      </c>
      <c r="AI26" s="49">
        <f t="shared" si="1"/>
        <v>1.7500000000000002E-2</v>
      </c>
      <c r="AJ26" s="49">
        <f t="shared" si="1"/>
        <v>1.7500000000000002E-2</v>
      </c>
      <c r="AK26" s="49">
        <f t="shared" si="1"/>
        <v>1.7500000000000002E-2</v>
      </c>
      <c r="AL26" s="49">
        <f t="shared" si="1"/>
        <v>1.7500000000000002E-2</v>
      </c>
      <c r="AM26" s="49">
        <f t="shared" si="1"/>
        <v>1.7500000000000002E-2</v>
      </c>
      <c r="AN26" s="49">
        <f t="shared" si="1"/>
        <v>1.7500000000000002E-2</v>
      </c>
      <c r="AO26" s="49">
        <f t="shared" si="1"/>
        <v>1.7500000000000002E-2</v>
      </c>
      <c r="AP26" s="49">
        <f t="shared" si="1"/>
        <v>1.7500000000000002E-2</v>
      </c>
    </row>
    <row r="27" spans="1:42" x14ac:dyDescent="0.2">
      <c r="A27" s="30" t="s">
        <v>98</v>
      </c>
      <c r="C27" s="49">
        <f>SUM(C25:C26)</f>
        <v>6.9900000000000004E-2</v>
      </c>
      <c r="D27" s="49">
        <f t="shared" ref="D27:AP27" si="2">SUM(D25:D26)</f>
        <v>7.1150000000000005E-2</v>
      </c>
      <c r="E27" s="49">
        <f t="shared" si="2"/>
        <v>7.1150000000000005E-2</v>
      </c>
      <c r="F27" s="49">
        <f t="shared" si="2"/>
        <v>7.1150000000000005E-2</v>
      </c>
      <c r="G27" s="49">
        <f t="shared" si="2"/>
        <v>7.1150000000000005E-2</v>
      </c>
      <c r="H27" s="49">
        <f t="shared" si="2"/>
        <v>7.1150000000000005E-2</v>
      </c>
      <c r="I27" s="49">
        <f t="shared" si="2"/>
        <v>7.1150000000000005E-2</v>
      </c>
      <c r="J27" s="49">
        <f t="shared" si="2"/>
        <v>7.1150000000000005E-2</v>
      </c>
      <c r="K27" s="49">
        <f t="shared" si="2"/>
        <v>7.2400000000000006E-2</v>
      </c>
      <c r="L27" s="49">
        <f t="shared" si="2"/>
        <v>7.2400000000000006E-2</v>
      </c>
      <c r="M27" s="49">
        <f t="shared" si="2"/>
        <v>7.2400000000000006E-2</v>
      </c>
      <c r="N27" s="49">
        <f t="shared" si="2"/>
        <v>7.2400000000000006E-2</v>
      </c>
      <c r="O27" s="49">
        <f t="shared" si="2"/>
        <v>7.2400000000000006E-2</v>
      </c>
      <c r="P27" s="49">
        <f t="shared" si="2"/>
        <v>7.2400000000000006E-2</v>
      </c>
      <c r="Q27" s="49">
        <f t="shared" si="2"/>
        <v>7.2400000000000006E-2</v>
      </c>
      <c r="R27" s="49">
        <f t="shared" si="2"/>
        <v>7.2400000000000006E-2</v>
      </c>
      <c r="S27" s="49">
        <f t="shared" si="2"/>
        <v>7.3650000000000007E-2</v>
      </c>
      <c r="T27" s="49">
        <f t="shared" si="2"/>
        <v>7.3650000000000007E-2</v>
      </c>
      <c r="U27" s="49">
        <f t="shared" si="2"/>
        <v>7.3650000000000007E-2</v>
      </c>
      <c r="V27" s="49">
        <f t="shared" si="2"/>
        <v>7.3650000000000007E-2</v>
      </c>
      <c r="W27" s="49">
        <f t="shared" si="2"/>
        <v>7.3650000000000007E-2</v>
      </c>
      <c r="X27" s="49">
        <f t="shared" si="2"/>
        <v>7.3650000000000007E-2</v>
      </c>
      <c r="Y27" s="49">
        <f t="shared" si="2"/>
        <v>7.3650000000000007E-2</v>
      </c>
      <c r="Z27" s="49">
        <f t="shared" si="2"/>
        <v>7.3650000000000007E-2</v>
      </c>
      <c r="AA27" s="49">
        <f t="shared" si="2"/>
        <v>7.4899999999999994E-2</v>
      </c>
      <c r="AB27" s="49">
        <f t="shared" si="2"/>
        <v>7.4899999999999994E-2</v>
      </c>
      <c r="AC27" s="49">
        <f t="shared" si="2"/>
        <v>7.4899999999999994E-2</v>
      </c>
      <c r="AD27" s="49">
        <f t="shared" si="2"/>
        <v>7.4899999999999994E-2</v>
      </c>
      <c r="AE27" s="49">
        <f t="shared" si="2"/>
        <v>7.4899999999999994E-2</v>
      </c>
      <c r="AF27" s="49">
        <f t="shared" si="2"/>
        <v>7.4899999999999994E-2</v>
      </c>
      <c r="AG27" s="49">
        <f t="shared" si="2"/>
        <v>7.4899999999999994E-2</v>
      </c>
      <c r="AH27" s="49">
        <f t="shared" si="2"/>
        <v>7.4899999999999994E-2</v>
      </c>
      <c r="AI27" s="49">
        <f t="shared" si="2"/>
        <v>7.7399999999999997E-2</v>
      </c>
      <c r="AJ27" s="49">
        <f t="shared" si="2"/>
        <v>7.7399999999999997E-2</v>
      </c>
      <c r="AK27" s="49">
        <f t="shared" si="2"/>
        <v>7.7399999999999997E-2</v>
      </c>
      <c r="AL27" s="49">
        <f t="shared" si="2"/>
        <v>7.7399999999999997E-2</v>
      </c>
      <c r="AM27" s="49">
        <f t="shared" si="2"/>
        <v>7.7399999999999997E-2</v>
      </c>
      <c r="AN27" s="49">
        <f t="shared" si="2"/>
        <v>7.7399999999999997E-2</v>
      </c>
      <c r="AO27" s="49">
        <f t="shared" si="2"/>
        <v>7.7399999999999997E-2</v>
      </c>
      <c r="AP27" s="49">
        <f t="shared" si="2"/>
        <v>7.7399999999999997E-2</v>
      </c>
    </row>
    <row r="28" spans="1:42" x14ac:dyDescent="0.2">
      <c r="A28" s="30" t="s">
        <v>99</v>
      </c>
      <c r="C28" s="47">
        <f>C8</f>
        <v>36511784.850000001</v>
      </c>
      <c r="D28" s="47">
        <f>C31</f>
        <v>36511784.850000001</v>
      </c>
      <c r="E28" s="47">
        <f>D31</f>
        <v>36511784.850000001</v>
      </c>
      <c r="F28" s="47">
        <f>E31+F8</f>
        <v>55211784.850000001</v>
      </c>
      <c r="G28" s="47">
        <f>F31</f>
        <v>55211784.850000001</v>
      </c>
      <c r="H28" s="47">
        <f>G31</f>
        <v>55211784.850000001</v>
      </c>
      <c r="I28" s="47">
        <f t="shared" ref="I28:AP28" si="3">H31</f>
        <v>54036090.18724598</v>
      </c>
      <c r="J28" s="47">
        <f t="shared" si="3"/>
        <v>52850162.488502733</v>
      </c>
      <c r="K28" s="47">
        <f t="shared" si="3"/>
        <v>51653350.962777235</v>
      </c>
      <c r="L28" s="47">
        <f t="shared" si="3"/>
        <v>50451278.455039583</v>
      </c>
      <c r="M28" s="47">
        <f t="shared" si="3"/>
        <v>49206672.309302405</v>
      </c>
      <c r="N28" s="47">
        <f t="shared" si="3"/>
        <v>47949434.800869592</v>
      </c>
      <c r="O28" s="47">
        <f t="shared" si="3"/>
        <v>46678831.61321184</v>
      </c>
      <c r="P28" s="47">
        <f t="shared" si="3"/>
        <v>45384719.443019785</v>
      </c>
      <c r="Q28" s="47">
        <f t="shared" si="3"/>
        <v>44048408.579165049</v>
      </c>
      <c r="R28" s="47">
        <f t="shared" si="3"/>
        <v>42696769.113066576</v>
      </c>
      <c r="S28" s="47">
        <f t="shared" si="3"/>
        <v>41328979.937594056</v>
      </c>
      <c r="T28" s="47">
        <f t="shared" si="3"/>
        <v>39949085.935879409</v>
      </c>
      <c r="U28" s="47">
        <f t="shared" si="3"/>
        <v>38535047.112064779</v>
      </c>
      <c r="V28" s="47">
        <f t="shared" si="3"/>
        <v>37094683.00963062</v>
      </c>
      <c r="W28" s="47">
        <f t="shared" si="3"/>
        <v>35635092.482570156</v>
      </c>
      <c r="X28" s="47">
        <f t="shared" si="3"/>
        <v>34148030.029139541</v>
      </c>
      <c r="Y28" s="47">
        <f t="shared" si="3"/>
        <v>32619006.34627768</v>
      </c>
      <c r="Z28" s="47">
        <f t="shared" si="3"/>
        <v>31068502.819903467</v>
      </c>
      <c r="AA28" s="47">
        <f t="shared" si="3"/>
        <v>29495489.53803869</v>
      </c>
      <c r="AB28" s="47">
        <f t="shared" si="3"/>
        <v>27902291.69478951</v>
      </c>
      <c r="AC28" s="47">
        <f t="shared" si="3"/>
        <v>26266987.821001053</v>
      </c>
      <c r="AD28" s="47">
        <f t="shared" si="3"/>
        <v>24606527.874919772</v>
      </c>
      <c r="AE28" s="47">
        <f t="shared" si="3"/>
        <v>22919749.87325887</v>
      </c>
      <c r="AF28" s="47">
        <f t="shared" si="3"/>
        <v>21200685.066448402</v>
      </c>
      <c r="AG28" s="47">
        <f t="shared" si="3"/>
        <v>19439893.608544257</v>
      </c>
      <c r="AH28" s="47">
        <f t="shared" si="3"/>
        <v>17650175.908455521</v>
      </c>
      <c r="AI28" s="47">
        <f t="shared" si="3"/>
        <v>15830245.600876532</v>
      </c>
      <c r="AJ28" s="47">
        <f t="shared" si="3"/>
        <v>13985593.573088478</v>
      </c>
      <c r="AK28" s="47">
        <f t="shared" si="3"/>
        <v>12101447.425572561</v>
      </c>
      <c r="AL28" s="47">
        <f t="shared" si="3"/>
        <v>10180437.958680496</v>
      </c>
      <c r="AM28" s="47">
        <f t="shared" si="3"/>
        <v>8224032.7357298033</v>
      </c>
      <c r="AN28" s="47">
        <f t="shared" si="3"/>
        <v>6228929.8174691461</v>
      </c>
      <c r="AO28" s="47">
        <f t="shared" si="3"/>
        <v>4191685.3236637814</v>
      </c>
      <c r="AP28" s="47">
        <f t="shared" si="3"/>
        <v>2115921.3612478706</v>
      </c>
    </row>
    <row r="29" spans="1:42" x14ac:dyDescent="0.2">
      <c r="A29" s="30" t="s">
        <v>100</v>
      </c>
      <c r="C29" s="37">
        <v>0</v>
      </c>
      <c r="D29" s="37">
        <v>0</v>
      </c>
      <c r="E29" s="37">
        <v>0</v>
      </c>
      <c r="F29" s="37">
        <v>0</v>
      </c>
      <c r="G29" s="37">
        <v>0</v>
      </c>
      <c r="H29" s="37">
        <f>H33-H30</f>
        <v>1175694.6627540179</v>
      </c>
      <c r="I29" s="37">
        <f t="shared" ref="I29:AP29" si="4">I33-I30</f>
        <v>1185927.6987432479</v>
      </c>
      <c r="J29" s="37">
        <f t="shared" si="4"/>
        <v>1196811.5257255007</v>
      </c>
      <c r="K29" s="37">
        <f t="shared" si="4"/>
        <v>1202072.5077376522</v>
      </c>
      <c r="L29" s="37">
        <f t="shared" si="4"/>
        <v>1244606.1457371763</v>
      </c>
      <c r="M29" s="37">
        <f t="shared" si="4"/>
        <v>1257237.5084328151</v>
      </c>
      <c r="N29" s="37">
        <f t="shared" si="4"/>
        <v>1270603.1876577479</v>
      </c>
      <c r="O29" s="37">
        <f t="shared" si="4"/>
        <v>1294112.1701920554</v>
      </c>
      <c r="P29" s="37">
        <f t="shared" si="4"/>
        <v>1336310.8638547345</v>
      </c>
      <c r="Q29" s="37">
        <f t="shared" si="4"/>
        <v>1351639.4660984732</v>
      </c>
      <c r="R29" s="37">
        <f t="shared" si="4"/>
        <v>1367789.1754725208</v>
      </c>
      <c r="S29" s="37">
        <f t="shared" si="4"/>
        <v>1379894.0017146431</v>
      </c>
      <c r="T29" s="37">
        <f t="shared" si="4"/>
        <v>1414038.823814631</v>
      </c>
      <c r="U29" s="37">
        <f t="shared" si="4"/>
        <v>1440364.1024341567</v>
      </c>
      <c r="V29" s="37">
        <f t="shared" si="4"/>
        <v>1459590.5270604617</v>
      </c>
      <c r="W29" s="37">
        <f t="shared" si="4"/>
        <v>1487062.4534306182</v>
      </c>
      <c r="X29" s="37">
        <f t="shared" si="4"/>
        <v>1529023.6828618608</v>
      </c>
      <c r="Y29" s="37">
        <f t="shared" si="4"/>
        <v>1550503.5263742122</v>
      </c>
      <c r="Z29" s="37">
        <f t="shared" si="4"/>
        <v>1573013.2818647763</v>
      </c>
      <c r="AA29" s="37">
        <f t="shared" si="4"/>
        <v>1593197.843249179</v>
      </c>
      <c r="AB29" s="37">
        <f t="shared" si="4"/>
        <v>1635303.8737884592</v>
      </c>
      <c r="AC29" s="37">
        <f t="shared" si="4"/>
        <v>1660459.9460812788</v>
      </c>
      <c r="AD29" s="37">
        <f t="shared" si="4"/>
        <v>1686778.0016609007</v>
      </c>
      <c r="AE29" s="37">
        <f t="shared" si="4"/>
        <v>1719064.8068104701</v>
      </c>
      <c r="AF29" s="37">
        <f t="shared" si="4"/>
        <v>1760791.4579041465</v>
      </c>
      <c r="AG29" s="37">
        <f t="shared" si="4"/>
        <v>1789717.700088735</v>
      </c>
      <c r="AH29" s="37">
        <f t="shared" si="4"/>
        <v>1819930.3075789893</v>
      </c>
      <c r="AI29" s="37">
        <f t="shared" si="4"/>
        <v>1844652.0277880551</v>
      </c>
      <c r="AJ29" s="37">
        <f t="shared" si="4"/>
        <v>1884146.1475159167</v>
      </c>
      <c r="AK29" s="37">
        <f t="shared" si="4"/>
        <v>1921009.4668920657</v>
      </c>
      <c r="AL29" s="37">
        <f t="shared" si="4"/>
        <v>1956405.2229506925</v>
      </c>
      <c r="AM29" s="37">
        <f t="shared" si="4"/>
        <v>1995102.9182606572</v>
      </c>
      <c r="AN29" s="37">
        <f t="shared" si="4"/>
        <v>2037244.4938053647</v>
      </c>
      <c r="AO29" s="37">
        <f t="shared" si="4"/>
        <v>2075763.9624159108</v>
      </c>
      <c r="AP29" s="37">
        <f t="shared" si="4"/>
        <v>2115921.3612479097</v>
      </c>
    </row>
    <row r="30" spans="1:42" x14ac:dyDescent="0.2">
      <c r="A30" s="30" t="s">
        <v>101</v>
      </c>
      <c r="C30" s="39">
        <f>0</f>
        <v>0</v>
      </c>
      <c r="D30" s="39">
        <f>D28*D27*(D24-C24)/360</f>
        <v>663885.67019758327</v>
      </c>
      <c r="E30" s="39">
        <f t="shared" ref="E30:AP30" si="5">E28*E27*(E24-D24)/360</f>
        <v>656669.5216084792</v>
      </c>
      <c r="F30" s="39">
        <f t="shared" si="5"/>
        <v>1003903.6146420279</v>
      </c>
      <c r="G30" s="39">
        <f t="shared" si="5"/>
        <v>1003903.6146420279</v>
      </c>
      <c r="H30" s="39">
        <f t="shared" si="5"/>
        <v>982079.62301937502</v>
      </c>
      <c r="I30" s="39">
        <f t="shared" si="5"/>
        <v>971846.58703014499</v>
      </c>
      <c r="J30" s="39">
        <f t="shared" si="5"/>
        <v>960962.76004789222</v>
      </c>
      <c r="K30" s="39">
        <f t="shared" si="5"/>
        <v>955701.7780357406</v>
      </c>
      <c r="L30" s="39">
        <f t="shared" si="5"/>
        <v>913168.14003621659</v>
      </c>
      <c r="M30" s="39">
        <f t="shared" si="5"/>
        <v>900536.77734057768</v>
      </c>
      <c r="N30" s="39">
        <f t="shared" si="5"/>
        <v>887171.098115645</v>
      </c>
      <c r="O30" s="39">
        <f t="shared" si="5"/>
        <v>863662.11558133748</v>
      </c>
      <c r="P30" s="39">
        <f t="shared" si="5"/>
        <v>821463.42191865831</v>
      </c>
      <c r="Q30" s="39">
        <f t="shared" si="5"/>
        <v>806134.81967491959</v>
      </c>
      <c r="R30" s="39">
        <f t="shared" si="5"/>
        <v>789985.11030087189</v>
      </c>
      <c r="S30" s="39">
        <f t="shared" si="5"/>
        <v>777880.28405874956</v>
      </c>
      <c r="T30" s="39">
        <f t="shared" si="5"/>
        <v>743735.46195876179</v>
      </c>
      <c r="U30" s="39">
        <f t="shared" si="5"/>
        <v>717410.18333923607</v>
      </c>
      <c r="V30" s="39">
        <f t="shared" si="5"/>
        <v>698183.75871293095</v>
      </c>
      <c r="W30" s="39">
        <f t="shared" si="5"/>
        <v>670711.83234277472</v>
      </c>
      <c r="X30" s="39">
        <f t="shared" si="5"/>
        <v>628750.60291153181</v>
      </c>
      <c r="Y30" s="39">
        <f t="shared" si="5"/>
        <v>607270.75939918053</v>
      </c>
      <c r="Z30" s="39">
        <f t="shared" si="5"/>
        <v>584761.00390861649</v>
      </c>
      <c r="AA30" s="39">
        <f t="shared" si="5"/>
        <v>564576.44252421381</v>
      </c>
      <c r="AB30" s="39">
        <f t="shared" si="5"/>
        <v>522470.4119849336</v>
      </c>
      <c r="AC30" s="39">
        <f t="shared" si="5"/>
        <v>497314.33969211404</v>
      </c>
      <c r="AD30" s="39">
        <f t="shared" si="5"/>
        <v>470996.28411249211</v>
      </c>
      <c r="AE30" s="39">
        <f t="shared" si="5"/>
        <v>438709.47896292276</v>
      </c>
      <c r="AF30" s="39">
        <f t="shared" si="5"/>
        <v>396982.82786924631</v>
      </c>
      <c r="AG30" s="39">
        <f t="shared" si="5"/>
        <v>368056.58568465774</v>
      </c>
      <c r="AH30" s="39">
        <f t="shared" si="5"/>
        <v>337843.97819440358</v>
      </c>
      <c r="AI30" s="39">
        <f t="shared" si="5"/>
        <v>313122.25798533775</v>
      </c>
      <c r="AJ30" s="39">
        <f t="shared" si="5"/>
        <v>273628.13825747609</v>
      </c>
      <c r="AK30" s="39">
        <f t="shared" si="5"/>
        <v>236764.81888132711</v>
      </c>
      <c r="AL30" s="39">
        <f t="shared" si="5"/>
        <v>201369.06282270022</v>
      </c>
      <c r="AM30" s="39">
        <f t="shared" si="5"/>
        <v>162671.36751273551</v>
      </c>
      <c r="AN30" s="39">
        <f t="shared" si="5"/>
        <v>120529.79196802797</v>
      </c>
      <c r="AO30" s="39">
        <f t="shared" si="5"/>
        <v>82010.323357481888</v>
      </c>
      <c r="AP30" s="39">
        <f t="shared" si="5"/>
        <v>41852.924525482878</v>
      </c>
    </row>
    <row r="31" spans="1:42" x14ac:dyDescent="0.2">
      <c r="A31" s="30" t="s">
        <v>102</v>
      </c>
      <c r="C31" s="47">
        <f t="shared" ref="C31:H31" si="6">C28-C29</f>
        <v>36511784.850000001</v>
      </c>
      <c r="D31" s="47">
        <f t="shared" si="6"/>
        <v>36511784.850000001</v>
      </c>
      <c r="E31" s="47">
        <f t="shared" si="6"/>
        <v>36511784.850000001</v>
      </c>
      <c r="F31" s="47">
        <f t="shared" si="6"/>
        <v>55211784.850000001</v>
      </c>
      <c r="G31" s="47">
        <f t="shared" si="6"/>
        <v>55211784.850000001</v>
      </c>
      <c r="H31" s="47">
        <f t="shared" si="6"/>
        <v>54036090.18724598</v>
      </c>
      <c r="I31" s="47">
        <f t="shared" ref="I31:AP31" si="7">I28-I29</f>
        <v>52850162.488502733</v>
      </c>
      <c r="J31" s="47">
        <f t="shared" si="7"/>
        <v>51653350.962777235</v>
      </c>
      <c r="K31" s="47">
        <f t="shared" si="7"/>
        <v>50451278.455039583</v>
      </c>
      <c r="L31" s="47">
        <f t="shared" si="7"/>
        <v>49206672.309302405</v>
      </c>
      <c r="M31" s="47">
        <f t="shared" si="7"/>
        <v>47949434.800869592</v>
      </c>
      <c r="N31" s="47">
        <f t="shared" si="7"/>
        <v>46678831.61321184</v>
      </c>
      <c r="O31" s="47">
        <f t="shared" si="7"/>
        <v>45384719.443019785</v>
      </c>
      <c r="P31" s="47">
        <f t="shared" si="7"/>
        <v>44048408.579165049</v>
      </c>
      <c r="Q31" s="47">
        <f t="shared" si="7"/>
        <v>42696769.113066576</v>
      </c>
      <c r="R31" s="47">
        <f t="shared" si="7"/>
        <v>41328979.937594056</v>
      </c>
      <c r="S31" s="47">
        <f t="shared" si="7"/>
        <v>39949085.935879409</v>
      </c>
      <c r="T31" s="47">
        <f t="shared" si="7"/>
        <v>38535047.112064779</v>
      </c>
      <c r="U31" s="47">
        <f t="shared" si="7"/>
        <v>37094683.00963062</v>
      </c>
      <c r="V31" s="47">
        <f t="shared" si="7"/>
        <v>35635092.482570156</v>
      </c>
      <c r="W31" s="47">
        <f t="shared" si="7"/>
        <v>34148030.029139541</v>
      </c>
      <c r="X31" s="47">
        <f t="shared" si="7"/>
        <v>32619006.34627768</v>
      </c>
      <c r="Y31" s="47">
        <f t="shared" si="7"/>
        <v>31068502.819903467</v>
      </c>
      <c r="Z31" s="47">
        <f t="shared" si="7"/>
        <v>29495489.53803869</v>
      </c>
      <c r="AA31" s="47">
        <f t="shared" si="7"/>
        <v>27902291.69478951</v>
      </c>
      <c r="AB31" s="47">
        <f t="shared" si="7"/>
        <v>26266987.821001053</v>
      </c>
      <c r="AC31" s="47">
        <f t="shared" si="7"/>
        <v>24606527.874919772</v>
      </c>
      <c r="AD31" s="47">
        <f t="shared" si="7"/>
        <v>22919749.87325887</v>
      </c>
      <c r="AE31" s="47">
        <f t="shared" si="7"/>
        <v>21200685.066448402</v>
      </c>
      <c r="AF31" s="47">
        <f t="shared" si="7"/>
        <v>19439893.608544257</v>
      </c>
      <c r="AG31" s="47">
        <f t="shared" si="7"/>
        <v>17650175.908455521</v>
      </c>
      <c r="AH31" s="47">
        <f t="shared" si="7"/>
        <v>15830245.600876532</v>
      </c>
      <c r="AI31" s="47">
        <f t="shared" si="7"/>
        <v>13985593.573088478</v>
      </c>
      <c r="AJ31" s="47">
        <f t="shared" si="7"/>
        <v>12101447.425572561</v>
      </c>
      <c r="AK31" s="47">
        <f t="shared" si="7"/>
        <v>10180437.958680496</v>
      </c>
      <c r="AL31" s="47">
        <f t="shared" si="7"/>
        <v>8224032.7357298033</v>
      </c>
      <c r="AM31" s="47">
        <f t="shared" si="7"/>
        <v>6228929.8174691461</v>
      </c>
      <c r="AN31" s="47">
        <f t="shared" si="7"/>
        <v>4191685.3236637814</v>
      </c>
      <c r="AO31" s="47">
        <f t="shared" si="7"/>
        <v>2115921.3612478706</v>
      </c>
      <c r="AP31" s="47">
        <f t="shared" si="7"/>
        <v>-3.9115548133850098E-8</v>
      </c>
    </row>
    <row r="32" spans="1:42" x14ac:dyDescent="0.2">
      <c r="A32" s="30"/>
    </row>
    <row r="33" spans="1:42" x14ac:dyDescent="0.2">
      <c r="A33" s="30" t="s">
        <v>103</v>
      </c>
      <c r="C33" s="41">
        <f>C29+C30</f>
        <v>0</v>
      </c>
      <c r="D33" s="41">
        <f>D29+D30</f>
        <v>663885.67019758327</v>
      </c>
      <c r="E33" s="41">
        <f>E29+E30</f>
        <v>656669.5216084792</v>
      </c>
      <c r="F33" s="41">
        <f>F29+F30</f>
        <v>1003903.6146420279</v>
      </c>
      <c r="G33" s="41">
        <f>G29+G30</f>
        <v>1003903.6146420279</v>
      </c>
      <c r="H33" s="54">
        <v>2157774.2857733928</v>
      </c>
      <c r="I33" s="41">
        <f>H33</f>
        <v>2157774.2857733928</v>
      </c>
      <c r="J33" s="41">
        <f t="shared" ref="J33:AP33" si="8">I33</f>
        <v>2157774.2857733928</v>
      </c>
      <c r="K33" s="41">
        <f t="shared" si="8"/>
        <v>2157774.2857733928</v>
      </c>
      <c r="L33" s="41">
        <f t="shared" si="8"/>
        <v>2157774.2857733928</v>
      </c>
      <c r="M33" s="41">
        <f t="shared" si="8"/>
        <v>2157774.2857733928</v>
      </c>
      <c r="N33" s="41">
        <f t="shared" si="8"/>
        <v>2157774.2857733928</v>
      </c>
      <c r="O33" s="41">
        <f t="shared" si="8"/>
        <v>2157774.2857733928</v>
      </c>
      <c r="P33" s="41">
        <f t="shared" si="8"/>
        <v>2157774.2857733928</v>
      </c>
      <c r="Q33" s="41">
        <f t="shared" si="8"/>
        <v>2157774.2857733928</v>
      </c>
      <c r="R33" s="41">
        <f t="shared" si="8"/>
        <v>2157774.2857733928</v>
      </c>
      <c r="S33" s="41">
        <f t="shared" si="8"/>
        <v>2157774.2857733928</v>
      </c>
      <c r="T33" s="41">
        <f t="shared" si="8"/>
        <v>2157774.2857733928</v>
      </c>
      <c r="U33" s="41">
        <f t="shared" si="8"/>
        <v>2157774.2857733928</v>
      </c>
      <c r="V33" s="41">
        <f t="shared" si="8"/>
        <v>2157774.2857733928</v>
      </c>
      <c r="W33" s="41">
        <f t="shared" si="8"/>
        <v>2157774.2857733928</v>
      </c>
      <c r="X33" s="41">
        <f t="shared" si="8"/>
        <v>2157774.2857733928</v>
      </c>
      <c r="Y33" s="41">
        <f t="shared" si="8"/>
        <v>2157774.2857733928</v>
      </c>
      <c r="Z33" s="41">
        <f t="shared" si="8"/>
        <v>2157774.2857733928</v>
      </c>
      <c r="AA33" s="41">
        <f t="shared" si="8"/>
        <v>2157774.2857733928</v>
      </c>
      <c r="AB33" s="41">
        <f t="shared" si="8"/>
        <v>2157774.2857733928</v>
      </c>
      <c r="AC33" s="41">
        <f t="shared" si="8"/>
        <v>2157774.2857733928</v>
      </c>
      <c r="AD33" s="41">
        <f t="shared" si="8"/>
        <v>2157774.2857733928</v>
      </c>
      <c r="AE33" s="41">
        <f t="shared" si="8"/>
        <v>2157774.2857733928</v>
      </c>
      <c r="AF33" s="41">
        <f t="shared" si="8"/>
        <v>2157774.2857733928</v>
      </c>
      <c r="AG33" s="41">
        <f t="shared" si="8"/>
        <v>2157774.2857733928</v>
      </c>
      <c r="AH33" s="41">
        <f t="shared" si="8"/>
        <v>2157774.2857733928</v>
      </c>
      <c r="AI33" s="41">
        <f t="shared" si="8"/>
        <v>2157774.2857733928</v>
      </c>
      <c r="AJ33" s="41">
        <f t="shared" si="8"/>
        <v>2157774.2857733928</v>
      </c>
      <c r="AK33" s="41">
        <f t="shared" si="8"/>
        <v>2157774.2857733928</v>
      </c>
      <c r="AL33" s="41">
        <f t="shared" si="8"/>
        <v>2157774.2857733928</v>
      </c>
      <c r="AM33" s="41">
        <f t="shared" si="8"/>
        <v>2157774.2857733928</v>
      </c>
      <c r="AN33" s="41">
        <f t="shared" si="8"/>
        <v>2157774.2857733928</v>
      </c>
      <c r="AO33" s="41">
        <f t="shared" si="8"/>
        <v>2157774.2857733928</v>
      </c>
      <c r="AP33" s="41">
        <f t="shared" si="8"/>
        <v>2157774.2857733928</v>
      </c>
    </row>
    <row r="34" spans="1:42" x14ac:dyDescent="0.2">
      <c r="A34" s="30" t="s">
        <v>104</v>
      </c>
      <c r="C34" s="13">
        <f>SUM($C$29:C29)</f>
        <v>0</v>
      </c>
      <c r="D34" s="13">
        <f>SUM($C$29:D29)</f>
        <v>0</v>
      </c>
      <c r="E34" s="13">
        <f>SUM($C$29:E29)</f>
        <v>0</v>
      </c>
      <c r="F34" s="13">
        <f>SUM($C$29:F29)</f>
        <v>0</v>
      </c>
      <c r="G34" s="13">
        <f>SUM($C$29:G29)</f>
        <v>0</v>
      </c>
      <c r="H34" s="13">
        <f>SUM($C$29:H29)</f>
        <v>1175694.6627540179</v>
      </c>
      <c r="I34" s="13">
        <f>SUM($C$29:I29)</f>
        <v>2361622.3614972658</v>
      </c>
      <c r="J34" s="13">
        <f>SUM($C$29:J29)</f>
        <v>3558433.8872227664</v>
      </c>
      <c r="K34" s="13">
        <f>SUM($C$29:K29)</f>
        <v>4760506.3949604183</v>
      </c>
      <c r="L34" s="13">
        <f>SUM($C$29:L29)</f>
        <v>6005112.5406975951</v>
      </c>
      <c r="M34" s="13">
        <f>SUM($C$29:M29)</f>
        <v>7262350.04913041</v>
      </c>
      <c r="N34" s="13">
        <f>SUM($C$29:N29)</f>
        <v>8532953.2367881574</v>
      </c>
      <c r="O34" s="13">
        <f>SUM($C$29:O29)</f>
        <v>9827065.4069802128</v>
      </c>
      <c r="P34" s="13">
        <f>SUM($C$29:P29)</f>
        <v>11163376.270834947</v>
      </c>
      <c r="Q34" s="13">
        <f>SUM($C$29:Q29)</f>
        <v>12515015.736933419</v>
      </c>
      <c r="R34" s="13">
        <f>SUM($C$29:R29)</f>
        <v>13882804.91240594</v>
      </c>
      <c r="S34" s="13">
        <f>SUM($C$29:S29)</f>
        <v>15262698.914120583</v>
      </c>
      <c r="T34" s="13">
        <f>SUM($C$29:T29)</f>
        <v>16676737.737935213</v>
      </c>
      <c r="U34" s="13">
        <f>SUM($C$29:U29)</f>
        <v>18117101.84036937</v>
      </c>
      <c r="V34" s="13">
        <f>SUM($C$29:V29)</f>
        <v>19576692.36742983</v>
      </c>
      <c r="W34" s="13">
        <f>SUM($C$29:W29)</f>
        <v>21063754.820860449</v>
      </c>
      <c r="X34" s="13">
        <f>SUM($C$29:X29)</f>
        <v>22592778.50372231</v>
      </c>
      <c r="Y34" s="13">
        <f>SUM($C$29:Y29)</f>
        <v>24143282.030096523</v>
      </c>
      <c r="Z34" s="13">
        <f>SUM($C$29:Z29)</f>
        <v>25716295.311961301</v>
      </c>
      <c r="AA34" s="13">
        <f>SUM($C$29:AA29)</f>
        <v>27309493.15521048</v>
      </c>
      <c r="AB34" s="13">
        <f>SUM($C$29:AB29)</f>
        <v>28944797.028998941</v>
      </c>
      <c r="AC34" s="13">
        <f>SUM($C$29:AC29)</f>
        <v>30605256.975080222</v>
      </c>
      <c r="AD34" s="13">
        <f>SUM($C$29:AD29)</f>
        <v>32292034.976741124</v>
      </c>
      <c r="AE34" s="13">
        <f>SUM($C$29:AE29)</f>
        <v>34011099.783551596</v>
      </c>
      <c r="AF34" s="13">
        <f>SUM($C$29:AF29)</f>
        <v>35771891.241455741</v>
      </c>
      <c r="AG34" s="13">
        <f>SUM($C$29:AG29)</f>
        <v>37561608.941544473</v>
      </c>
      <c r="AH34" s="13">
        <f>SUM($C$29:AH29)</f>
        <v>39381539.249123462</v>
      </c>
      <c r="AI34" s="13">
        <f>SUM($C$29:AI29)</f>
        <v>41226191.276911519</v>
      </c>
      <c r="AJ34" s="13">
        <f>SUM($C$29:AJ29)</f>
        <v>43110337.424427435</v>
      </c>
      <c r="AK34" s="13">
        <f>SUM($C$29:AK29)</f>
        <v>45031346.891319498</v>
      </c>
      <c r="AL34" s="13">
        <f>SUM($C$29:AL29)</f>
        <v>46987752.114270188</v>
      </c>
      <c r="AM34" s="13">
        <f>SUM($C$29:AM29)</f>
        <v>48982855.032530844</v>
      </c>
      <c r="AN34" s="13">
        <f>SUM($C$29:AN29)</f>
        <v>51020099.526336208</v>
      </c>
      <c r="AO34" s="13">
        <f>SUM($C$29:AO29)</f>
        <v>53095863.488752119</v>
      </c>
      <c r="AP34" s="13">
        <f>SUM($C$29:AP29)</f>
        <v>55211784.850000031</v>
      </c>
    </row>
    <row r="35" spans="1:42" x14ac:dyDescent="0.2">
      <c r="A35" s="30"/>
    </row>
    <row r="36" spans="1:42" x14ac:dyDescent="0.2">
      <c r="A36" s="30" t="s">
        <v>105</v>
      </c>
      <c r="C36" s="47">
        <f>$C$8-C34</f>
        <v>36511784.850000001</v>
      </c>
      <c r="D36" s="47">
        <f t="shared" ref="D36:AP36" si="9">$C$8-D34</f>
        <v>36511784.850000001</v>
      </c>
      <c r="E36" s="47">
        <f t="shared" si="9"/>
        <v>36511784.850000001</v>
      </c>
      <c r="F36" s="47">
        <f t="shared" si="9"/>
        <v>36511784.850000001</v>
      </c>
      <c r="G36" s="47">
        <f t="shared" si="9"/>
        <v>36511784.850000001</v>
      </c>
      <c r="H36" s="47">
        <f t="shared" si="9"/>
        <v>35336090.18724598</v>
      </c>
      <c r="I36" s="47">
        <f t="shared" si="9"/>
        <v>34150162.488502733</v>
      </c>
      <c r="J36" s="47">
        <f t="shared" si="9"/>
        <v>32953350.962777235</v>
      </c>
      <c r="K36" s="47">
        <f t="shared" si="9"/>
        <v>31751278.455039583</v>
      </c>
      <c r="L36" s="47">
        <f t="shared" si="9"/>
        <v>30506672.309302405</v>
      </c>
      <c r="M36" s="47">
        <f t="shared" si="9"/>
        <v>29249434.800869592</v>
      </c>
      <c r="N36" s="47">
        <f t="shared" si="9"/>
        <v>27978831.613211844</v>
      </c>
      <c r="O36" s="47">
        <f t="shared" si="9"/>
        <v>26684719.443019789</v>
      </c>
      <c r="P36" s="47">
        <f t="shared" si="9"/>
        <v>25348408.579165056</v>
      </c>
      <c r="Q36" s="47">
        <f t="shared" si="9"/>
        <v>23996769.113066584</v>
      </c>
      <c r="R36" s="47">
        <f t="shared" si="9"/>
        <v>22628979.937594064</v>
      </c>
      <c r="S36" s="47">
        <f t="shared" si="9"/>
        <v>21249085.935879417</v>
      </c>
      <c r="T36" s="55">
        <f t="shared" si="9"/>
        <v>19835047.112064786</v>
      </c>
      <c r="U36" s="47">
        <f t="shared" si="9"/>
        <v>18394683.009630632</v>
      </c>
      <c r="V36" s="47">
        <f t="shared" si="9"/>
        <v>16935092.482570171</v>
      </c>
      <c r="W36" s="47">
        <f t="shared" si="9"/>
        <v>15448030.029139552</v>
      </c>
      <c r="X36" s="47">
        <f t="shared" si="9"/>
        <v>13919006.346277691</v>
      </c>
      <c r="Y36" s="47">
        <f t="shared" si="9"/>
        <v>12368502.819903478</v>
      </c>
      <c r="Z36" s="47">
        <f t="shared" si="9"/>
        <v>10795489.538038701</v>
      </c>
      <c r="AA36" s="47">
        <f t="shared" si="9"/>
        <v>9202291.6947895214</v>
      </c>
      <c r="AB36" s="47">
        <f t="shared" si="9"/>
        <v>7566987.8210010603</v>
      </c>
      <c r="AC36" s="47">
        <f t="shared" si="9"/>
        <v>5906527.8749197796</v>
      </c>
      <c r="AD36" s="47">
        <f t="shared" si="9"/>
        <v>4219749.8732588775</v>
      </c>
      <c r="AE36" s="47">
        <f t="shared" si="9"/>
        <v>2500685.0664484054</v>
      </c>
      <c r="AF36" s="47">
        <f t="shared" si="9"/>
        <v>739893.60854426026</v>
      </c>
      <c r="AG36" s="47">
        <f t="shared" si="9"/>
        <v>-1049824.0915444717</v>
      </c>
      <c r="AH36" s="47">
        <f t="shared" si="9"/>
        <v>-2869754.3991234601</v>
      </c>
      <c r="AI36" s="47">
        <f t="shared" si="9"/>
        <v>-4714406.426911518</v>
      </c>
      <c r="AJ36" s="47">
        <f t="shared" si="9"/>
        <v>-6598552.5744274333</v>
      </c>
      <c r="AK36" s="47">
        <f t="shared" si="9"/>
        <v>-8519562.0413194969</v>
      </c>
      <c r="AL36" s="47">
        <f t="shared" si="9"/>
        <v>-10475967.264270186</v>
      </c>
      <c r="AM36" s="47">
        <f t="shared" si="9"/>
        <v>-12471070.182530843</v>
      </c>
      <c r="AN36" s="47">
        <f t="shared" si="9"/>
        <v>-14508314.676336206</v>
      </c>
      <c r="AO36" s="47">
        <f t="shared" si="9"/>
        <v>-16584078.638752118</v>
      </c>
      <c r="AP36" s="47">
        <f t="shared" si="9"/>
        <v>-18700000.00000003</v>
      </c>
    </row>
    <row r="37" spans="1:42" x14ac:dyDescent="0.2">
      <c r="A37" s="30" t="s">
        <v>106</v>
      </c>
      <c r="C37" s="41">
        <f>C36/2</f>
        <v>18255892.425000001</v>
      </c>
      <c r="D37" s="41">
        <f t="shared" ref="D37:AP37" si="10">D36/2</f>
        <v>18255892.425000001</v>
      </c>
      <c r="E37" s="41">
        <f t="shared" si="10"/>
        <v>18255892.425000001</v>
      </c>
      <c r="F37" s="41">
        <f t="shared" si="10"/>
        <v>18255892.425000001</v>
      </c>
      <c r="G37" s="41">
        <f t="shared" si="10"/>
        <v>18255892.425000001</v>
      </c>
      <c r="H37" s="41">
        <f t="shared" si="10"/>
        <v>17668045.09362299</v>
      </c>
      <c r="I37" s="41">
        <f t="shared" si="10"/>
        <v>17075081.244251367</v>
      </c>
      <c r="J37" s="41">
        <f t="shared" si="10"/>
        <v>16476675.481388617</v>
      </c>
      <c r="K37" s="41">
        <f t="shared" si="10"/>
        <v>15875639.227519792</v>
      </c>
      <c r="L37" s="41">
        <f t="shared" si="10"/>
        <v>15253336.154651202</v>
      </c>
      <c r="M37" s="41">
        <f t="shared" si="10"/>
        <v>14624717.400434796</v>
      </c>
      <c r="N37" s="41">
        <f t="shared" si="10"/>
        <v>13989415.806605922</v>
      </c>
      <c r="O37" s="41">
        <f t="shared" si="10"/>
        <v>13342359.721509894</v>
      </c>
      <c r="P37" s="41">
        <f t="shared" si="10"/>
        <v>12674204.289582528</v>
      </c>
      <c r="Q37" s="41">
        <f t="shared" si="10"/>
        <v>11998384.556533292</v>
      </c>
      <c r="R37" s="41">
        <f t="shared" si="10"/>
        <v>11314489.968797032</v>
      </c>
      <c r="S37" s="41">
        <f t="shared" si="10"/>
        <v>10624542.967939708</v>
      </c>
      <c r="T37" s="56">
        <f t="shared" si="10"/>
        <v>9917523.5560323931</v>
      </c>
      <c r="U37" s="41">
        <f t="shared" si="10"/>
        <v>9197341.5048153158</v>
      </c>
      <c r="V37" s="41">
        <f t="shared" si="10"/>
        <v>8467546.2412850857</v>
      </c>
      <c r="W37" s="41">
        <f t="shared" si="10"/>
        <v>7724015.0145697761</v>
      </c>
      <c r="X37" s="41">
        <f t="shared" si="10"/>
        <v>6959503.1731388457</v>
      </c>
      <c r="Y37" s="41">
        <f t="shared" si="10"/>
        <v>6184251.409951739</v>
      </c>
      <c r="Z37" s="41">
        <f t="shared" si="10"/>
        <v>5397744.7690193504</v>
      </c>
      <c r="AA37" s="41">
        <f t="shared" si="10"/>
        <v>4601145.8473947607</v>
      </c>
      <c r="AB37" s="41">
        <f t="shared" si="10"/>
        <v>3783493.9105005302</v>
      </c>
      <c r="AC37" s="41">
        <f t="shared" si="10"/>
        <v>2953263.9374598898</v>
      </c>
      <c r="AD37" s="41">
        <f t="shared" si="10"/>
        <v>2109874.9366294388</v>
      </c>
      <c r="AE37" s="41">
        <f t="shared" si="10"/>
        <v>1250342.5332242027</v>
      </c>
      <c r="AF37" s="41">
        <f t="shared" si="10"/>
        <v>369946.80427213013</v>
      </c>
      <c r="AG37" s="41">
        <f t="shared" si="10"/>
        <v>-524912.04577223584</v>
      </c>
      <c r="AH37" s="41">
        <f t="shared" si="10"/>
        <v>-1434877.19956173</v>
      </c>
      <c r="AI37" s="41">
        <f t="shared" si="10"/>
        <v>-2357203.213455759</v>
      </c>
      <c r="AJ37" s="41">
        <f t="shared" si="10"/>
        <v>-3299276.2872137167</v>
      </c>
      <c r="AK37" s="41">
        <f t="shared" si="10"/>
        <v>-4259781.0206597485</v>
      </c>
      <c r="AL37" s="41">
        <f t="shared" si="10"/>
        <v>-5237983.6321350932</v>
      </c>
      <c r="AM37" s="41">
        <f t="shared" si="10"/>
        <v>-6235535.0912654214</v>
      </c>
      <c r="AN37" s="41">
        <f t="shared" si="10"/>
        <v>-7254157.3381681032</v>
      </c>
      <c r="AO37" s="41">
        <f t="shared" si="10"/>
        <v>-8292039.3193760589</v>
      </c>
      <c r="AP37" s="41">
        <f t="shared" si="10"/>
        <v>-9350000.0000000149</v>
      </c>
    </row>
    <row r="38" spans="1:42" x14ac:dyDescent="0.2">
      <c r="A38" s="30"/>
    </row>
    <row r="39" spans="1:42" x14ac:dyDescent="0.2">
      <c r="A39" s="30" t="s">
        <v>107</v>
      </c>
      <c r="C39" s="9">
        <v>0</v>
      </c>
      <c r="D39" s="13">
        <f>SUM(' FUGG valuation'!C33:E33)</f>
        <v>3336658.5</v>
      </c>
      <c r="E39" s="13">
        <f>SUM(' FUGG valuation'!F33:H33)</f>
        <v>3336658.5</v>
      </c>
      <c r="F39" s="13">
        <f>SUM(' FUGG valuation'!I33:K33)</f>
        <v>3378658.5</v>
      </c>
      <c r="G39" s="13">
        <f>SUM(' FUGG valuation'!L33:N33)</f>
        <v>3378658.5</v>
      </c>
      <c r="H39" s="13">
        <f>SUM(' FUGG valuation'!O33:Q33)</f>
        <v>3294658.5</v>
      </c>
      <c r="I39" s="13">
        <f>SUM(' FUGG valuation'!R33:T33)</f>
        <v>4153508.5</v>
      </c>
      <c r="J39" s="13">
        <f>SUM(' FUGG valuation'!U33:W33)</f>
        <v>5517931.2272727266</v>
      </c>
      <c r="K39" s="13">
        <f>SUM(' FUGG valuation'!X33:Z33)</f>
        <v>6399294.8636363614</v>
      </c>
      <c r="L39" s="13">
        <f>SUM(' FUGG valuation'!AA33:AC33)</f>
        <v>7069189.8498318689</v>
      </c>
      <c r="M39" s="13">
        <f>SUM(' FUGG valuation'!AD33:AF33)</f>
        <v>7466446.5498445192</v>
      </c>
      <c r="N39" s="13">
        <f>SUM(' FUGG valuation'!AG33:AI33)</f>
        <v>7749019.181688996</v>
      </c>
      <c r="O39" s="13">
        <f>SUM(' FUGG valuation'!AJ33:AL33)</f>
        <v>7920331.8199067209</v>
      </c>
      <c r="P39" s="13">
        <f>SUM(' FUGG valuation'!AM33:AO33)</f>
        <v>7891580.4153675232</v>
      </c>
      <c r="Q39" s="13">
        <f>SUM(' FUGG valuation'!AP33:AR33)</f>
        <v>8057658.5</v>
      </c>
      <c r="R39" s="13">
        <f>SUM(' FUGG valuation'!AS33:AU33)</f>
        <v>8155658.5</v>
      </c>
      <c r="S39" s="13">
        <f>SUM(' FUGG valuation'!AV33:AX33)</f>
        <v>8155658.5</v>
      </c>
      <c r="T39" s="13">
        <f>SUM(' FUGG valuation'!AY33:BA33)</f>
        <v>8057658.5</v>
      </c>
      <c r="U39" s="13">
        <f>SUM(' FUGG valuation'!BB33:BD33)</f>
        <v>8057658.5</v>
      </c>
      <c r="V39" s="13">
        <f>SUM(' FUGG valuation'!BE33:BG33)</f>
        <v>8155658.5</v>
      </c>
      <c r="W39" s="13">
        <f>SUM(' FUGG valuation'!BH33:BJ33)</f>
        <v>8155658.5</v>
      </c>
      <c r="X39" s="13">
        <f>SUM(' FUGG valuation'!BK33:BM33)</f>
        <v>7959658.5</v>
      </c>
      <c r="Y39" s="13">
        <f>SUM(' FUGG valuation'!BN33:BP33)</f>
        <v>8057658.5</v>
      </c>
      <c r="Z39" s="13">
        <f>SUM(' FUGG valuation'!BQ33:BS33)</f>
        <v>8155658.5</v>
      </c>
      <c r="AA39" s="13">
        <f>SUM(' FUGG valuation'!BT33:BV33)</f>
        <v>8146584.1259446926</v>
      </c>
      <c r="AB39" s="13">
        <f>SUM(' FUGG valuation'!BW33:BY33)</f>
        <v>0</v>
      </c>
      <c r="AC39" s="13">
        <f>SUM(' FUGG valuation'!BZ33:CB33)</f>
        <v>0</v>
      </c>
      <c r="AD39" s="13">
        <f>SUM(' FUGG valuation'!CC33:CE33)</f>
        <v>0</v>
      </c>
      <c r="AE39" s="13">
        <f>SUM(' FUGG valuation'!CF33:CH33)</f>
        <v>0</v>
      </c>
      <c r="AF39" s="13">
        <f>SUM(' FUGG valuation'!CI33:CK33)</f>
        <v>0</v>
      </c>
      <c r="AG39" s="13">
        <f>SUM(' FUGG valuation'!CL33:CN33)</f>
        <v>0</v>
      </c>
      <c r="AH39" s="13">
        <f>SUM(' FUGG valuation'!CO33:CQ33)</f>
        <v>0</v>
      </c>
      <c r="AI39" s="13">
        <f>SUM(' FUGG valuation'!CR33:CT33)</f>
        <v>0</v>
      </c>
      <c r="AJ39" s="13">
        <f>SUM(' FUGG valuation'!CU33:CW33)</f>
        <v>0</v>
      </c>
      <c r="AK39" s="13">
        <f>SUM(' FUGG valuation'!CX33:CZ33)</f>
        <v>0</v>
      </c>
      <c r="AL39" s="13">
        <f>SUM(' FUGG valuation'!DA33:DC33)</f>
        <v>0</v>
      </c>
      <c r="AM39" s="13">
        <f>SUM(' FUGG valuation'!DD33:DF33)</f>
        <v>0</v>
      </c>
      <c r="AN39" s="13">
        <f>SUM(' FUGG valuation'!DG33:DI33)</f>
        <v>0</v>
      </c>
      <c r="AO39" s="13">
        <f>SUM(' FUGG valuation'!DJ33:DL33)</f>
        <v>0</v>
      </c>
      <c r="AP39" s="13">
        <f>SUM(' FUGG valuation'!DM33:DO33)</f>
        <v>0</v>
      </c>
    </row>
    <row r="40" spans="1:42" x14ac:dyDescent="0.2">
      <c r="A40" s="30" t="s">
        <v>108</v>
      </c>
      <c r="C40" s="9">
        <v>0</v>
      </c>
      <c r="D40" s="57">
        <f>D39/D33</f>
        <v>5.0259534883573487</v>
      </c>
      <c r="E40" s="57">
        <f>E39/E33</f>
        <v>5.0811837464711651</v>
      </c>
      <c r="F40" s="57">
        <f t="shared" ref="F40:AP40" si="11">F39/F33</f>
        <v>3.3655208037125783</v>
      </c>
      <c r="G40" s="57">
        <f t="shared" si="11"/>
        <v>3.3655208037125783</v>
      </c>
      <c r="H40" s="57">
        <f t="shared" si="11"/>
        <v>1.5268781919046381</v>
      </c>
      <c r="I40" s="57">
        <f t="shared" si="11"/>
        <v>1.9249040677631828</v>
      </c>
      <c r="J40" s="57">
        <f t="shared" si="11"/>
        <v>2.5572328225678995</v>
      </c>
      <c r="K40" s="57">
        <f t="shared" si="11"/>
        <v>2.9656924293834175</v>
      </c>
      <c r="L40" s="57">
        <f t="shared" si="11"/>
        <v>3.2761488986314986</v>
      </c>
      <c r="M40" s="57">
        <f t="shared" si="11"/>
        <v>3.4602537434393348</v>
      </c>
      <c r="N40" s="57">
        <f t="shared" si="11"/>
        <v>3.5912093460283221</v>
      </c>
      <c r="O40" s="57">
        <f t="shared" si="11"/>
        <v>3.6706025612256767</v>
      </c>
      <c r="P40" s="57">
        <f t="shared" si="11"/>
        <v>3.6572779958488617</v>
      </c>
      <c r="Q40" s="57">
        <f t="shared" si="11"/>
        <v>3.7342453069005601</v>
      </c>
      <c r="R40" s="57">
        <f t="shared" si="11"/>
        <v>3.7796624761782422</v>
      </c>
      <c r="S40" s="57">
        <f t="shared" si="11"/>
        <v>3.7796624761782422</v>
      </c>
      <c r="T40" s="57">
        <f t="shared" si="11"/>
        <v>3.7342453069005601</v>
      </c>
      <c r="U40" s="57">
        <f t="shared" si="11"/>
        <v>3.7342453069005601</v>
      </c>
      <c r="V40" s="57">
        <f t="shared" si="11"/>
        <v>3.7796624761782422</v>
      </c>
      <c r="W40" s="57">
        <f t="shared" si="11"/>
        <v>3.7796624761782422</v>
      </c>
      <c r="X40" s="57">
        <f t="shared" si="11"/>
        <v>3.688828137622878</v>
      </c>
      <c r="Y40" s="57">
        <f t="shared" si="11"/>
        <v>3.7342453069005601</v>
      </c>
      <c r="Z40" s="57">
        <f t="shared" si="11"/>
        <v>3.7796624761782422</v>
      </c>
      <c r="AA40" s="57">
        <f t="shared" si="11"/>
        <v>3.7754570437031516</v>
      </c>
      <c r="AB40" s="57">
        <f t="shared" si="11"/>
        <v>0</v>
      </c>
      <c r="AC40" s="57">
        <f t="shared" si="11"/>
        <v>0</v>
      </c>
      <c r="AD40" s="57">
        <f t="shared" si="11"/>
        <v>0</v>
      </c>
      <c r="AE40" s="57">
        <f t="shared" si="11"/>
        <v>0</v>
      </c>
      <c r="AF40" s="57">
        <f t="shared" si="11"/>
        <v>0</v>
      </c>
      <c r="AG40" s="57">
        <f t="shared" si="11"/>
        <v>0</v>
      </c>
      <c r="AH40" s="57">
        <f t="shared" si="11"/>
        <v>0</v>
      </c>
      <c r="AI40" s="57">
        <f t="shared" si="11"/>
        <v>0</v>
      </c>
      <c r="AJ40" s="57">
        <f t="shared" si="11"/>
        <v>0</v>
      </c>
      <c r="AK40" s="57">
        <f t="shared" si="11"/>
        <v>0</v>
      </c>
      <c r="AL40" s="57">
        <f t="shared" si="11"/>
        <v>0</v>
      </c>
      <c r="AM40" s="57">
        <f t="shared" si="11"/>
        <v>0</v>
      </c>
      <c r="AN40" s="57">
        <f t="shared" si="11"/>
        <v>0</v>
      </c>
      <c r="AO40" s="57">
        <f t="shared" si="11"/>
        <v>0</v>
      </c>
      <c r="AP40" s="57">
        <f t="shared" si="11"/>
        <v>0</v>
      </c>
    </row>
    <row r="41" spans="1:42" x14ac:dyDescent="0.2">
      <c r="A41" s="30"/>
    </row>
    <row r="42" spans="1:42" x14ac:dyDescent="0.2">
      <c r="A42" s="15"/>
    </row>
    <row r="43" spans="1:42" x14ac:dyDescent="0.2">
      <c r="A43" s="30"/>
    </row>
    <row r="44" spans="1:42" x14ac:dyDescent="0.2">
      <c r="A44" s="3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row>
    <row r="45" spans="1:42" x14ac:dyDescent="0.2">
      <c r="A45" s="30"/>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c r="AH45" s="49"/>
      <c r="AI45" s="49"/>
      <c r="AJ45" s="49"/>
      <c r="AK45" s="49"/>
      <c r="AL45" s="49"/>
      <c r="AM45" s="49"/>
      <c r="AN45" s="49"/>
      <c r="AO45" s="49"/>
      <c r="AP45" s="49"/>
    </row>
    <row r="46" spans="1:42" x14ac:dyDescent="0.2">
      <c r="A46" s="30"/>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c r="AH46" s="48"/>
      <c r="AI46" s="48"/>
      <c r="AJ46" s="48"/>
      <c r="AK46" s="48"/>
      <c r="AL46" s="48"/>
      <c r="AM46" s="48"/>
      <c r="AN46" s="48"/>
      <c r="AO46" s="48"/>
      <c r="AP46" s="48"/>
    </row>
    <row r="47" spans="1:42" x14ac:dyDescent="0.2">
      <c r="A47" s="30"/>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c r="AH47" s="49"/>
      <c r="AI47" s="49"/>
      <c r="AJ47" s="49"/>
      <c r="AK47" s="49"/>
      <c r="AL47" s="49"/>
      <c r="AM47" s="49"/>
      <c r="AN47" s="49"/>
      <c r="AO47" s="49"/>
      <c r="AP47" s="49"/>
    </row>
    <row r="48" spans="1:42" x14ac:dyDescent="0.2">
      <c r="A48" s="30"/>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row>
    <row r="49" spans="1:42" x14ac:dyDescent="0.2">
      <c r="A49" s="30"/>
      <c r="C49" s="3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row>
    <row r="50" spans="1:42" ht="15" x14ac:dyDescent="0.35">
      <c r="A50" s="30"/>
      <c r="C50" s="61"/>
      <c r="D50" s="61"/>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row>
    <row r="51" spans="1:42" x14ac:dyDescent="0.2">
      <c r="A51" s="30"/>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row>
    <row r="52" spans="1:42" x14ac:dyDescent="0.2">
      <c r="A52" s="30"/>
    </row>
    <row r="53" spans="1:42" x14ac:dyDescent="0.2">
      <c r="A53" s="30"/>
      <c r="C53" s="40"/>
      <c r="D53" s="40"/>
      <c r="E53" s="40"/>
      <c r="F53" s="40"/>
      <c r="G53" s="40"/>
      <c r="H53" s="65"/>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row>
    <row r="54" spans="1:42" x14ac:dyDescent="0.2">
      <c r="A54" s="3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row>
    <row r="55" spans="1:42" x14ac:dyDescent="0.2">
      <c r="A55" s="30"/>
    </row>
    <row r="56" spans="1:42" x14ac:dyDescent="0.2">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row>
    <row r="57" spans="1:42" x14ac:dyDescent="0.2">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row>
    <row r="59" spans="1:42" x14ac:dyDescent="0.2">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row>
    <row r="60" spans="1:42" x14ac:dyDescent="0.2">
      <c r="C60" s="36"/>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row>
  </sheetData>
  <printOptions horizontalCentered="1"/>
  <pageMargins left="0.24" right="0.75" top="1" bottom="1" header="0.5" footer="0.5"/>
  <pageSetup scale="93" fitToWidth="4" orientation="landscape"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L48"/>
  <sheetViews>
    <sheetView view="pageBreakPreview" zoomScale="60" zoomScaleNormal="100" workbookViewId="0">
      <pane xSplit="1" ySplit="7" topLeftCell="C8" activePane="bottomRight" state="frozen"/>
      <selection activeCell="F8" sqref="F8"/>
      <selection pane="topRight" activeCell="F8" sqref="F8"/>
      <selection pane="bottomLeft" activeCell="F8" sqref="F8"/>
      <selection pane="bottomRight" activeCell="F8" sqref="F8"/>
    </sheetView>
  </sheetViews>
  <sheetFormatPr defaultRowHeight="12.75" x14ac:dyDescent="0.2"/>
  <cols>
    <col min="1" max="1" width="27.140625" style="1" customWidth="1"/>
    <col min="2" max="2" width="14.85546875" style="1" customWidth="1"/>
    <col min="3" max="3" width="13.42578125" style="1" customWidth="1"/>
    <col min="4" max="4" width="15.140625" style="1" customWidth="1"/>
    <col min="5" max="5" width="13.7109375" style="1" customWidth="1"/>
    <col min="6" max="6" width="14" style="1" customWidth="1"/>
    <col min="7" max="7" width="15.42578125" style="1" customWidth="1"/>
    <col min="8" max="8" width="13.42578125" style="1" customWidth="1"/>
    <col min="9" max="9" width="13.7109375" style="1" customWidth="1"/>
    <col min="10" max="10" width="15.140625" style="1" customWidth="1"/>
    <col min="11" max="12" width="13.7109375" style="1" customWidth="1"/>
    <col min="13" max="13" width="14.7109375" style="1" customWidth="1"/>
    <col min="14" max="14" width="13.28515625" style="1" customWidth="1"/>
    <col min="15" max="15" width="13.42578125" style="1" customWidth="1"/>
    <col min="16" max="16" width="14.42578125" style="1" customWidth="1"/>
    <col min="17" max="17" width="13.28515625" style="1" customWidth="1"/>
    <col min="18" max="18" width="14" style="1" customWidth="1"/>
    <col min="19" max="19" width="14.85546875" style="1" customWidth="1"/>
    <col min="20" max="20" width="13.42578125" style="1" customWidth="1"/>
    <col min="21" max="21" width="13.28515625" style="1" customWidth="1"/>
    <col min="22" max="22" width="15.140625" style="1" customWidth="1"/>
    <col min="23" max="24" width="13.28515625" style="1" customWidth="1"/>
    <col min="25" max="25" width="14.85546875" style="1" customWidth="1"/>
    <col min="26" max="27" width="14.140625" style="1" customWidth="1"/>
    <col min="28" max="28" width="14" style="1" customWidth="1"/>
    <col min="29" max="29" width="14.140625" style="1" customWidth="1"/>
    <col min="30" max="31" width="13.28515625" style="1" customWidth="1"/>
    <col min="32" max="33" width="14.140625" style="1" customWidth="1"/>
    <col min="34" max="34" width="12.7109375" style="1" customWidth="1"/>
    <col min="35" max="36" width="14.140625" style="1" customWidth="1"/>
    <col min="37" max="37" width="13.7109375" style="1" customWidth="1"/>
    <col min="38" max="39" width="14.140625" style="1" customWidth="1"/>
    <col min="40" max="40" width="12.7109375" style="1" customWidth="1"/>
    <col min="41" max="42" width="14.140625" style="1" customWidth="1"/>
    <col min="43" max="43" width="12.7109375" style="1" customWidth="1"/>
    <col min="44" max="45" width="14.140625" style="1" customWidth="1"/>
    <col min="46" max="46" width="12.7109375" style="1" customWidth="1"/>
    <col min="47" max="48" width="14.140625" style="1" customWidth="1"/>
    <col min="49" max="49" width="12.7109375" style="1" customWidth="1"/>
    <col min="50" max="51" width="14.140625" style="1" customWidth="1"/>
    <col min="52" max="52" width="13" style="1" customWidth="1"/>
    <col min="53" max="53" width="14.140625" style="1" customWidth="1"/>
    <col min="54" max="55" width="13.28515625" style="1" customWidth="1"/>
    <col min="56" max="57" width="14.140625" style="1" customWidth="1"/>
    <col min="58" max="58" width="13.7109375" style="1" customWidth="1"/>
    <col min="59" max="60" width="14.140625" style="1" customWidth="1"/>
    <col min="61" max="61" width="13.7109375" style="1" customWidth="1"/>
    <col min="62" max="63" width="14.140625" style="1" customWidth="1"/>
    <col min="64" max="64" width="13.7109375" style="1" customWidth="1"/>
    <col min="65" max="16384" width="9.140625" style="1"/>
  </cols>
  <sheetData>
    <row r="1" spans="1:64" ht="15.75" x14ac:dyDescent="0.25">
      <c r="A1" s="2" t="s">
        <v>0</v>
      </c>
    </row>
    <row r="2" spans="1:64" x14ac:dyDescent="0.2">
      <c r="A2" s="3" t="s">
        <v>143</v>
      </c>
    </row>
    <row r="5" spans="1:64" x14ac:dyDescent="0.2">
      <c r="A5" s="3" t="s">
        <v>71</v>
      </c>
    </row>
    <row r="6" spans="1:64" x14ac:dyDescent="0.2">
      <c r="A6" s="68" t="s">
        <v>21</v>
      </c>
      <c r="B6" s="69">
        <v>36799</v>
      </c>
      <c r="C6" s="69">
        <f t="shared" ref="C6:BL6" si="0">B7</f>
        <v>36830</v>
      </c>
      <c r="D6" s="69">
        <f t="shared" si="0"/>
        <v>36860</v>
      </c>
      <c r="E6" s="69">
        <f t="shared" si="0"/>
        <v>36891</v>
      </c>
      <c r="F6" s="69">
        <f t="shared" si="0"/>
        <v>36922</v>
      </c>
      <c r="G6" s="69">
        <f t="shared" si="0"/>
        <v>36950</v>
      </c>
      <c r="H6" s="69">
        <f t="shared" si="0"/>
        <v>36981</v>
      </c>
      <c r="I6" s="69">
        <f t="shared" si="0"/>
        <v>37011</v>
      </c>
      <c r="J6" s="69">
        <f t="shared" si="0"/>
        <v>37042</v>
      </c>
      <c r="K6" s="69">
        <f t="shared" si="0"/>
        <v>37072</v>
      </c>
      <c r="L6" s="69">
        <f t="shared" si="0"/>
        <v>37103</v>
      </c>
      <c r="M6" s="69">
        <f t="shared" si="0"/>
        <v>37134</v>
      </c>
      <c r="N6" s="69">
        <f t="shared" si="0"/>
        <v>37164</v>
      </c>
      <c r="O6" s="69">
        <f t="shared" si="0"/>
        <v>37195</v>
      </c>
      <c r="P6" s="69">
        <f t="shared" si="0"/>
        <v>37225</v>
      </c>
      <c r="Q6" s="69">
        <f t="shared" si="0"/>
        <v>37256</v>
      </c>
      <c r="R6" s="69">
        <f t="shared" si="0"/>
        <v>37287</v>
      </c>
      <c r="S6" s="69">
        <f t="shared" si="0"/>
        <v>37315</v>
      </c>
      <c r="T6" s="69">
        <f t="shared" si="0"/>
        <v>37346</v>
      </c>
      <c r="U6" s="69">
        <f t="shared" si="0"/>
        <v>37376</v>
      </c>
      <c r="V6" s="69">
        <f t="shared" si="0"/>
        <v>37407</v>
      </c>
      <c r="W6" s="69">
        <f t="shared" si="0"/>
        <v>37437</v>
      </c>
      <c r="X6" s="69">
        <f t="shared" si="0"/>
        <v>37468</v>
      </c>
      <c r="Y6" s="69">
        <f t="shared" si="0"/>
        <v>37499</v>
      </c>
      <c r="Z6" s="69">
        <f t="shared" si="0"/>
        <v>37529</v>
      </c>
      <c r="AA6" s="69">
        <f t="shared" si="0"/>
        <v>37560</v>
      </c>
      <c r="AB6" s="69">
        <f t="shared" si="0"/>
        <v>37590</v>
      </c>
      <c r="AC6" s="69">
        <f t="shared" si="0"/>
        <v>37621</v>
      </c>
      <c r="AD6" s="69">
        <f t="shared" si="0"/>
        <v>37652</v>
      </c>
      <c r="AE6" s="69">
        <f t="shared" si="0"/>
        <v>37680</v>
      </c>
      <c r="AF6" s="69">
        <f t="shared" si="0"/>
        <v>37711</v>
      </c>
      <c r="AG6" s="69">
        <f t="shared" si="0"/>
        <v>37741</v>
      </c>
      <c r="AH6" s="69">
        <f t="shared" si="0"/>
        <v>37772</v>
      </c>
      <c r="AI6" s="69">
        <f t="shared" si="0"/>
        <v>37802</v>
      </c>
      <c r="AJ6" s="69">
        <f t="shared" si="0"/>
        <v>37833</v>
      </c>
      <c r="AK6" s="69">
        <f t="shared" si="0"/>
        <v>37864</v>
      </c>
      <c r="AL6" s="69">
        <f t="shared" si="0"/>
        <v>37894</v>
      </c>
      <c r="AM6" s="69">
        <f t="shared" si="0"/>
        <v>37925</v>
      </c>
      <c r="AN6" s="69">
        <f t="shared" si="0"/>
        <v>37955</v>
      </c>
      <c r="AO6" s="69">
        <f t="shared" si="0"/>
        <v>37986</v>
      </c>
      <c r="AP6" s="69">
        <f t="shared" si="0"/>
        <v>38017</v>
      </c>
      <c r="AQ6" s="69">
        <f t="shared" si="0"/>
        <v>38046</v>
      </c>
      <c r="AR6" s="69">
        <f t="shared" si="0"/>
        <v>38077</v>
      </c>
      <c r="AS6" s="69">
        <f t="shared" si="0"/>
        <v>38107</v>
      </c>
      <c r="AT6" s="69">
        <f t="shared" si="0"/>
        <v>38138</v>
      </c>
      <c r="AU6" s="69">
        <f t="shared" si="0"/>
        <v>38168</v>
      </c>
      <c r="AV6" s="69">
        <f t="shared" si="0"/>
        <v>38199</v>
      </c>
      <c r="AW6" s="69">
        <f t="shared" si="0"/>
        <v>38230</v>
      </c>
      <c r="AX6" s="69">
        <f t="shared" si="0"/>
        <v>38260</v>
      </c>
      <c r="AY6" s="69">
        <f t="shared" si="0"/>
        <v>38291</v>
      </c>
      <c r="AZ6" s="69">
        <f t="shared" si="0"/>
        <v>38321</v>
      </c>
      <c r="BA6" s="69">
        <f t="shared" si="0"/>
        <v>38352</v>
      </c>
      <c r="BB6" s="69">
        <f t="shared" si="0"/>
        <v>38383</v>
      </c>
      <c r="BC6" s="69">
        <f t="shared" si="0"/>
        <v>38411</v>
      </c>
      <c r="BD6" s="69">
        <f t="shared" si="0"/>
        <v>38442</v>
      </c>
      <c r="BE6" s="69">
        <f t="shared" si="0"/>
        <v>38472</v>
      </c>
      <c r="BF6" s="69">
        <f t="shared" si="0"/>
        <v>38503</v>
      </c>
      <c r="BG6" s="69">
        <f t="shared" si="0"/>
        <v>38533</v>
      </c>
      <c r="BH6" s="69">
        <f t="shared" si="0"/>
        <v>38564</v>
      </c>
      <c r="BI6" s="69">
        <f t="shared" si="0"/>
        <v>38595</v>
      </c>
      <c r="BJ6" s="69">
        <f t="shared" si="0"/>
        <v>38625</v>
      </c>
      <c r="BK6" s="69">
        <f t="shared" si="0"/>
        <v>38656</v>
      </c>
      <c r="BL6" s="69">
        <f t="shared" si="0"/>
        <v>38686</v>
      </c>
    </row>
    <row r="7" spans="1:64" x14ac:dyDescent="0.2">
      <c r="A7" s="68" t="s">
        <v>22</v>
      </c>
      <c r="B7" s="69">
        <v>36830</v>
      </c>
      <c r="C7" s="69">
        <v>36860</v>
      </c>
      <c r="D7" s="69">
        <v>36891</v>
      </c>
      <c r="E7" s="69">
        <v>36922</v>
      </c>
      <c r="F7" s="69">
        <v>36950</v>
      </c>
      <c r="G7" s="69">
        <v>36981</v>
      </c>
      <c r="H7" s="69">
        <v>37011</v>
      </c>
      <c r="I7" s="69">
        <v>37042</v>
      </c>
      <c r="J7" s="69">
        <v>37072</v>
      </c>
      <c r="K7" s="69">
        <v>37103</v>
      </c>
      <c r="L7" s="69">
        <v>37134</v>
      </c>
      <c r="M7" s="69">
        <v>37164</v>
      </c>
      <c r="N7" s="69">
        <v>37195</v>
      </c>
      <c r="O7" s="69">
        <v>37225</v>
      </c>
      <c r="P7" s="69">
        <v>37256</v>
      </c>
      <c r="Q7" s="69">
        <v>37287</v>
      </c>
      <c r="R7" s="69">
        <v>37315</v>
      </c>
      <c r="S7" s="69">
        <v>37346</v>
      </c>
      <c r="T7" s="69">
        <v>37376</v>
      </c>
      <c r="U7" s="69">
        <v>37407</v>
      </c>
      <c r="V7" s="69">
        <v>37437</v>
      </c>
      <c r="W7" s="69">
        <v>37468</v>
      </c>
      <c r="X7" s="69">
        <v>37499</v>
      </c>
      <c r="Y7" s="69">
        <v>37529</v>
      </c>
      <c r="Z7" s="69">
        <v>37560</v>
      </c>
      <c r="AA7" s="69">
        <v>37590</v>
      </c>
      <c r="AB7" s="69">
        <v>37621</v>
      </c>
      <c r="AC7" s="69">
        <v>37652</v>
      </c>
      <c r="AD7" s="69">
        <v>37680</v>
      </c>
      <c r="AE7" s="69">
        <v>37711</v>
      </c>
      <c r="AF7" s="69">
        <v>37741</v>
      </c>
      <c r="AG7" s="69">
        <v>37772</v>
      </c>
      <c r="AH7" s="69">
        <v>37802</v>
      </c>
      <c r="AI7" s="69">
        <v>37833</v>
      </c>
      <c r="AJ7" s="69">
        <v>37864</v>
      </c>
      <c r="AK7" s="69">
        <v>37894</v>
      </c>
      <c r="AL7" s="69">
        <v>37925</v>
      </c>
      <c r="AM7" s="69">
        <v>37955</v>
      </c>
      <c r="AN7" s="69">
        <v>37986</v>
      </c>
      <c r="AO7" s="69">
        <v>38017</v>
      </c>
      <c r="AP7" s="69">
        <v>38046</v>
      </c>
      <c r="AQ7" s="69">
        <v>38077</v>
      </c>
      <c r="AR7" s="69">
        <v>38107</v>
      </c>
      <c r="AS7" s="69">
        <v>38138</v>
      </c>
      <c r="AT7" s="69">
        <v>38168</v>
      </c>
      <c r="AU7" s="69">
        <v>38199</v>
      </c>
      <c r="AV7" s="69">
        <v>38230</v>
      </c>
      <c r="AW7" s="69">
        <v>38260</v>
      </c>
      <c r="AX7" s="69">
        <v>38291</v>
      </c>
      <c r="AY7" s="69">
        <v>38321</v>
      </c>
      <c r="AZ7" s="69">
        <v>38352</v>
      </c>
      <c r="BA7" s="69">
        <v>38383</v>
      </c>
      <c r="BB7" s="69">
        <v>38411</v>
      </c>
      <c r="BC7" s="69">
        <v>38442</v>
      </c>
      <c r="BD7" s="69">
        <v>38472</v>
      </c>
      <c r="BE7" s="69">
        <v>38503</v>
      </c>
      <c r="BF7" s="69">
        <v>38533</v>
      </c>
      <c r="BG7" s="69">
        <v>38564</v>
      </c>
      <c r="BH7" s="69">
        <v>38595</v>
      </c>
      <c r="BI7" s="69">
        <v>38625</v>
      </c>
      <c r="BJ7" s="69">
        <v>38656</v>
      </c>
      <c r="BK7" s="69">
        <v>38686</v>
      </c>
      <c r="BL7" s="69">
        <v>38717</v>
      </c>
    </row>
    <row r="8" spans="1:64" x14ac:dyDescent="0.2">
      <c r="A8" s="3" t="s">
        <v>172</v>
      </c>
    </row>
    <row r="9" spans="1:64" x14ac:dyDescent="0.2">
      <c r="A9" s="70" t="s">
        <v>144</v>
      </c>
    </row>
    <row r="10" spans="1:64" x14ac:dyDescent="0.2">
      <c r="A10" s="68" t="s">
        <v>145</v>
      </c>
      <c r="B10" s="37">
        <f>HLOOKUP(B7,volumes!$B$34:$BL$48,6)*assumptions!$F$24*('LCGG valuation'!B7-'LCGG valuation'!B6)</f>
        <v>481740.00000000006</v>
      </c>
      <c r="C10" s="37">
        <f>HLOOKUP(C7,volumes!$B$34:$BL$48,6)*assumptions!$F$24*('LCGG valuation'!C7-'LCGG valuation'!C6)</f>
        <v>466200.00000000006</v>
      </c>
      <c r="D10" s="37">
        <f>HLOOKUP(D7,volumes!$B$34:$BL$48,6)*assumptions!$F$24*('LCGG valuation'!D7-'LCGG valuation'!D6)</f>
        <v>481740.00000000006</v>
      </c>
      <c r="E10" s="37">
        <f>HLOOKUP(E7,volumes!$B$34:$BL$48,6)*assumptions!$F$24*('LCGG valuation'!E7-'LCGG valuation'!E6)</f>
        <v>481740.00000000006</v>
      </c>
      <c r="F10" s="37">
        <f>HLOOKUP(F7,volumes!$B$34:$BL$48,6)*assumptions!$F$24*('LCGG valuation'!F7-'LCGG valuation'!F6)</f>
        <v>435120.00000000006</v>
      </c>
      <c r="G10" s="37">
        <f>HLOOKUP(G7,volumes!$B$34:$BL$48,6)*assumptions!$F$24*('LCGG valuation'!G7-'LCGG valuation'!G6)</f>
        <v>481740.00000000006</v>
      </c>
      <c r="H10" s="37">
        <f>HLOOKUP(H7,volumes!$B$34:$BL$48,6)*assumptions!$F$24*('LCGG valuation'!H7-'LCGG valuation'!H6)</f>
        <v>466200.00000000006</v>
      </c>
      <c r="I10" s="37">
        <f>HLOOKUP(I7,volumes!$B$34:$BL$48,6)*assumptions!$F$24*('LCGG valuation'!I7-'LCGG valuation'!I6)</f>
        <v>481740.00000000006</v>
      </c>
      <c r="J10" s="37">
        <f>HLOOKUP(J7,volumes!$B$34:$BL$48,6)*assumptions!$F$24*('LCGG valuation'!J7-'LCGG valuation'!J6)</f>
        <v>466200.00000000006</v>
      </c>
      <c r="K10" s="37">
        <f>HLOOKUP(K7,volumes!$B$34:$BL$48,6)*assumptions!$F$24*('LCGG valuation'!K7-'LCGG valuation'!K6)</f>
        <v>481740.00000000006</v>
      </c>
      <c r="L10" s="37">
        <f>HLOOKUP(L7,volumes!$B$34:$BL$48,6)*assumptions!$F$24*('LCGG valuation'!L7-'LCGG valuation'!L6)</f>
        <v>481740.00000000006</v>
      </c>
      <c r="M10" s="37">
        <f>HLOOKUP(M7,volumes!$B$34:$BL$48,6)*assumptions!$F$24*('LCGG valuation'!M7-'LCGG valuation'!M6)</f>
        <v>466200.00000000006</v>
      </c>
      <c r="N10" s="37">
        <f>HLOOKUP(N7,volumes!$B$34:$BL$48,6)*assumptions!$F$24*('LCGG valuation'!N7-'LCGG valuation'!N6)</f>
        <v>642320.00000000012</v>
      </c>
      <c r="O10" s="37">
        <f>HLOOKUP(O7,volumes!$B$34:$BL$48,6)*assumptions!$F$24*('LCGG valuation'!O7-'LCGG valuation'!O6)</f>
        <v>621600.00000000012</v>
      </c>
      <c r="P10" s="37">
        <f>HLOOKUP(P7,volumes!$B$34:$BL$48,6)*assumptions!$F$24*('LCGG valuation'!P7-'LCGG valuation'!P6)</f>
        <v>642320.00000000012</v>
      </c>
      <c r="Q10" s="37">
        <f>HLOOKUP(Q7,volumes!$B$34:$BL$48,6)*assumptions!$F$24*('LCGG valuation'!Q7-'LCGG valuation'!Q6)</f>
        <v>642320.00000000012</v>
      </c>
      <c r="R10" s="37">
        <f>HLOOKUP(R7,volumes!$B$34:$BL$48,6)*assumptions!$F$24*('LCGG valuation'!R7-'LCGG valuation'!R6)</f>
        <v>580160.00000000012</v>
      </c>
      <c r="S10" s="37">
        <f>HLOOKUP(S7,volumes!$B$34:$BL$48,6)*assumptions!$F$24*('LCGG valuation'!S7-'LCGG valuation'!S6)</f>
        <v>642320.00000000012</v>
      </c>
      <c r="T10" s="37">
        <f>HLOOKUP(T7,volumes!$B$34:$BL$48,6)*assumptions!$F$24*('LCGG valuation'!T7-'LCGG valuation'!T6)</f>
        <v>621600.00000000012</v>
      </c>
      <c r="U10" s="37">
        <f>HLOOKUP(U7,volumes!$B$34:$BL$48,6)*assumptions!$F$24*('LCGG valuation'!U7-'LCGG valuation'!U6)</f>
        <v>642320.00000000012</v>
      </c>
      <c r="V10" s="37">
        <f>HLOOKUP(V7,volumes!$B$34:$BL$48,6)*assumptions!$F$24*('LCGG valuation'!V7-'LCGG valuation'!V6)</f>
        <v>621600.00000000012</v>
      </c>
      <c r="W10" s="37">
        <f>HLOOKUP(W7,volumes!$B$34:$BL$48,6)*assumptions!$F$24*('LCGG valuation'!W7-'LCGG valuation'!W6)</f>
        <v>642320.00000000012</v>
      </c>
      <c r="X10" s="37">
        <f>HLOOKUP(X7,volumes!$B$34:$BL$48,6)*assumptions!$F$24*('LCGG valuation'!X7-'LCGG valuation'!X6)</f>
        <v>642320.00000000012</v>
      </c>
      <c r="Y10" s="37">
        <f>HLOOKUP(Y7,volumes!$B$34:$BL$48,6)*assumptions!$F$24*('LCGG valuation'!Y7-'LCGG valuation'!Y6)</f>
        <v>621600.00000000012</v>
      </c>
      <c r="Z10" s="37">
        <f>HLOOKUP(Z7,volumes!$B$34:$BL$48,6)*assumptions!$F$24*('LCGG valuation'!Z7-'LCGG valuation'!Z6)</f>
        <v>775775.00000000012</v>
      </c>
      <c r="AA10" s="37">
        <f>HLOOKUP(AA7,volumes!$B$34:$BL$48,6)*assumptions!$F$24*('LCGG valuation'!AA7-'LCGG valuation'!AA6)</f>
        <v>750750.00000000012</v>
      </c>
      <c r="AB10" s="37">
        <f>HLOOKUP(AB7,volumes!$B$34:$BL$48,6)*assumptions!$F$24*('LCGG valuation'!AB7-'LCGG valuation'!AB6)</f>
        <v>775775.00000000012</v>
      </c>
      <c r="AC10" s="37">
        <f>HLOOKUP(AC7,volumes!$B$34:$BL$48,6)*assumptions!$F$24*('LCGG valuation'!AC7-'LCGG valuation'!AC6)</f>
        <v>775775.00000000012</v>
      </c>
      <c r="AD10" s="37">
        <f>HLOOKUP(AD7,volumes!$B$34:$BL$48,6)*assumptions!$F$24*('LCGG valuation'!AD7-'LCGG valuation'!AD6)</f>
        <v>700700.00000000012</v>
      </c>
      <c r="AE10" s="37">
        <f>HLOOKUP(AE7,volumes!$B$34:$BL$48,6)*assumptions!$F$24*('LCGG valuation'!AE7-'LCGG valuation'!AE6)</f>
        <v>775775.00000000012</v>
      </c>
      <c r="AF10" s="37">
        <f>HLOOKUP(AF7,volumes!$B$34:$BL$48,6)*assumptions!$F$24*('LCGG valuation'!AF7-'LCGG valuation'!AF6)</f>
        <v>750750.00000000012</v>
      </c>
      <c r="AG10" s="37">
        <f>HLOOKUP(AG7,volumes!$B$34:$BL$48,6)*assumptions!$F$24*('LCGG valuation'!AG7-'LCGG valuation'!AG6)</f>
        <v>775775.00000000012</v>
      </c>
      <c r="AH10" s="37">
        <f>HLOOKUP(AH7,volumes!$B$34:$BL$48,6)*assumptions!$F$24*('LCGG valuation'!AH7-'LCGG valuation'!AH6)</f>
        <v>750750.00000000012</v>
      </c>
      <c r="AI10" s="37">
        <f>HLOOKUP(AI7,volumes!$B$34:$BL$48,6)*assumptions!$F$24*('LCGG valuation'!AI7-'LCGG valuation'!AI6)</f>
        <v>775775.00000000012</v>
      </c>
      <c r="AJ10" s="37">
        <f>HLOOKUP(AJ7,volumes!$B$34:$BL$48,6)*assumptions!$F$24*('LCGG valuation'!AJ7-'LCGG valuation'!AJ6)</f>
        <v>775775.00000000012</v>
      </c>
      <c r="AK10" s="37">
        <f>HLOOKUP(AK7,volumes!$B$34:$BL$48,6)*assumptions!$F$24*('LCGG valuation'!AK7-'LCGG valuation'!AK6)</f>
        <v>750750.00000000012</v>
      </c>
      <c r="AL10" s="37">
        <f>HLOOKUP(AL7,volumes!$B$34:$BL$48,6)*assumptions!$F$24*('LCGG valuation'!AL7-'LCGG valuation'!AL6)</f>
        <v>775775.00000000012</v>
      </c>
      <c r="AM10" s="37">
        <f>HLOOKUP(AM7,volumes!$B$34:$BL$48,6)*assumptions!$F$24*('LCGG valuation'!AM7-'LCGG valuation'!AM6)</f>
        <v>750750.00000000012</v>
      </c>
      <c r="AN10" s="37">
        <f>HLOOKUP(AN7,volumes!$B$34:$BL$48,6)*assumptions!$F$24*('LCGG valuation'!AN7-'LCGG valuation'!AN6)</f>
        <v>775775.00000000012</v>
      </c>
      <c r="AO10" s="37">
        <f>HLOOKUP(AO7,volumes!$B$34:$BL$48,6)*assumptions!$F$24*('LCGG valuation'!AO7-'LCGG valuation'!AO6)</f>
        <v>775775.00000000012</v>
      </c>
      <c r="AP10" s="37">
        <f>HLOOKUP(AP7,volumes!$B$34:$BL$48,6)*assumptions!$F$24*('LCGG valuation'!AP7-'LCGG valuation'!AP6)</f>
        <v>725725.00000000012</v>
      </c>
      <c r="AQ10" s="37">
        <f>HLOOKUP(AQ7,volumes!$B$34:$BL$48,6)*assumptions!$F$24*('LCGG valuation'!AQ7-'LCGG valuation'!AQ6)</f>
        <v>775775.00000000012</v>
      </c>
      <c r="AR10" s="37">
        <f>HLOOKUP(AR7,volumes!$B$34:$BL$48,6)*assumptions!$F$24*('LCGG valuation'!AR7-'LCGG valuation'!AR6)</f>
        <v>750750.00000000012</v>
      </c>
      <c r="AS10" s="37">
        <f>HLOOKUP(AS7,volumes!$B$34:$BL$48,6)*assumptions!$F$24*('LCGG valuation'!AS7-'LCGG valuation'!AS6)</f>
        <v>775775.00000000012</v>
      </c>
      <c r="AT10" s="37">
        <f>HLOOKUP(AT7,volumes!$B$34:$BL$48,6)*assumptions!$F$24*('LCGG valuation'!AT7-'LCGG valuation'!AT6)</f>
        <v>750750.00000000012</v>
      </c>
      <c r="AU10" s="37">
        <f>HLOOKUP(AU7,volumes!$B$34:$BL$48,6)*assumptions!$F$24*('LCGG valuation'!AU7-'LCGG valuation'!AU6)</f>
        <v>775775.00000000012</v>
      </c>
      <c r="AV10" s="37">
        <f>HLOOKUP(AV7,volumes!$B$34:$BL$48,6)*assumptions!$F$24*('LCGG valuation'!AV7-'LCGG valuation'!AV6)</f>
        <v>775775.00000000012</v>
      </c>
      <c r="AW10" s="37">
        <f>HLOOKUP(AW7,volumes!$B$34:$BL$48,6)*assumptions!$F$24*('LCGG valuation'!AW7-'LCGG valuation'!AW6)</f>
        <v>750750.00000000012</v>
      </c>
      <c r="AX10" s="37">
        <f>HLOOKUP(AX7,volumes!$B$34:$BL$48,6)*assumptions!$F$24*('LCGG valuation'!AX7-'LCGG valuation'!AX6)</f>
        <v>775775.00000000012</v>
      </c>
      <c r="AY10" s="37">
        <f>HLOOKUP(AY7,volumes!$B$34:$BL$48,6)*assumptions!$F$24*('LCGG valuation'!AY7-'LCGG valuation'!AY6)</f>
        <v>750750.00000000012</v>
      </c>
      <c r="AZ10" s="37">
        <f>HLOOKUP(AZ7,volumes!$B$34:$BL$48,6)*assumptions!$F$24*('LCGG valuation'!AZ7-'LCGG valuation'!AZ6)</f>
        <v>775775.00000000012</v>
      </c>
      <c r="BA10" s="37">
        <f>HLOOKUP(BA7,volumes!$B$34:$BL$48,6)*assumptions!$F$24*('LCGG valuation'!BA7-'LCGG valuation'!BA6)</f>
        <v>775775.00000000012</v>
      </c>
      <c r="BB10" s="37">
        <f>HLOOKUP(BB7,volumes!$B$34:$BL$48,6)*assumptions!$F$24*('LCGG valuation'!BB7-'LCGG valuation'!BB6)</f>
        <v>700700.00000000012</v>
      </c>
      <c r="BC10" s="37">
        <f>HLOOKUP(BC7,volumes!$B$34:$BL$48,6)*assumptions!$F$24*('LCGG valuation'!BC7-'LCGG valuation'!BC6)</f>
        <v>775775.00000000012</v>
      </c>
      <c r="BD10" s="37">
        <f>HLOOKUP(BD7,volumes!$B$34:$BL$48,6)*assumptions!$F$24*('LCGG valuation'!BD7-'LCGG valuation'!BD6)</f>
        <v>750750.00000000012</v>
      </c>
      <c r="BE10" s="37">
        <f>HLOOKUP(BE7,volumes!$B$34:$BL$48,6)*assumptions!$F$24*('LCGG valuation'!BE7-'LCGG valuation'!BE6)</f>
        <v>775775.00000000012</v>
      </c>
      <c r="BF10" s="37">
        <f>HLOOKUP(BF7,volumes!$B$34:$BL$48,6)*assumptions!$F$24*('LCGG valuation'!BF7-'LCGG valuation'!BF6)</f>
        <v>750750.00000000012</v>
      </c>
      <c r="BG10" s="37">
        <f>HLOOKUP(BG7,volumes!$B$34:$BL$48,6)*assumptions!$F$24*('LCGG valuation'!BG7-'LCGG valuation'!BG6)</f>
        <v>775775.00000000012</v>
      </c>
      <c r="BH10" s="37">
        <f>HLOOKUP(BH7,volumes!$B$34:$BL$48,6)*assumptions!$F$24*('LCGG valuation'!BH7-'LCGG valuation'!BH6)</f>
        <v>775775.00000000012</v>
      </c>
      <c r="BI10" s="37">
        <f>HLOOKUP(BI7,volumes!$B$34:$BL$48,6)*assumptions!$F$24*('LCGG valuation'!BI7-'LCGG valuation'!BI6)</f>
        <v>750750.00000000012</v>
      </c>
      <c r="BJ10" s="37">
        <f>HLOOKUP(BJ7,volumes!$B$34:$BL$48,6)*assumptions!$F$24*('LCGG valuation'!BJ7-'LCGG valuation'!BJ6)</f>
        <v>775775.00000000012</v>
      </c>
      <c r="BK10" s="37">
        <f>HLOOKUP(BK7,volumes!$B$34:$BL$48,6)*assumptions!$F$24*('LCGG valuation'!BK7-'LCGG valuation'!BK6)</f>
        <v>750750.00000000012</v>
      </c>
      <c r="BL10" s="37">
        <f>HLOOKUP(BL7,volumes!$B$34:$BL$48,6)*assumptions!$F$24*('LCGG valuation'!BL7-'LCGG valuation'!BL6)</f>
        <v>775775.00000000012</v>
      </c>
    </row>
    <row r="11" spans="1:64" x14ac:dyDescent="0.2">
      <c r="A11" s="68" t="s">
        <v>146</v>
      </c>
      <c r="B11" s="39">
        <f>HLOOKUP(B7,volumes!$B$34:$BL$48,7)*assumptions!$F$24*('LCGG valuation'!B7-'LCGG valuation'!B6)</f>
        <v>260400</v>
      </c>
      <c r="C11" s="39">
        <f>HLOOKUP(C7,volumes!$B$34:$BL$48,7)*assumptions!$F$24*('LCGG valuation'!C7-'LCGG valuation'!C6)</f>
        <v>252000</v>
      </c>
      <c r="D11" s="39">
        <f>HLOOKUP(D7,volumes!$B$34:$BL$48,7)*assumptions!$F$24*('LCGG valuation'!D7-'LCGG valuation'!D6)</f>
        <v>260400</v>
      </c>
      <c r="E11" s="39">
        <f>HLOOKUP(E7,volumes!$B$34:$BL$48,7)*assumptions!$F$24*('LCGG valuation'!E7-'LCGG valuation'!E6)</f>
        <v>260400</v>
      </c>
      <c r="F11" s="39">
        <f>HLOOKUP(F7,volumes!$B$34:$BL$48,7)*assumptions!$F$24*('LCGG valuation'!F7-'LCGG valuation'!F6)</f>
        <v>235200</v>
      </c>
      <c r="G11" s="39">
        <f>HLOOKUP(G7,volumes!$B$34:$BL$48,7)*assumptions!$F$24*('LCGG valuation'!G7-'LCGG valuation'!G6)</f>
        <v>260400</v>
      </c>
      <c r="H11" s="39">
        <f>HLOOKUP(H7,volumes!$B$34:$BL$48,7)*assumptions!$F$24*('LCGG valuation'!H7-'LCGG valuation'!H6)</f>
        <v>252000</v>
      </c>
      <c r="I11" s="39">
        <f>HLOOKUP(I7,volumes!$B$34:$BL$48,7)*assumptions!$F$24*('LCGG valuation'!I7-'LCGG valuation'!I6)</f>
        <v>260400</v>
      </c>
      <c r="J11" s="39">
        <f>HLOOKUP(J7,volumes!$B$34:$BL$48,7)*assumptions!$F$24*('LCGG valuation'!J7-'LCGG valuation'!J6)</f>
        <v>252000</v>
      </c>
      <c r="K11" s="39">
        <f>HLOOKUP(K7,volumes!$B$34:$BL$48,7)*assumptions!$F$24*('LCGG valuation'!K7-'LCGG valuation'!K6)</f>
        <v>260400</v>
      </c>
      <c r="L11" s="39">
        <f>HLOOKUP(L7,volumes!$B$34:$BL$48,7)*assumptions!$F$24*('LCGG valuation'!L7-'LCGG valuation'!L6)</f>
        <v>260400</v>
      </c>
      <c r="M11" s="39">
        <f>HLOOKUP(M7,volumes!$B$34:$BL$48,7)*assumptions!$F$24*('LCGG valuation'!M7-'LCGG valuation'!M6)</f>
        <v>252000</v>
      </c>
      <c r="N11" s="39">
        <f>HLOOKUP(N7,volumes!$B$34:$BL$48,7)*assumptions!$F$24*('LCGG valuation'!N7-'LCGG valuation'!N6)</f>
        <v>347200.00000000006</v>
      </c>
      <c r="O11" s="39">
        <f>HLOOKUP(O7,volumes!$B$34:$BL$48,7)*assumptions!$F$24*('LCGG valuation'!O7-'LCGG valuation'!O6)</f>
        <v>336000.00000000006</v>
      </c>
      <c r="P11" s="39">
        <f>HLOOKUP(P7,volumes!$B$34:$BL$48,7)*assumptions!$F$24*('LCGG valuation'!P7-'LCGG valuation'!P6)</f>
        <v>347200.00000000006</v>
      </c>
      <c r="Q11" s="39">
        <f>HLOOKUP(Q7,volumes!$B$34:$BL$48,7)*assumptions!$F$24*('LCGG valuation'!Q7-'LCGG valuation'!Q6)</f>
        <v>347200.00000000006</v>
      </c>
      <c r="R11" s="39">
        <f>HLOOKUP(R7,volumes!$B$34:$BL$48,7)*assumptions!$F$24*('LCGG valuation'!R7-'LCGG valuation'!R6)</f>
        <v>313600.00000000006</v>
      </c>
      <c r="S11" s="39">
        <f>HLOOKUP(S7,volumes!$B$34:$BL$48,7)*assumptions!$F$24*('LCGG valuation'!S7-'LCGG valuation'!S6)</f>
        <v>347200.00000000006</v>
      </c>
      <c r="T11" s="39">
        <f>HLOOKUP(T7,volumes!$B$34:$BL$48,7)*assumptions!$F$24*('LCGG valuation'!T7-'LCGG valuation'!T6)</f>
        <v>336000.00000000006</v>
      </c>
      <c r="U11" s="39">
        <f>HLOOKUP(U7,volumes!$B$34:$BL$48,7)*assumptions!$F$24*('LCGG valuation'!U7-'LCGG valuation'!U6)</f>
        <v>347200.00000000006</v>
      </c>
      <c r="V11" s="39">
        <f>HLOOKUP(V7,volumes!$B$34:$BL$48,7)*assumptions!$F$24*('LCGG valuation'!V7-'LCGG valuation'!V6)</f>
        <v>336000.00000000006</v>
      </c>
      <c r="W11" s="39">
        <f>HLOOKUP(W7,volumes!$B$34:$BL$48,7)*assumptions!$F$24*('LCGG valuation'!W7-'LCGG valuation'!W6)</f>
        <v>347200.00000000006</v>
      </c>
      <c r="X11" s="39">
        <f>HLOOKUP(X7,volumes!$B$34:$BL$48,7)*assumptions!$F$24*('LCGG valuation'!X7-'LCGG valuation'!X6)</f>
        <v>347200.00000000006</v>
      </c>
      <c r="Y11" s="39">
        <f>HLOOKUP(Y7,volumes!$B$34:$BL$48,7)*assumptions!$F$24*('LCGG valuation'!Y7-'LCGG valuation'!Y6)</f>
        <v>336000.00000000006</v>
      </c>
      <c r="Z11" s="39">
        <f>HLOOKUP(Z7,volumes!$B$34:$BL$48,7)*assumptions!$F$24*('LCGG valuation'!Z7-'LCGG valuation'!Z6)</f>
        <v>417725.00000000006</v>
      </c>
      <c r="AA11" s="39">
        <f>HLOOKUP(AA7,volumes!$B$34:$BL$48,7)*assumptions!$F$24*('LCGG valuation'!AA7-'LCGG valuation'!AA6)</f>
        <v>404250.00000000006</v>
      </c>
      <c r="AB11" s="39">
        <f>HLOOKUP(AB7,volumes!$B$34:$BL$48,7)*assumptions!$F$24*('LCGG valuation'!AB7-'LCGG valuation'!AB6)</f>
        <v>417725.00000000006</v>
      </c>
      <c r="AC11" s="39">
        <f>HLOOKUP(AC7,volumes!$B$34:$BL$48,7)*assumptions!$F$24*('LCGG valuation'!AC7-'LCGG valuation'!AC6)</f>
        <v>417725.00000000006</v>
      </c>
      <c r="AD11" s="39">
        <f>HLOOKUP(AD7,volumes!$B$34:$BL$48,7)*assumptions!$F$24*('LCGG valuation'!AD7-'LCGG valuation'!AD6)</f>
        <v>377300.00000000006</v>
      </c>
      <c r="AE11" s="39">
        <f>HLOOKUP(AE7,volumes!$B$34:$BL$48,7)*assumptions!$F$24*('LCGG valuation'!AE7-'LCGG valuation'!AE6)</f>
        <v>417725.00000000006</v>
      </c>
      <c r="AF11" s="39">
        <f>HLOOKUP(AF7,volumes!$B$34:$BL$48,7)*assumptions!$F$24*('LCGG valuation'!AF7-'LCGG valuation'!AF6)</f>
        <v>404250.00000000006</v>
      </c>
      <c r="AG11" s="39">
        <f>HLOOKUP(AG7,volumes!$B$34:$BL$48,7)*assumptions!$F$24*('LCGG valuation'!AG7-'LCGG valuation'!AG6)</f>
        <v>417725.00000000006</v>
      </c>
      <c r="AH11" s="39">
        <f>HLOOKUP(AH7,volumes!$B$34:$BL$48,7)*assumptions!$F$24*('LCGG valuation'!AH7-'LCGG valuation'!AH6)</f>
        <v>404250.00000000006</v>
      </c>
      <c r="AI11" s="39">
        <f>HLOOKUP(AI7,volumes!$B$34:$BL$48,7)*assumptions!$F$24*('LCGG valuation'!AI7-'LCGG valuation'!AI6)</f>
        <v>417725.00000000006</v>
      </c>
      <c r="AJ11" s="39">
        <f>HLOOKUP(AJ7,volumes!$B$34:$BL$48,7)*assumptions!$F$24*('LCGG valuation'!AJ7-'LCGG valuation'!AJ6)</f>
        <v>417725.00000000006</v>
      </c>
      <c r="AK11" s="39">
        <f>HLOOKUP(AK7,volumes!$B$34:$BL$48,7)*assumptions!$F$24*('LCGG valuation'!AK7-'LCGG valuation'!AK6)</f>
        <v>404250.00000000006</v>
      </c>
      <c r="AL11" s="39">
        <f>HLOOKUP(AL7,volumes!$B$34:$BL$48,7)*assumptions!$F$24*('LCGG valuation'!AL7-'LCGG valuation'!AL6)</f>
        <v>417725.00000000006</v>
      </c>
      <c r="AM11" s="39">
        <f>HLOOKUP(AM7,volumes!$B$34:$BL$48,7)*assumptions!$F$24*('LCGG valuation'!AM7-'LCGG valuation'!AM6)</f>
        <v>404250.00000000006</v>
      </c>
      <c r="AN11" s="39">
        <f>HLOOKUP(AN7,volumes!$B$34:$BL$48,7)*assumptions!$F$24*('LCGG valuation'!AN7-'LCGG valuation'!AN6)</f>
        <v>417725.00000000006</v>
      </c>
      <c r="AO11" s="39">
        <f>HLOOKUP(AO7,volumes!$B$34:$BL$48,7)*assumptions!$F$24*('LCGG valuation'!AO7-'LCGG valuation'!AO6)</f>
        <v>417725.00000000006</v>
      </c>
      <c r="AP11" s="39">
        <f>HLOOKUP(AP7,volumes!$B$34:$BL$48,7)*assumptions!$F$24*('LCGG valuation'!AP7-'LCGG valuation'!AP6)</f>
        <v>390775.00000000006</v>
      </c>
      <c r="AQ11" s="39">
        <f>HLOOKUP(AQ7,volumes!$B$34:$BL$48,7)*assumptions!$F$24*('LCGG valuation'!AQ7-'LCGG valuation'!AQ6)</f>
        <v>417725.00000000006</v>
      </c>
      <c r="AR11" s="39">
        <f>HLOOKUP(AR7,volumes!$B$34:$BL$48,7)*assumptions!$F$24*('LCGG valuation'!AR7-'LCGG valuation'!AR6)</f>
        <v>404250.00000000006</v>
      </c>
      <c r="AS11" s="39">
        <f>HLOOKUP(AS7,volumes!$B$34:$BL$48,7)*assumptions!$F$24*('LCGG valuation'!AS7-'LCGG valuation'!AS6)</f>
        <v>417725.00000000006</v>
      </c>
      <c r="AT11" s="39">
        <f>HLOOKUP(AT7,volumes!$B$34:$BL$48,7)*assumptions!$F$24*('LCGG valuation'!AT7-'LCGG valuation'!AT6)</f>
        <v>404250.00000000006</v>
      </c>
      <c r="AU11" s="39">
        <f>HLOOKUP(AU7,volumes!$B$34:$BL$48,7)*assumptions!$F$24*('LCGG valuation'!AU7-'LCGG valuation'!AU6)</f>
        <v>417725.00000000006</v>
      </c>
      <c r="AV11" s="39">
        <f>HLOOKUP(AV7,volumes!$B$34:$BL$48,7)*assumptions!$F$24*('LCGG valuation'!AV7-'LCGG valuation'!AV6)</f>
        <v>417725.00000000006</v>
      </c>
      <c r="AW11" s="39">
        <f>HLOOKUP(AW7,volumes!$B$34:$BL$48,7)*assumptions!$F$24*('LCGG valuation'!AW7-'LCGG valuation'!AW6)</f>
        <v>404250.00000000006</v>
      </c>
      <c r="AX11" s="39">
        <f>HLOOKUP(AX7,volumes!$B$34:$BL$48,7)*assumptions!$F$24*('LCGG valuation'!AX7-'LCGG valuation'!AX6)</f>
        <v>417725.00000000006</v>
      </c>
      <c r="AY11" s="39">
        <f>HLOOKUP(AY7,volumes!$B$34:$BL$48,7)*assumptions!$F$24*('LCGG valuation'!AY7-'LCGG valuation'!AY6)</f>
        <v>404250.00000000006</v>
      </c>
      <c r="AZ11" s="39">
        <f>HLOOKUP(AZ7,volumes!$B$34:$BL$48,7)*assumptions!$F$24*('LCGG valuation'!AZ7-'LCGG valuation'!AZ6)</f>
        <v>417725.00000000006</v>
      </c>
      <c r="BA11" s="39">
        <f>HLOOKUP(BA7,volumes!$B$34:$BL$48,7)*assumptions!$F$24*('LCGG valuation'!BA7-'LCGG valuation'!BA6)</f>
        <v>417725.00000000006</v>
      </c>
      <c r="BB11" s="39">
        <f>HLOOKUP(BB7,volumes!$B$34:$BL$48,7)*assumptions!$F$24*('LCGG valuation'!BB7-'LCGG valuation'!BB6)</f>
        <v>377300.00000000006</v>
      </c>
      <c r="BC11" s="39">
        <f>HLOOKUP(BC7,volumes!$B$34:$BL$48,7)*assumptions!$F$24*('LCGG valuation'!BC7-'LCGG valuation'!BC6)</f>
        <v>417725.00000000006</v>
      </c>
      <c r="BD11" s="39">
        <f>HLOOKUP(BD7,volumes!$B$34:$BL$48,7)*assumptions!$F$24*('LCGG valuation'!BD7-'LCGG valuation'!BD6)</f>
        <v>404250.00000000006</v>
      </c>
      <c r="BE11" s="39">
        <f>HLOOKUP(BE7,volumes!$B$34:$BL$48,7)*assumptions!$F$24*('LCGG valuation'!BE7-'LCGG valuation'!BE6)</f>
        <v>417725.00000000006</v>
      </c>
      <c r="BF11" s="39">
        <f>HLOOKUP(BF7,volumes!$B$34:$BL$48,7)*assumptions!$F$24*('LCGG valuation'!BF7-'LCGG valuation'!BF6)</f>
        <v>404250.00000000006</v>
      </c>
      <c r="BG11" s="39">
        <f>HLOOKUP(BG7,volumes!$B$34:$BL$48,7)*assumptions!$F$24*('LCGG valuation'!BG7-'LCGG valuation'!BG6)</f>
        <v>417725.00000000006</v>
      </c>
      <c r="BH11" s="39">
        <f>HLOOKUP(BH7,volumes!$B$34:$BL$48,7)*assumptions!$F$24*('LCGG valuation'!BH7-'LCGG valuation'!BH6)</f>
        <v>417725.00000000006</v>
      </c>
      <c r="BI11" s="39">
        <f>HLOOKUP(BI7,volumes!$B$34:$BL$48,7)*assumptions!$F$24*('LCGG valuation'!BI7-'LCGG valuation'!BI6)</f>
        <v>404250.00000000006</v>
      </c>
      <c r="BJ11" s="39">
        <f>HLOOKUP(BJ7,volumes!$B$34:$BL$48,7)*assumptions!$F$24*('LCGG valuation'!BJ7-'LCGG valuation'!BJ6)</f>
        <v>417725.00000000006</v>
      </c>
      <c r="BK11" s="39">
        <f>HLOOKUP(BK7,volumes!$B$34:$BL$48,7)*assumptions!$F$24*('LCGG valuation'!BK7-'LCGG valuation'!BK6)</f>
        <v>404250.00000000006</v>
      </c>
      <c r="BL11" s="39">
        <f>HLOOKUP(BL7,volumes!$B$34:$BL$48,7)*assumptions!$F$24*('LCGG valuation'!BL7-'LCGG valuation'!BL6)</f>
        <v>417725.00000000006</v>
      </c>
    </row>
    <row r="12" spans="1:64" x14ac:dyDescent="0.2">
      <c r="A12" s="71" t="s">
        <v>147</v>
      </c>
      <c r="B12" s="41">
        <f>SUM(B10:B11)</f>
        <v>742140</v>
      </c>
      <c r="C12" s="41">
        <f t="shared" ref="C12:BL12" si="1">SUM(C10:C11)</f>
        <v>718200</v>
      </c>
      <c r="D12" s="41">
        <f t="shared" si="1"/>
        <v>742140</v>
      </c>
      <c r="E12" s="41">
        <f t="shared" si="1"/>
        <v>742140</v>
      </c>
      <c r="F12" s="41">
        <f t="shared" si="1"/>
        <v>670320</v>
      </c>
      <c r="G12" s="41">
        <f t="shared" si="1"/>
        <v>742140</v>
      </c>
      <c r="H12" s="41">
        <f t="shared" si="1"/>
        <v>718200</v>
      </c>
      <c r="I12" s="41">
        <f t="shared" si="1"/>
        <v>742140</v>
      </c>
      <c r="J12" s="41">
        <f t="shared" si="1"/>
        <v>718200</v>
      </c>
      <c r="K12" s="41">
        <f t="shared" si="1"/>
        <v>742140</v>
      </c>
      <c r="L12" s="41">
        <f t="shared" si="1"/>
        <v>742140</v>
      </c>
      <c r="M12" s="41">
        <f t="shared" si="1"/>
        <v>718200</v>
      </c>
      <c r="N12" s="41">
        <f t="shared" si="1"/>
        <v>989520.00000000023</v>
      </c>
      <c r="O12" s="41">
        <f t="shared" si="1"/>
        <v>957600.00000000023</v>
      </c>
      <c r="P12" s="41">
        <f t="shared" si="1"/>
        <v>989520.00000000023</v>
      </c>
      <c r="Q12" s="41">
        <f t="shared" si="1"/>
        <v>989520.00000000023</v>
      </c>
      <c r="R12" s="41">
        <f t="shared" si="1"/>
        <v>893760.00000000023</v>
      </c>
      <c r="S12" s="41">
        <f t="shared" si="1"/>
        <v>989520.00000000023</v>
      </c>
      <c r="T12" s="41">
        <f t="shared" si="1"/>
        <v>957600.00000000023</v>
      </c>
      <c r="U12" s="41">
        <f t="shared" si="1"/>
        <v>989520.00000000023</v>
      </c>
      <c r="V12" s="41">
        <f t="shared" si="1"/>
        <v>957600.00000000023</v>
      </c>
      <c r="W12" s="41">
        <f t="shared" si="1"/>
        <v>989520.00000000023</v>
      </c>
      <c r="X12" s="41">
        <f t="shared" si="1"/>
        <v>989520.00000000023</v>
      </c>
      <c r="Y12" s="41">
        <f t="shared" si="1"/>
        <v>957600.00000000023</v>
      </c>
      <c r="Z12" s="41">
        <f t="shared" si="1"/>
        <v>1193500.0000000002</v>
      </c>
      <c r="AA12" s="41">
        <f t="shared" si="1"/>
        <v>1155000.0000000002</v>
      </c>
      <c r="AB12" s="41">
        <f t="shared" si="1"/>
        <v>1193500.0000000002</v>
      </c>
      <c r="AC12" s="41">
        <f t="shared" si="1"/>
        <v>1193500.0000000002</v>
      </c>
      <c r="AD12" s="41">
        <f t="shared" si="1"/>
        <v>1078000.0000000002</v>
      </c>
      <c r="AE12" s="41">
        <f t="shared" si="1"/>
        <v>1193500.0000000002</v>
      </c>
      <c r="AF12" s="41">
        <f t="shared" si="1"/>
        <v>1155000.0000000002</v>
      </c>
      <c r="AG12" s="41">
        <f t="shared" si="1"/>
        <v>1193500.0000000002</v>
      </c>
      <c r="AH12" s="41">
        <f t="shared" si="1"/>
        <v>1155000.0000000002</v>
      </c>
      <c r="AI12" s="41">
        <f t="shared" si="1"/>
        <v>1193500.0000000002</v>
      </c>
      <c r="AJ12" s="41">
        <f t="shared" si="1"/>
        <v>1193500.0000000002</v>
      </c>
      <c r="AK12" s="41">
        <f t="shared" si="1"/>
        <v>1155000.0000000002</v>
      </c>
      <c r="AL12" s="41">
        <f t="shared" si="1"/>
        <v>1193500.0000000002</v>
      </c>
      <c r="AM12" s="41">
        <f t="shared" si="1"/>
        <v>1155000.0000000002</v>
      </c>
      <c r="AN12" s="41">
        <f t="shared" si="1"/>
        <v>1193500.0000000002</v>
      </c>
      <c r="AO12" s="41">
        <f t="shared" si="1"/>
        <v>1193500.0000000002</v>
      </c>
      <c r="AP12" s="41">
        <f t="shared" si="1"/>
        <v>1116500.0000000002</v>
      </c>
      <c r="AQ12" s="41">
        <f t="shared" si="1"/>
        <v>1193500.0000000002</v>
      </c>
      <c r="AR12" s="41">
        <f t="shared" si="1"/>
        <v>1155000.0000000002</v>
      </c>
      <c r="AS12" s="41">
        <f t="shared" si="1"/>
        <v>1193500.0000000002</v>
      </c>
      <c r="AT12" s="41">
        <f t="shared" si="1"/>
        <v>1155000.0000000002</v>
      </c>
      <c r="AU12" s="41">
        <f t="shared" si="1"/>
        <v>1193500.0000000002</v>
      </c>
      <c r="AV12" s="41">
        <f t="shared" si="1"/>
        <v>1193500.0000000002</v>
      </c>
      <c r="AW12" s="41">
        <f t="shared" si="1"/>
        <v>1155000.0000000002</v>
      </c>
      <c r="AX12" s="41">
        <f t="shared" si="1"/>
        <v>1193500.0000000002</v>
      </c>
      <c r="AY12" s="41">
        <f t="shared" si="1"/>
        <v>1155000.0000000002</v>
      </c>
      <c r="AZ12" s="41">
        <f t="shared" si="1"/>
        <v>1193500.0000000002</v>
      </c>
      <c r="BA12" s="41">
        <f t="shared" si="1"/>
        <v>1193500.0000000002</v>
      </c>
      <c r="BB12" s="41">
        <f t="shared" si="1"/>
        <v>1078000.0000000002</v>
      </c>
      <c r="BC12" s="41">
        <f t="shared" si="1"/>
        <v>1193500.0000000002</v>
      </c>
      <c r="BD12" s="41">
        <f t="shared" si="1"/>
        <v>1155000.0000000002</v>
      </c>
      <c r="BE12" s="41">
        <f t="shared" si="1"/>
        <v>1193500.0000000002</v>
      </c>
      <c r="BF12" s="41">
        <f t="shared" si="1"/>
        <v>1155000.0000000002</v>
      </c>
      <c r="BG12" s="41">
        <f t="shared" si="1"/>
        <v>1193500.0000000002</v>
      </c>
      <c r="BH12" s="41">
        <f t="shared" si="1"/>
        <v>1193500.0000000002</v>
      </c>
      <c r="BI12" s="41">
        <f t="shared" si="1"/>
        <v>1155000.0000000002</v>
      </c>
      <c r="BJ12" s="41">
        <f t="shared" si="1"/>
        <v>1193500.0000000002</v>
      </c>
      <c r="BK12" s="41">
        <f t="shared" si="1"/>
        <v>1155000.0000000002</v>
      </c>
      <c r="BL12" s="41">
        <f t="shared" si="1"/>
        <v>1193500.0000000002</v>
      </c>
    </row>
    <row r="13" spans="1:64" x14ac:dyDescent="0.2">
      <c r="A13" s="71"/>
    </row>
    <row r="14" spans="1:64" x14ac:dyDescent="0.2">
      <c r="A14" s="72" t="s">
        <v>148</v>
      </c>
    </row>
    <row r="15" spans="1:64" x14ac:dyDescent="0.2">
      <c r="A15" s="71" t="s">
        <v>170</v>
      </c>
      <c r="C15" s="44">
        <f>OandMEsc_LCGG</f>
        <v>0</v>
      </c>
      <c r="D15" s="44">
        <f t="shared" ref="D15:BL15" si="2">OandMEsc_LCGG</f>
        <v>0</v>
      </c>
      <c r="E15" s="44">
        <f t="shared" si="2"/>
        <v>0</v>
      </c>
      <c r="F15" s="44">
        <f t="shared" si="2"/>
        <v>0</v>
      </c>
      <c r="G15" s="44">
        <f t="shared" si="2"/>
        <v>0</v>
      </c>
      <c r="H15" s="44">
        <f t="shared" si="2"/>
        <v>0</v>
      </c>
      <c r="I15" s="44">
        <f t="shared" si="2"/>
        <v>0</v>
      </c>
      <c r="J15" s="44">
        <f t="shared" si="2"/>
        <v>0</v>
      </c>
      <c r="K15" s="44">
        <f t="shared" si="2"/>
        <v>0</v>
      </c>
      <c r="L15" s="44">
        <f t="shared" si="2"/>
        <v>0</v>
      </c>
      <c r="M15" s="44">
        <f t="shared" si="2"/>
        <v>0</v>
      </c>
      <c r="N15" s="44">
        <f t="shared" si="2"/>
        <v>0</v>
      </c>
      <c r="O15" s="44">
        <f t="shared" si="2"/>
        <v>0</v>
      </c>
      <c r="P15" s="44">
        <f t="shared" si="2"/>
        <v>0</v>
      </c>
      <c r="Q15" s="44">
        <f t="shared" si="2"/>
        <v>0</v>
      </c>
      <c r="R15" s="44">
        <f t="shared" si="2"/>
        <v>0</v>
      </c>
      <c r="S15" s="44">
        <f t="shared" si="2"/>
        <v>0</v>
      </c>
      <c r="T15" s="44">
        <f t="shared" si="2"/>
        <v>0</v>
      </c>
      <c r="U15" s="44">
        <f t="shared" si="2"/>
        <v>0</v>
      </c>
      <c r="V15" s="44">
        <f t="shared" si="2"/>
        <v>0</v>
      </c>
      <c r="W15" s="44">
        <f t="shared" si="2"/>
        <v>0</v>
      </c>
      <c r="X15" s="44">
        <f t="shared" si="2"/>
        <v>0</v>
      </c>
      <c r="Y15" s="44">
        <f t="shared" si="2"/>
        <v>0</v>
      </c>
      <c r="Z15" s="44">
        <f t="shared" si="2"/>
        <v>0</v>
      </c>
      <c r="AA15" s="44">
        <f t="shared" si="2"/>
        <v>0</v>
      </c>
      <c r="AB15" s="44">
        <f t="shared" si="2"/>
        <v>0</v>
      </c>
      <c r="AC15" s="44">
        <f t="shared" si="2"/>
        <v>0</v>
      </c>
      <c r="AD15" s="44">
        <f t="shared" si="2"/>
        <v>0</v>
      </c>
      <c r="AE15" s="44">
        <f t="shared" si="2"/>
        <v>0</v>
      </c>
      <c r="AF15" s="44">
        <f t="shared" si="2"/>
        <v>0</v>
      </c>
      <c r="AG15" s="44">
        <f t="shared" si="2"/>
        <v>0</v>
      </c>
      <c r="AH15" s="44">
        <f t="shared" si="2"/>
        <v>0</v>
      </c>
      <c r="AI15" s="44">
        <f t="shared" si="2"/>
        <v>0</v>
      </c>
      <c r="AJ15" s="44">
        <f t="shared" si="2"/>
        <v>0</v>
      </c>
      <c r="AK15" s="44">
        <f t="shared" si="2"/>
        <v>0</v>
      </c>
      <c r="AL15" s="44">
        <f t="shared" si="2"/>
        <v>0</v>
      </c>
      <c r="AM15" s="44">
        <f t="shared" si="2"/>
        <v>0</v>
      </c>
      <c r="AN15" s="44">
        <f t="shared" si="2"/>
        <v>0</v>
      </c>
      <c r="AO15" s="44">
        <f t="shared" si="2"/>
        <v>0</v>
      </c>
      <c r="AP15" s="44">
        <f t="shared" si="2"/>
        <v>0</v>
      </c>
      <c r="AQ15" s="44">
        <f t="shared" si="2"/>
        <v>0</v>
      </c>
      <c r="AR15" s="44">
        <f t="shared" si="2"/>
        <v>0</v>
      </c>
      <c r="AS15" s="44">
        <f t="shared" si="2"/>
        <v>0</v>
      </c>
      <c r="AT15" s="44">
        <f t="shared" si="2"/>
        <v>0</v>
      </c>
      <c r="AU15" s="44">
        <f t="shared" si="2"/>
        <v>0</v>
      </c>
      <c r="AV15" s="44">
        <f t="shared" si="2"/>
        <v>0</v>
      </c>
      <c r="AW15" s="44">
        <f t="shared" si="2"/>
        <v>0</v>
      </c>
      <c r="AX15" s="44">
        <f t="shared" si="2"/>
        <v>0</v>
      </c>
      <c r="AY15" s="44">
        <f t="shared" si="2"/>
        <v>0</v>
      </c>
      <c r="AZ15" s="44">
        <f t="shared" si="2"/>
        <v>0</v>
      </c>
      <c r="BA15" s="44">
        <f t="shared" si="2"/>
        <v>0</v>
      </c>
      <c r="BB15" s="44">
        <f t="shared" si="2"/>
        <v>0</v>
      </c>
      <c r="BC15" s="44">
        <f t="shared" si="2"/>
        <v>0</v>
      </c>
      <c r="BD15" s="44">
        <f t="shared" si="2"/>
        <v>0</v>
      </c>
      <c r="BE15" s="44">
        <f t="shared" si="2"/>
        <v>0</v>
      </c>
      <c r="BF15" s="44">
        <f t="shared" si="2"/>
        <v>0</v>
      </c>
      <c r="BG15" s="44">
        <f t="shared" si="2"/>
        <v>0</v>
      </c>
      <c r="BH15" s="44">
        <f t="shared" si="2"/>
        <v>0</v>
      </c>
      <c r="BI15" s="44">
        <f t="shared" si="2"/>
        <v>0</v>
      </c>
      <c r="BJ15" s="44">
        <f t="shared" si="2"/>
        <v>0</v>
      </c>
      <c r="BK15" s="44">
        <f t="shared" si="2"/>
        <v>0</v>
      </c>
      <c r="BL15" s="44">
        <f t="shared" si="2"/>
        <v>0</v>
      </c>
    </row>
    <row r="16" spans="1:64" x14ac:dyDescent="0.2">
      <c r="A16" s="71" t="s">
        <v>149</v>
      </c>
      <c r="B16" s="9">
        <f>assumptions!$F$25/12</f>
        <v>117522.5</v>
      </c>
      <c r="C16" s="9">
        <f>B16*(1+C15)</f>
        <v>117522.5</v>
      </c>
      <c r="D16" s="9">
        <f t="shared" ref="D16:BL16" si="3">C16*(1+D15)</f>
        <v>117522.5</v>
      </c>
      <c r="E16" s="9">
        <f t="shared" si="3"/>
        <v>117522.5</v>
      </c>
      <c r="F16" s="9">
        <f t="shared" si="3"/>
        <v>117522.5</v>
      </c>
      <c r="G16" s="9">
        <f t="shared" si="3"/>
        <v>117522.5</v>
      </c>
      <c r="H16" s="9">
        <f t="shared" si="3"/>
        <v>117522.5</v>
      </c>
      <c r="I16" s="9">
        <f t="shared" si="3"/>
        <v>117522.5</v>
      </c>
      <c r="J16" s="9">
        <f t="shared" si="3"/>
        <v>117522.5</v>
      </c>
      <c r="K16" s="9">
        <f t="shared" si="3"/>
        <v>117522.5</v>
      </c>
      <c r="L16" s="9">
        <f t="shared" si="3"/>
        <v>117522.5</v>
      </c>
      <c r="M16" s="9">
        <f t="shared" si="3"/>
        <v>117522.5</v>
      </c>
      <c r="N16" s="9">
        <f t="shared" si="3"/>
        <v>117522.5</v>
      </c>
      <c r="O16" s="9">
        <f t="shared" si="3"/>
        <v>117522.5</v>
      </c>
      <c r="P16" s="9">
        <f t="shared" si="3"/>
        <v>117522.5</v>
      </c>
      <c r="Q16" s="9">
        <f t="shared" si="3"/>
        <v>117522.5</v>
      </c>
      <c r="R16" s="9">
        <f t="shared" si="3"/>
        <v>117522.5</v>
      </c>
      <c r="S16" s="9">
        <f t="shared" si="3"/>
        <v>117522.5</v>
      </c>
      <c r="T16" s="9">
        <f t="shared" si="3"/>
        <v>117522.5</v>
      </c>
      <c r="U16" s="9">
        <f t="shared" si="3"/>
        <v>117522.5</v>
      </c>
      <c r="V16" s="9">
        <f t="shared" si="3"/>
        <v>117522.5</v>
      </c>
      <c r="W16" s="9">
        <f t="shared" si="3"/>
        <v>117522.5</v>
      </c>
      <c r="X16" s="9">
        <f t="shared" si="3"/>
        <v>117522.5</v>
      </c>
      <c r="Y16" s="9">
        <f t="shared" si="3"/>
        <v>117522.5</v>
      </c>
      <c r="Z16" s="9">
        <f t="shared" si="3"/>
        <v>117522.5</v>
      </c>
      <c r="AA16" s="9">
        <f t="shared" si="3"/>
        <v>117522.5</v>
      </c>
      <c r="AB16" s="9">
        <f t="shared" si="3"/>
        <v>117522.5</v>
      </c>
      <c r="AC16" s="9">
        <f t="shared" si="3"/>
        <v>117522.5</v>
      </c>
      <c r="AD16" s="9">
        <f t="shared" si="3"/>
        <v>117522.5</v>
      </c>
      <c r="AE16" s="9">
        <f t="shared" si="3"/>
        <v>117522.5</v>
      </c>
      <c r="AF16" s="9">
        <f t="shared" si="3"/>
        <v>117522.5</v>
      </c>
      <c r="AG16" s="9">
        <f t="shared" si="3"/>
        <v>117522.5</v>
      </c>
      <c r="AH16" s="9">
        <f t="shared" si="3"/>
        <v>117522.5</v>
      </c>
      <c r="AI16" s="9">
        <f t="shared" si="3"/>
        <v>117522.5</v>
      </c>
      <c r="AJ16" s="9">
        <f t="shared" si="3"/>
        <v>117522.5</v>
      </c>
      <c r="AK16" s="9">
        <f t="shared" si="3"/>
        <v>117522.5</v>
      </c>
      <c r="AL16" s="9">
        <f t="shared" si="3"/>
        <v>117522.5</v>
      </c>
      <c r="AM16" s="9">
        <f t="shared" si="3"/>
        <v>117522.5</v>
      </c>
      <c r="AN16" s="9">
        <f t="shared" si="3"/>
        <v>117522.5</v>
      </c>
      <c r="AO16" s="9">
        <f t="shared" si="3"/>
        <v>117522.5</v>
      </c>
      <c r="AP16" s="9">
        <f t="shared" si="3"/>
        <v>117522.5</v>
      </c>
      <c r="AQ16" s="9">
        <f t="shared" si="3"/>
        <v>117522.5</v>
      </c>
      <c r="AR16" s="9">
        <f t="shared" si="3"/>
        <v>117522.5</v>
      </c>
      <c r="AS16" s="9">
        <f t="shared" si="3"/>
        <v>117522.5</v>
      </c>
      <c r="AT16" s="9">
        <f t="shared" si="3"/>
        <v>117522.5</v>
      </c>
      <c r="AU16" s="9">
        <f t="shared" si="3"/>
        <v>117522.5</v>
      </c>
      <c r="AV16" s="9">
        <f t="shared" si="3"/>
        <v>117522.5</v>
      </c>
      <c r="AW16" s="9">
        <f t="shared" si="3"/>
        <v>117522.5</v>
      </c>
      <c r="AX16" s="9">
        <f t="shared" si="3"/>
        <v>117522.5</v>
      </c>
      <c r="AY16" s="9">
        <f t="shared" si="3"/>
        <v>117522.5</v>
      </c>
      <c r="AZ16" s="9">
        <f t="shared" si="3"/>
        <v>117522.5</v>
      </c>
      <c r="BA16" s="9">
        <f t="shared" si="3"/>
        <v>117522.5</v>
      </c>
      <c r="BB16" s="9">
        <f t="shared" si="3"/>
        <v>117522.5</v>
      </c>
      <c r="BC16" s="9">
        <f t="shared" si="3"/>
        <v>117522.5</v>
      </c>
      <c r="BD16" s="9">
        <f t="shared" si="3"/>
        <v>117522.5</v>
      </c>
      <c r="BE16" s="9">
        <f t="shared" si="3"/>
        <v>117522.5</v>
      </c>
      <c r="BF16" s="9">
        <f t="shared" si="3"/>
        <v>117522.5</v>
      </c>
      <c r="BG16" s="9">
        <f t="shared" si="3"/>
        <v>117522.5</v>
      </c>
      <c r="BH16" s="9">
        <f t="shared" si="3"/>
        <v>117522.5</v>
      </c>
      <c r="BI16" s="9">
        <f t="shared" si="3"/>
        <v>117522.5</v>
      </c>
      <c r="BJ16" s="9">
        <f t="shared" si="3"/>
        <v>117522.5</v>
      </c>
      <c r="BK16" s="9">
        <f t="shared" si="3"/>
        <v>117522.5</v>
      </c>
      <c r="BL16" s="9">
        <f t="shared" si="3"/>
        <v>117522.5</v>
      </c>
    </row>
    <row r="17" spans="1:64" x14ac:dyDescent="0.2">
      <c r="A17" s="71" t="s">
        <v>150</v>
      </c>
      <c r="B17" s="9">
        <f>assumptions!$F$27/12</f>
        <v>51588.333333333336</v>
      </c>
      <c r="C17" s="9">
        <f>assumptions!$F$27/12</f>
        <v>51588.333333333336</v>
      </c>
      <c r="D17" s="9">
        <f>assumptions!$F$27/12</f>
        <v>51588.333333333336</v>
      </c>
      <c r="E17" s="9">
        <f>assumptions!$F$27/12</f>
        <v>51588.333333333336</v>
      </c>
      <c r="F17" s="9">
        <f>assumptions!$F$27/12</f>
        <v>51588.333333333336</v>
      </c>
      <c r="G17" s="9">
        <f>assumptions!$F$27/12</f>
        <v>51588.333333333336</v>
      </c>
      <c r="H17" s="9">
        <f>assumptions!$F$27/12</f>
        <v>51588.333333333336</v>
      </c>
      <c r="I17" s="9">
        <f>assumptions!$F$27/12</f>
        <v>51588.333333333336</v>
      </c>
      <c r="J17" s="9">
        <f>assumptions!$F$27/12</f>
        <v>51588.333333333336</v>
      </c>
      <c r="K17" s="9">
        <f>assumptions!$F$27/12</f>
        <v>51588.333333333336</v>
      </c>
      <c r="L17" s="9">
        <f>assumptions!$F$27/12</f>
        <v>51588.333333333336</v>
      </c>
      <c r="M17" s="9">
        <f>assumptions!$F$27/12</f>
        <v>51588.333333333336</v>
      </c>
      <c r="N17" s="9">
        <f>assumptions!$F$27/12</f>
        <v>51588.333333333336</v>
      </c>
      <c r="O17" s="9">
        <f>assumptions!$F$27/12</f>
        <v>51588.333333333336</v>
      </c>
      <c r="P17" s="9">
        <f>assumptions!$F$27/12</f>
        <v>51588.333333333336</v>
      </c>
      <c r="Q17" s="9">
        <f>assumptions!$F$27/12</f>
        <v>51588.333333333336</v>
      </c>
      <c r="R17" s="9">
        <f>assumptions!$F$27/12</f>
        <v>51588.333333333336</v>
      </c>
      <c r="S17" s="9">
        <f>assumptions!$F$27/12</f>
        <v>51588.333333333336</v>
      </c>
      <c r="T17" s="9">
        <f>assumptions!$F$27/12</f>
        <v>51588.333333333336</v>
      </c>
      <c r="U17" s="9">
        <f>assumptions!$F$27/12</f>
        <v>51588.333333333336</v>
      </c>
      <c r="V17" s="9">
        <f>assumptions!$F$27/12</f>
        <v>51588.333333333336</v>
      </c>
      <c r="W17" s="9">
        <f>assumptions!$F$27/12</f>
        <v>51588.333333333336</v>
      </c>
      <c r="X17" s="9">
        <f>assumptions!$F$27/12</f>
        <v>51588.333333333336</v>
      </c>
      <c r="Y17" s="9">
        <f>assumptions!$F$27/12</f>
        <v>51588.333333333336</v>
      </c>
      <c r="Z17" s="9">
        <f>assumptions!$F$27/12</f>
        <v>51588.333333333336</v>
      </c>
      <c r="AA17" s="9">
        <f>assumptions!$F$27/12</f>
        <v>51588.333333333336</v>
      </c>
      <c r="AB17" s="9">
        <f>assumptions!$F$27/12</f>
        <v>51588.333333333336</v>
      </c>
      <c r="AC17" s="9">
        <f>assumptions!$F$27/12</f>
        <v>51588.333333333336</v>
      </c>
      <c r="AD17" s="9">
        <f>assumptions!$F$27/12</f>
        <v>51588.333333333336</v>
      </c>
      <c r="AE17" s="9">
        <f>assumptions!$F$27/12</f>
        <v>51588.333333333336</v>
      </c>
      <c r="AF17" s="9">
        <f>assumptions!$F$27/12</f>
        <v>51588.333333333336</v>
      </c>
      <c r="AG17" s="9">
        <f>assumptions!$F$27/12</f>
        <v>51588.333333333336</v>
      </c>
      <c r="AH17" s="9">
        <f>assumptions!$F$27/12</f>
        <v>51588.333333333336</v>
      </c>
      <c r="AI17" s="9">
        <f>assumptions!$F$27/12</f>
        <v>51588.333333333336</v>
      </c>
      <c r="AJ17" s="9">
        <f>assumptions!$F$27/12</f>
        <v>51588.333333333336</v>
      </c>
      <c r="AK17" s="9">
        <f>assumptions!$F$27/12</f>
        <v>51588.333333333336</v>
      </c>
      <c r="AL17" s="9">
        <f>assumptions!$F$27/12</f>
        <v>51588.333333333336</v>
      </c>
      <c r="AM17" s="9">
        <f>assumptions!$F$27/12</f>
        <v>51588.333333333336</v>
      </c>
      <c r="AN17" s="9">
        <f>assumptions!$F$27/12</f>
        <v>51588.333333333336</v>
      </c>
      <c r="AO17" s="9">
        <f>assumptions!$F$27/12</f>
        <v>51588.333333333336</v>
      </c>
      <c r="AP17" s="9">
        <f>assumptions!$F$27/12</f>
        <v>51588.333333333336</v>
      </c>
      <c r="AQ17" s="9">
        <f>assumptions!$F$27/12</f>
        <v>51588.333333333336</v>
      </c>
      <c r="AR17" s="9">
        <f>assumptions!$F$27/12</f>
        <v>51588.333333333336</v>
      </c>
      <c r="AS17" s="9">
        <f>assumptions!$F$27/12</f>
        <v>51588.333333333336</v>
      </c>
      <c r="AT17" s="9">
        <f>assumptions!$F$27/12</f>
        <v>51588.333333333336</v>
      </c>
      <c r="AU17" s="9">
        <f>assumptions!$F$27/12</f>
        <v>51588.333333333336</v>
      </c>
      <c r="AV17" s="9">
        <f>assumptions!$F$27/12</f>
        <v>51588.333333333336</v>
      </c>
      <c r="AW17" s="9">
        <f>assumptions!$F$27/12</f>
        <v>51588.333333333336</v>
      </c>
      <c r="AX17" s="9">
        <f>assumptions!$F$27/12</f>
        <v>51588.333333333336</v>
      </c>
      <c r="AY17" s="9">
        <f>assumptions!$F$27/12</f>
        <v>51588.333333333336</v>
      </c>
      <c r="AZ17" s="9">
        <f>assumptions!$F$27/12</f>
        <v>51588.333333333336</v>
      </c>
      <c r="BA17" s="9">
        <f>assumptions!$F$27/12</f>
        <v>51588.333333333336</v>
      </c>
      <c r="BB17" s="9">
        <f>assumptions!$F$27/12</f>
        <v>51588.333333333336</v>
      </c>
      <c r="BC17" s="9">
        <f>assumptions!$F$27/12</f>
        <v>51588.333333333336</v>
      </c>
      <c r="BD17" s="9">
        <f>assumptions!$F$27/12</f>
        <v>51588.333333333336</v>
      </c>
      <c r="BE17" s="9">
        <f>assumptions!$F$27/12</f>
        <v>51588.333333333336</v>
      </c>
      <c r="BF17" s="9">
        <f>assumptions!$F$27/12</f>
        <v>51588.333333333336</v>
      </c>
      <c r="BG17" s="9">
        <f>assumptions!$F$27/12</f>
        <v>51588.333333333336</v>
      </c>
      <c r="BH17" s="9">
        <f>assumptions!$F$27/12</f>
        <v>51588.333333333336</v>
      </c>
      <c r="BI17" s="9">
        <f>assumptions!$F$27/12</f>
        <v>51588.333333333336</v>
      </c>
      <c r="BJ17" s="9">
        <f>assumptions!$F$27/12</f>
        <v>51588.333333333336</v>
      </c>
      <c r="BK17" s="9">
        <f>assumptions!$F$27/12</f>
        <v>51588.333333333336</v>
      </c>
      <c r="BL17" s="9">
        <f>assumptions!$F$27/12</f>
        <v>51588.333333333336</v>
      </c>
    </row>
    <row r="18" spans="1:64" x14ac:dyDescent="0.2">
      <c r="A18" s="71" t="s">
        <v>151</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row>
    <row r="19" spans="1:64" x14ac:dyDescent="0.2">
      <c r="A19" s="71" t="s">
        <v>152</v>
      </c>
      <c r="B19" s="13">
        <f>SUM(B16:B18)</f>
        <v>169110.83333333334</v>
      </c>
      <c r="C19" s="13">
        <f t="shared" ref="C19:BL19" si="4">SUM(C16:C18)</f>
        <v>169110.83333333334</v>
      </c>
      <c r="D19" s="13">
        <f t="shared" si="4"/>
        <v>169110.83333333334</v>
      </c>
      <c r="E19" s="13">
        <f t="shared" si="4"/>
        <v>169110.83333333334</v>
      </c>
      <c r="F19" s="13">
        <f t="shared" si="4"/>
        <v>169110.83333333334</v>
      </c>
      <c r="G19" s="13">
        <f t="shared" si="4"/>
        <v>169110.83333333334</v>
      </c>
      <c r="H19" s="13">
        <f t="shared" si="4"/>
        <v>169110.83333333334</v>
      </c>
      <c r="I19" s="13">
        <f t="shared" si="4"/>
        <v>169110.83333333334</v>
      </c>
      <c r="J19" s="13">
        <f t="shared" si="4"/>
        <v>169110.83333333334</v>
      </c>
      <c r="K19" s="13">
        <f t="shared" si="4"/>
        <v>169110.83333333334</v>
      </c>
      <c r="L19" s="13">
        <f t="shared" si="4"/>
        <v>169110.83333333334</v>
      </c>
      <c r="M19" s="13">
        <f t="shared" si="4"/>
        <v>169110.83333333334</v>
      </c>
      <c r="N19" s="13">
        <f t="shared" si="4"/>
        <v>169110.83333333334</v>
      </c>
      <c r="O19" s="13">
        <f t="shared" si="4"/>
        <v>169110.83333333334</v>
      </c>
      <c r="P19" s="13">
        <f t="shared" si="4"/>
        <v>169110.83333333334</v>
      </c>
      <c r="Q19" s="13">
        <f t="shared" si="4"/>
        <v>169110.83333333334</v>
      </c>
      <c r="R19" s="13">
        <f t="shared" si="4"/>
        <v>169110.83333333334</v>
      </c>
      <c r="S19" s="13">
        <f t="shared" si="4"/>
        <v>169110.83333333334</v>
      </c>
      <c r="T19" s="13">
        <f t="shared" si="4"/>
        <v>169110.83333333334</v>
      </c>
      <c r="U19" s="13">
        <f t="shared" si="4"/>
        <v>169110.83333333334</v>
      </c>
      <c r="V19" s="13">
        <f t="shared" si="4"/>
        <v>169110.83333333334</v>
      </c>
      <c r="W19" s="13">
        <f t="shared" si="4"/>
        <v>169110.83333333334</v>
      </c>
      <c r="X19" s="13">
        <f t="shared" si="4"/>
        <v>169110.83333333334</v>
      </c>
      <c r="Y19" s="13">
        <f t="shared" si="4"/>
        <v>169110.83333333334</v>
      </c>
      <c r="Z19" s="13">
        <f t="shared" si="4"/>
        <v>169110.83333333334</v>
      </c>
      <c r="AA19" s="13">
        <f t="shared" si="4"/>
        <v>169110.83333333334</v>
      </c>
      <c r="AB19" s="13">
        <f t="shared" si="4"/>
        <v>169110.83333333334</v>
      </c>
      <c r="AC19" s="13">
        <f t="shared" si="4"/>
        <v>169110.83333333334</v>
      </c>
      <c r="AD19" s="13">
        <f t="shared" si="4"/>
        <v>169110.83333333334</v>
      </c>
      <c r="AE19" s="13">
        <f t="shared" si="4"/>
        <v>169110.83333333334</v>
      </c>
      <c r="AF19" s="13">
        <f t="shared" si="4"/>
        <v>169110.83333333334</v>
      </c>
      <c r="AG19" s="13">
        <f t="shared" si="4"/>
        <v>169110.83333333334</v>
      </c>
      <c r="AH19" s="13">
        <f t="shared" si="4"/>
        <v>169110.83333333334</v>
      </c>
      <c r="AI19" s="13">
        <f t="shared" si="4"/>
        <v>169110.83333333334</v>
      </c>
      <c r="AJ19" s="13">
        <f t="shared" si="4"/>
        <v>169110.83333333334</v>
      </c>
      <c r="AK19" s="13">
        <f t="shared" si="4"/>
        <v>169110.83333333334</v>
      </c>
      <c r="AL19" s="13">
        <f t="shared" si="4"/>
        <v>169110.83333333334</v>
      </c>
      <c r="AM19" s="13">
        <f t="shared" si="4"/>
        <v>169110.83333333334</v>
      </c>
      <c r="AN19" s="13">
        <f t="shared" si="4"/>
        <v>169110.83333333334</v>
      </c>
      <c r="AO19" s="13">
        <f t="shared" si="4"/>
        <v>169110.83333333334</v>
      </c>
      <c r="AP19" s="13">
        <f t="shared" si="4"/>
        <v>169110.83333333334</v>
      </c>
      <c r="AQ19" s="13">
        <f t="shared" si="4"/>
        <v>169110.83333333334</v>
      </c>
      <c r="AR19" s="13">
        <f t="shared" si="4"/>
        <v>169110.83333333334</v>
      </c>
      <c r="AS19" s="13">
        <f t="shared" si="4"/>
        <v>169110.83333333334</v>
      </c>
      <c r="AT19" s="13">
        <f t="shared" si="4"/>
        <v>169110.83333333334</v>
      </c>
      <c r="AU19" s="13">
        <f t="shared" si="4"/>
        <v>169110.83333333334</v>
      </c>
      <c r="AV19" s="13">
        <f t="shared" si="4"/>
        <v>169110.83333333334</v>
      </c>
      <c r="AW19" s="13">
        <f t="shared" si="4"/>
        <v>169110.83333333334</v>
      </c>
      <c r="AX19" s="13">
        <f t="shared" si="4"/>
        <v>169110.83333333334</v>
      </c>
      <c r="AY19" s="13">
        <f t="shared" si="4"/>
        <v>169110.83333333334</v>
      </c>
      <c r="AZ19" s="13">
        <f t="shared" si="4"/>
        <v>169110.83333333334</v>
      </c>
      <c r="BA19" s="13">
        <f t="shared" si="4"/>
        <v>169110.83333333334</v>
      </c>
      <c r="BB19" s="13">
        <f t="shared" si="4"/>
        <v>169110.83333333334</v>
      </c>
      <c r="BC19" s="13">
        <f t="shared" si="4"/>
        <v>169110.83333333334</v>
      </c>
      <c r="BD19" s="13">
        <f t="shared" si="4"/>
        <v>169110.83333333334</v>
      </c>
      <c r="BE19" s="13">
        <f t="shared" si="4"/>
        <v>169110.83333333334</v>
      </c>
      <c r="BF19" s="13">
        <f t="shared" si="4"/>
        <v>169110.83333333334</v>
      </c>
      <c r="BG19" s="13">
        <f t="shared" si="4"/>
        <v>169110.83333333334</v>
      </c>
      <c r="BH19" s="13">
        <f t="shared" si="4"/>
        <v>169110.83333333334</v>
      </c>
      <c r="BI19" s="13">
        <f t="shared" si="4"/>
        <v>169110.83333333334</v>
      </c>
      <c r="BJ19" s="13">
        <f t="shared" si="4"/>
        <v>169110.83333333334</v>
      </c>
      <c r="BK19" s="13">
        <f t="shared" si="4"/>
        <v>169110.83333333334</v>
      </c>
      <c r="BL19" s="13">
        <f t="shared" si="4"/>
        <v>169110.83333333334</v>
      </c>
    </row>
    <row r="20" spans="1:64" x14ac:dyDescent="0.2">
      <c r="A20" s="71"/>
      <c r="C20" s="12"/>
    </row>
    <row r="21" spans="1:64" x14ac:dyDescent="0.2">
      <c r="A21" s="72" t="s">
        <v>79</v>
      </c>
      <c r="B21" s="47">
        <f>B12-B19</f>
        <v>573029.16666666663</v>
      </c>
      <c r="C21" s="47">
        <f t="shared" ref="C21:BL21" si="5">C12-C19</f>
        <v>549089.16666666663</v>
      </c>
      <c r="D21" s="47">
        <f t="shared" si="5"/>
        <v>573029.16666666663</v>
      </c>
      <c r="E21" s="47">
        <f t="shared" si="5"/>
        <v>573029.16666666663</v>
      </c>
      <c r="F21" s="47">
        <f t="shared" si="5"/>
        <v>501209.16666666663</v>
      </c>
      <c r="G21" s="47">
        <f t="shared" si="5"/>
        <v>573029.16666666663</v>
      </c>
      <c r="H21" s="47">
        <f t="shared" si="5"/>
        <v>549089.16666666663</v>
      </c>
      <c r="I21" s="47">
        <f t="shared" si="5"/>
        <v>573029.16666666663</v>
      </c>
      <c r="J21" s="47">
        <f t="shared" si="5"/>
        <v>549089.16666666663</v>
      </c>
      <c r="K21" s="47">
        <f t="shared" si="5"/>
        <v>573029.16666666663</v>
      </c>
      <c r="L21" s="47">
        <f t="shared" si="5"/>
        <v>573029.16666666663</v>
      </c>
      <c r="M21" s="47">
        <f t="shared" si="5"/>
        <v>549089.16666666663</v>
      </c>
      <c r="N21" s="47">
        <f t="shared" si="5"/>
        <v>820409.16666666686</v>
      </c>
      <c r="O21" s="47">
        <f t="shared" si="5"/>
        <v>788489.16666666686</v>
      </c>
      <c r="P21" s="47">
        <f t="shared" si="5"/>
        <v>820409.16666666686</v>
      </c>
      <c r="Q21" s="47">
        <f t="shared" si="5"/>
        <v>820409.16666666686</v>
      </c>
      <c r="R21" s="47">
        <f t="shared" si="5"/>
        <v>724649.16666666686</v>
      </c>
      <c r="S21" s="47">
        <f t="shared" si="5"/>
        <v>820409.16666666686</v>
      </c>
      <c r="T21" s="47">
        <f t="shared" si="5"/>
        <v>788489.16666666686</v>
      </c>
      <c r="U21" s="47">
        <f t="shared" si="5"/>
        <v>820409.16666666686</v>
      </c>
      <c r="V21" s="47">
        <f t="shared" si="5"/>
        <v>788489.16666666686</v>
      </c>
      <c r="W21" s="47">
        <f t="shared" si="5"/>
        <v>820409.16666666686</v>
      </c>
      <c r="X21" s="47">
        <f t="shared" si="5"/>
        <v>820409.16666666686</v>
      </c>
      <c r="Y21" s="47">
        <f t="shared" si="5"/>
        <v>788489.16666666686</v>
      </c>
      <c r="Z21" s="47">
        <f t="shared" si="5"/>
        <v>1024389.1666666669</v>
      </c>
      <c r="AA21" s="47">
        <f t="shared" si="5"/>
        <v>985889.16666666686</v>
      </c>
      <c r="AB21" s="47">
        <f t="shared" si="5"/>
        <v>1024389.1666666669</v>
      </c>
      <c r="AC21" s="47">
        <f t="shared" si="5"/>
        <v>1024389.1666666669</v>
      </c>
      <c r="AD21" s="47">
        <f t="shared" si="5"/>
        <v>908889.16666666686</v>
      </c>
      <c r="AE21" s="47">
        <f t="shared" si="5"/>
        <v>1024389.1666666669</v>
      </c>
      <c r="AF21" s="47">
        <f t="shared" si="5"/>
        <v>985889.16666666686</v>
      </c>
      <c r="AG21" s="47">
        <f t="shared" si="5"/>
        <v>1024389.1666666669</v>
      </c>
      <c r="AH21" s="47">
        <f t="shared" si="5"/>
        <v>985889.16666666686</v>
      </c>
      <c r="AI21" s="47">
        <f t="shared" si="5"/>
        <v>1024389.1666666669</v>
      </c>
      <c r="AJ21" s="47">
        <f t="shared" si="5"/>
        <v>1024389.1666666669</v>
      </c>
      <c r="AK21" s="47">
        <f t="shared" si="5"/>
        <v>985889.16666666686</v>
      </c>
      <c r="AL21" s="47">
        <f t="shared" si="5"/>
        <v>1024389.1666666669</v>
      </c>
      <c r="AM21" s="47">
        <f t="shared" si="5"/>
        <v>985889.16666666686</v>
      </c>
      <c r="AN21" s="47">
        <f t="shared" si="5"/>
        <v>1024389.1666666669</v>
      </c>
      <c r="AO21" s="47">
        <f t="shared" si="5"/>
        <v>1024389.1666666669</v>
      </c>
      <c r="AP21" s="47">
        <f t="shared" si="5"/>
        <v>947389.16666666686</v>
      </c>
      <c r="AQ21" s="47">
        <f t="shared" si="5"/>
        <v>1024389.1666666669</v>
      </c>
      <c r="AR21" s="47">
        <f t="shared" si="5"/>
        <v>985889.16666666686</v>
      </c>
      <c r="AS21" s="47">
        <f t="shared" si="5"/>
        <v>1024389.1666666669</v>
      </c>
      <c r="AT21" s="47">
        <f t="shared" si="5"/>
        <v>985889.16666666686</v>
      </c>
      <c r="AU21" s="47">
        <f t="shared" si="5"/>
        <v>1024389.1666666669</v>
      </c>
      <c r="AV21" s="47">
        <f t="shared" si="5"/>
        <v>1024389.1666666669</v>
      </c>
      <c r="AW21" s="47">
        <f t="shared" si="5"/>
        <v>985889.16666666686</v>
      </c>
      <c r="AX21" s="47">
        <f t="shared" si="5"/>
        <v>1024389.1666666669</v>
      </c>
      <c r="AY21" s="47">
        <f t="shared" si="5"/>
        <v>985889.16666666686</v>
      </c>
      <c r="AZ21" s="47">
        <f t="shared" si="5"/>
        <v>1024389.1666666669</v>
      </c>
      <c r="BA21" s="47">
        <f t="shared" si="5"/>
        <v>1024389.1666666669</v>
      </c>
      <c r="BB21" s="47">
        <f t="shared" si="5"/>
        <v>908889.16666666686</v>
      </c>
      <c r="BC21" s="47">
        <f t="shared" si="5"/>
        <v>1024389.1666666669</v>
      </c>
      <c r="BD21" s="47">
        <f t="shared" si="5"/>
        <v>985889.16666666686</v>
      </c>
      <c r="BE21" s="47">
        <f t="shared" si="5"/>
        <v>1024389.1666666669</v>
      </c>
      <c r="BF21" s="47">
        <f t="shared" si="5"/>
        <v>985889.16666666686</v>
      </c>
      <c r="BG21" s="47">
        <f t="shared" si="5"/>
        <v>1024389.1666666669</v>
      </c>
      <c r="BH21" s="47">
        <f t="shared" si="5"/>
        <v>1024389.1666666669</v>
      </c>
      <c r="BI21" s="47">
        <f t="shared" si="5"/>
        <v>985889.16666666686</v>
      </c>
      <c r="BJ21" s="47">
        <f t="shared" si="5"/>
        <v>1024389.1666666669</v>
      </c>
      <c r="BK21" s="47">
        <f t="shared" si="5"/>
        <v>985889.16666666686</v>
      </c>
      <c r="BL21" s="47">
        <f t="shared" si="5"/>
        <v>1024389.1666666669</v>
      </c>
    </row>
    <row r="22" spans="1:64" x14ac:dyDescent="0.2">
      <c r="A22" s="71"/>
    </row>
    <row r="23" spans="1:64" x14ac:dyDescent="0.2">
      <c r="A23" s="71" t="s">
        <v>80</v>
      </c>
      <c r="B23" s="9">
        <f>IF(ISERROR(HLOOKUP(B7,'LCGG financing'!$C$24:$AP$36,7,FALSE)),0,(HLOOKUP(B7,'LCGG financing'!$C$24:$AP$36,7,FALSE)))</f>
        <v>0</v>
      </c>
      <c r="C23" s="9">
        <f>IF(ISERROR(HLOOKUP(C7,'LCGG financing'!$C$24:$AP$36,7,FALSE)),0,(HLOOKUP(C7,'LCGG financing'!$C$24:$AP$36,7,FALSE)))</f>
        <v>0</v>
      </c>
      <c r="D23" s="9">
        <f>IF(ISERROR(HLOOKUP(D7,'LCGG financing'!$C$24:$AP$36,7,FALSE)),0,(HLOOKUP(D7,'LCGG financing'!$C$24:$AP$36,7,FALSE)))</f>
        <v>1106167.0730152538</v>
      </c>
      <c r="E23" s="9">
        <f>IF(ISERROR(HLOOKUP(E7,'LCGG financing'!$C$24:$AP$36,7,FALSE)),0,(HLOOKUP(E7,'LCGG financing'!$C$24:$AP$36,7,FALSE)))</f>
        <v>0</v>
      </c>
      <c r="F23" s="9">
        <f>IF(ISERROR(HLOOKUP(F7,'LCGG financing'!$C$24:$AP$36,7,FALSE)),0,(HLOOKUP(F7,'LCGG financing'!$C$24:$AP$36,7,FALSE)))</f>
        <v>0</v>
      </c>
      <c r="G23" s="9">
        <f>IF(ISERROR(HLOOKUP(G7,'LCGG financing'!$C$24:$AP$36,7,FALSE)),0,(HLOOKUP(G7,'LCGG financing'!$C$24:$AP$36,7,FALSE)))</f>
        <v>1082119.9627323134</v>
      </c>
      <c r="H23" s="9">
        <f>IF(ISERROR(HLOOKUP(H7,'LCGG financing'!$C$24:$AP$36,7,FALSE)),0,(HLOOKUP(H7,'LCGG financing'!$C$24:$AP$36,7,FALSE)))</f>
        <v>0</v>
      </c>
      <c r="I23" s="9">
        <f>IF(ISERROR(HLOOKUP(I7,'LCGG financing'!$C$24:$AP$36,7,FALSE)),0,(HLOOKUP(I7,'LCGG financing'!$C$24:$AP$36,7,FALSE)))</f>
        <v>0</v>
      </c>
      <c r="J23" s="9">
        <f>IF(ISERROR(HLOOKUP(J7,'LCGG financing'!$C$24:$AP$36,7,FALSE)),0,(HLOOKUP(J7,'LCGG financing'!$C$24:$AP$36,7,FALSE)))</f>
        <v>1094143.5178737836</v>
      </c>
      <c r="K23" s="9">
        <f>IF(ISERROR(HLOOKUP(K7,'LCGG financing'!$C$24:$AP$36,7,FALSE)),0,(HLOOKUP(K7,'LCGG financing'!$C$24:$AP$36,7,FALSE)))</f>
        <v>0</v>
      </c>
      <c r="L23" s="9">
        <f>IF(ISERROR(HLOOKUP(L7,'LCGG financing'!$C$24:$AP$36,7,FALSE)),0,(HLOOKUP(L7,'LCGG financing'!$C$24:$AP$36,7,FALSE)))</f>
        <v>0</v>
      </c>
      <c r="M23" s="9">
        <f>IF(ISERROR(HLOOKUP(M7,'LCGG financing'!$C$24:$AP$36,7,FALSE)),0,(HLOOKUP(M7,'LCGG financing'!$C$24:$AP$36,7,FALSE)))</f>
        <v>1106167.0730152538</v>
      </c>
      <c r="N23" s="9">
        <f>IF(ISERROR(HLOOKUP(N7,'LCGG financing'!$C$24:$AP$36,7,FALSE)),0,(HLOOKUP(N7,'LCGG financing'!$C$24:$AP$36,7,FALSE)))</f>
        <v>0</v>
      </c>
      <c r="O23" s="9">
        <f>IF(ISERROR(HLOOKUP(O7,'LCGG financing'!$C$24:$AP$36,7,FALSE)),0,(HLOOKUP(O7,'LCGG financing'!$C$24:$AP$36,7,FALSE)))</f>
        <v>0</v>
      </c>
      <c r="P23" s="9">
        <f>IF(ISERROR(HLOOKUP(P7,'LCGG financing'!$C$24:$AP$36,7,FALSE)),0,(HLOOKUP(P7,'LCGG financing'!$C$24:$AP$36,7,FALSE)))</f>
        <v>1084618.7884520725</v>
      </c>
      <c r="Q23" s="9">
        <f>IF(ISERROR(HLOOKUP(Q7,'LCGG financing'!$C$24:$AP$36,7,FALSE)),0,(HLOOKUP(Q7,'LCGG financing'!$C$24:$AP$36,7,FALSE)))</f>
        <v>0</v>
      </c>
      <c r="R23" s="9">
        <f>IF(ISERROR(HLOOKUP(R7,'LCGG financing'!$C$24:$AP$36,7,FALSE)),0,(HLOOKUP(R7,'LCGG financing'!$C$24:$AP$36,7,FALSE)))</f>
        <v>0</v>
      </c>
      <c r="S23" s="9">
        <f>IF(ISERROR(HLOOKUP(S7,'LCGG financing'!$C$24:$AP$36,7,FALSE)),0,(HLOOKUP(S7,'LCGG financing'!$C$24:$AP$36,7,FALSE)))</f>
        <v>1039543.6394614516</v>
      </c>
      <c r="T23" s="9">
        <f>IF(ISERROR(HLOOKUP(T7,'LCGG financing'!$C$24:$AP$36,7,FALSE)),0,(HLOOKUP(T7,'LCGG financing'!$C$24:$AP$36,7,FALSE)))</f>
        <v>0</v>
      </c>
      <c r="U23" s="9">
        <f>IF(ISERROR(HLOOKUP(U7,'LCGG financing'!$C$24:$AP$36,7,FALSE)),0,(HLOOKUP(U7,'LCGG financing'!$C$24:$AP$36,7,FALSE)))</f>
        <v>0</v>
      </c>
      <c r="V23" s="9">
        <f>IF(ISERROR(HLOOKUP(V7,'LCGG financing'!$C$24:$AP$36,7,FALSE)),0,(HLOOKUP(V7,'LCGG financing'!$C$24:$AP$36,7,FALSE)))</f>
        <v>1028477.5832434865</v>
      </c>
      <c r="W23" s="9">
        <f>IF(ISERROR(HLOOKUP(W7,'LCGG financing'!$C$24:$AP$36,7,FALSE)),0,(HLOOKUP(W7,'LCGG financing'!$C$24:$AP$36,7,FALSE)))</f>
        <v>0</v>
      </c>
      <c r="X23" s="9">
        <f>IF(ISERROR(HLOOKUP(X7,'LCGG financing'!$C$24:$AP$36,7,FALSE)),0,(HLOOKUP(X7,'LCGG financing'!$C$24:$AP$36,7,FALSE)))</f>
        <v>0</v>
      </c>
      <c r="Y23" s="9">
        <f>IF(ISERROR(HLOOKUP(Y7,'LCGG financing'!$C$24:$AP$36,7,FALSE)),0,(HLOOKUP(Y7,'LCGG financing'!$C$24:$AP$36,7,FALSE)))</f>
        <v>1016695.743275677</v>
      </c>
      <c r="Z23" s="9">
        <f>IF(ISERROR(HLOOKUP(Z7,'LCGG financing'!$C$24:$AP$36,7,FALSE)),0,(HLOOKUP(Z7,'LCGG financing'!$C$24:$AP$36,7,FALSE)))</f>
        <v>0</v>
      </c>
      <c r="AA23" s="9">
        <f>IF(ISERROR(HLOOKUP(AA7,'LCGG financing'!$C$24:$AP$36,7,FALSE)),0,(HLOOKUP(AA7,'LCGG financing'!$C$24:$AP$36,7,FALSE)))</f>
        <v>0</v>
      </c>
      <c r="AB23" s="9">
        <f>IF(ISERROR(HLOOKUP(AB7,'LCGG financing'!$C$24:$AP$36,7,FALSE)),0,(HLOOKUP(AB7,'LCGG financing'!$C$24:$AP$36,7,FALSE)))</f>
        <v>1009434.4776655672</v>
      </c>
      <c r="AC23" s="9">
        <f>IF(ISERROR(HLOOKUP(AC7,'LCGG financing'!$C$24:$AP$36,7,FALSE)),0,(HLOOKUP(AC7,'LCGG financing'!$C$24:$AP$36,7,FALSE)))</f>
        <v>0</v>
      </c>
      <c r="AD23" s="9">
        <f>IF(ISERROR(HLOOKUP(AD7,'LCGG financing'!$C$24:$AP$36,7,FALSE)),0,(HLOOKUP(AD7,'LCGG financing'!$C$24:$AP$36,7,FALSE)))</f>
        <v>0</v>
      </c>
      <c r="AE23" s="9">
        <f>IF(ISERROR(HLOOKUP(AE7,'LCGG financing'!$C$24:$AP$36,7,FALSE)),0,(HLOOKUP(AE7,'LCGG financing'!$C$24:$AP$36,7,FALSE)))</f>
        <v>964169.15176893014</v>
      </c>
      <c r="AF23" s="9">
        <f>IF(ISERROR(HLOOKUP(AF7,'LCGG financing'!$C$24:$AP$36,7,FALSE)),0,(HLOOKUP(AF7,'LCGG financing'!$C$24:$AP$36,7,FALSE)))</f>
        <v>0</v>
      </c>
      <c r="AG23" s="9">
        <f>IF(ISERROR(HLOOKUP(AG7,'LCGG financing'!$C$24:$AP$36,7,FALSE)),0,(HLOOKUP(AG7,'LCGG financing'!$C$24:$AP$36,7,FALSE)))</f>
        <v>0</v>
      </c>
      <c r="AH23" s="9">
        <f>IF(ISERROR(HLOOKUP(AH7,'LCGG financing'!$C$24:$AP$36,7,FALSE)),0,(HLOOKUP(AH7,'LCGG financing'!$C$24:$AP$36,7,FALSE)))</f>
        <v>950402.68874771113</v>
      </c>
      <c r="AI23" s="9">
        <f>IF(ISERROR(HLOOKUP(AI7,'LCGG financing'!$C$24:$AP$36,7,FALSE)),0,(HLOOKUP(AI7,'LCGG financing'!$C$24:$AP$36,7,FALSE)))</f>
        <v>0</v>
      </c>
      <c r="AJ23" s="9">
        <f>IF(ISERROR(HLOOKUP(AJ7,'LCGG financing'!$C$24:$AP$36,7,FALSE)),0,(HLOOKUP(AJ7,'LCGG financing'!$C$24:$AP$36,7,FALSE)))</f>
        <v>0</v>
      </c>
      <c r="AK23" s="9">
        <f>IF(ISERROR(HLOOKUP(AK7,'LCGG financing'!$C$24:$AP$36,7,FALSE)),0,(HLOOKUP(AK7,'LCGG financing'!$C$24:$AP$36,7,FALSE)))</f>
        <v>935821.72858441493</v>
      </c>
      <c r="AL23" s="9">
        <f>IF(ISERROR(HLOOKUP(AL7,'LCGG financing'!$C$24:$AP$36,7,FALSE)),0,(HLOOKUP(AL7,'LCGG financing'!$C$24:$AP$36,7,FALSE)))</f>
        <v>0</v>
      </c>
      <c r="AM23" s="9">
        <f>IF(ISERROR(HLOOKUP(AM7,'LCGG financing'!$C$24:$AP$36,7,FALSE)),0,(HLOOKUP(AM7,'LCGG financing'!$C$24:$AP$36,7,FALSE)))</f>
        <v>0</v>
      </c>
      <c r="AN23" s="9">
        <f>IF(ISERROR(HLOOKUP(AN7,'LCGG financing'!$C$24:$AP$36,7,FALSE)),0,(HLOOKUP(AN7,'LCGG financing'!$C$24:$AP$36,7,FALSE)))</f>
        <v>910503.93720645807</v>
      </c>
      <c r="AO23" s="9">
        <f>IF(ISERROR(HLOOKUP(AO7,'LCGG financing'!$C$24:$AP$36,7,FALSE)),0,(HLOOKUP(AO7,'LCGG financing'!$C$24:$AP$36,7,FALSE)))</f>
        <v>0</v>
      </c>
      <c r="AP23" s="9">
        <f>IF(ISERROR(HLOOKUP(AP7,'LCGG financing'!$C$24:$AP$36,7,FALSE)),0,(HLOOKUP(AP7,'LCGG financing'!$C$24:$AP$36,7,FALSE)))</f>
        <v>0</v>
      </c>
      <c r="AQ23" s="9">
        <f>IF(ISERROR(HLOOKUP(AQ7,'LCGG financing'!$C$24:$AP$36,7,FALSE)),0,(HLOOKUP(AQ7,'LCGG financing'!$C$24:$AP$36,7,FALSE)))</f>
        <v>875061.59896627662</v>
      </c>
      <c r="AR23" s="9">
        <f>IF(ISERROR(HLOOKUP(AR7,'LCGG financing'!$C$24:$AP$36,7,FALSE)),0,(HLOOKUP(AR7,'LCGG financing'!$C$24:$AP$36,7,FALSE)))</f>
        <v>0</v>
      </c>
      <c r="AS23" s="9">
        <f>IF(ISERROR(HLOOKUP(AS7,'LCGG financing'!$C$24:$AP$36,7,FALSE)),0,(HLOOKUP(AS7,'LCGG financing'!$C$24:$AP$36,7,FALSE)))</f>
        <v>0</v>
      </c>
      <c r="AT23" s="9">
        <f>IF(ISERROR(HLOOKUP(AT7,'LCGG financing'!$C$24:$AP$36,7,FALSE)),0,(HLOOKUP(AT7,'LCGG financing'!$C$24:$AP$36,7,FALSE)))</f>
        <v>848811.95205233863</v>
      </c>
      <c r="AU23" s="9">
        <f>IF(ISERROR(HLOOKUP(AU7,'LCGG financing'!$C$24:$AP$36,7,FALSE)),0,(HLOOKUP(AU7,'LCGG financing'!$C$24:$AP$36,7,FALSE)))</f>
        <v>0</v>
      </c>
      <c r="AV23" s="9">
        <f>IF(ISERROR(HLOOKUP(AV7,'LCGG financing'!$C$24:$AP$36,7,FALSE)),0,(HLOOKUP(AV7,'LCGG financing'!$C$24:$AP$36,7,FALSE)))</f>
        <v>0</v>
      </c>
      <c r="AW23" s="9">
        <f>IF(ISERROR(HLOOKUP(AW7,'LCGG financing'!$C$24:$AP$36,7,FALSE)),0,(HLOOKUP(AW7,'LCGG financing'!$C$24:$AP$36,7,FALSE)))</f>
        <v>831074.25052346569</v>
      </c>
      <c r="AX23" s="9">
        <f>IF(ISERROR(HLOOKUP(AX7,'LCGG financing'!$C$24:$AP$36,7,FALSE)),0,(HLOOKUP(AX7,'LCGG financing'!$C$24:$AP$36,7,FALSE)))</f>
        <v>0</v>
      </c>
      <c r="AY23" s="9">
        <f>IF(ISERROR(HLOOKUP(AY7,'LCGG financing'!$C$24:$AP$36,7,FALSE)),0,(HLOOKUP(AY7,'LCGG financing'!$C$24:$AP$36,7,FALSE)))</f>
        <v>0</v>
      </c>
      <c r="AZ23" s="9">
        <f>IF(ISERROR(HLOOKUP(AZ7,'LCGG financing'!$C$24:$AP$36,7,FALSE)),0,(HLOOKUP(AZ7,'LCGG financing'!$C$24:$AP$36,7,FALSE)))</f>
        <v>816435.06172206043</v>
      </c>
      <c r="BA23" s="9">
        <f>IF(ISERROR(HLOOKUP(BA7,'LCGG financing'!$C$24:$AP$36,7,FALSE)),0,(HLOOKUP(BA7,'LCGG financing'!$C$24:$AP$36,7,FALSE)))</f>
        <v>0</v>
      </c>
      <c r="BB23" s="9">
        <f>IF(ISERROR(HLOOKUP(BB7,'LCGG financing'!$C$24:$AP$36,7,FALSE)),0,(HLOOKUP(BB7,'LCGG financing'!$C$24:$AP$36,7,FALSE)))</f>
        <v>0</v>
      </c>
      <c r="BC23" s="9">
        <f>IF(ISERROR(HLOOKUP(BC7,'LCGG financing'!$C$24:$AP$36,7,FALSE)),0,(HLOOKUP(BC7,'LCGG financing'!$C$24:$AP$36,7,FALSE)))</f>
        <v>771142.17716442724</v>
      </c>
      <c r="BD23" s="9">
        <f>IF(ISERROR(HLOOKUP(BD7,'LCGG financing'!$C$24:$AP$36,7,FALSE)),0,(HLOOKUP(BD7,'LCGG financing'!$C$24:$AP$36,7,FALSE)))</f>
        <v>0</v>
      </c>
      <c r="BE23" s="9">
        <f>IF(ISERROR(HLOOKUP(BE7,'LCGG financing'!$C$24:$AP$36,7,FALSE)),0,(HLOOKUP(BE7,'LCGG financing'!$C$24:$AP$36,7,FALSE)))</f>
        <v>0</v>
      </c>
      <c r="BF23" s="9">
        <f>IF(ISERROR(HLOOKUP(BF7,'LCGG financing'!$C$24:$AP$36,7,FALSE)),0,(HLOOKUP(BF7,'LCGG financing'!$C$24:$AP$36,7,FALSE)))</f>
        <v>750945.98865076655</v>
      </c>
      <c r="BG23" s="9">
        <f>IF(ISERROR(HLOOKUP(BG7,'LCGG financing'!$C$24:$AP$36,7,FALSE)),0,(HLOOKUP(BG7,'LCGG financing'!$C$24:$AP$36,7,FALSE)))</f>
        <v>0</v>
      </c>
      <c r="BH23" s="9">
        <f>IF(ISERROR(HLOOKUP(BH7,'LCGG financing'!$C$24:$AP$36,7,FALSE)),0,(HLOOKUP(BH7,'LCGG financing'!$C$24:$AP$36,7,FALSE)))</f>
        <v>0</v>
      </c>
      <c r="BI23" s="9">
        <f>IF(ISERROR(HLOOKUP(BI7,'LCGG financing'!$C$24:$AP$36,7,FALSE)),0,(HLOOKUP(BI7,'LCGG financing'!$C$24:$AP$36,7,FALSE)))</f>
        <v>729705.54069975473</v>
      </c>
      <c r="BJ23" s="9">
        <f>IF(ISERROR(HLOOKUP(BJ7,'LCGG financing'!$C$24:$AP$36,7,FALSE)),0,(HLOOKUP(BJ7,'LCGG financing'!$C$24:$AP$36,7,FALSE)))</f>
        <v>0</v>
      </c>
      <c r="BK23" s="9">
        <f>IF(ISERROR(HLOOKUP(BK7,'LCGG financing'!$C$24:$AP$36,7,FALSE)),0,(HLOOKUP(BK7,'LCGG financing'!$C$24:$AP$36,7,FALSE)))</f>
        <v>0</v>
      </c>
      <c r="BL23" s="9">
        <f>IF(ISERROR(HLOOKUP(BL7,'LCGG financing'!$C$24:$AP$36,7,FALSE)),0,(HLOOKUP(BL7,'LCGG financing'!$C$24:$AP$36,7,FALSE)))</f>
        <v>699779.55836751254</v>
      </c>
    </row>
    <row r="24" spans="1:64" x14ac:dyDescent="0.2">
      <c r="A24" s="71" t="s">
        <v>81</v>
      </c>
      <c r="B24" s="37">
        <f>SLN(assumptions!$F$7,0,960)</f>
        <v>64485.416666666664</v>
      </c>
      <c r="C24" s="37">
        <f>SLN(assumptions!$F$7,0,960)</f>
        <v>64485.416666666664</v>
      </c>
      <c r="D24" s="37">
        <f>SLN(assumptions!$F$7,0,960)</f>
        <v>64485.416666666664</v>
      </c>
      <c r="E24" s="37">
        <f>SLN(assumptions!$F$7,0,960)</f>
        <v>64485.416666666664</v>
      </c>
      <c r="F24" s="37">
        <f>SLN(assumptions!$F$7,0,960)</f>
        <v>64485.416666666664</v>
      </c>
      <c r="G24" s="37">
        <f>SLN(assumptions!$F$7,0,960)</f>
        <v>64485.416666666664</v>
      </c>
      <c r="H24" s="37">
        <f>SLN(assumptions!$F$7,0,960)</f>
        <v>64485.416666666664</v>
      </c>
      <c r="I24" s="37">
        <f>SLN(assumptions!$F$7,0,960)</f>
        <v>64485.416666666664</v>
      </c>
      <c r="J24" s="37">
        <f>SLN(assumptions!$F$7,0,960)</f>
        <v>64485.416666666664</v>
      </c>
      <c r="K24" s="37">
        <f>SLN(assumptions!$F$7,0,960)</f>
        <v>64485.416666666664</v>
      </c>
      <c r="L24" s="37">
        <f>SLN(assumptions!$F$7,0,960)</f>
        <v>64485.416666666664</v>
      </c>
      <c r="M24" s="37">
        <f>SLN(assumptions!$F$7,0,960)</f>
        <v>64485.416666666664</v>
      </c>
      <c r="N24" s="37">
        <f>SLN(assumptions!$F$7,0,960)</f>
        <v>64485.416666666664</v>
      </c>
      <c r="O24" s="37">
        <f>SLN(assumptions!$F$7,0,960)</f>
        <v>64485.416666666664</v>
      </c>
      <c r="P24" s="37">
        <f>SLN(assumptions!$F$7,0,960)</f>
        <v>64485.416666666664</v>
      </c>
      <c r="Q24" s="37">
        <f>SLN(assumptions!$F$7,0,960)</f>
        <v>64485.416666666664</v>
      </c>
      <c r="R24" s="37">
        <f>SLN(assumptions!$F$7,0,960)</f>
        <v>64485.416666666664</v>
      </c>
      <c r="S24" s="37">
        <f>SLN(assumptions!$F$7,0,960)</f>
        <v>64485.416666666664</v>
      </c>
      <c r="T24" s="37">
        <f>SLN(assumptions!$F$7,0,960)</f>
        <v>64485.416666666664</v>
      </c>
      <c r="U24" s="37">
        <f>SLN(assumptions!$F$7,0,960)</f>
        <v>64485.416666666664</v>
      </c>
      <c r="V24" s="37">
        <f>SLN(assumptions!$F$7,0,960)</f>
        <v>64485.416666666664</v>
      </c>
      <c r="W24" s="37">
        <f>SLN(assumptions!$F$7,0,960)</f>
        <v>64485.416666666664</v>
      </c>
      <c r="X24" s="37">
        <f>SLN(assumptions!$F$7,0,960)</f>
        <v>64485.416666666664</v>
      </c>
      <c r="Y24" s="37">
        <f>SLN(assumptions!$F$7,0,960)</f>
        <v>64485.416666666664</v>
      </c>
      <c r="Z24" s="37">
        <f>SLN(assumptions!$F$7,0,960)</f>
        <v>64485.416666666664</v>
      </c>
      <c r="AA24" s="37">
        <f>SLN(assumptions!$F$7,0,960)</f>
        <v>64485.416666666664</v>
      </c>
      <c r="AB24" s="37">
        <f>SLN(assumptions!$F$7,0,960)</f>
        <v>64485.416666666664</v>
      </c>
      <c r="AC24" s="37">
        <f>SLN(assumptions!$F$7,0,960)</f>
        <v>64485.416666666664</v>
      </c>
      <c r="AD24" s="37">
        <f>SLN(assumptions!$F$7,0,960)</f>
        <v>64485.416666666664</v>
      </c>
      <c r="AE24" s="37">
        <f>SLN(assumptions!$F$7,0,960)</f>
        <v>64485.416666666664</v>
      </c>
      <c r="AF24" s="37">
        <f>SLN(assumptions!$F$7,0,960)</f>
        <v>64485.416666666664</v>
      </c>
      <c r="AG24" s="37">
        <f>SLN(assumptions!$F$7,0,960)</f>
        <v>64485.416666666664</v>
      </c>
      <c r="AH24" s="37">
        <f>SLN(assumptions!$F$7,0,960)</f>
        <v>64485.416666666664</v>
      </c>
      <c r="AI24" s="37">
        <f>SLN(assumptions!$F$7,0,960)</f>
        <v>64485.416666666664</v>
      </c>
      <c r="AJ24" s="37">
        <f>SLN(assumptions!$F$7,0,960)</f>
        <v>64485.416666666664</v>
      </c>
      <c r="AK24" s="37">
        <f>SLN(assumptions!$F$7,0,960)</f>
        <v>64485.416666666664</v>
      </c>
      <c r="AL24" s="37">
        <f>SLN(assumptions!$F$7,0,960)</f>
        <v>64485.416666666664</v>
      </c>
      <c r="AM24" s="37">
        <f>SLN(assumptions!$F$7,0,960)</f>
        <v>64485.416666666664</v>
      </c>
      <c r="AN24" s="37">
        <f>SLN(assumptions!$F$7,0,960)</f>
        <v>64485.416666666664</v>
      </c>
      <c r="AO24" s="37">
        <f>SLN(assumptions!$F$7,0,960)</f>
        <v>64485.416666666664</v>
      </c>
      <c r="AP24" s="37">
        <f>SLN(assumptions!$F$7,0,960)</f>
        <v>64485.416666666664</v>
      </c>
      <c r="AQ24" s="37">
        <f>SLN(assumptions!$F$7,0,960)</f>
        <v>64485.416666666664</v>
      </c>
      <c r="AR24" s="37">
        <f>SLN(assumptions!$F$7,0,960)</f>
        <v>64485.416666666664</v>
      </c>
      <c r="AS24" s="37">
        <f>SLN(assumptions!$F$7,0,960)</f>
        <v>64485.416666666664</v>
      </c>
      <c r="AT24" s="37">
        <f>SLN(assumptions!$F$7,0,960)</f>
        <v>64485.416666666664</v>
      </c>
      <c r="AU24" s="37">
        <f>SLN(assumptions!$F$7,0,960)</f>
        <v>64485.416666666664</v>
      </c>
      <c r="AV24" s="37">
        <f>SLN(assumptions!$F$7,0,960)</f>
        <v>64485.416666666664</v>
      </c>
      <c r="AW24" s="37">
        <f>SLN(assumptions!$F$7,0,960)</f>
        <v>64485.416666666664</v>
      </c>
      <c r="AX24" s="37">
        <f>SLN(assumptions!$F$7,0,960)</f>
        <v>64485.416666666664</v>
      </c>
      <c r="AY24" s="37">
        <f>SLN(assumptions!$F$7,0,960)</f>
        <v>64485.416666666664</v>
      </c>
      <c r="AZ24" s="37">
        <f>SLN(assumptions!$F$7,0,960)</f>
        <v>64485.416666666664</v>
      </c>
      <c r="BA24" s="37">
        <f>SLN(assumptions!$F$7,0,960)</f>
        <v>64485.416666666664</v>
      </c>
      <c r="BB24" s="37">
        <f>SLN(assumptions!$F$7,0,960)</f>
        <v>64485.416666666664</v>
      </c>
      <c r="BC24" s="37">
        <f>SLN(assumptions!$F$7,0,960)</f>
        <v>64485.416666666664</v>
      </c>
      <c r="BD24" s="37">
        <f>SLN(assumptions!$F$7,0,960)</f>
        <v>64485.416666666664</v>
      </c>
      <c r="BE24" s="37">
        <f>SLN(assumptions!$F$7,0,960)</f>
        <v>64485.416666666664</v>
      </c>
      <c r="BF24" s="37">
        <f>SLN(assumptions!$F$7,0,960)</f>
        <v>64485.416666666664</v>
      </c>
      <c r="BG24" s="37">
        <f>SLN(assumptions!$F$7,0,960)</f>
        <v>64485.416666666664</v>
      </c>
      <c r="BH24" s="37">
        <f>SLN(assumptions!$F$7,0,960)</f>
        <v>64485.416666666664</v>
      </c>
      <c r="BI24" s="37">
        <f>SLN(assumptions!$F$7,0,960)</f>
        <v>64485.416666666664</v>
      </c>
      <c r="BJ24" s="37">
        <f>SLN(assumptions!$F$7,0,960)</f>
        <v>64485.416666666664</v>
      </c>
      <c r="BK24" s="37">
        <f>SLN(assumptions!$F$7,0,960)</f>
        <v>64485.416666666664</v>
      </c>
      <c r="BL24" s="37">
        <f>SLN(assumptions!$F$7,0,960)</f>
        <v>64485.416666666664</v>
      </c>
    </row>
    <row r="25" spans="1:64" x14ac:dyDescent="0.2">
      <c r="A25" s="71" t="s">
        <v>153</v>
      </c>
      <c r="B25" s="9">
        <f>SLN(assumptions!$F$8,0,120)</f>
        <v>32811.739977949983</v>
      </c>
      <c r="C25" s="9">
        <f>SLN(assumptions!$F$8,0,120)</f>
        <v>32811.739977949983</v>
      </c>
      <c r="D25" s="9">
        <f>SLN(assumptions!$F$8,0,120)</f>
        <v>32811.739977949983</v>
      </c>
      <c r="E25" s="9">
        <f>SLN(assumptions!$F$8,0,120)</f>
        <v>32811.739977949983</v>
      </c>
      <c r="F25" s="9">
        <f>SLN(assumptions!$F$8,0,120)</f>
        <v>32811.739977949983</v>
      </c>
      <c r="G25" s="9">
        <f>SLN(assumptions!$F$8,0,120)</f>
        <v>32811.739977949983</v>
      </c>
      <c r="H25" s="9">
        <f>SLN(assumptions!$F$8,0,120)</f>
        <v>32811.739977949983</v>
      </c>
      <c r="I25" s="9">
        <f>SLN(assumptions!$F$8,0,120)</f>
        <v>32811.739977949983</v>
      </c>
      <c r="J25" s="9">
        <f>SLN(assumptions!$F$8,0,120)</f>
        <v>32811.739977949983</v>
      </c>
      <c r="K25" s="9">
        <f>SLN(assumptions!$F$8,0,120)</f>
        <v>32811.739977949983</v>
      </c>
      <c r="L25" s="9">
        <f>SLN(assumptions!$F$8,0,120)</f>
        <v>32811.739977949983</v>
      </c>
      <c r="M25" s="9">
        <f>SLN(assumptions!$F$8,0,120)</f>
        <v>32811.739977949983</v>
      </c>
      <c r="N25" s="9">
        <f>SLN(assumptions!$F$8,0,120)</f>
        <v>32811.739977949983</v>
      </c>
      <c r="O25" s="9">
        <f>SLN(assumptions!$F$8,0,120)</f>
        <v>32811.739977949983</v>
      </c>
      <c r="P25" s="9">
        <f>SLN(assumptions!$F$8,0,120)</f>
        <v>32811.739977949983</v>
      </c>
      <c r="Q25" s="9">
        <f>SLN(assumptions!$F$8,0,120)</f>
        <v>32811.739977949983</v>
      </c>
      <c r="R25" s="9">
        <f>SLN(assumptions!$F$8,0,120)</f>
        <v>32811.739977949983</v>
      </c>
      <c r="S25" s="9">
        <f>SLN(assumptions!$F$8,0,120)</f>
        <v>32811.739977949983</v>
      </c>
      <c r="T25" s="9">
        <f>SLN(assumptions!$F$8,0,120)</f>
        <v>32811.739977949983</v>
      </c>
      <c r="U25" s="9">
        <f>SLN(assumptions!$F$8,0,120)</f>
        <v>32811.739977949983</v>
      </c>
      <c r="V25" s="9">
        <f>SLN(assumptions!$F$8,0,120)</f>
        <v>32811.739977949983</v>
      </c>
      <c r="W25" s="9">
        <f>SLN(assumptions!$F$8,0,120)</f>
        <v>32811.739977949983</v>
      </c>
      <c r="X25" s="9">
        <f>SLN(assumptions!$F$8,0,120)</f>
        <v>32811.739977949983</v>
      </c>
      <c r="Y25" s="9">
        <f>SLN(assumptions!$F$8,0,120)</f>
        <v>32811.739977949983</v>
      </c>
      <c r="Z25" s="9">
        <f>SLN(assumptions!$F$8,0,120)</f>
        <v>32811.739977949983</v>
      </c>
      <c r="AA25" s="9">
        <f>SLN(assumptions!$F$8,0,120)</f>
        <v>32811.739977949983</v>
      </c>
      <c r="AB25" s="9">
        <f>SLN(assumptions!$F$8,0,120)</f>
        <v>32811.739977949983</v>
      </c>
      <c r="AC25" s="9">
        <f>SLN(assumptions!$F$8,0,120)</f>
        <v>32811.739977949983</v>
      </c>
      <c r="AD25" s="9">
        <f>SLN(assumptions!$F$8,0,120)</f>
        <v>32811.739977949983</v>
      </c>
      <c r="AE25" s="9">
        <f>SLN(assumptions!$F$8,0,120)</f>
        <v>32811.739977949983</v>
      </c>
      <c r="AF25" s="9">
        <f>SLN(assumptions!$F$8,0,120)</f>
        <v>32811.739977949983</v>
      </c>
      <c r="AG25" s="9">
        <f>SLN(assumptions!$F$8,0,120)</f>
        <v>32811.739977949983</v>
      </c>
      <c r="AH25" s="9">
        <f>SLN(assumptions!$F$8,0,120)</f>
        <v>32811.739977949983</v>
      </c>
      <c r="AI25" s="9">
        <f>SLN(assumptions!$F$8,0,120)</f>
        <v>32811.739977949983</v>
      </c>
      <c r="AJ25" s="9">
        <f>SLN(assumptions!$F$8,0,120)</f>
        <v>32811.739977949983</v>
      </c>
      <c r="AK25" s="9">
        <f>SLN(assumptions!$F$8,0,120)</f>
        <v>32811.739977949983</v>
      </c>
      <c r="AL25" s="9">
        <f>SLN(assumptions!$F$8,0,120)</f>
        <v>32811.739977949983</v>
      </c>
      <c r="AM25" s="9">
        <f>SLN(assumptions!$F$8,0,120)</f>
        <v>32811.739977949983</v>
      </c>
      <c r="AN25" s="9">
        <f>SLN(assumptions!$F$8,0,120)</f>
        <v>32811.739977949983</v>
      </c>
      <c r="AO25" s="9">
        <f>SLN(assumptions!$F$8,0,120)</f>
        <v>32811.739977949983</v>
      </c>
      <c r="AP25" s="9">
        <f>SLN(assumptions!$F$8,0,120)</f>
        <v>32811.739977949983</v>
      </c>
      <c r="AQ25" s="9">
        <f>SLN(assumptions!$F$8,0,120)</f>
        <v>32811.739977949983</v>
      </c>
      <c r="AR25" s="9">
        <f>SLN(assumptions!$F$8,0,120)</f>
        <v>32811.739977949983</v>
      </c>
      <c r="AS25" s="9">
        <f>SLN(assumptions!$F$8,0,120)</f>
        <v>32811.739977949983</v>
      </c>
      <c r="AT25" s="9">
        <f>SLN(assumptions!$F$8,0,120)</f>
        <v>32811.739977949983</v>
      </c>
      <c r="AU25" s="9">
        <f>SLN(assumptions!$F$8,0,120)</f>
        <v>32811.739977949983</v>
      </c>
      <c r="AV25" s="9">
        <f>SLN(assumptions!$F$8,0,120)</f>
        <v>32811.739977949983</v>
      </c>
      <c r="AW25" s="9">
        <f>SLN(assumptions!$F$8,0,120)</f>
        <v>32811.739977949983</v>
      </c>
      <c r="AX25" s="9">
        <f>SLN(assumptions!$F$8,0,120)</f>
        <v>32811.739977949983</v>
      </c>
      <c r="AY25" s="9">
        <f>SLN(assumptions!$F$8,0,120)</f>
        <v>32811.739977949983</v>
      </c>
      <c r="AZ25" s="9">
        <f>SLN(assumptions!$F$8,0,120)</f>
        <v>32811.739977949983</v>
      </c>
      <c r="BA25" s="9">
        <f>SLN(assumptions!$F$8,0,120)</f>
        <v>32811.739977949983</v>
      </c>
      <c r="BB25" s="9">
        <f>SLN(assumptions!$F$8,0,120)</f>
        <v>32811.739977949983</v>
      </c>
      <c r="BC25" s="9">
        <f>SLN(assumptions!$F$8,0,120)</f>
        <v>32811.739977949983</v>
      </c>
      <c r="BD25" s="9">
        <f>SLN(assumptions!$F$8,0,120)</f>
        <v>32811.739977949983</v>
      </c>
      <c r="BE25" s="9">
        <f>SLN(assumptions!$F$8,0,120)</f>
        <v>32811.739977949983</v>
      </c>
      <c r="BF25" s="9">
        <f>SLN(assumptions!$F$8,0,120)</f>
        <v>32811.739977949983</v>
      </c>
      <c r="BG25" s="9">
        <f>SLN(assumptions!$F$8,0,120)</f>
        <v>32811.739977949983</v>
      </c>
      <c r="BH25" s="9">
        <f>SLN(assumptions!$F$8,0,120)</f>
        <v>32811.739977949983</v>
      </c>
      <c r="BI25" s="9">
        <f>SLN(assumptions!$F$8,0,120)</f>
        <v>32811.739977949983</v>
      </c>
      <c r="BJ25" s="9">
        <f>SLN(assumptions!$F$8,0,120)</f>
        <v>32811.739977949983</v>
      </c>
      <c r="BK25" s="9">
        <f>SLN(assumptions!$F$8,0,120)</f>
        <v>32811.739977949983</v>
      </c>
      <c r="BL25" s="9">
        <f>SLN(assumptions!$F$8,0,120)</f>
        <v>32811.739977949983</v>
      </c>
    </row>
    <row r="26" spans="1:64" x14ac:dyDescent="0.2">
      <c r="A26" s="71"/>
    </row>
    <row r="27" spans="1:64" x14ac:dyDescent="0.2">
      <c r="A27" s="72" t="s">
        <v>169</v>
      </c>
      <c r="B27" s="67">
        <f>B21-SUM(B23:B25)</f>
        <v>475732.01002205</v>
      </c>
      <c r="C27" s="67">
        <f t="shared" ref="C27:BL27" si="6">C21-SUM(C23:C25)</f>
        <v>451792.01002205</v>
      </c>
      <c r="D27" s="67">
        <f t="shared" si="6"/>
        <v>-630435.06299320387</v>
      </c>
      <c r="E27" s="67">
        <f t="shared" si="6"/>
        <v>475732.01002205</v>
      </c>
      <c r="F27" s="67">
        <f t="shared" si="6"/>
        <v>403912.01002205</v>
      </c>
      <c r="G27" s="67">
        <f t="shared" si="6"/>
        <v>-606387.95271026355</v>
      </c>
      <c r="H27" s="67">
        <f t="shared" si="6"/>
        <v>451792.01002205</v>
      </c>
      <c r="I27" s="67">
        <f t="shared" si="6"/>
        <v>475732.01002205</v>
      </c>
      <c r="J27" s="67">
        <f t="shared" si="6"/>
        <v>-642351.50785173371</v>
      </c>
      <c r="K27" s="67">
        <f t="shared" si="6"/>
        <v>475732.01002205</v>
      </c>
      <c r="L27" s="67">
        <f t="shared" si="6"/>
        <v>475732.01002205</v>
      </c>
      <c r="M27" s="67">
        <f t="shared" si="6"/>
        <v>-654375.06299320387</v>
      </c>
      <c r="N27" s="67">
        <f t="shared" si="6"/>
        <v>723112.01002205024</v>
      </c>
      <c r="O27" s="67">
        <f t="shared" si="6"/>
        <v>691192.01002205024</v>
      </c>
      <c r="P27" s="67">
        <f t="shared" si="6"/>
        <v>-361506.77843002242</v>
      </c>
      <c r="Q27" s="67">
        <f t="shared" si="6"/>
        <v>723112.01002205024</v>
      </c>
      <c r="R27" s="67">
        <f t="shared" si="6"/>
        <v>627352.01002205024</v>
      </c>
      <c r="S27" s="67">
        <f t="shared" si="6"/>
        <v>-316431.62943940132</v>
      </c>
      <c r="T27" s="67">
        <f t="shared" si="6"/>
        <v>691192.01002205024</v>
      </c>
      <c r="U27" s="67">
        <f t="shared" si="6"/>
        <v>723112.01002205024</v>
      </c>
      <c r="V27" s="67">
        <f t="shared" si="6"/>
        <v>-337285.57322143635</v>
      </c>
      <c r="W27" s="67">
        <f t="shared" si="6"/>
        <v>723112.01002205024</v>
      </c>
      <c r="X27" s="67">
        <f t="shared" si="6"/>
        <v>723112.01002205024</v>
      </c>
      <c r="Y27" s="67">
        <f t="shared" si="6"/>
        <v>-325503.73325362673</v>
      </c>
      <c r="Z27" s="67">
        <f t="shared" si="6"/>
        <v>927092.01002205024</v>
      </c>
      <c r="AA27" s="67">
        <f t="shared" si="6"/>
        <v>888592.01002205024</v>
      </c>
      <c r="AB27" s="67">
        <f t="shared" si="6"/>
        <v>-82342.467643516953</v>
      </c>
      <c r="AC27" s="67">
        <f t="shared" si="6"/>
        <v>927092.01002205024</v>
      </c>
      <c r="AD27" s="67">
        <f t="shared" si="6"/>
        <v>811592.01002205024</v>
      </c>
      <c r="AE27" s="67">
        <f t="shared" si="6"/>
        <v>-37077.141746879905</v>
      </c>
      <c r="AF27" s="67">
        <f t="shared" si="6"/>
        <v>888592.01002205024</v>
      </c>
      <c r="AG27" s="67">
        <f t="shared" si="6"/>
        <v>927092.01002205024</v>
      </c>
      <c r="AH27" s="67">
        <f t="shared" si="6"/>
        <v>-61810.678725660895</v>
      </c>
      <c r="AI27" s="67">
        <f t="shared" si="6"/>
        <v>927092.01002205024</v>
      </c>
      <c r="AJ27" s="67">
        <f t="shared" si="6"/>
        <v>927092.01002205024</v>
      </c>
      <c r="AK27" s="67">
        <f t="shared" si="6"/>
        <v>-47229.718562364695</v>
      </c>
      <c r="AL27" s="67">
        <f t="shared" si="6"/>
        <v>927092.01002205024</v>
      </c>
      <c r="AM27" s="67">
        <f t="shared" si="6"/>
        <v>888592.01002205024</v>
      </c>
      <c r="AN27" s="67">
        <f t="shared" si="6"/>
        <v>16588.072815592168</v>
      </c>
      <c r="AO27" s="67">
        <f t="shared" si="6"/>
        <v>927092.01002205024</v>
      </c>
      <c r="AP27" s="67">
        <f t="shared" si="6"/>
        <v>850092.01002205024</v>
      </c>
      <c r="AQ27" s="67">
        <f t="shared" si="6"/>
        <v>52030.411055773613</v>
      </c>
      <c r="AR27" s="67">
        <f t="shared" si="6"/>
        <v>888592.01002205024</v>
      </c>
      <c r="AS27" s="67">
        <f t="shared" si="6"/>
        <v>927092.01002205024</v>
      </c>
      <c r="AT27" s="67">
        <f t="shared" si="6"/>
        <v>39780.057969711605</v>
      </c>
      <c r="AU27" s="67">
        <f t="shared" si="6"/>
        <v>927092.01002205024</v>
      </c>
      <c r="AV27" s="67">
        <f t="shared" si="6"/>
        <v>927092.01002205024</v>
      </c>
      <c r="AW27" s="67">
        <f t="shared" si="6"/>
        <v>57517.75949858455</v>
      </c>
      <c r="AX27" s="67">
        <f t="shared" si="6"/>
        <v>927092.01002205024</v>
      </c>
      <c r="AY27" s="67">
        <f t="shared" si="6"/>
        <v>888592.01002205024</v>
      </c>
      <c r="AZ27" s="67">
        <f t="shared" si="6"/>
        <v>110656.9482999898</v>
      </c>
      <c r="BA27" s="67">
        <f t="shared" si="6"/>
        <v>927092.01002205024</v>
      </c>
      <c r="BB27" s="67">
        <f t="shared" si="6"/>
        <v>811592.01002205024</v>
      </c>
      <c r="BC27" s="67">
        <f t="shared" si="6"/>
        <v>155949.832857623</v>
      </c>
      <c r="BD27" s="67">
        <f t="shared" si="6"/>
        <v>888592.01002205024</v>
      </c>
      <c r="BE27" s="67">
        <f t="shared" si="6"/>
        <v>927092.01002205024</v>
      </c>
      <c r="BF27" s="67">
        <f t="shared" si="6"/>
        <v>137646.02137128368</v>
      </c>
      <c r="BG27" s="67">
        <f t="shared" si="6"/>
        <v>927092.01002205024</v>
      </c>
      <c r="BH27" s="67">
        <f t="shared" si="6"/>
        <v>927092.01002205024</v>
      </c>
      <c r="BI27" s="67">
        <f t="shared" si="6"/>
        <v>158886.46932229551</v>
      </c>
      <c r="BJ27" s="67">
        <f t="shared" si="6"/>
        <v>927092.01002205024</v>
      </c>
      <c r="BK27" s="67">
        <f t="shared" si="6"/>
        <v>888592.01002205024</v>
      </c>
      <c r="BL27" s="67">
        <f t="shared" si="6"/>
        <v>227312.4516545377</v>
      </c>
    </row>
    <row r="28" spans="1:64" x14ac:dyDescent="0.2">
      <c r="A28" s="30"/>
    </row>
    <row r="29" spans="1:64" x14ac:dyDescent="0.2">
      <c r="A29" s="3" t="s">
        <v>171</v>
      </c>
    </row>
    <row r="30" spans="1:64" ht="13.5" x14ac:dyDescent="0.25">
      <c r="A30" s="87" t="s">
        <v>112</v>
      </c>
      <c r="B30" s="13">
        <v>0</v>
      </c>
      <c r="C30" s="13">
        <f>B47</f>
        <v>1000000</v>
      </c>
      <c r="D30" s="13">
        <f t="shared" ref="D30:BL30" si="7">C47</f>
        <v>1000000</v>
      </c>
      <c r="E30" s="13">
        <f t="shared" si="7"/>
        <v>434050.35367346276</v>
      </c>
      <c r="F30" s="13">
        <f t="shared" si="7"/>
        <v>1000000</v>
      </c>
      <c r="G30" s="13">
        <f t="shared" si="7"/>
        <v>1000000</v>
      </c>
      <c r="H30" s="13">
        <f t="shared" si="7"/>
        <v>458097.46395640308</v>
      </c>
      <c r="I30" s="13">
        <f t="shared" si="7"/>
        <v>1000000</v>
      </c>
      <c r="J30" s="13">
        <f t="shared" si="7"/>
        <v>1000000.0000000001</v>
      </c>
      <c r="K30" s="13">
        <f t="shared" si="7"/>
        <v>422133.90881493303</v>
      </c>
      <c r="L30" s="13">
        <f t="shared" si="7"/>
        <v>1000000</v>
      </c>
      <c r="M30" s="13">
        <f t="shared" si="7"/>
        <v>1000000.0000000001</v>
      </c>
      <c r="N30" s="13">
        <f t="shared" si="7"/>
        <v>1000000</v>
      </c>
      <c r="O30" s="13">
        <f t="shared" si="7"/>
        <v>999999.99999999988</v>
      </c>
      <c r="P30" s="13">
        <f t="shared" si="7"/>
        <v>1000000</v>
      </c>
      <c r="Q30" s="13">
        <f t="shared" si="7"/>
        <v>1000000</v>
      </c>
      <c r="R30" s="13">
        <f t="shared" si="7"/>
        <v>999999.99999999988</v>
      </c>
      <c r="S30" s="13">
        <f t="shared" si="7"/>
        <v>1000000</v>
      </c>
      <c r="T30" s="13">
        <f t="shared" si="7"/>
        <v>1000000</v>
      </c>
      <c r="U30" s="13">
        <f t="shared" si="7"/>
        <v>999999.99999999988</v>
      </c>
      <c r="V30" s="13">
        <f t="shared" si="7"/>
        <v>1000000</v>
      </c>
      <c r="W30" s="13">
        <f t="shared" si="7"/>
        <v>1000000</v>
      </c>
      <c r="X30" s="13">
        <f t="shared" si="7"/>
        <v>999999.99999999988</v>
      </c>
      <c r="Y30" s="13">
        <f t="shared" si="7"/>
        <v>1000000</v>
      </c>
      <c r="Z30" s="13">
        <f t="shared" si="7"/>
        <v>1000000</v>
      </c>
      <c r="AA30" s="13">
        <f t="shared" si="7"/>
        <v>999999.99999999988</v>
      </c>
      <c r="AB30" s="13">
        <f t="shared" si="7"/>
        <v>1000000</v>
      </c>
      <c r="AC30" s="13">
        <f t="shared" si="7"/>
        <v>1000000</v>
      </c>
      <c r="AD30" s="13">
        <f t="shared" si="7"/>
        <v>999999.99999999988</v>
      </c>
      <c r="AE30" s="13">
        <f t="shared" si="7"/>
        <v>1000000</v>
      </c>
      <c r="AF30" s="13">
        <f t="shared" si="7"/>
        <v>1000000</v>
      </c>
      <c r="AG30" s="13">
        <f t="shared" si="7"/>
        <v>999999.99999999988</v>
      </c>
      <c r="AH30" s="13">
        <f t="shared" si="7"/>
        <v>1000000</v>
      </c>
      <c r="AI30" s="13">
        <f t="shared" si="7"/>
        <v>1000000</v>
      </c>
      <c r="AJ30" s="13">
        <f t="shared" si="7"/>
        <v>999999.99999999988</v>
      </c>
      <c r="AK30" s="13">
        <f t="shared" si="7"/>
        <v>1000000</v>
      </c>
      <c r="AL30" s="13">
        <f t="shared" si="7"/>
        <v>1000000</v>
      </c>
      <c r="AM30" s="13">
        <f t="shared" si="7"/>
        <v>999999.99999999988</v>
      </c>
      <c r="AN30" s="13">
        <f t="shared" si="7"/>
        <v>1000000</v>
      </c>
      <c r="AO30" s="13">
        <f t="shared" si="7"/>
        <v>1000000</v>
      </c>
      <c r="AP30" s="13">
        <f t="shared" si="7"/>
        <v>999999.99999999988</v>
      </c>
      <c r="AQ30" s="13">
        <f t="shared" si="7"/>
        <v>1000000</v>
      </c>
      <c r="AR30" s="13">
        <f t="shared" si="7"/>
        <v>1000000</v>
      </c>
      <c r="AS30" s="13">
        <f t="shared" si="7"/>
        <v>999999.99999999988</v>
      </c>
      <c r="AT30" s="13">
        <f t="shared" si="7"/>
        <v>1000000</v>
      </c>
      <c r="AU30" s="13">
        <f t="shared" si="7"/>
        <v>1000000</v>
      </c>
      <c r="AV30" s="13">
        <f t="shared" si="7"/>
        <v>999999.99999999988</v>
      </c>
      <c r="AW30" s="13">
        <f t="shared" si="7"/>
        <v>1000000</v>
      </c>
      <c r="AX30" s="13">
        <f t="shared" si="7"/>
        <v>1000000</v>
      </c>
      <c r="AY30" s="13">
        <f t="shared" si="7"/>
        <v>999999.99999999988</v>
      </c>
      <c r="AZ30" s="13">
        <f t="shared" si="7"/>
        <v>1000000</v>
      </c>
      <c r="BA30" s="13">
        <f t="shared" si="7"/>
        <v>1000000</v>
      </c>
      <c r="BB30" s="13">
        <f t="shared" si="7"/>
        <v>999999.99999999988</v>
      </c>
      <c r="BC30" s="13">
        <f t="shared" si="7"/>
        <v>1000000</v>
      </c>
      <c r="BD30" s="13">
        <f t="shared" si="7"/>
        <v>1000000</v>
      </c>
      <c r="BE30" s="13">
        <f t="shared" si="7"/>
        <v>999999.99999999988</v>
      </c>
      <c r="BF30" s="13">
        <f t="shared" si="7"/>
        <v>1000000</v>
      </c>
      <c r="BG30" s="13">
        <f t="shared" si="7"/>
        <v>1000000</v>
      </c>
      <c r="BH30" s="13">
        <f t="shared" si="7"/>
        <v>999999.99999999988</v>
      </c>
      <c r="BI30" s="13">
        <f t="shared" si="7"/>
        <v>1000000</v>
      </c>
      <c r="BJ30" s="13">
        <f t="shared" si="7"/>
        <v>1000000</v>
      </c>
      <c r="BK30" s="13">
        <f t="shared" si="7"/>
        <v>999999.99999999988</v>
      </c>
      <c r="BL30" s="13">
        <f t="shared" si="7"/>
        <v>1000000</v>
      </c>
    </row>
    <row r="31" spans="1:64" x14ac:dyDescent="0.2">
      <c r="A31" s="68"/>
    </row>
    <row r="32" spans="1:64" x14ac:dyDescent="0.2">
      <c r="A32" s="70" t="s">
        <v>113</v>
      </c>
    </row>
    <row r="33" spans="1:64" x14ac:dyDescent="0.2">
      <c r="A33" s="71" t="s">
        <v>114</v>
      </c>
      <c r="B33" s="90">
        <f>B27</f>
        <v>475732.01002205</v>
      </c>
      <c r="C33" s="90">
        <f t="shared" ref="C33:BL33" si="8">C27</f>
        <v>451792.01002205</v>
      </c>
      <c r="D33" s="90">
        <f t="shared" si="8"/>
        <v>-630435.06299320387</v>
      </c>
      <c r="E33" s="90">
        <f t="shared" si="8"/>
        <v>475732.01002205</v>
      </c>
      <c r="F33" s="90">
        <f t="shared" si="8"/>
        <v>403912.01002205</v>
      </c>
      <c r="G33" s="90">
        <f t="shared" si="8"/>
        <v>-606387.95271026355</v>
      </c>
      <c r="H33" s="90">
        <f t="shared" si="8"/>
        <v>451792.01002205</v>
      </c>
      <c r="I33" s="90">
        <f t="shared" si="8"/>
        <v>475732.01002205</v>
      </c>
      <c r="J33" s="90">
        <f t="shared" si="8"/>
        <v>-642351.50785173371</v>
      </c>
      <c r="K33" s="90">
        <f t="shared" si="8"/>
        <v>475732.01002205</v>
      </c>
      <c r="L33" s="90">
        <f t="shared" si="8"/>
        <v>475732.01002205</v>
      </c>
      <c r="M33" s="90">
        <f t="shared" si="8"/>
        <v>-654375.06299320387</v>
      </c>
      <c r="N33" s="90">
        <f t="shared" si="8"/>
        <v>723112.01002205024</v>
      </c>
      <c r="O33" s="90">
        <f t="shared" si="8"/>
        <v>691192.01002205024</v>
      </c>
      <c r="P33" s="90">
        <f t="shared" si="8"/>
        <v>-361506.77843002242</v>
      </c>
      <c r="Q33" s="90">
        <f t="shared" si="8"/>
        <v>723112.01002205024</v>
      </c>
      <c r="R33" s="90">
        <f t="shared" si="8"/>
        <v>627352.01002205024</v>
      </c>
      <c r="S33" s="90">
        <f t="shared" si="8"/>
        <v>-316431.62943940132</v>
      </c>
      <c r="T33" s="90">
        <f t="shared" si="8"/>
        <v>691192.01002205024</v>
      </c>
      <c r="U33" s="90">
        <f t="shared" si="8"/>
        <v>723112.01002205024</v>
      </c>
      <c r="V33" s="90">
        <f t="shared" si="8"/>
        <v>-337285.57322143635</v>
      </c>
      <c r="W33" s="90">
        <f t="shared" si="8"/>
        <v>723112.01002205024</v>
      </c>
      <c r="X33" s="90">
        <f t="shared" si="8"/>
        <v>723112.01002205024</v>
      </c>
      <c r="Y33" s="90">
        <f t="shared" si="8"/>
        <v>-325503.73325362673</v>
      </c>
      <c r="Z33" s="90">
        <f t="shared" si="8"/>
        <v>927092.01002205024</v>
      </c>
      <c r="AA33" s="90">
        <f t="shared" si="8"/>
        <v>888592.01002205024</v>
      </c>
      <c r="AB33" s="90">
        <f t="shared" si="8"/>
        <v>-82342.467643516953</v>
      </c>
      <c r="AC33" s="90">
        <f t="shared" si="8"/>
        <v>927092.01002205024</v>
      </c>
      <c r="AD33" s="90">
        <f t="shared" si="8"/>
        <v>811592.01002205024</v>
      </c>
      <c r="AE33" s="90">
        <f t="shared" si="8"/>
        <v>-37077.141746879905</v>
      </c>
      <c r="AF33" s="90">
        <f t="shared" si="8"/>
        <v>888592.01002205024</v>
      </c>
      <c r="AG33" s="90">
        <f t="shared" si="8"/>
        <v>927092.01002205024</v>
      </c>
      <c r="AH33" s="90">
        <f t="shared" si="8"/>
        <v>-61810.678725660895</v>
      </c>
      <c r="AI33" s="90">
        <f t="shared" si="8"/>
        <v>927092.01002205024</v>
      </c>
      <c r="AJ33" s="90">
        <f t="shared" si="8"/>
        <v>927092.01002205024</v>
      </c>
      <c r="AK33" s="90">
        <f t="shared" si="8"/>
        <v>-47229.718562364695</v>
      </c>
      <c r="AL33" s="90">
        <f t="shared" si="8"/>
        <v>927092.01002205024</v>
      </c>
      <c r="AM33" s="90">
        <f t="shared" si="8"/>
        <v>888592.01002205024</v>
      </c>
      <c r="AN33" s="90">
        <f t="shared" si="8"/>
        <v>16588.072815592168</v>
      </c>
      <c r="AO33" s="90">
        <f t="shared" si="8"/>
        <v>927092.01002205024</v>
      </c>
      <c r="AP33" s="90">
        <f t="shared" si="8"/>
        <v>850092.01002205024</v>
      </c>
      <c r="AQ33" s="90">
        <f t="shared" si="8"/>
        <v>52030.411055773613</v>
      </c>
      <c r="AR33" s="90">
        <f t="shared" si="8"/>
        <v>888592.01002205024</v>
      </c>
      <c r="AS33" s="90">
        <f t="shared" si="8"/>
        <v>927092.01002205024</v>
      </c>
      <c r="AT33" s="90">
        <f t="shared" si="8"/>
        <v>39780.057969711605</v>
      </c>
      <c r="AU33" s="90">
        <f t="shared" si="8"/>
        <v>927092.01002205024</v>
      </c>
      <c r="AV33" s="90">
        <f t="shared" si="8"/>
        <v>927092.01002205024</v>
      </c>
      <c r="AW33" s="90">
        <f t="shared" si="8"/>
        <v>57517.75949858455</v>
      </c>
      <c r="AX33" s="90">
        <f t="shared" si="8"/>
        <v>927092.01002205024</v>
      </c>
      <c r="AY33" s="90">
        <f t="shared" si="8"/>
        <v>888592.01002205024</v>
      </c>
      <c r="AZ33" s="90">
        <f t="shared" si="8"/>
        <v>110656.9482999898</v>
      </c>
      <c r="BA33" s="90">
        <f t="shared" si="8"/>
        <v>927092.01002205024</v>
      </c>
      <c r="BB33" s="90">
        <f t="shared" si="8"/>
        <v>811592.01002205024</v>
      </c>
      <c r="BC33" s="90">
        <f t="shared" si="8"/>
        <v>155949.832857623</v>
      </c>
      <c r="BD33" s="90">
        <f t="shared" si="8"/>
        <v>888592.01002205024</v>
      </c>
      <c r="BE33" s="90">
        <f t="shared" si="8"/>
        <v>927092.01002205024</v>
      </c>
      <c r="BF33" s="90">
        <f t="shared" si="8"/>
        <v>137646.02137128368</v>
      </c>
      <c r="BG33" s="90">
        <f t="shared" si="8"/>
        <v>927092.01002205024</v>
      </c>
      <c r="BH33" s="90">
        <f t="shared" si="8"/>
        <v>927092.01002205024</v>
      </c>
      <c r="BI33" s="90">
        <f t="shared" si="8"/>
        <v>158886.46932229551</v>
      </c>
      <c r="BJ33" s="90">
        <f t="shared" si="8"/>
        <v>927092.01002205024</v>
      </c>
      <c r="BK33" s="90">
        <f t="shared" si="8"/>
        <v>888592.01002205024</v>
      </c>
      <c r="BL33" s="90">
        <f t="shared" si="8"/>
        <v>227312.4516545377</v>
      </c>
    </row>
    <row r="34" spans="1:64" x14ac:dyDescent="0.2">
      <c r="A34" s="71" t="s">
        <v>115</v>
      </c>
      <c r="B34" s="89">
        <f>B24</f>
        <v>64485.416666666664</v>
      </c>
      <c r="C34" s="89">
        <f t="shared" ref="C34:BL34" si="9">C24</f>
        <v>64485.416666666664</v>
      </c>
      <c r="D34" s="89">
        <f t="shared" si="9"/>
        <v>64485.416666666664</v>
      </c>
      <c r="E34" s="89">
        <f t="shared" si="9"/>
        <v>64485.416666666664</v>
      </c>
      <c r="F34" s="89">
        <f t="shared" si="9"/>
        <v>64485.416666666664</v>
      </c>
      <c r="G34" s="89">
        <f t="shared" si="9"/>
        <v>64485.416666666664</v>
      </c>
      <c r="H34" s="89">
        <f t="shared" si="9"/>
        <v>64485.416666666664</v>
      </c>
      <c r="I34" s="89">
        <f t="shared" si="9"/>
        <v>64485.416666666664</v>
      </c>
      <c r="J34" s="89">
        <f t="shared" si="9"/>
        <v>64485.416666666664</v>
      </c>
      <c r="K34" s="89">
        <f t="shared" si="9"/>
        <v>64485.416666666664</v>
      </c>
      <c r="L34" s="89">
        <f t="shared" si="9"/>
        <v>64485.416666666664</v>
      </c>
      <c r="M34" s="89">
        <f t="shared" si="9"/>
        <v>64485.416666666664</v>
      </c>
      <c r="N34" s="89">
        <f t="shared" si="9"/>
        <v>64485.416666666664</v>
      </c>
      <c r="O34" s="89">
        <f t="shared" si="9"/>
        <v>64485.416666666664</v>
      </c>
      <c r="P34" s="89">
        <f t="shared" si="9"/>
        <v>64485.416666666664</v>
      </c>
      <c r="Q34" s="89">
        <f t="shared" si="9"/>
        <v>64485.416666666664</v>
      </c>
      <c r="R34" s="89">
        <f t="shared" si="9"/>
        <v>64485.416666666664</v>
      </c>
      <c r="S34" s="89">
        <f t="shared" si="9"/>
        <v>64485.416666666664</v>
      </c>
      <c r="T34" s="89">
        <f t="shared" si="9"/>
        <v>64485.416666666664</v>
      </c>
      <c r="U34" s="89">
        <f t="shared" si="9"/>
        <v>64485.416666666664</v>
      </c>
      <c r="V34" s="89">
        <f t="shared" si="9"/>
        <v>64485.416666666664</v>
      </c>
      <c r="W34" s="89">
        <f t="shared" si="9"/>
        <v>64485.416666666664</v>
      </c>
      <c r="X34" s="89">
        <f t="shared" si="9"/>
        <v>64485.416666666664</v>
      </c>
      <c r="Y34" s="89">
        <f t="shared" si="9"/>
        <v>64485.416666666664</v>
      </c>
      <c r="Z34" s="89">
        <f t="shared" si="9"/>
        <v>64485.416666666664</v>
      </c>
      <c r="AA34" s="89">
        <f t="shared" si="9"/>
        <v>64485.416666666664</v>
      </c>
      <c r="AB34" s="89">
        <f t="shared" si="9"/>
        <v>64485.416666666664</v>
      </c>
      <c r="AC34" s="89">
        <f t="shared" si="9"/>
        <v>64485.416666666664</v>
      </c>
      <c r="AD34" s="89">
        <f t="shared" si="9"/>
        <v>64485.416666666664</v>
      </c>
      <c r="AE34" s="89">
        <f t="shared" si="9"/>
        <v>64485.416666666664</v>
      </c>
      <c r="AF34" s="89">
        <f t="shared" si="9"/>
        <v>64485.416666666664</v>
      </c>
      <c r="AG34" s="89">
        <f t="shared" si="9"/>
        <v>64485.416666666664</v>
      </c>
      <c r="AH34" s="89">
        <f t="shared" si="9"/>
        <v>64485.416666666664</v>
      </c>
      <c r="AI34" s="89">
        <f t="shared" si="9"/>
        <v>64485.416666666664</v>
      </c>
      <c r="AJ34" s="89">
        <f t="shared" si="9"/>
        <v>64485.416666666664</v>
      </c>
      <c r="AK34" s="89">
        <f t="shared" si="9"/>
        <v>64485.416666666664</v>
      </c>
      <c r="AL34" s="89">
        <f t="shared" si="9"/>
        <v>64485.416666666664</v>
      </c>
      <c r="AM34" s="89">
        <f t="shared" si="9"/>
        <v>64485.416666666664</v>
      </c>
      <c r="AN34" s="89">
        <f t="shared" si="9"/>
        <v>64485.416666666664</v>
      </c>
      <c r="AO34" s="89">
        <f t="shared" si="9"/>
        <v>64485.416666666664</v>
      </c>
      <c r="AP34" s="89">
        <f t="shared" si="9"/>
        <v>64485.416666666664</v>
      </c>
      <c r="AQ34" s="89">
        <f t="shared" si="9"/>
        <v>64485.416666666664</v>
      </c>
      <c r="AR34" s="89">
        <f t="shared" si="9"/>
        <v>64485.416666666664</v>
      </c>
      <c r="AS34" s="89">
        <f t="shared" si="9"/>
        <v>64485.416666666664</v>
      </c>
      <c r="AT34" s="89">
        <f t="shared" si="9"/>
        <v>64485.416666666664</v>
      </c>
      <c r="AU34" s="89">
        <f t="shared" si="9"/>
        <v>64485.416666666664</v>
      </c>
      <c r="AV34" s="89">
        <f t="shared" si="9"/>
        <v>64485.416666666664</v>
      </c>
      <c r="AW34" s="89">
        <f t="shared" si="9"/>
        <v>64485.416666666664</v>
      </c>
      <c r="AX34" s="89">
        <f t="shared" si="9"/>
        <v>64485.416666666664</v>
      </c>
      <c r="AY34" s="89">
        <f t="shared" si="9"/>
        <v>64485.416666666664</v>
      </c>
      <c r="AZ34" s="89">
        <f t="shared" si="9"/>
        <v>64485.416666666664</v>
      </c>
      <c r="BA34" s="89">
        <f t="shared" si="9"/>
        <v>64485.416666666664</v>
      </c>
      <c r="BB34" s="89">
        <f t="shared" si="9"/>
        <v>64485.416666666664</v>
      </c>
      <c r="BC34" s="89">
        <f t="shared" si="9"/>
        <v>64485.416666666664</v>
      </c>
      <c r="BD34" s="89">
        <f t="shared" si="9"/>
        <v>64485.416666666664</v>
      </c>
      <c r="BE34" s="89">
        <f t="shared" si="9"/>
        <v>64485.416666666664</v>
      </c>
      <c r="BF34" s="89">
        <f t="shared" si="9"/>
        <v>64485.416666666664</v>
      </c>
      <c r="BG34" s="89">
        <f t="shared" si="9"/>
        <v>64485.416666666664</v>
      </c>
      <c r="BH34" s="89">
        <f t="shared" si="9"/>
        <v>64485.416666666664</v>
      </c>
      <c r="BI34" s="89">
        <f t="shared" si="9"/>
        <v>64485.416666666664</v>
      </c>
      <c r="BJ34" s="89">
        <f t="shared" si="9"/>
        <v>64485.416666666664</v>
      </c>
      <c r="BK34" s="89">
        <f t="shared" si="9"/>
        <v>64485.416666666664</v>
      </c>
      <c r="BL34" s="89">
        <f t="shared" si="9"/>
        <v>64485.416666666664</v>
      </c>
    </row>
    <row r="35" spans="1:64" x14ac:dyDescent="0.2">
      <c r="A35" s="71" t="s">
        <v>116</v>
      </c>
      <c r="B35" s="88">
        <f>SUM(B33:B34)</f>
        <v>540217.42668871663</v>
      </c>
      <c r="C35" s="88">
        <f t="shared" ref="C35:BL35" si="10">SUM(C33:C34)</f>
        <v>516277.42668871669</v>
      </c>
      <c r="D35" s="88">
        <f t="shared" si="10"/>
        <v>-565949.64632653724</v>
      </c>
      <c r="E35" s="88">
        <f t="shared" si="10"/>
        <v>540217.42668871663</v>
      </c>
      <c r="F35" s="88">
        <f t="shared" si="10"/>
        <v>468397.42668871669</v>
      </c>
      <c r="G35" s="88">
        <f t="shared" si="10"/>
        <v>-541902.53604359692</v>
      </c>
      <c r="H35" s="88">
        <f t="shared" si="10"/>
        <v>516277.42668871669</v>
      </c>
      <c r="I35" s="88">
        <f t="shared" si="10"/>
        <v>540217.42668871663</v>
      </c>
      <c r="J35" s="88">
        <f t="shared" si="10"/>
        <v>-577866.09118506708</v>
      </c>
      <c r="K35" s="88">
        <f t="shared" si="10"/>
        <v>540217.42668871663</v>
      </c>
      <c r="L35" s="88">
        <f t="shared" si="10"/>
        <v>540217.42668871663</v>
      </c>
      <c r="M35" s="88">
        <f t="shared" si="10"/>
        <v>-589889.64632653724</v>
      </c>
      <c r="N35" s="88">
        <f t="shared" si="10"/>
        <v>787597.42668871686</v>
      </c>
      <c r="O35" s="88">
        <f t="shared" si="10"/>
        <v>755677.42668871686</v>
      </c>
      <c r="P35" s="88">
        <f t="shared" si="10"/>
        <v>-297021.36176335573</v>
      </c>
      <c r="Q35" s="88">
        <f t="shared" si="10"/>
        <v>787597.42668871686</v>
      </c>
      <c r="R35" s="88">
        <f t="shared" si="10"/>
        <v>691837.42668871686</v>
      </c>
      <c r="S35" s="88">
        <f t="shared" si="10"/>
        <v>-251946.21277273467</v>
      </c>
      <c r="T35" s="88">
        <f t="shared" si="10"/>
        <v>755677.42668871686</v>
      </c>
      <c r="U35" s="88">
        <f t="shared" si="10"/>
        <v>787597.42668871686</v>
      </c>
      <c r="V35" s="88">
        <f t="shared" si="10"/>
        <v>-272800.15655476967</v>
      </c>
      <c r="W35" s="88">
        <f t="shared" si="10"/>
        <v>787597.42668871686</v>
      </c>
      <c r="X35" s="88">
        <f t="shared" si="10"/>
        <v>787597.42668871686</v>
      </c>
      <c r="Y35" s="88">
        <f t="shared" si="10"/>
        <v>-261018.31658696008</v>
      </c>
      <c r="Z35" s="88">
        <f t="shared" si="10"/>
        <v>991577.42668871686</v>
      </c>
      <c r="AA35" s="88">
        <f t="shared" si="10"/>
        <v>953077.42668871686</v>
      </c>
      <c r="AB35" s="88">
        <f t="shared" si="10"/>
        <v>-17857.050976850289</v>
      </c>
      <c r="AC35" s="88">
        <f t="shared" si="10"/>
        <v>991577.42668871686</v>
      </c>
      <c r="AD35" s="88">
        <f t="shared" si="10"/>
        <v>876077.42668871686</v>
      </c>
      <c r="AE35" s="88">
        <f t="shared" si="10"/>
        <v>27408.27491978676</v>
      </c>
      <c r="AF35" s="88">
        <f t="shared" si="10"/>
        <v>953077.42668871686</v>
      </c>
      <c r="AG35" s="88">
        <f t="shared" si="10"/>
        <v>991577.42668871686</v>
      </c>
      <c r="AH35" s="88">
        <f t="shared" si="10"/>
        <v>2674.7379410057692</v>
      </c>
      <c r="AI35" s="88">
        <f t="shared" si="10"/>
        <v>991577.42668871686</v>
      </c>
      <c r="AJ35" s="88">
        <f t="shared" si="10"/>
        <v>991577.42668871686</v>
      </c>
      <c r="AK35" s="88">
        <f t="shared" si="10"/>
        <v>17255.69810430197</v>
      </c>
      <c r="AL35" s="88">
        <f t="shared" si="10"/>
        <v>991577.42668871686</v>
      </c>
      <c r="AM35" s="88">
        <f t="shared" si="10"/>
        <v>953077.42668871686</v>
      </c>
      <c r="AN35" s="88">
        <f t="shared" si="10"/>
        <v>81073.489482258825</v>
      </c>
      <c r="AO35" s="88">
        <f t="shared" si="10"/>
        <v>991577.42668871686</v>
      </c>
      <c r="AP35" s="88">
        <f t="shared" si="10"/>
        <v>914577.42668871686</v>
      </c>
      <c r="AQ35" s="88">
        <f t="shared" si="10"/>
        <v>116515.82772244027</v>
      </c>
      <c r="AR35" s="88">
        <f t="shared" si="10"/>
        <v>953077.42668871686</v>
      </c>
      <c r="AS35" s="88">
        <f t="shared" si="10"/>
        <v>991577.42668871686</v>
      </c>
      <c r="AT35" s="88">
        <f t="shared" si="10"/>
        <v>104265.47463637826</v>
      </c>
      <c r="AU35" s="88">
        <f t="shared" si="10"/>
        <v>991577.42668871686</v>
      </c>
      <c r="AV35" s="88">
        <f t="shared" si="10"/>
        <v>991577.42668871686</v>
      </c>
      <c r="AW35" s="88">
        <f t="shared" si="10"/>
        <v>122003.17616525121</v>
      </c>
      <c r="AX35" s="88">
        <f t="shared" si="10"/>
        <v>991577.42668871686</v>
      </c>
      <c r="AY35" s="88">
        <f t="shared" si="10"/>
        <v>953077.42668871686</v>
      </c>
      <c r="AZ35" s="88">
        <f t="shared" si="10"/>
        <v>175142.36496665646</v>
      </c>
      <c r="BA35" s="88">
        <f t="shared" si="10"/>
        <v>991577.42668871686</v>
      </c>
      <c r="BB35" s="88">
        <f t="shared" si="10"/>
        <v>876077.42668871686</v>
      </c>
      <c r="BC35" s="88">
        <f t="shared" si="10"/>
        <v>220435.24952428965</v>
      </c>
      <c r="BD35" s="88">
        <f t="shared" si="10"/>
        <v>953077.42668871686</v>
      </c>
      <c r="BE35" s="88">
        <f t="shared" si="10"/>
        <v>991577.42668871686</v>
      </c>
      <c r="BF35" s="88">
        <f t="shared" si="10"/>
        <v>202131.43803795034</v>
      </c>
      <c r="BG35" s="88">
        <f t="shared" si="10"/>
        <v>991577.42668871686</v>
      </c>
      <c r="BH35" s="88">
        <f t="shared" si="10"/>
        <v>991577.42668871686</v>
      </c>
      <c r="BI35" s="88">
        <f t="shared" si="10"/>
        <v>223371.88598896217</v>
      </c>
      <c r="BJ35" s="88">
        <f t="shared" si="10"/>
        <v>991577.42668871686</v>
      </c>
      <c r="BK35" s="88">
        <f t="shared" si="10"/>
        <v>953077.42668871686</v>
      </c>
      <c r="BL35" s="88">
        <f t="shared" si="10"/>
        <v>291797.86832120438</v>
      </c>
    </row>
    <row r="36" spans="1:64" x14ac:dyDescent="0.2">
      <c r="A36" s="71"/>
      <c r="B36" s="30"/>
    </row>
    <row r="37" spans="1:64" x14ac:dyDescent="0.2">
      <c r="A37" s="72" t="s">
        <v>117</v>
      </c>
      <c r="B37" s="30"/>
    </row>
    <row r="38" spans="1:64" x14ac:dyDescent="0.2">
      <c r="A38" s="71" t="s">
        <v>118</v>
      </c>
      <c r="B38" s="91">
        <f>-assumptions!F9</f>
        <v>-65843408.797353998</v>
      </c>
      <c r="C38" s="10">
        <v>0</v>
      </c>
      <c r="D38" s="10">
        <f>C38</f>
        <v>0</v>
      </c>
      <c r="E38" s="10">
        <f t="shared" ref="E38:BL38" si="11">D38</f>
        <v>0</v>
      </c>
      <c r="F38" s="10">
        <f t="shared" si="11"/>
        <v>0</v>
      </c>
      <c r="G38" s="10">
        <f t="shared" si="11"/>
        <v>0</v>
      </c>
      <c r="H38" s="10">
        <f t="shared" si="11"/>
        <v>0</v>
      </c>
      <c r="I38" s="10">
        <f t="shared" si="11"/>
        <v>0</v>
      </c>
      <c r="J38" s="10">
        <f t="shared" si="11"/>
        <v>0</v>
      </c>
      <c r="K38" s="10">
        <f t="shared" si="11"/>
        <v>0</v>
      </c>
      <c r="L38" s="10">
        <f t="shared" si="11"/>
        <v>0</v>
      </c>
      <c r="M38" s="10">
        <f t="shared" si="11"/>
        <v>0</v>
      </c>
      <c r="N38" s="10">
        <f t="shared" si="11"/>
        <v>0</v>
      </c>
      <c r="O38" s="10">
        <f t="shared" si="11"/>
        <v>0</v>
      </c>
      <c r="P38" s="10">
        <f t="shared" si="11"/>
        <v>0</v>
      </c>
      <c r="Q38" s="10">
        <f t="shared" si="11"/>
        <v>0</v>
      </c>
      <c r="R38" s="10">
        <f t="shared" si="11"/>
        <v>0</v>
      </c>
      <c r="S38" s="10">
        <f t="shared" si="11"/>
        <v>0</v>
      </c>
      <c r="T38" s="10">
        <f t="shared" si="11"/>
        <v>0</v>
      </c>
      <c r="U38" s="10">
        <f t="shared" si="11"/>
        <v>0</v>
      </c>
      <c r="V38" s="10">
        <f t="shared" si="11"/>
        <v>0</v>
      </c>
      <c r="W38" s="10">
        <f t="shared" si="11"/>
        <v>0</v>
      </c>
      <c r="X38" s="10">
        <f t="shared" si="11"/>
        <v>0</v>
      </c>
      <c r="Y38" s="10">
        <f t="shared" si="11"/>
        <v>0</v>
      </c>
      <c r="Z38" s="10">
        <f t="shared" si="11"/>
        <v>0</v>
      </c>
      <c r="AA38" s="10">
        <f t="shared" si="11"/>
        <v>0</v>
      </c>
      <c r="AB38" s="10">
        <f t="shared" si="11"/>
        <v>0</v>
      </c>
      <c r="AC38" s="10">
        <f t="shared" si="11"/>
        <v>0</v>
      </c>
      <c r="AD38" s="10">
        <f t="shared" si="11"/>
        <v>0</v>
      </c>
      <c r="AE38" s="10">
        <f t="shared" si="11"/>
        <v>0</v>
      </c>
      <c r="AF38" s="10">
        <f t="shared" si="11"/>
        <v>0</v>
      </c>
      <c r="AG38" s="10">
        <f t="shared" si="11"/>
        <v>0</v>
      </c>
      <c r="AH38" s="10">
        <f t="shared" si="11"/>
        <v>0</v>
      </c>
      <c r="AI38" s="10">
        <f t="shared" si="11"/>
        <v>0</v>
      </c>
      <c r="AJ38" s="10">
        <f t="shared" si="11"/>
        <v>0</v>
      </c>
      <c r="AK38" s="10">
        <f t="shared" si="11"/>
        <v>0</v>
      </c>
      <c r="AL38" s="10">
        <f t="shared" si="11"/>
        <v>0</v>
      </c>
      <c r="AM38" s="10">
        <f t="shared" si="11"/>
        <v>0</v>
      </c>
      <c r="AN38" s="10">
        <f t="shared" si="11"/>
        <v>0</v>
      </c>
      <c r="AO38" s="10">
        <f t="shared" si="11"/>
        <v>0</v>
      </c>
      <c r="AP38" s="10">
        <f t="shared" si="11"/>
        <v>0</v>
      </c>
      <c r="AQ38" s="10">
        <f t="shared" si="11"/>
        <v>0</v>
      </c>
      <c r="AR38" s="10">
        <f t="shared" si="11"/>
        <v>0</v>
      </c>
      <c r="AS38" s="10">
        <f t="shared" si="11"/>
        <v>0</v>
      </c>
      <c r="AT38" s="10">
        <f t="shared" si="11"/>
        <v>0</v>
      </c>
      <c r="AU38" s="10">
        <f t="shared" si="11"/>
        <v>0</v>
      </c>
      <c r="AV38" s="10">
        <f t="shared" si="11"/>
        <v>0</v>
      </c>
      <c r="AW38" s="10">
        <f t="shared" si="11"/>
        <v>0</v>
      </c>
      <c r="AX38" s="10">
        <f t="shared" si="11"/>
        <v>0</v>
      </c>
      <c r="AY38" s="10">
        <f t="shared" si="11"/>
        <v>0</v>
      </c>
      <c r="AZ38" s="10">
        <f t="shared" si="11"/>
        <v>0</v>
      </c>
      <c r="BA38" s="10">
        <f t="shared" si="11"/>
        <v>0</v>
      </c>
      <c r="BB38" s="10">
        <f t="shared" si="11"/>
        <v>0</v>
      </c>
      <c r="BC38" s="10">
        <f t="shared" si="11"/>
        <v>0</v>
      </c>
      <c r="BD38" s="10">
        <f t="shared" si="11"/>
        <v>0</v>
      </c>
      <c r="BE38" s="10">
        <f t="shared" si="11"/>
        <v>0</v>
      </c>
      <c r="BF38" s="10">
        <f t="shared" si="11"/>
        <v>0</v>
      </c>
      <c r="BG38" s="10">
        <f t="shared" si="11"/>
        <v>0</v>
      </c>
      <c r="BH38" s="10">
        <f t="shared" si="11"/>
        <v>0</v>
      </c>
      <c r="BI38" s="10">
        <f t="shared" si="11"/>
        <v>0</v>
      </c>
      <c r="BJ38" s="10">
        <f t="shared" si="11"/>
        <v>0</v>
      </c>
      <c r="BK38" s="10">
        <f t="shared" si="11"/>
        <v>0</v>
      </c>
      <c r="BL38" s="10">
        <f t="shared" si="11"/>
        <v>0</v>
      </c>
    </row>
    <row r="39" spans="1:64" x14ac:dyDescent="0.2">
      <c r="A39" s="71" t="s">
        <v>119</v>
      </c>
      <c r="B39" s="92">
        <f t="shared" ref="B39:AG39" si="12">SUM(B38:B38)</f>
        <v>-65843408.797353998</v>
      </c>
      <c r="C39" s="92">
        <f t="shared" si="12"/>
        <v>0</v>
      </c>
      <c r="D39" s="92">
        <f t="shared" si="12"/>
        <v>0</v>
      </c>
      <c r="E39" s="92">
        <f t="shared" si="12"/>
        <v>0</v>
      </c>
      <c r="F39" s="92">
        <f t="shared" si="12"/>
        <v>0</v>
      </c>
      <c r="G39" s="92">
        <f t="shared" si="12"/>
        <v>0</v>
      </c>
      <c r="H39" s="92">
        <f t="shared" si="12"/>
        <v>0</v>
      </c>
      <c r="I39" s="92">
        <f t="shared" si="12"/>
        <v>0</v>
      </c>
      <c r="J39" s="92">
        <f t="shared" si="12"/>
        <v>0</v>
      </c>
      <c r="K39" s="92">
        <f t="shared" si="12"/>
        <v>0</v>
      </c>
      <c r="L39" s="92">
        <f t="shared" si="12"/>
        <v>0</v>
      </c>
      <c r="M39" s="92">
        <f t="shared" si="12"/>
        <v>0</v>
      </c>
      <c r="N39" s="92">
        <f t="shared" si="12"/>
        <v>0</v>
      </c>
      <c r="O39" s="92">
        <f t="shared" si="12"/>
        <v>0</v>
      </c>
      <c r="P39" s="92">
        <f t="shared" si="12"/>
        <v>0</v>
      </c>
      <c r="Q39" s="92">
        <f t="shared" si="12"/>
        <v>0</v>
      </c>
      <c r="R39" s="92">
        <f t="shared" si="12"/>
        <v>0</v>
      </c>
      <c r="S39" s="92">
        <f t="shared" si="12"/>
        <v>0</v>
      </c>
      <c r="T39" s="92">
        <f t="shared" si="12"/>
        <v>0</v>
      </c>
      <c r="U39" s="92">
        <f t="shared" si="12"/>
        <v>0</v>
      </c>
      <c r="V39" s="92">
        <f t="shared" si="12"/>
        <v>0</v>
      </c>
      <c r="W39" s="92">
        <f t="shared" si="12"/>
        <v>0</v>
      </c>
      <c r="X39" s="92">
        <f t="shared" si="12"/>
        <v>0</v>
      </c>
      <c r="Y39" s="92">
        <f t="shared" si="12"/>
        <v>0</v>
      </c>
      <c r="Z39" s="92">
        <f t="shared" si="12"/>
        <v>0</v>
      </c>
      <c r="AA39" s="92">
        <f t="shared" si="12"/>
        <v>0</v>
      </c>
      <c r="AB39" s="92">
        <f t="shared" si="12"/>
        <v>0</v>
      </c>
      <c r="AC39" s="92">
        <f t="shared" si="12"/>
        <v>0</v>
      </c>
      <c r="AD39" s="92">
        <f t="shared" si="12"/>
        <v>0</v>
      </c>
      <c r="AE39" s="92">
        <f t="shared" si="12"/>
        <v>0</v>
      </c>
      <c r="AF39" s="92">
        <f t="shared" si="12"/>
        <v>0</v>
      </c>
      <c r="AG39" s="92">
        <f t="shared" si="12"/>
        <v>0</v>
      </c>
      <c r="AH39" s="92">
        <f t="shared" ref="AH39:BL39" si="13">SUM(AH38:AH38)</f>
        <v>0</v>
      </c>
      <c r="AI39" s="92">
        <f t="shared" si="13"/>
        <v>0</v>
      </c>
      <c r="AJ39" s="92">
        <f t="shared" si="13"/>
        <v>0</v>
      </c>
      <c r="AK39" s="92">
        <f t="shared" si="13"/>
        <v>0</v>
      </c>
      <c r="AL39" s="92">
        <f t="shared" si="13"/>
        <v>0</v>
      </c>
      <c r="AM39" s="92">
        <f t="shared" si="13"/>
        <v>0</v>
      </c>
      <c r="AN39" s="92">
        <f t="shared" si="13"/>
        <v>0</v>
      </c>
      <c r="AO39" s="92">
        <f t="shared" si="13"/>
        <v>0</v>
      </c>
      <c r="AP39" s="92">
        <f t="shared" si="13"/>
        <v>0</v>
      </c>
      <c r="AQ39" s="92">
        <f t="shared" si="13"/>
        <v>0</v>
      </c>
      <c r="AR39" s="92">
        <f t="shared" si="13"/>
        <v>0</v>
      </c>
      <c r="AS39" s="92">
        <f t="shared" si="13"/>
        <v>0</v>
      </c>
      <c r="AT39" s="92">
        <f t="shared" si="13"/>
        <v>0</v>
      </c>
      <c r="AU39" s="92">
        <f t="shared" si="13"/>
        <v>0</v>
      </c>
      <c r="AV39" s="92">
        <f t="shared" si="13"/>
        <v>0</v>
      </c>
      <c r="AW39" s="92">
        <f t="shared" si="13"/>
        <v>0</v>
      </c>
      <c r="AX39" s="92">
        <f t="shared" si="13"/>
        <v>0</v>
      </c>
      <c r="AY39" s="92">
        <f t="shared" si="13"/>
        <v>0</v>
      </c>
      <c r="AZ39" s="92">
        <f t="shared" si="13"/>
        <v>0</v>
      </c>
      <c r="BA39" s="92">
        <f t="shared" si="13"/>
        <v>0</v>
      </c>
      <c r="BB39" s="92">
        <f t="shared" si="13"/>
        <v>0</v>
      </c>
      <c r="BC39" s="92">
        <f t="shared" si="13"/>
        <v>0</v>
      </c>
      <c r="BD39" s="92">
        <f t="shared" si="13"/>
        <v>0</v>
      </c>
      <c r="BE39" s="92">
        <f t="shared" si="13"/>
        <v>0</v>
      </c>
      <c r="BF39" s="92">
        <f t="shared" si="13"/>
        <v>0</v>
      </c>
      <c r="BG39" s="92">
        <f t="shared" si="13"/>
        <v>0</v>
      </c>
      <c r="BH39" s="92">
        <f t="shared" si="13"/>
        <v>0</v>
      </c>
      <c r="BI39" s="92">
        <f t="shared" si="13"/>
        <v>0</v>
      </c>
      <c r="BJ39" s="92">
        <f t="shared" si="13"/>
        <v>0</v>
      </c>
      <c r="BK39" s="92">
        <f t="shared" si="13"/>
        <v>0</v>
      </c>
      <c r="BL39" s="92">
        <f t="shared" si="13"/>
        <v>0</v>
      </c>
    </row>
    <row r="40" spans="1:64" x14ac:dyDescent="0.2">
      <c r="A40" s="71"/>
      <c r="B40" s="30"/>
    </row>
    <row r="41" spans="1:64" x14ac:dyDescent="0.2">
      <c r="A41" s="72" t="s">
        <v>120</v>
      </c>
      <c r="B41" s="30"/>
    </row>
    <row r="42" spans="1:64" x14ac:dyDescent="0.2">
      <c r="A42" s="71" t="s">
        <v>173</v>
      </c>
      <c r="B42" s="90">
        <f>'LCGG financing'!C28</f>
        <v>55966897.477750897</v>
      </c>
      <c r="C42" s="9">
        <f>IF(ISERROR(HLOOKUP(C7,'LCGG financing'!$C$24:$AP$36,6,FALSE)),0,(HLOOKUP(C7,'LCGG financing'!$C$24:$AP$36,6,FALSE)))</f>
        <v>0</v>
      </c>
      <c r="D42" s="9">
        <f>IF(ISERROR(HLOOKUP(D7,'LCGG financing'!$C$24:$AP$36,6,FALSE)),0,(HLOOKUP(D7,'LCGG financing'!$C$24:$AP$36,6,FALSE)))</f>
        <v>0</v>
      </c>
      <c r="E42" s="9">
        <f>IF(ISERROR(HLOOKUP(E7,'LCGG financing'!$C$24:$AP$36,6,FALSE)),0,(HLOOKUP(E7,'LCGG financing'!$C$24:$AP$36,6,FALSE)))</f>
        <v>0</v>
      </c>
      <c r="F42" s="9">
        <f>IF(ISERROR(HLOOKUP(F7,'LCGG financing'!$C$24:$AP$36,6,FALSE)),0,(HLOOKUP(F7,'LCGG financing'!$C$24:$AP$36,6,FALSE)))</f>
        <v>0</v>
      </c>
      <c r="G42" s="9">
        <f>IF(ISERROR(HLOOKUP(G7,'LCGG financing'!$C$24:$AP$36,6,FALSE)),0,(HLOOKUP(G7,'LCGG financing'!$C$24:$AP$36,6,FALSE)))</f>
        <v>0</v>
      </c>
      <c r="H42" s="9">
        <f>IF(ISERROR(HLOOKUP(H7,'LCGG financing'!$C$24:$AP$36,6,FALSE)),0,(HLOOKUP(H7,'LCGG financing'!$C$24:$AP$36,6,FALSE)))</f>
        <v>0</v>
      </c>
      <c r="I42" s="9">
        <f>IF(ISERROR(HLOOKUP(I7,'LCGG financing'!$C$24:$AP$36,6,FALSE)),0,(HLOOKUP(I7,'LCGG financing'!$C$24:$AP$36,6,FALSE)))</f>
        <v>0</v>
      </c>
      <c r="J42" s="9">
        <f>IF(ISERROR(HLOOKUP(J7,'LCGG financing'!$C$24:$AP$36,6,FALSE)),0,(HLOOKUP(J7,'LCGG financing'!$C$24:$AP$36,6,FALSE)))</f>
        <v>0</v>
      </c>
      <c r="K42" s="9">
        <f>IF(ISERROR(HLOOKUP(K7,'LCGG financing'!$C$24:$AP$36,6,FALSE)),0,(HLOOKUP(K7,'LCGG financing'!$C$24:$AP$36,6,FALSE)))</f>
        <v>0</v>
      </c>
      <c r="L42" s="9">
        <f>IF(ISERROR(HLOOKUP(L7,'LCGG financing'!$C$24:$AP$36,6,FALSE)),0,(HLOOKUP(L7,'LCGG financing'!$C$24:$AP$36,6,FALSE)))</f>
        <v>0</v>
      </c>
      <c r="M42" s="9">
        <f>IF(ISERROR(HLOOKUP(M7,'LCGG financing'!$C$24:$AP$36,6,FALSE)),0,(HLOOKUP(M7,'LCGG financing'!$C$24:$AP$36,6,FALSE)))</f>
        <v>1090242.7511981598</v>
      </c>
      <c r="N42" s="9">
        <f>IF(ISERROR(HLOOKUP(N7,'LCGG financing'!$C$24:$AP$36,6,FALSE)),0,(HLOOKUP(N7,'LCGG financing'!$C$24:$AP$36,6,FALSE)))</f>
        <v>0</v>
      </c>
      <c r="O42" s="9">
        <f>IF(ISERROR(HLOOKUP(O7,'LCGG financing'!$C$24:$AP$36,6,FALSE)),0,(HLOOKUP(O7,'LCGG financing'!$C$24:$AP$36,6,FALSE)))</f>
        <v>0</v>
      </c>
      <c r="P42" s="9">
        <f>IF(ISERROR(HLOOKUP(P7,'LCGG financing'!$C$24:$AP$36,6,FALSE)),0,(HLOOKUP(P7,'LCGG financing'!$C$24:$AP$36,6,FALSE)))</f>
        <v>1111791.035761341</v>
      </c>
      <c r="Q42" s="9">
        <f>IF(ISERROR(HLOOKUP(Q7,'LCGG financing'!$C$24:$AP$36,6,FALSE)),0,(HLOOKUP(Q7,'LCGG financing'!$C$24:$AP$36,6,FALSE)))</f>
        <v>0</v>
      </c>
      <c r="R42" s="9">
        <f>IF(ISERROR(HLOOKUP(R7,'LCGG financing'!$C$24:$AP$36,6,FALSE)),0,(HLOOKUP(R7,'LCGG financing'!$C$24:$AP$36,6,FALSE)))</f>
        <v>0</v>
      </c>
      <c r="S42" s="9">
        <f>IF(ISERROR(HLOOKUP(S7,'LCGG financing'!$C$24:$AP$36,6,FALSE)),0,(HLOOKUP(S7,'LCGG financing'!$C$24:$AP$36,6,FALSE)))</f>
        <v>1156866.1847519618</v>
      </c>
      <c r="T42" s="9">
        <f>IF(ISERROR(HLOOKUP(T7,'LCGG financing'!$C$24:$AP$36,6,FALSE)),0,(HLOOKUP(T7,'LCGG financing'!$C$24:$AP$36,6,FALSE)))</f>
        <v>0</v>
      </c>
      <c r="U42" s="9">
        <f>IF(ISERROR(HLOOKUP(U7,'LCGG financing'!$C$24:$AP$36,6,FALSE)),0,(HLOOKUP(U7,'LCGG financing'!$C$24:$AP$36,6,FALSE)))</f>
        <v>0</v>
      </c>
      <c r="V42" s="9">
        <f>IF(ISERROR(HLOOKUP(V7,'LCGG financing'!$C$24:$AP$36,6,FALSE)),0,(HLOOKUP(V7,'LCGG financing'!$C$24:$AP$36,6,FALSE)))</f>
        <v>1167932.2409699271</v>
      </c>
      <c r="W42" s="9">
        <f>IF(ISERROR(HLOOKUP(W7,'LCGG financing'!$C$24:$AP$36,6,FALSE)),0,(HLOOKUP(W7,'LCGG financing'!$C$24:$AP$36,6,FALSE)))</f>
        <v>0</v>
      </c>
      <c r="X42" s="9">
        <f>IF(ISERROR(HLOOKUP(X7,'LCGG financing'!$C$24:$AP$36,6,FALSE)),0,(HLOOKUP(X7,'LCGG financing'!$C$24:$AP$36,6,FALSE)))</f>
        <v>0</v>
      </c>
      <c r="Y42" s="9">
        <f>IF(ISERROR(HLOOKUP(Y7,'LCGG financing'!$C$24:$AP$36,6,FALSE)),0,(HLOOKUP(Y7,'LCGG financing'!$C$24:$AP$36,6,FALSE)))</f>
        <v>1179714.0809377367</v>
      </c>
      <c r="Z42" s="9">
        <f>IF(ISERROR(HLOOKUP(Z7,'LCGG financing'!$C$24:$AP$36,6,FALSE)),0,(HLOOKUP(Z7,'LCGG financing'!$C$24:$AP$36,6,FALSE)))</f>
        <v>0</v>
      </c>
      <c r="AA42" s="9">
        <f>IF(ISERROR(HLOOKUP(AA7,'LCGG financing'!$C$24:$AP$36,6,FALSE)),0,(HLOOKUP(AA7,'LCGG financing'!$C$24:$AP$36,6,FALSE)))</f>
        <v>0</v>
      </c>
      <c r="AB42" s="9">
        <f>IF(ISERROR(HLOOKUP(AB7,'LCGG financing'!$C$24:$AP$36,6,FALSE)),0,(HLOOKUP(AB7,'LCGG financing'!$C$24:$AP$36,6,FALSE)))</f>
        <v>1186975.3465478462</v>
      </c>
      <c r="AC42" s="9">
        <f>IF(ISERROR(HLOOKUP(AC7,'LCGG financing'!$C$24:$AP$36,6,FALSE)),0,(HLOOKUP(AC7,'LCGG financing'!$C$24:$AP$36,6,FALSE)))</f>
        <v>0</v>
      </c>
      <c r="AD42" s="9">
        <f>IF(ISERROR(HLOOKUP(AD7,'LCGG financing'!$C$24:$AP$36,6,FALSE)),0,(HLOOKUP(AD7,'LCGG financing'!$C$24:$AP$36,6,FALSE)))</f>
        <v>0</v>
      </c>
      <c r="AE42" s="9">
        <f>IF(ISERROR(HLOOKUP(AE7,'LCGG financing'!$C$24:$AP$36,6,FALSE)),0,(HLOOKUP(AE7,'LCGG financing'!$C$24:$AP$36,6,FALSE)))</f>
        <v>1232240.6724444833</v>
      </c>
      <c r="AF42" s="9">
        <f>IF(ISERROR(HLOOKUP(AF7,'LCGG financing'!$C$24:$AP$36,6,FALSE)),0,(HLOOKUP(AF7,'LCGG financing'!$C$24:$AP$36,6,FALSE)))</f>
        <v>0</v>
      </c>
      <c r="AG42" s="9">
        <f>IF(ISERROR(HLOOKUP(AG7,'LCGG financing'!$C$24:$AP$36,6,FALSE)),0,(HLOOKUP(AG7,'LCGG financing'!$C$24:$AP$36,6,FALSE)))</f>
        <v>0</v>
      </c>
      <c r="AH42" s="9">
        <f>IF(ISERROR(HLOOKUP(AH7,'LCGG financing'!$C$24:$AP$36,6,FALSE)),0,(HLOOKUP(AH7,'LCGG financing'!$C$24:$AP$36,6,FALSE)))</f>
        <v>1246007.1354657025</v>
      </c>
      <c r="AI42" s="9">
        <f>IF(ISERROR(HLOOKUP(AI7,'LCGG financing'!$C$24:$AP$36,6,FALSE)),0,(HLOOKUP(AI7,'LCGG financing'!$C$24:$AP$36,6,FALSE)))</f>
        <v>0</v>
      </c>
      <c r="AJ42" s="9">
        <f>IF(ISERROR(HLOOKUP(AJ7,'LCGG financing'!$C$24:$AP$36,6,FALSE)),0,(HLOOKUP(AJ7,'LCGG financing'!$C$24:$AP$36,6,FALSE)))</f>
        <v>0</v>
      </c>
      <c r="AK42" s="9">
        <f>IF(ISERROR(HLOOKUP(AK7,'LCGG financing'!$C$24:$AP$36,6,FALSE)),0,(HLOOKUP(AK7,'LCGG financing'!$C$24:$AP$36,6,FALSE)))</f>
        <v>1260588.0956289987</v>
      </c>
      <c r="AL42" s="9">
        <f>IF(ISERROR(HLOOKUP(AL7,'LCGG financing'!$C$24:$AP$36,6,FALSE)),0,(HLOOKUP(AL7,'LCGG financing'!$C$24:$AP$36,6,FALSE)))</f>
        <v>0</v>
      </c>
      <c r="AM42" s="9">
        <f>IF(ISERROR(HLOOKUP(AM7,'LCGG financing'!$C$24:$AP$36,6,FALSE)),0,(HLOOKUP(AM7,'LCGG financing'!$C$24:$AP$36,6,FALSE)))</f>
        <v>0</v>
      </c>
      <c r="AN42" s="9">
        <f>IF(ISERROR(HLOOKUP(AN7,'LCGG financing'!$C$24:$AP$36,6,FALSE)),0,(HLOOKUP(AN7,'LCGG financing'!$C$24:$AP$36,6,FALSE)))</f>
        <v>1285905.8870069555</v>
      </c>
      <c r="AO42" s="9">
        <f>IF(ISERROR(HLOOKUP(AO7,'LCGG financing'!$C$24:$AP$36,6,FALSE)),0,(HLOOKUP(AO7,'LCGG financing'!$C$24:$AP$36,6,FALSE)))</f>
        <v>0</v>
      </c>
      <c r="AP42" s="9">
        <f>IF(ISERROR(HLOOKUP(AP7,'LCGG financing'!$C$24:$AP$36,6,FALSE)),0,(HLOOKUP(AP7,'LCGG financing'!$C$24:$AP$36,6,FALSE)))</f>
        <v>0</v>
      </c>
      <c r="AQ42" s="9">
        <f>IF(ISERROR(HLOOKUP(AQ7,'LCGG financing'!$C$24:$AP$36,6,FALSE)),0,(HLOOKUP(AQ7,'LCGG financing'!$C$24:$AP$36,6,FALSE)))</f>
        <v>1321348.2252471368</v>
      </c>
      <c r="AR42" s="9">
        <f>IF(ISERROR(HLOOKUP(AR7,'LCGG financing'!$C$24:$AP$36,6,FALSE)),0,(HLOOKUP(AR7,'LCGG financing'!$C$24:$AP$36,6,FALSE)))</f>
        <v>0</v>
      </c>
      <c r="AS42" s="9">
        <f>IF(ISERROR(HLOOKUP(AS7,'LCGG financing'!$C$24:$AP$36,6,FALSE)),0,(HLOOKUP(AS7,'LCGG financing'!$C$24:$AP$36,6,FALSE)))</f>
        <v>0</v>
      </c>
      <c r="AT42" s="9">
        <f>IF(ISERROR(HLOOKUP(AT7,'LCGG financing'!$C$24:$AP$36,6,FALSE)),0,(HLOOKUP(AT7,'LCGG financing'!$C$24:$AP$36,6,FALSE)))</f>
        <v>1347597.872161075</v>
      </c>
      <c r="AU42" s="9">
        <f>IF(ISERROR(HLOOKUP(AU7,'LCGG financing'!$C$24:$AP$36,6,FALSE)),0,(HLOOKUP(AU7,'LCGG financing'!$C$24:$AP$36,6,FALSE)))</f>
        <v>0</v>
      </c>
      <c r="AV42" s="9">
        <f>IF(ISERROR(HLOOKUP(AV7,'LCGG financing'!$C$24:$AP$36,6,FALSE)),0,(HLOOKUP(AV7,'LCGG financing'!$C$24:$AP$36,6,FALSE)))</f>
        <v>0</v>
      </c>
      <c r="AW42" s="9">
        <f>IF(ISERROR(HLOOKUP(AW7,'LCGG financing'!$C$24:$AP$36,6,FALSE)),0,(HLOOKUP(AW7,'LCGG financing'!$C$24:$AP$36,6,FALSE)))</f>
        <v>1365335.5736899478</v>
      </c>
      <c r="AX42" s="9">
        <f>IF(ISERROR(HLOOKUP(AX7,'LCGG financing'!$C$24:$AP$36,6,FALSE)),0,(HLOOKUP(AX7,'LCGG financing'!$C$24:$AP$36,6,FALSE)))</f>
        <v>0</v>
      </c>
      <c r="AY42" s="9">
        <f>IF(ISERROR(HLOOKUP(AY7,'LCGG financing'!$C$24:$AP$36,6,FALSE)),0,(HLOOKUP(AY7,'LCGG financing'!$C$24:$AP$36,6,FALSE)))</f>
        <v>0</v>
      </c>
      <c r="AZ42" s="9">
        <f>IF(ISERROR(HLOOKUP(AZ7,'LCGG financing'!$C$24:$AP$36,6,FALSE)),0,(HLOOKUP(AZ7,'LCGG financing'!$C$24:$AP$36,6,FALSE)))</f>
        <v>1379974.7624913531</v>
      </c>
      <c r="BA42" s="9">
        <f>IF(ISERROR(HLOOKUP(BA7,'LCGG financing'!$C$24:$AP$36,6,FALSE)),0,(HLOOKUP(BA7,'LCGG financing'!$C$24:$AP$36,6,FALSE)))</f>
        <v>0</v>
      </c>
      <c r="BB42" s="9">
        <f>IF(ISERROR(HLOOKUP(BB7,'LCGG financing'!$C$24:$AP$36,6,FALSE)),0,(HLOOKUP(BB7,'LCGG financing'!$C$24:$AP$36,6,FALSE)))</f>
        <v>0</v>
      </c>
      <c r="BC42" s="9">
        <f>IF(ISERROR(HLOOKUP(BC7,'LCGG financing'!$C$24:$AP$36,6,FALSE)),0,(HLOOKUP(BC7,'LCGG financing'!$C$24:$AP$36,6,FALSE)))</f>
        <v>1425267.6470489863</v>
      </c>
      <c r="BD42" s="9">
        <f>IF(ISERROR(HLOOKUP(BD7,'LCGG financing'!$C$24:$AP$36,6,FALSE)),0,(HLOOKUP(BD7,'LCGG financing'!$C$24:$AP$36,6,FALSE)))</f>
        <v>0</v>
      </c>
      <c r="BE42" s="9">
        <f>IF(ISERROR(HLOOKUP(BE7,'LCGG financing'!$C$24:$AP$36,6,FALSE)),0,(HLOOKUP(BE7,'LCGG financing'!$C$24:$AP$36,6,FALSE)))</f>
        <v>0</v>
      </c>
      <c r="BF42" s="9">
        <f>IF(ISERROR(HLOOKUP(BF7,'LCGG financing'!$C$24:$AP$36,6,FALSE)),0,(HLOOKUP(BF7,'LCGG financing'!$C$24:$AP$36,6,FALSE)))</f>
        <v>1445463.8355626469</v>
      </c>
      <c r="BG42" s="9">
        <f>IF(ISERROR(HLOOKUP(BG7,'LCGG financing'!$C$24:$AP$36,6,FALSE)),0,(HLOOKUP(BG7,'LCGG financing'!$C$24:$AP$36,6,FALSE)))</f>
        <v>0</v>
      </c>
      <c r="BH42" s="9">
        <f>IF(ISERROR(HLOOKUP(BH7,'LCGG financing'!$C$24:$AP$36,6,FALSE)),0,(HLOOKUP(BH7,'LCGG financing'!$C$24:$AP$36,6,FALSE)))</f>
        <v>0</v>
      </c>
      <c r="BI42" s="9">
        <f>IF(ISERROR(HLOOKUP(BI7,'LCGG financing'!$C$24:$AP$36,6,FALSE)),0,(HLOOKUP(BI7,'LCGG financing'!$C$24:$AP$36,6,FALSE)))</f>
        <v>1466704.2835136587</v>
      </c>
      <c r="BJ42" s="9">
        <f>IF(ISERROR(HLOOKUP(BJ7,'LCGG financing'!$C$24:$AP$36,6,FALSE)),0,(HLOOKUP(BJ7,'LCGG financing'!$C$24:$AP$36,6,FALSE)))</f>
        <v>0</v>
      </c>
      <c r="BK42" s="9">
        <f>IF(ISERROR(HLOOKUP(BK7,'LCGG financing'!$C$24:$AP$36,6,FALSE)),0,(HLOOKUP(BK7,'LCGG financing'!$C$24:$AP$36,6,FALSE)))</f>
        <v>0</v>
      </c>
      <c r="BL42" s="9">
        <f>IF(ISERROR(HLOOKUP(BL7,'LCGG financing'!$C$24:$AP$36,6,FALSE)),0,(HLOOKUP(BL7,'LCGG financing'!$C$24:$AP$36,6,FALSE)))</f>
        <v>1496630.2658459009</v>
      </c>
    </row>
    <row r="43" spans="1:64" x14ac:dyDescent="0.2">
      <c r="A43" s="71" t="s">
        <v>123</v>
      </c>
      <c r="B43" s="93">
        <f>-B35</f>
        <v>-540217.42668871663</v>
      </c>
      <c r="C43" s="9">
        <f>MIN(0,-C35-C42)+assumptions!$F$28-'LCGG valuation'!C30</f>
        <v>-516277.42668871669</v>
      </c>
      <c r="D43" s="9">
        <f>MIN(0,-D35-D42)+assumptions!$F$28-'LCGG valuation'!D30</f>
        <v>0</v>
      </c>
      <c r="E43" s="9">
        <f>MIN(0,-E35-E42)+assumptions!$F$28-'LCGG valuation'!E30</f>
        <v>25732.219637820614</v>
      </c>
      <c r="F43" s="9">
        <f>MIN(0,-F35-F42)+assumptions!$F$28-'LCGG valuation'!F30</f>
        <v>-468397.42668871675</v>
      </c>
      <c r="G43" s="9">
        <f>MIN(0,-G35-G42)+assumptions!$F$28-'LCGG valuation'!G30</f>
        <v>0</v>
      </c>
      <c r="H43" s="9">
        <f>MIN(0,-H35-H42)+assumptions!$F$28-'LCGG valuation'!H30</f>
        <v>25625.109354880231</v>
      </c>
      <c r="I43" s="9">
        <f>MIN(0,-I35-I42)+assumptions!$F$28-'LCGG valuation'!I30</f>
        <v>-540217.42668871663</v>
      </c>
      <c r="J43" s="9">
        <f>MIN(0,-J35-J42)+assumptions!$F$28-'LCGG valuation'!J30</f>
        <v>0</v>
      </c>
      <c r="K43" s="9">
        <f>MIN(0,-K35-K42)+assumptions!$F$28-'LCGG valuation'!K30</f>
        <v>37648.664496350335</v>
      </c>
      <c r="L43" s="9">
        <f>MIN(0,-L35-L42)+assumptions!$F$28-'LCGG valuation'!L30</f>
        <v>-540217.42668871663</v>
      </c>
      <c r="M43" s="9">
        <f>MIN(0,-M35-M42)+assumptions!$F$28-'LCGG valuation'!M30</f>
        <v>-500353.10487162264</v>
      </c>
      <c r="N43" s="9">
        <f>MIN(0,-N35-N42)+assumptions!$F$28-'LCGG valuation'!N30</f>
        <v>-787597.42668871686</v>
      </c>
      <c r="O43" s="9">
        <f>MIN(0,-O35-O42)+assumptions!$F$28-'LCGG valuation'!O30</f>
        <v>-755677.42668871675</v>
      </c>
      <c r="P43" s="9">
        <f>MIN(0,-P35-P42)+assumptions!$F$28-'LCGG valuation'!P30</f>
        <v>-814769.6739979852</v>
      </c>
      <c r="Q43" s="9">
        <f>MIN(0,-Q35-Q42)+assumptions!$F$28-'LCGG valuation'!Q30</f>
        <v>-787597.42668871686</v>
      </c>
      <c r="R43" s="9">
        <f>MIN(0,-R35-R42)+assumptions!$F$28-'LCGG valuation'!R30</f>
        <v>-691837.42668871675</v>
      </c>
      <c r="S43" s="9">
        <f>MIN(0,-S35-S42)+assumptions!$F$28-'LCGG valuation'!S30</f>
        <v>-904919.97197922715</v>
      </c>
      <c r="T43" s="9">
        <f>MIN(0,-T35-T42)+assumptions!$F$28-'LCGG valuation'!T30</f>
        <v>-755677.42668871686</v>
      </c>
      <c r="U43" s="9">
        <f>MIN(0,-U35-U42)+assumptions!$F$28-'LCGG valuation'!U30</f>
        <v>-787597.42668871675</v>
      </c>
      <c r="V43" s="9">
        <f>MIN(0,-V35-V42)+assumptions!$F$28-'LCGG valuation'!V30</f>
        <v>-895132.08441515733</v>
      </c>
      <c r="W43" s="9">
        <f>MIN(0,-W35-W42)+assumptions!$F$28-'LCGG valuation'!W30</f>
        <v>-787597.42668871686</v>
      </c>
      <c r="X43" s="9">
        <f>MIN(0,-X35-X42)+assumptions!$F$28-'LCGG valuation'!X30</f>
        <v>-787597.42668871675</v>
      </c>
      <c r="Y43" s="9">
        <f>MIN(0,-Y35-Y42)+assumptions!$F$28-'LCGG valuation'!Y30</f>
        <v>-918695.76435077656</v>
      </c>
      <c r="Z43" s="9">
        <f>MIN(0,-Z35-Z42)+assumptions!$F$28-'LCGG valuation'!Z30</f>
        <v>-991577.42668871686</v>
      </c>
      <c r="AA43" s="9">
        <f>MIN(0,-AA35-AA42)+assumptions!$F$28-'LCGG valuation'!AA30</f>
        <v>-953077.42668871675</v>
      </c>
      <c r="AB43" s="9">
        <f>MIN(0,-AB35-AB42)+assumptions!$F$28-'LCGG valuation'!AB30</f>
        <v>-1169118.2955709959</v>
      </c>
      <c r="AC43" s="9">
        <f>MIN(0,-AC35-AC42)+assumptions!$F$28-'LCGG valuation'!AC30</f>
        <v>-991577.42668871686</v>
      </c>
      <c r="AD43" s="9">
        <f>MIN(0,-AD35-AD42)+assumptions!$F$28-'LCGG valuation'!AD30</f>
        <v>-876077.42668871675</v>
      </c>
      <c r="AE43" s="9">
        <f>MIN(0,-AE35-AE42)+assumptions!$F$28-'LCGG valuation'!AE30</f>
        <v>-1259648.94736427</v>
      </c>
      <c r="AF43" s="9">
        <f>MIN(0,-AF35-AF42)+assumptions!$F$28-'LCGG valuation'!AF30</f>
        <v>-953077.42668871686</v>
      </c>
      <c r="AG43" s="9">
        <f>MIN(0,-AG35-AG42)+assumptions!$F$28-'LCGG valuation'!AG30</f>
        <v>-991577.42668871675</v>
      </c>
      <c r="AH43" s="9">
        <f>MIN(0,-AH35-AH42)+assumptions!$F$28-'LCGG valuation'!AH30</f>
        <v>-1248681.8734067082</v>
      </c>
      <c r="AI43" s="9">
        <f>MIN(0,-AI35-AI42)+assumptions!$F$28-'LCGG valuation'!AI30</f>
        <v>-991577.42668871686</v>
      </c>
      <c r="AJ43" s="9">
        <f>MIN(0,-AJ35-AJ42)+assumptions!$F$28-'LCGG valuation'!AJ30</f>
        <v>-991577.42668871675</v>
      </c>
      <c r="AK43" s="9">
        <f>MIN(0,-AK35-AK42)+assumptions!$F$28-'LCGG valuation'!AK30</f>
        <v>-1277843.7937333006</v>
      </c>
      <c r="AL43" s="9">
        <f>MIN(0,-AL35-AL42)+assumptions!$F$28-'LCGG valuation'!AL30</f>
        <v>-991577.42668871686</v>
      </c>
      <c r="AM43" s="9">
        <f>MIN(0,-AM35-AM42)+assumptions!$F$28-'LCGG valuation'!AM30</f>
        <v>-953077.42668871675</v>
      </c>
      <c r="AN43" s="9">
        <f>MIN(0,-AN35-AN42)+assumptions!$F$28-'LCGG valuation'!AN30</f>
        <v>-1366979.3764892144</v>
      </c>
      <c r="AO43" s="9">
        <f>MIN(0,-AO35-AO42)+assumptions!$F$28-'LCGG valuation'!AO30</f>
        <v>-991577.42668871686</v>
      </c>
      <c r="AP43" s="9">
        <f>MIN(0,-AP35-AP42)+assumptions!$F$28-'LCGG valuation'!AP30</f>
        <v>-914577.42668871675</v>
      </c>
      <c r="AQ43" s="9">
        <f>MIN(0,-AQ35-AQ42)+assumptions!$F$28-'LCGG valuation'!AQ30</f>
        <v>-1437864.052969577</v>
      </c>
      <c r="AR43" s="9">
        <f>MIN(0,-AR35-AR42)+assumptions!$F$28-'LCGG valuation'!AR30</f>
        <v>-953077.42668871686</v>
      </c>
      <c r="AS43" s="9">
        <f>MIN(0,-AS35-AS42)+assumptions!$F$28-'LCGG valuation'!AS30</f>
        <v>-991577.42668871675</v>
      </c>
      <c r="AT43" s="9">
        <f>MIN(0,-AT35-AT42)+assumptions!$F$28-'LCGG valuation'!AT30</f>
        <v>-1451863.3467974532</v>
      </c>
      <c r="AU43" s="9">
        <f>MIN(0,-AU35-AU42)+assumptions!$F$28-'LCGG valuation'!AU30</f>
        <v>-991577.42668871686</v>
      </c>
      <c r="AV43" s="9">
        <f>MIN(0,-AV35-AV42)+assumptions!$F$28-'LCGG valuation'!AV30</f>
        <v>-991577.42668871675</v>
      </c>
      <c r="AW43" s="9">
        <f>MIN(0,-AW35-AW42)+assumptions!$F$28-'LCGG valuation'!AW30</f>
        <v>-1487338.7498551991</v>
      </c>
      <c r="AX43" s="9">
        <f>MIN(0,-AX35-AX42)+assumptions!$F$28-'LCGG valuation'!AX30</f>
        <v>-991577.42668871686</v>
      </c>
      <c r="AY43" s="9">
        <f>MIN(0,-AY35-AY42)+assumptions!$F$28-'LCGG valuation'!AY30</f>
        <v>-953077.42668871675</v>
      </c>
      <c r="AZ43" s="9">
        <f>MIN(0,-AZ35-AZ42)+assumptions!$F$28-'LCGG valuation'!AZ30</f>
        <v>-1555117.1274580096</v>
      </c>
      <c r="BA43" s="9">
        <f>MIN(0,-BA35-BA42)+assumptions!$F$28-'LCGG valuation'!BA30</f>
        <v>-991577.42668871686</v>
      </c>
      <c r="BB43" s="9">
        <f>MIN(0,-BB35-BB42)+assumptions!$F$28-'LCGG valuation'!BB30</f>
        <v>-876077.42668871675</v>
      </c>
      <c r="BC43" s="9">
        <f>MIN(0,-BC35-BC42)+assumptions!$F$28-'LCGG valuation'!BC30</f>
        <v>-1645702.896573276</v>
      </c>
      <c r="BD43" s="9">
        <f>MIN(0,-BD35-BD42)+assumptions!$F$28-'LCGG valuation'!BD30</f>
        <v>-953077.42668871686</v>
      </c>
      <c r="BE43" s="9">
        <f>MIN(0,-BE35-BE42)+assumptions!$F$28-'LCGG valuation'!BE30</f>
        <v>-991577.42668871675</v>
      </c>
      <c r="BF43" s="9">
        <f>MIN(0,-BF35-BF42)+assumptions!$F$28-'LCGG valuation'!BF30</f>
        <v>-1647595.2736005972</v>
      </c>
      <c r="BG43" s="9">
        <f>MIN(0,-BG35-BG42)+assumptions!$F$28-'LCGG valuation'!BG30</f>
        <v>-991577.42668871686</v>
      </c>
      <c r="BH43" s="9">
        <f>MIN(0,-BH35-BH42)+assumptions!$F$28-'LCGG valuation'!BH30</f>
        <v>-991577.42668871675</v>
      </c>
      <c r="BI43" s="9">
        <f>MIN(0,-BI35-BI42)+assumptions!$F$28-'LCGG valuation'!BI30</f>
        <v>-1690076.1695026208</v>
      </c>
      <c r="BJ43" s="9">
        <f>MIN(0,-BJ35-BJ42)+assumptions!$F$28-'LCGG valuation'!BJ30</f>
        <v>-991577.42668871686</v>
      </c>
      <c r="BK43" s="9">
        <f>MIN(0,-BK35-BK42)+assumptions!$F$28-'LCGG valuation'!BK30</f>
        <v>-953077.42668871675</v>
      </c>
      <c r="BL43" s="9">
        <f>MIN(0,-BL35-BL42)+assumptions!$F$28-'LCGG valuation'!BL30</f>
        <v>-1788428.1341671052</v>
      </c>
    </row>
    <row r="44" spans="1:64" x14ac:dyDescent="0.2">
      <c r="A44" s="71" t="s">
        <v>122</v>
      </c>
      <c r="B44" s="91">
        <f>-B38-B42+assumptions!F28</f>
        <v>10876511.3196031</v>
      </c>
      <c r="C44" s="10">
        <f>-C39</f>
        <v>0</v>
      </c>
      <c r="D44" s="10">
        <f t="shared" ref="D44:BL44" si="14">-D39</f>
        <v>0</v>
      </c>
      <c r="E44" s="10">
        <f t="shared" si="14"/>
        <v>0</v>
      </c>
      <c r="F44" s="10">
        <f t="shared" si="14"/>
        <v>0</v>
      </c>
      <c r="G44" s="10">
        <f t="shared" si="14"/>
        <v>0</v>
      </c>
      <c r="H44" s="10">
        <f t="shared" si="14"/>
        <v>0</v>
      </c>
      <c r="I44" s="10">
        <f t="shared" si="14"/>
        <v>0</v>
      </c>
      <c r="J44" s="10">
        <f t="shared" si="14"/>
        <v>0</v>
      </c>
      <c r="K44" s="10">
        <f t="shared" si="14"/>
        <v>0</v>
      </c>
      <c r="L44" s="10">
        <f t="shared" si="14"/>
        <v>0</v>
      </c>
      <c r="M44" s="10">
        <f t="shared" si="14"/>
        <v>0</v>
      </c>
      <c r="N44" s="10">
        <f t="shared" si="14"/>
        <v>0</v>
      </c>
      <c r="O44" s="10">
        <f t="shared" si="14"/>
        <v>0</v>
      </c>
      <c r="P44" s="10">
        <f t="shared" si="14"/>
        <v>0</v>
      </c>
      <c r="Q44" s="10">
        <f t="shared" si="14"/>
        <v>0</v>
      </c>
      <c r="R44" s="10">
        <f t="shared" si="14"/>
        <v>0</v>
      </c>
      <c r="S44" s="10">
        <f t="shared" si="14"/>
        <v>0</v>
      </c>
      <c r="T44" s="10">
        <f t="shared" si="14"/>
        <v>0</v>
      </c>
      <c r="U44" s="10">
        <f t="shared" si="14"/>
        <v>0</v>
      </c>
      <c r="V44" s="10">
        <f t="shared" si="14"/>
        <v>0</v>
      </c>
      <c r="W44" s="10">
        <f t="shared" si="14"/>
        <v>0</v>
      </c>
      <c r="X44" s="10">
        <f t="shared" si="14"/>
        <v>0</v>
      </c>
      <c r="Y44" s="10">
        <f t="shared" si="14"/>
        <v>0</v>
      </c>
      <c r="Z44" s="10">
        <f t="shared" si="14"/>
        <v>0</v>
      </c>
      <c r="AA44" s="10">
        <f t="shared" si="14"/>
        <v>0</v>
      </c>
      <c r="AB44" s="10">
        <f t="shared" si="14"/>
        <v>0</v>
      </c>
      <c r="AC44" s="10">
        <f t="shared" si="14"/>
        <v>0</v>
      </c>
      <c r="AD44" s="10">
        <f t="shared" si="14"/>
        <v>0</v>
      </c>
      <c r="AE44" s="10">
        <f t="shared" si="14"/>
        <v>0</v>
      </c>
      <c r="AF44" s="10">
        <f t="shared" si="14"/>
        <v>0</v>
      </c>
      <c r="AG44" s="10">
        <f t="shared" si="14"/>
        <v>0</v>
      </c>
      <c r="AH44" s="10">
        <f t="shared" si="14"/>
        <v>0</v>
      </c>
      <c r="AI44" s="10">
        <f t="shared" si="14"/>
        <v>0</v>
      </c>
      <c r="AJ44" s="10">
        <f t="shared" si="14"/>
        <v>0</v>
      </c>
      <c r="AK44" s="10">
        <f t="shared" si="14"/>
        <v>0</v>
      </c>
      <c r="AL44" s="10">
        <f t="shared" si="14"/>
        <v>0</v>
      </c>
      <c r="AM44" s="10">
        <f t="shared" si="14"/>
        <v>0</v>
      </c>
      <c r="AN44" s="10">
        <f t="shared" si="14"/>
        <v>0</v>
      </c>
      <c r="AO44" s="10">
        <f t="shared" si="14"/>
        <v>0</v>
      </c>
      <c r="AP44" s="10">
        <f t="shared" si="14"/>
        <v>0</v>
      </c>
      <c r="AQ44" s="10">
        <f t="shared" si="14"/>
        <v>0</v>
      </c>
      <c r="AR44" s="10">
        <f t="shared" si="14"/>
        <v>0</v>
      </c>
      <c r="AS44" s="10">
        <f t="shared" si="14"/>
        <v>0</v>
      </c>
      <c r="AT44" s="10">
        <f t="shared" si="14"/>
        <v>0</v>
      </c>
      <c r="AU44" s="10">
        <f t="shared" si="14"/>
        <v>0</v>
      </c>
      <c r="AV44" s="10">
        <f t="shared" si="14"/>
        <v>0</v>
      </c>
      <c r="AW44" s="10">
        <f t="shared" si="14"/>
        <v>0</v>
      </c>
      <c r="AX44" s="10">
        <f t="shared" si="14"/>
        <v>0</v>
      </c>
      <c r="AY44" s="10">
        <f t="shared" si="14"/>
        <v>0</v>
      </c>
      <c r="AZ44" s="10">
        <f t="shared" si="14"/>
        <v>0</v>
      </c>
      <c r="BA44" s="10">
        <f t="shared" si="14"/>
        <v>0</v>
      </c>
      <c r="BB44" s="10">
        <f t="shared" si="14"/>
        <v>0</v>
      </c>
      <c r="BC44" s="10">
        <f t="shared" si="14"/>
        <v>0</v>
      </c>
      <c r="BD44" s="10">
        <f t="shared" si="14"/>
        <v>0</v>
      </c>
      <c r="BE44" s="10">
        <f t="shared" si="14"/>
        <v>0</v>
      </c>
      <c r="BF44" s="10">
        <f t="shared" si="14"/>
        <v>0</v>
      </c>
      <c r="BG44" s="10">
        <f t="shared" si="14"/>
        <v>0</v>
      </c>
      <c r="BH44" s="10">
        <f t="shared" si="14"/>
        <v>0</v>
      </c>
      <c r="BI44" s="10">
        <f t="shared" si="14"/>
        <v>0</v>
      </c>
      <c r="BJ44" s="10">
        <f t="shared" si="14"/>
        <v>0</v>
      </c>
      <c r="BK44" s="10">
        <f t="shared" si="14"/>
        <v>0</v>
      </c>
      <c r="BL44" s="10">
        <f t="shared" si="14"/>
        <v>0</v>
      </c>
    </row>
    <row r="45" spans="1:64" x14ac:dyDescent="0.2">
      <c r="A45" s="71" t="s">
        <v>124</v>
      </c>
      <c r="B45" s="92">
        <f>SUM(B42:B44)</f>
        <v>66303191.370665282</v>
      </c>
      <c r="C45" s="13">
        <f>SUM(C42:C44)</f>
        <v>-516277.42668871669</v>
      </c>
      <c r="D45" s="13">
        <f t="shared" ref="D45:BL45" si="15">SUM(D42:D44)</f>
        <v>0</v>
      </c>
      <c r="E45" s="13">
        <f t="shared" si="15"/>
        <v>25732.219637820614</v>
      </c>
      <c r="F45" s="13">
        <f t="shared" si="15"/>
        <v>-468397.42668871675</v>
      </c>
      <c r="G45" s="13">
        <f t="shared" si="15"/>
        <v>0</v>
      </c>
      <c r="H45" s="13">
        <f t="shared" si="15"/>
        <v>25625.109354880231</v>
      </c>
      <c r="I45" s="13">
        <f t="shared" si="15"/>
        <v>-540217.42668871663</v>
      </c>
      <c r="J45" s="13">
        <f t="shared" si="15"/>
        <v>0</v>
      </c>
      <c r="K45" s="13">
        <f t="shared" si="15"/>
        <v>37648.664496350335</v>
      </c>
      <c r="L45" s="13">
        <f t="shared" si="15"/>
        <v>-540217.42668871663</v>
      </c>
      <c r="M45" s="13">
        <f t="shared" si="15"/>
        <v>589889.64632653713</v>
      </c>
      <c r="N45" s="13">
        <f t="shared" si="15"/>
        <v>-787597.42668871686</v>
      </c>
      <c r="O45" s="13">
        <f t="shared" si="15"/>
        <v>-755677.42668871675</v>
      </c>
      <c r="P45" s="13">
        <f t="shared" si="15"/>
        <v>297021.36176335579</v>
      </c>
      <c r="Q45" s="13">
        <f t="shared" si="15"/>
        <v>-787597.42668871686</v>
      </c>
      <c r="R45" s="13">
        <f t="shared" si="15"/>
        <v>-691837.42668871675</v>
      </c>
      <c r="S45" s="13">
        <f t="shared" si="15"/>
        <v>251946.2127727347</v>
      </c>
      <c r="T45" s="13">
        <f t="shared" si="15"/>
        <v>-755677.42668871686</v>
      </c>
      <c r="U45" s="13">
        <f t="shared" si="15"/>
        <v>-787597.42668871675</v>
      </c>
      <c r="V45" s="13">
        <f t="shared" si="15"/>
        <v>272800.15655476972</v>
      </c>
      <c r="W45" s="13">
        <f t="shared" si="15"/>
        <v>-787597.42668871686</v>
      </c>
      <c r="X45" s="13">
        <f t="shared" si="15"/>
        <v>-787597.42668871675</v>
      </c>
      <c r="Y45" s="13">
        <f t="shared" si="15"/>
        <v>261018.31658696011</v>
      </c>
      <c r="Z45" s="13">
        <f t="shared" si="15"/>
        <v>-991577.42668871686</v>
      </c>
      <c r="AA45" s="13">
        <f t="shared" si="15"/>
        <v>-953077.42668871675</v>
      </c>
      <c r="AB45" s="13">
        <f t="shared" si="15"/>
        <v>17857.050976850325</v>
      </c>
      <c r="AC45" s="13">
        <f t="shared" si="15"/>
        <v>-991577.42668871686</v>
      </c>
      <c r="AD45" s="13">
        <f t="shared" si="15"/>
        <v>-876077.42668871675</v>
      </c>
      <c r="AE45" s="13">
        <f t="shared" si="15"/>
        <v>-27408.274919786723</v>
      </c>
      <c r="AF45" s="13">
        <f t="shared" si="15"/>
        <v>-953077.42668871686</v>
      </c>
      <c r="AG45" s="13">
        <f t="shared" si="15"/>
        <v>-991577.42668871675</v>
      </c>
      <c r="AH45" s="13">
        <f t="shared" si="15"/>
        <v>-2674.7379410057329</v>
      </c>
      <c r="AI45" s="13">
        <f t="shared" si="15"/>
        <v>-991577.42668871686</v>
      </c>
      <c r="AJ45" s="13">
        <f t="shared" si="15"/>
        <v>-991577.42668871675</v>
      </c>
      <c r="AK45" s="13">
        <f t="shared" si="15"/>
        <v>-17255.698104301933</v>
      </c>
      <c r="AL45" s="13">
        <f t="shared" si="15"/>
        <v>-991577.42668871686</v>
      </c>
      <c r="AM45" s="13">
        <f t="shared" si="15"/>
        <v>-953077.42668871675</v>
      </c>
      <c r="AN45" s="13">
        <f t="shared" si="15"/>
        <v>-81073.489482258912</v>
      </c>
      <c r="AO45" s="13">
        <f t="shared" si="15"/>
        <v>-991577.42668871686</v>
      </c>
      <c r="AP45" s="13">
        <f t="shared" si="15"/>
        <v>-914577.42668871675</v>
      </c>
      <c r="AQ45" s="13">
        <f t="shared" si="15"/>
        <v>-116515.82772244024</v>
      </c>
      <c r="AR45" s="13">
        <f t="shared" si="15"/>
        <v>-953077.42668871686</v>
      </c>
      <c r="AS45" s="13">
        <f t="shared" si="15"/>
        <v>-991577.42668871675</v>
      </c>
      <c r="AT45" s="13">
        <f t="shared" si="15"/>
        <v>-104265.47463637823</v>
      </c>
      <c r="AU45" s="13">
        <f t="shared" si="15"/>
        <v>-991577.42668871686</v>
      </c>
      <c r="AV45" s="13">
        <f t="shared" si="15"/>
        <v>-991577.42668871675</v>
      </c>
      <c r="AW45" s="13">
        <f t="shared" si="15"/>
        <v>-122003.17616525129</v>
      </c>
      <c r="AX45" s="13">
        <f t="shared" si="15"/>
        <v>-991577.42668871686</v>
      </c>
      <c r="AY45" s="13">
        <f t="shared" si="15"/>
        <v>-953077.42668871675</v>
      </c>
      <c r="AZ45" s="13">
        <f t="shared" si="15"/>
        <v>-175142.36496665655</v>
      </c>
      <c r="BA45" s="13">
        <f t="shared" si="15"/>
        <v>-991577.42668871686</v>
      </c>
      <c r="BB45" s="13">
        <f t="shared" si="15"/>
        <v>-876077.42668871675</v>
      </c>
      <c r="BC45" s="13">
        <f t="shared" si="15"/>
        <v>-220435.24952428974</v>
      </c>
      <c r="BD45" s="13">
        <f t="shared" si="15"/>
        <v>-953077.42668871686</v>
      </c>
      <c r="BE45" s="13">
        <f t="shared" si="15"/>
        <v>-991577.42668871675</v>
      </c>
      <c r="BF45" s="13">
        <f t="shared" si="15"/>
        <v>-202131.43803795031</v>
      </c>
      <c r="BG45" s="13">
        <f t="shared" si="15"/>
        <v>-991577.42668871686</v>
      </c>
      <c r="BH45" s="13">
        <f t="shared" si="15"/>
        <v>-991577.42668871675</v>
      </c>
      <c r="BI45" s="13">
        <f t="shared" si="15"/>
        <v>-223371.88598896214</v>
      </c>
      <c r="BJ45" s="13">
        <f t="shared" si="15"/>
        <v>-991577.42668871686</v>
      </c>
      <c r="BK45" s="13">
        <f t="shared" si="15"/>
        <v>-953077.42668871675</v>
      </c>
      <c r="BL45" s="13">
        <f t="shared" si="15"/>
        <v>-291797.86832120433</v>
      </c>
    </row>
    <row r="46" spans="1:64" x14ac:dyDescent="0.2">
      <c r="A46" s="71"/>
      <c r="B46" s="30"/>
    </row>
    <row r="47" spans="1:64" ht="13.5" x14ac:dyDescent="0.25">
      <c r="A47" s="87" t="s">
        <v>125</v>
      </c>
      <c r="B47" s="13">
        <f>B30+B35+B39+B45</f>
        <v>1000000</v>
      </c>
      <c r="C47" s="13">
        <f t="shared" ref="C47:BL47" si="16">C30+C35+C39+C45</f>
        <v>1000000</v>
      </c>
      <c r="D47" s="13">
        <f t="shared" si="16"/>
        <v>434050.35367346276</v>
      </c>
      <c r="E47" s="13">
        <f t="shared" si="16"/>
        <v>1000000</v>
      </c>
      <c r="F47" s="13">
        <f t="shared" si="16"/>
        <v>1000000</v>
      </c>
      <c r="G47" s="13">
        <f t="shared" si="16"/>
        <v>458097.46395640308</v>
      </c>
      <c r="H47" s="13">
        <f t="shared" si="16"/>
        <v>1000000</v>
      </c>
      <c r="I47" s="13">
        <f t="shared" si="16"/>
        <v>1000000.0000000001</v>
      </c>
      <c r="J47" s="13">
        <f t="shared" si="16"/>
        <v>422133.90881493303</v>
      </c>
      <c r="K47" s="13">
        <f t="shared" si="16"/>
        <v>1000000</v>
      </c>
      <c r="L47" s="13">
        <f t="shared" si="16"/>
        <v>1000000.0000000001</v>
      </c>
      <c r="M47" s="13">
        <f t="shared" si="16"/>
        <v>1000000</v>
      </c>
      <c r="N47" s="13">
        <f t="shared" si="16"/>
        <v>999999.99999999988</v>
      </c>
      <c r="O47" s="13">
        <f t="shared" si="16"/>
        <v>1000000</v>
      </c>
      <c r="P47" s="13">
        <f t="shared" si="16"/>
        <v>1000000</v>
      </c>
      <c r="Q47" s="13">
        <f t="shared" si="16"/>
        <v>999999.99999999988</v>
      </c>
      <c r="R47" s="13">
        <f t="shared" si="16"/>
        <v>1000000</v>
      </c>
      <c r="S47" s="13">
        <f t="shared" si="16"/>
        <v>1000000</v>
      </c>
      <c r="T47" s="13">
        <f t="shared" si="16"/>
        <v>999999.99999999988</v>
      </c>
      <c r="U47" s="13">
        <f t="shared" si="16"/>
        <v>1000000</v>
      </c>
      <c r="V47" s="13">
        <f t="shared" si="16"/>
        <v>1000000</v>
      </c>
      <c r="W47" s="13">
        <f t="shared" si="16"/>
        <v>999999.99999999988</v>
      </c>
      <c r="X47" s="13">
        <f t="shared" si="16"/>
        <v>1000000</v>
      </c>
      <c r="Y47" s="13">
        <f t="shared" si="16"/>
        <v>1000000</v>
      </c>
      <c r="Z47" s="13">
        <f t="shared" si="16"/>
        <v>999999.99999999988</v>
      </c>
      <c r="AA47" s="13">
        <f t="shared" si="16"/>
        <v>1000000</v>
      </c>
      <c r="AB47" s="13">
        <f t="shared" si="16"/>
        <v>1000000</v>
      </c>
      <c r="AC47" s="13">
        <f t="shared" si="16"/>
        <v>999999.99999999988</v>
      </c>
      <c r="AD47" s="13">
        <f t="shared" si="16"/>
        <v>1000000</v>
      </c>
      <c r="AE47" s="13">
        <f t="shared" si="16"/>
        <v>1000000</v>
      </c>
      <c r="AF47" s="13">
        <f t="shared" si="16"/>
        <v>999999.99999999988</v>
      </c>
      <c r="AG47" s="13">
        <f t="shared" si="16"/>
        <v>1000000</v>
      </c>
      <c r="AH47" s="13">
        <f t="shared" si="16"/>
        <v>1000000</v>
      </c>
      <c r="AI47" s="13">
        <f t="shared" si="16"/>
        <v>999999.99999999988</v>
      </c>
      <c r="AJ47" s="13">
        <f t="shared" si="16"/>
        <v>1000000</v>
      </c>
      <c r="AK47" s="13">
        <f t="shared" si="16"/>
        <v>1000000</v>
      </c>
      <c r="AL47" s="13">
        <f t="shared" si="16"/>
        <v>999999.99999999988</v>
      </c>
      <c r="AM47" s="13">
        <f t="shared" si="16"/>
        <v>1000000</v>
      </c>
      <c r="AN47" s="13">
        <f t="shared" si="16"/>
        <v>1000000</v>
      </c>
      <c r="AO47" s="13">
        <f t="shared" si="16"/>
        <v>999999.99999999988</v>
      </c>
      <c r="AP47" s="13">
        <f t="shared" si="16"/>
        <v>1000000</v>
      </c>
      <c r="AQ47" s="13">
        <f t="shared" si="16"/>
        <v>1000000</v>
      </c>
      <c r="AR47" s="13">
        <f t="shared" si="16"/>
        <v>999999.99999999988</v>
      </c>
      <c r="AS47" s="13">
        <f t="shared" si="16"/>
        <v>1000000</v>
      </c>
      <c r="AT47" s="13">
        <f t="shared" si="16"/>
        <v>1000000</v>
      </c>
      <c r="AU47" s="13">
        <f t="shared" si="16"/>
        <v>999999.99999999988</v>
      </c>
      <c r="AV47" s="13">
        <f t="shared" si="16"/>
        <v>1000000</v>
      </c>
      <c r="AW47" s="13">
        <f t="shared" si="16"/>
        <v>1000000</v>
      </c>
      <c r="AX47" s="13">
        <f t="shared" si="16"/>
        <v>999999.99999999988</v>
      </c>
      <c r="AY47" s="13">
        <f t="shared" si="16"/>
        <v>1000000</v>
      </c>
      <c r="AZ47" s="13">
        <f t="shared" si="16"/>
        <v>1000000</v>
      </c>
      <c r="BA47" s="13">
        <f t="shared" si="16"/>
        <v>999999.99999999988</v>
      </c>
      <c r="BB47" s="13">
        <f t="shared" si="16"/>
        <v>1000000</v>
      </c>
      <c r="BC47" s="13">
        <f t="shared" si="16"/>
        <v>1000000</v>
      </c>
      <c r="BD47" s="13">
        <f t="shared" si="16"/>
        <v>999999.99999999988</v>
      </c>
      <c r="BE47" s="13">
        <f t="shared" si="16"/>
        <v>1000000</v>
      </c>
      <c r="BF47" s="13">
        <f t="shared" si="16"/>
        <v>1000000</v>
      </c>
      <c r="BG47" s="13">
        <f t="shared" si="16"/>
        <v>999999.99999999988</v>
      </c>
      <c r="BH47" s="13">
        <f t="shared" si="16"/>
        <v>1000000</v>
      </c>
      <c r="BI47" s="13">
        <f t="shared" si="16"/>
        <v>1000000</v>
      </c>
      <c r="BJ47" s="13">
        <f t="shared" si="16"/>
        <v>999999.99999999988</v>
      </c>
      <c r="BK47" s="13">
        <f t="shared" si="16"/>
        <v>1000000</v>
      </c>
      <c r="BL47" s="13">
        <f t="shared" si="16"/>
        <v>1000000</v>
      </c>
    </row>
    <row r="48" spans="1:64" ht="13.5" x14ac:dyDescent="0.25">
      <c r="A48" s="87" t="s">
        <v>126</v>
      </c>
      <c r="B48" s="13">
        <f>B47-B30</f>
        <v>1000000</v>
      </c>
      <c r="C48" s="13">
        <f t="shared" ref="C48:BL48" si="17">C47-C30</f>
        <v>0</v>
      </c>
      <c r="D48" s="13">
        <f t="shared" si="17"/>
        <v>-565949.64632653724</v>
      </c>
      <c r="E48" s="13">
        <f t="shared" si="17"/>
        <v>565949.64632653724</v>
      </c>
      <c r="F48" s="13">
        <f t="shared" si="17"/>
        <v>0</v>
      </c>
      <c r="G48" s="13">
        <f t="shared" si="17"/>
        <v>-541902.53604359692</v>
      </c>
      <c r="H48" s="13">
        <f t="shared" si="17"/>
        <v>541902.53604359692</v>
      </c>
      <c r="I48" s="13">
        <f t="shared" si="17"/>
        <v>0</v>
      </c>
      <c r="J48" s="13">
        <f t="shared" si="17"/>
        <v>-577866.09118506708</v>
      </c>
      <c r="K48" s="13">
        <f t="shared" si="17"/>
        <v>577866.09118506697</v>
      </c>
      <c r="L48" s="13">
        <f t="shared" si="17"/>
        <v>0</v>
      </c>
      <c r="M48" s="13">
        <f t="shared" si="17"/>
        <v>0</v>
      </c>
      <c r="N48" s="13">
        <f t="shared" si="17"/>
        <v>0</v>
      </c>
      <c r="O48" s="13">
        <f t="shared" si="17"/>
        <v>0</v>
      </c>
      <c r="P48" s="13">
        <f t="shared" si="17"/>
        <v>0</v>
      </c>
      <c r="Q48" s="13">
        <f t="shared" si="17"/>
        <v>0</v>
      </c>
      <c r="R48" s="13">
        <f t="shared" si="17"/>
        <v>0</v>
      </c>
      <c r="S48" s="13">
        <f t="shared" si="17"/>
        <v>0</v>
      </c>
      <c r="T48" s="13">
        <f t="shared" si="17"/>
        <v>0</v>
      </c>
      <c r="U48" s="13">
        <f t="shared" si="17"/>
        <v>0</v>
      </c>
      <c r="V48" s="13">
        <f t="shared" si="17"/>
        <v>0</v>
      </c>
      <c r="W48" s="13">
        <f t="shared" si="17"/>
        <v>0</v>
      </c>
      <c r="X48" s="13">
        <f t="shared" si="17"/>
        <v>0</v>
      </c>
      <c r="Y48" s="13">
        <f t="shared" si="17"/>
        <v>0</v>
      </c>
      <c r="Z48" s="13">
        <f t="shared" si="17"/>
        <v>0</v>
      </c>
      <c r="AA48" s="13">
        <f t="shared" si="17"/>
        <v>0</v>
      </c>
      <c r="AB48" s="13">
        <f t="shared" si="17"/>
        <v>0</v>
      </c>
      <c r="AC48" s="13">
        <f t="shared" si="17"/>
        <v>0</v>
      </c>
      <c r="AD48" s="13">
        <f t="shared" si="17"/>
        <v>0</v>
      </c>
      <c r="AE48" s="13">
        <f t="shared" si="17"/>
        <v>0</v>
      </c>
      <c r="AF48" s="13">
        <f t="shared" si="17"/>
        <v>0</v>
      </c>
      <c r="AG48" s="13">
        <f t="shared" si="17"/>
        <v>0</v>
      </c>
      <c r="AH48" s="13">
        <f t="shared" si="17"/>
        <v>0</v>
      </c>
      <c r="AI48" s="13">
        <f t="shared" si="17"/>
        <v>0</v>
      </c>
      <c r="AJ48" s="13">
        <f t="shared" si="17"/>
        <v>0</v>
      </c>
      <c r="AK48" s="13">
        <f t="shared" si="17"/>
        <v>0</v>
      </c>
      <c r="AL48" s="13">
        <f t="shared" si="17"/>
        <v>0</v>
      </c>
      <c r="AM48" s="13">
        <f t="shared" si="17"/>
        <v>0</v>
      </c>
      <c r="AN48" s="13">
        <f t="shared" si="17"/>
        <v>0</v>
      </c>
      <c r="AO48" s="13">
        <f t="shared" si="17"/>
        <v>0</v>
      </c>
      <c r="AP48" s="13">
        <f t="shared" si="17"/>
        <v>0</v>
      </c>
      <c r="AQ48" s="13">
        <f t="shared" si="17"/>
        <v>0</v>
      </c>
      <c r="AR48" s="13">
        <f t="shared" si="17"/>
        <v>0</v>
      </c>
      <c r="AS48" s="13">
        <f t="shared" si="17"/>
        <v>0</v>
      </c>
      <c r="AT48" s="13">
        <f t="shared" si="17"/>
        <v>0</v>
      </c>
      <c r="AU48" s="13">
        <f t="shared" si="17"/>
        <v>0</v>
      </c>
      <c r="AV48" s="13">
        <f t="shared" si="17"/>
        <v>0</v>
      </c>
      <c r="AW48" s="13">
        <f t="shared" si="17"/>
        <v>0</v>
      </c>
      <c r="AX48" s="13">
        <f t="shared" si="17"/>
        <v>0</v>
      </c>
      <c r="AY48" s="13">
        <f t="shared" si="17"/>
        <v>0</v>
      </c>
      <c r="AZ48" s="13">
        <f t="shared" si="17"/>
        <v>0</v>
      </c>
      <c r="BA48" s="13">
        <f t="shared" si="17"/>
        <v>0</v>
      </c>
      <c r="BB48" s="13">
        <f t="shared" si="17"/>
        <v>0</v>
      </c>
      <c r="BC48" s="13">
        <f t="shared" si="17"/>
        <v>0</v>
      </c>
      <c r="BD48" s="13">
        <f t="shared" si="17"/>
        <v>0</v>
      </c>
      <c r="BE48" s="13">
        <f t="shared" si="17"/>
        <v>0</v>
      </c>
      <c r="BF48" s="13">
        <f t="shared" si="17"/>
        <v>0</v>
      </c>
      <c r="BG48" s="13">
        <f t="shared" si="17"/>
        <v>0</v>
      </c>
      <c r="BH48" s="13">
        <f t="shared" si="17"/>
        <v>0</v>
      </c>
      <c r="BI48" s="13">
        <f t="shared" si="17"/>
        <v>0</v>
      </c>
      <c r="BJ48" s="13">
        <f t="shared" si="17"/>
        <v>0</v>
      </c>
      <c r="BK48" s="13">
        <f t="shared" si="17"/>
        <v>0</v>
      </c>
      <c r="BL48" s="13">
        <f t="shared" si="17"/>
        <v>0</v>
      </c>
    </row>
  </sheetData>
  <printOptions horizontalCentered="1"/>
  <pageMargins left="0.24" right="0.75" top="1" bottom="0.82" header="0.5" footer="0.5"/>
  <pageSetup scale="62" fitToWidth="2" orientation="landscape" r:id="rId1"/>
  <headerFooter alignWithMargins="0"/>
  <colBreaks count="1" manualBreakCount="1">
    <brk id="2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R47"/>
  <sheetViews>
    <sheetView topLeftCell="A4" zoomScaleNormal="100" workbookViewId="0">
      <selection activeCell="F8" sqref="F8"/>
    </sheetView>
  </sheetViews>
  <sheetFormatPr defaultRowHeight="12.75" x14ac:dyDescent="0.2"/>
  <cols>
    <col min="1" max="1" width="21.85546875" style="1" customWidth="1"/>
    <col min="2" max="2" width="14.140625" style="1" customWidth="1"/>
    <col min="3" max="3" width="13.7109375" style="1" customWidth="1"/>
    <col min="4" max="4" width="18.7109375" style="1" customWidth="1"/>
    <col min="5" max="7" width="13.7109375" style="1" customWidth="1"/>
    <col min="8" max="10" width="14" style="1" customWidth="1"/>
    <col min="11" max="11" width="13.42578125" style="1" customWidth="1"/>
    <col min="12" max="13" width="14" style="1" customWidth="1"/>
    <col min="14" max="14" width="13.42578125" style="1" customWidth="1"/>
    <col min="15" max="15" width="14" style="1" customWidth="1"/>
    <col min="16" max="17" width="14.42578125" style="1" customWidth="1"/>
    <col min="18" max="18" width="14" style="1" customWidth="1"/>
    <col min="19" max="19" width="13.7109375" style="1" customWidth="1"/>
    <col min="20" max="21" width="14.140625" style="1" customWidth="1"/>
    <col min="22" max="22" width="14" style="1" customWidth="1"/>
    <col min="23" max="24" width="14.42578125" style="1" customWidth="1"/>
    <col min="25" max="25" width="14" style="1" customWidth="1"/>
    <col min="26" max="30" width="14.42578125" style="1" customWidth="1"/>
    <col min="31" max="31" width="14" style="1" customWidth="1"/>
    <col min="32" max="32" width="14.7109375" style="1" customWidth="1"/>
    <col min="33" max="33" width="13.7109375" style="1" customWidth="1"/>
    <col min="34" max="34" width="15.140625" style="1" customWidth="1"/>
    <col min="35" max="35" width="14.42578125" style="1" customWidth="1"/>
    <col min="36" max="36" width="15.140625" style="1" customWidth="1"/>
    <col min="37" max="37" width="14.140625" style="1" customWidth="1"/>
    <col min="38" max="38" width="14.7109375" style="1" customWidth="1"/>
    <col min="39" max="40" width="14.42578125" style="1" customWidth="1"/>
    <col min="41" max="42" width="14.140625" style="1" customWidth="1"/>
    <col min="43" max="44" width="12.85546875" style="1" customWidth="1"/>
    <col min="45" max="16384" width="9.140625" style="1"/>
  </cols>
  <sheetData>
    <row r="1" spans="1:5" ht="15.75" x14ac:dyDescent="0.25">
      <c r="A1" s="2" t="s">
        <v>0</v>
      </c>
    </row>
    <row r="2" spans="1:5" x14ac:dyDescent="0.2">
      <c r="A2" s="3" t="s">
        <v>142</v>
      </c>
    </row>
    <row r="5" spans="1:5" x14ac:dyDescent="0.2">
      <c r="A5" s="3" t="s">
        <v>57</v>
      </c>
      <c r="D5" s="3" t="s">
        <v>127</v>
      </c>
    </row>
    <row r="6" spans="1:5" x14ac:dyDescent="0.2">
      <c r="A6" s="1" t="s">
        <v>88</v>
      </c>
      <c r="B6" s="13">
        <f>assumptions!F9</f>
        <v>65843408.797353998</v>
      </c>
      <c r="D6" s="1" t="s">
        <v>88</v>
      </c>
      <c r="E6" s="41">
        <f>assumptions!F22</f>
        <v>0</v>
      </c>
    </row>
    <row r="7" spans="1:5" x14ac:dyDescent="0.2">
      <c r="A7" s="1" t="s">
        <v>89</v>
      </c>
      <c r="B7" s="46">
        <f>assumptions!F10</f>
        <v>0.85</v>
      </c>
      <c r="D7" s="1" t="s">
        <v>128</v>
      </c>
      <c r="E7" s="46">
        <f>assumptions!F10</f>
        <v>0.85</v>
      </c>
    </row>
    <row r="8" spans="1:5" x14ac:dyDescent="0.2">
      <c r="A8" s="1" t="s">
        <v>90</v>
      </c>
      <c r="B8" s="13">
        <f>B6*B7</f>
        <v>55966897.477750897</v>
      </c>
      <c r="D8" s="1" t="s">
        <v>129</v>
      </c>
      <c r="E8" s="47">
        <f>E6*E7</f>
        <v>0</v>
      </c>
    </row>
    <row r="9" spans="1:5" x14ac:dyDescent="0.2">
      <c r="A9" s="30"/>
    </row>
    <row r="10" spans="1:5" x14ac:dyDescent="0.2">
      <c r="A10" s="30" t="s">
        <v>91</v>
      </c>
      <c r="C10" s="81">
        <f>assumptions!F13</f>
        <v>6.6089999999999996E-2</v>
      </c>
    </row>
    <row r="11" spans="1:5" x14ac:dyDescent="0.2">
      <c r="A11" s="30" t="s">
        <v>92</v>
      </c>
      <c r="C11" s="82"/>
    </row>
    <row r="12" spans="1:5" x14ac:dyDescent="0.2">
      <c r="A12" s="119" t="s">
        <v>109</v>
      </c>
      <c r="B12" s="52" t="s">
        <v>110</v>
      </c>
      <c r="C12" s="82"/>
    </row>
    <row r="13" spans="1:5" x14ac:dyDescent="0.2">
      <c r="A13" s="51">
        <v>36799</v>
      </c>
      <c r="B13" s="51">
        <v>37559</v>
      </c>
      <c r="C13" s="83">
        <f>assumptions!F14</f>
        <v>1.125E-2</v>
      </c>
    </row>
    <row r="14" spans="1:5" x14ac:dyDescent="0.2">
      <c r="A14" s="51">
        <v>37559</v>
      </c>
      <c r="B14" s="51">
        <v>38290</v>
      </c>
      <c r="C14" s="83">
        <f>assumptions!F15</f>
        <v>1.2500000000000001E-2</v>
      </c>
    </row>
    <row r="15" spans="1:5" x14ac:dyDescent="0.2">
      <c r="A15" s="51">
        <v>38290</v>
      </c>
      <c r="B15" s="51">
        <v>39020</v>
      </c>
      <c r="C15" s="83">
        <f>assumptions!F16</f>
        <v>1.375E-2</v>
      </c>
    </row>
    <row r="16" spans="1:5" x14ac:dyDescent="0.2">
      <c r="A16" s="51">
        <v>39020</v>
      </c>
      <c r="B16" s="51">
        <v>39751</v>
      </c>
      <c r="C16" s="83">
        <f>assumptions!F17</f>
        <v>1.4999999999999999E-2</v>
      </c>
    </row>
    <row r="17" spans="1:44" x14ac:dyDescent="0.2">
      <c r="A17" s="51">
        <v>39751</v>
      </c>
      <c r="B17" s="51">
        <v>40481</v>
      </c>
      <c r="C17" s="83">
        <f>assumptions!F18</f>
        <v>1.4999999999999999E-2</v>
      </c>
    </row>
    <row r="18" spans="1:44" x14ac:dyDescent="0.2">
      <c r="A18" s="51"/>
      <c r="B18" s="51"/>
      <c r="C18" s="43"/>
    </row>
    <row r="19" spans="1:44" x14ac:dyDescent="0.2">
      <c r="A19" s="121"/>
      <c r="B19" s="45"/>
    </row>
    <row r="20" spans="1:44" x14ac:dyDescent="0.2">
      <c r="A20" s="30" t="s">
        <v>93</v>
      </c>
      <c r="B20" s="30"/>
    </row>
    <row r="21" spans="1:44" x14ac:dyDescent="0.2">
      <c r="A21" s="30"/>
      <c r="B21" s="30"/>
    </row>
    <row r="22" spans="1:44" x14ac:dyDescent="0.2">
      <c r="A22" s="15" t="s">
        <v>57</v>
      </c>
      <c r="B22" s="30"/>
    </row>
    <row r="23" spans="1:44" x14ac:dyDescent="0.2">
      <c r="A23" s="30" t="s">
        <v>94</v>
      </c>
      <c r="B23" s="30"/>
      <c r="C23" s="1">
        <v>0</v>
      </c>
      <c r="D23" s="1">
        <v>1</v>
      </c>
      <c r="E23" s="1">
        <v>2</v>
      </c>
      <c r="F23" s="1">
        <v>3</v>
      </c>
      <c r="G23" s="1">
        <v>4</v>
      </c>
      <c r="H23" s="1">
        <v>5</v>
      </c>
      <c r="I23" s="1">
        <v>6</v>
      </c>
      <c r="J23" s="1">
        <v>7</v>
      </c>
      <c r="K23" s="1">
        <v>8</v>
      </c>
      <c r="L23" s="1">
        <v>9</v>
      </c>
      <c r="M23" s="1">
        <v>10</v>
      </c>
      <c r="N23" s="1">
        <v>11</v>
      </c>
      <c r="O23" s="1">
        <v>12</v>
      </c>
      <c r="P23" s="1">
        <v>13</v>
      </c>
      <c r="Q23" s="1">
        <v>14</v>
      </c>
      <c r="R23" s="1">
        <v>15</v>
      </c>
      <c r="S23" s="1">
        <v>16</v>
      </c>
      <c r="T23" s="1">
        <v>17</v>
      </c>
      <c r="U23" s="1">
        <v>18</v>
      </c>
      <c r="V23" s="1">
        <v>19</v>
      </c>
      <c r="W23" s="1">
        <v>20</v>
      </c>
      <c r="X23" s="1">
        <v>21</v>
      </c>
      <c r="Y23" s="1">
        <v>22</v>
      </c>
      <c r="Z23" s="1">
        <v>23</v>
      </c>
      <c r="AA23" s="1">
        <v>24</v>
      </c>
      <c r="AB23" s="1">
        <v>25</v>
      </c>
      <c r="AC23" s="1">
        <v>26</v>
      </c>
      <c r="AD23" s="1">
        <v>27</v>
      </c>
      <c r="AE23" s="1">
        <v>28</v>
      </c>
      <c r="AF23" s="1">
        <v>29</v>
      </c>
      <c r="AG23" s="1">
        <v>30</v>
      </c>
      <c r="AH23" s="1">
        <v>31</v>
      </c>
      <c r="AI23" s="1">
        <v>32</v>
      </c>
      <c r="AJ23" s="1">
        <v>33</v>
      </c>
      <c r="AK23" s="1">
        <v>34</v>
      </c>
      <c r="AL23" s="1">
        <v>35</v>
      </c>
      <c r="AM23" s="1">
        <v>36</v>
      </c>
      <c r="AN23" s="1">
        <v>37</v>
      </c>
      <c r="AO23" s="1">
        <v>38</v>
      </c>
      <c r="AP23" s="1">
        <v>39</v>
      </c>
    </row>
    <row r="24" spans="1:44" x14ac:dyDescent="0.2">
      <c r="A24" s="30" t="s">
        <v>95</v>
      </c>
      <c r="B24" s="30"/>
      <c r="C24" s="50">
        <v>36799</v>
      </c>
      <c r="D24" s="50">
        <v>36891</v>
      </c>
      <c r="E24" s="50">
        <v>36981</v>
      </c>
      <c r="F24" s="50">
        <v>37072</v>
      </c>
      <c r="G24" s="50">
        <v>37164</v>
      </c>
      <c r="H24" s="50">
        <v>37256</v>
      </c>
      <c r="I24" s="50">
        <v>37346</v>
      </c>
      <c r="J24" s="50">
        <v>37437</v>
      </c>
      <c r="K24" s="50">
        <v>37529</v>
      </c>
      <c r="L24" s="50">
        <v>37621</v>
      </c>
      <c r="M24" s="50">
        <v>37711</v>
      </c>
      <c r="N24" s="50">
        <v>37802</v>
      </c>
      <c r="O24" s="50">
        <v>37894</v>
      </c>
      <c r="P24" s="50">
        <v>37986</v>
      </c>
      <c r="Q24" s="50">
        <v>38077</v>
      </c>
      <c r="R24" s="50">
        <v>38168</v>
      </c>
      <c r="S24" s="50">
        <v>38260</v>
      </c>
      <c r="T24" s="50">
        <v>38352</v>
      </c>
      <c r="U24" s="50">
        <v>38442</v>
      </c>
      <c r="V24" s="50">
        <v>38533</v>
      </c>
      <c r="W24" s="50">
        <v>38625</v>
      </c>
      <c r="X24" s="50">
        <v>38717</v>
      </c>
      <c r="Y24" s="50">
        <v>38807</v>
      </c>
      <c r="Z24" s="50">
        <v>38898</v>
      </c>
      <c r="AA24" s="50">
        <v>38990</v>
      </c>
      <c r="AB24" s="50">
        <v>39082</v>
      </c>
      <c r="AC24" s="50">
        <v>39172</v>
      </c>
      <c r="AD24" s="50">
        <v>39263</v>
      </c>
      <c r="AE24" s="50">
        <v>39355</v>
      </c>
      <c r="AF24" s="50">
        <v>39447</v>
      </c>
      <c r="AG24" s="50">
        <v>39538</v>
      </c>
      <c r="AH24" s="50">
        <v>39629</v>
      </c>
      <c r="AI24" s="50">
        <v>39721</v>
      </c>
      <c r="AJ24" s="50">
        <v>39813</v>
      </c>
      <c r="AK24" s="50">
        <v>39903</v>
      </c>
      <c r="AL24" s="50">
        <v>39994</v>
      </c>
      <c r="AM24" s="50">
        <v>40086</v>
      </c>
      <c r="AN24" s="50">
        <v>40178</v>
      </c>
      <c r="AO24" s="50">
        <v>40268</v>
      </c>
      <c r="AP24" s="50">
        <v>40359</v>
      </c>
      <c r="AQ24" s="50"/>
      <c r="AR24" s="50"/>
    </row>
    <row r="25" spans="1:44" x14ac:dyDescent="0.2">
      <c r="A25" s="30" t="s">
        <v>96</v>
      </c>
      <c r="B25" s="30"/>
      <c r="C25" s="49">
        <f>$C$10</f>
        <v>6.6089999999999996E-2</v>
      </c>
      <c r="D25" s="49">
        <f t="shared" ref="D25:AP25" si="0">$C$10</f>
        <v>6.6089999999999996E-2</v>
      </c>
      <c r="E25" s="49">
        <f t="shared" si="0"/>
        <v>6.6089999999999996E-2</v>
      </c>
      <c r="F25" s="49">
        <f t="shared" si="0"/>
        <v>6.6089999999999996E-2</v>
      </c>
      <c r="G25" s="49">
        <f t="shared" si="0"/>
        <v>6.6089999999999996E-2</v>
      </c>
      <c r="H25" s="49">
        <f t="shared" si="0"/>
        <v>6.6089999999999996E-2</v>
      </c>
      <c r="I25" s="49">
        <f t="shared" si="0"/>
        <v>6.6089999999999996E-2</v>
      </c>
      <c r="J25" s="49">
        <f t="shared" si="0"/>
        <v>6.6089999999999996E-2</v>
      </c>
      <c r="K25" s="49">
        <f t="shared" si="0"/>
        <v>6.6089999999999996E-2</v>
      </c>
      <c r="L25" s="49">
        <f t="shared" si="0"/>
        <v>6.6089999999999996E-2</v>
      </c>
      <c r="M25" s="49">
        <f t="shared" si="0"/>
        <v>6.6089999999999996E-2</v>
      </c>
      <c r="N25" s="49">
        <f t="shared" si="0"/>
        <v>6.6089999999999996E-2</v>
      </c>
      <c r="O25" s="49">
        <f t="shared" si="0"/>
        <v>6.6089999999999996E-2</v>
      </c>
      <c r="P25" s="49">
        <f t="shared" si="0"/>
        <v>6.6089999999999996E-2</v>
      </c>
      <c r="Q25" s="49">
        <f t="shared" si="0"/>
        <v>6.6089999999999996E-2</v>
      </c>
      <c r="R25" s="49">
        <f t="shared" si="0"/>
        <v>6.6089999999999996E-2</v>
      </c>
      <c r="S25" s="49">
        <f t="shared" si="0"/>
        <v>6.6089999999999996E-2</v>
      </c>
      <c r="T25" s="49">
        <f t="shared" si="0"/>
        <v>6.6089999999999996E-2</v>
      </c>
      <c r="U25" s="49">
        <f t="shared" si="0"/>
        <v>6.6089999999999996E-2</v>
      </c>
      <c r="V25" s="49">
        <f t="shared" si="0"/>
        <v>6.6089999999999996E-2</v>
      </c>
      <c r="W25" s="49">
        <f t="shared" si="0"/>
        <v>6.6089999999999996E-2</v>
      </c>
      <c r="X25" s="49">
        <f t="shared" si="0"/>
        <v>6.6089999999999996E-2</v>
      </c>
      <c r="Y25" s="49">
        <f t="shared" si="0"/>
        <v>6.6089999999999996E-2</v>
      </c>
      <c r="Z25" s="49">
        <f t="shared" si="0"/>
        <v>6.6089999999999996E-2</v>
      </c>
      <c r="AA25" s="49">
        <f t="shared" si="0"/>
        <v>6.6089999999999996E-2</v>
      </c>
      <c r="AB25" s="49">
        <f t="shared" si="0"/>
        <v>6.6089999999999996E-2</v>
      </c>
      <c r="AC25" s="49">
        <f t="shared" si="0"/>
        <v>6.6089999999999996E-2</v>
      </c>
      <c r="AD25" s="49">
        <f t="shared" si="0"/>
        <v>6.6089999999999996E-2</v>
      </c>
      <c r="AE25" s="49">
        <f t="shared" si="0"/>
        <v>6.6089999999999996E-2</v>
      </c>
      <c r="AF25" s="49">
        <f t="shared" si="0"/>
        <v>6.6089999999999996E-2</v>
      </c>
      <c r="AG25" s="49">
        <f t="shared" si="0"/>
        <v>6.6089999999999996E-2</v>
      </c>
      <c r="AH25" s="49">
        <f t="shared" si="0"/>
        <v>6.6089999999999996E-2</v>
      </c>
      <c r="AI25" s="49">
        <f t="shared" si="0"/>
        <v>6.6089999999999996E-2</v>
      </c>
      <c r="AJ25" s="49">
        <f t="shared" si="0"/>
        <v>6.6089999999999996E-2</v>
      </c>
      <c r="AK25" s="49">
        <f t="shared" si="0"/>
        <v>6.6089999999999996E-2</v>
      </c>
      <c r="AL25" s="49">
        <f t="shared" si="0"/>
        <v>6.6089999999999996E-2</v>
      </c>
      <c r="AM25" s="49">
        <f t="shared" si="0"/>
        <v>6.6089999999999996E-2</v>
      </c>
      <c r="AN25" s="49">
        <f t="shared" si="0"/>
        <v>6.6089999999999996E-2</v>
      </c>
      <c r="AO25" s="49">
        <f t="shared" si="0"/>
        <v>6.6089999999999996E-2</v>
      </c>
      <c r="AP25" s="49">
        <f t="shared" si="0"/>
        <v>6.6089999999999996E-2</v>
      </c>
      <c r="AQ25" s="49"/>
      <c r="AR25" s="49"/>
    </row>
    <row r="26" spans="1:44" x14ac:dyDescent="0.2">
      <c r="A26" s="30" t="s">
        <v>97</v>
      </c>
      <c r="C26" s="48">
        <f>VLOOKUP(C24,$A$13:$C$17,3)</f>
        <v>1.125E-2</v>
      </c>
      <c r="D26" s="48">
        <f t="shared" ref="D26:AG26" si="1">VLOOKUP(D24,$A$13:$C$17,3)</f>
        <v>1.125E-2</v>
      </c>
      <c r="E26" s="48">
        <f t="shared" si="1"/>
        <v>1.125E-2</v>
      </c>
      <c r="F26" s="48">
        <f t="shared" si="1"/>
        <v>1.125E-2</v>
      </c>
      <c r="G26" s="48">
        <f t="shared" si="1"/>
        <v>1.125E-2</v>
      </c>
      <c r="H26" s="48">
        <f t="shared" si="1"/>
        <v>1.125E-2</v>
      </c>
      <c r="I26" s="48">
        <f t="shared" si="1"/>
        <v>1.125E-2</v>
      </c>
      <c r="J26" s="48">
        <f t="shared" si="1"/>
        <v>1.125E-2</v>
      </c>
      <c r="K26" s="48">
        <f t="shared" si="1"/>
        <v>1.125E-2</v>
      </c>
      <c r="L26" s="48">
        <f t="shared" si="1"/>
        <v>1.2500000000000001E-2</v>
      </c>
      <c r="M26" s="48">
        <f t="shared" si="1"/>
        <v>1.2500000000000001E-2</v>
      </c>
      <c r="N26" s="48">
        <f t="shared" si="1"/>
        <v>1.2500000000000001E-2</v>
      </c>
      <c r="O26" s="48">
        <f t="shared" si="1"/>
        <v>1.2500000000000001E-2</v>
      </c>
      <c r="P26" s="48">
        <f t="shared" si="1"/>
        <v>1.2500000000000001E-2</v>
      </c>
      <c r="Q26" s="48">
        <f t="shared" si="1"/>
        <v>1.2500000000000001E-2</v>
      </c>
      <c r="R26" s="48">
        <f t="shared" si="1"/>
        <v>1.2500000000000001E-2</v>
      </c>
      <c r="S26" s="48">
        <f t="shared" si="1"/>
        <v>1.2500000000000001E-2</v>
      </c>
      <c r="T26" s="48">
        <f t="shared" si="1"/>
        <v>1.375E-2</v>
      </c>
      <c r="U26" s="48">
        <f t="shared" si="1"/>
        <v>1.375E-2</v>
      </c>
      <c r="V26" s="48">
        <f t="shared" si="1"/>
        <v>1.375E-2</v>
      </c>
      <c r="W26" s="48">
        <f t="shared" si="1"/>
        <v>1.375E-2</v>
      </c>
      <c r="X26" s="48">
        <f t="shared" si="1"/>
        <v>1.375E-2</v>
      </c>
      <c r="Y26" s="48">
        <f t="shared" si="1"/>
        <v>1.375E-2</v>
      </c>
      <c r="Z26" s="48">
        <f t="shared" si="1"/>
        <v>1.375E-2</v>
      </c>
      <c r="AA26" s="48">
        <f t="shared" si="1"/>
        <v>1.375E-2</v>
      </c>
      <c r="AB26" s="48">
        <f t="shared" si="1"/>
        <v>1.4999999999999999E-2</v>
      </c>
      <c r="AC26" s="48">
        <f t="shared" si="1"/>
        <v>1.4999999999999999E-2</v>
      </c>
      <c r="AD26" s="48">
        <f t="shared" si="1"/>
        <v>1.4999999999999999E-2</v>
      </c>
      <c r="AE26" s="48">
        <f t="shared" si="1"/>
        <v>1.4999999999999999E-2</v>
      </c>
      <c r="AF26" s="48">
        <f t="shared" si="1"/>
        <v>1.4999999999999999E-2</v>
      </c>
      <c r="AG26" s="48">
        <f t="shared" si="1"/>
        <v>1.4999999999999999E-2</v>
      </c>
      <c r="AH26" s="48">
        <f t="shared" ref="AH26:AP26" si="2">VLOOKUP(AH24,$A$13:$C$17,3)</f>
        <v>1.4999999999999999E-2</v>
      </c>
      <c r="AI26" s="48">
        <f t="shared" si="2"/>
        <v>1.4999999999999999E-2</v>
      </c>
      <c r="AJ26" s="48">
        <f t="shared" si="2"/>
        <v>1.4999999999999999E-2</v>
      </c>
      <c r="AK26" s="48">
        <f t="shared" si="2"/>
        <v>1.4999999999999999E-2</v>
      </c>
      <c r="AL26" s="48">
        <f t="shared" si="2"/>
        <v>1.4999999999999999E-2</v>
      </c>
      <c r="AM26" s="48">
        <f t="shared" si="2"/>
        <v>1.4999999999999999E-2</v>
      </c>
      <c r="AN26" s="48">
        <f t="shared" si="2"/>
        <v>1.4999999999999999E-2</v>
      </c>
      <c r="AO26" s="48">
        <f t="shared" si="2"/>
        <v>1.4999999999999999E-2</v>
      </c>
      <c r="AP26" s="48">
        <f t="shared" si="2"/>
        <v>1.4999999999999999E-2</v>
      </c>
      <c r="AQ26" s="48"/>
      <c r="AR26" s="48"/>
    </row>
    <row r="27" spans="1:44" x14ac:dyDescent="0.2">
      <c r="A27" s="30" t="s">
        <v>98</v>
      </c>
      <c r="C27" s="49">
        <f>SUM(C25:C26)</f>
        <v>7.7339999999999992E-2</v>
      </c>
      <c r="D27" s="49">
        <f t="shared" ref="D27:AG27" si="3">SUM(D25:D26)</f>
        <v>7.7339999999999992E-2</v>
      </c>
      <c r="E27" s="49">
        <f t="shared" si="3"/>
        <v>7.7339999999999992E-2</v>
      </c>
      <c r="F27" s="49">
        <f t="shared" si="3"/>
        <v>7.7339999999999992E-2</v>
      </c>
      <c r="G27" s="49">
        <f t="shared" si="3"/>
        <v>7.7339999999999992E-2</v>
      </c>
      <c r="H27" s="49">
        <f t="shared" si="3"/>
        <v>7.7339999999999992E-2</v>
      </c>
      <c r="I27" s="49">
        <f t="shared" si="3"/>
        <v>7.7339999999999992E-2</v>
      </c>
      <c r="J27" s="49">
        <f t="shared" si="3"/>
        <v>7.7339999999999992E-2</v>
      </c>
      <c r="K27" s="49">
        <f t="shared" si="3"/>
        <v>7.7339999999999992E-2</v>
      </c>
      <c r="L27" s="49">
        <f t="shared" si="3"/>
        <v>7.8589999999999993E-2</v>
      </c>
      <c r="M27" s="49">
        <f t="shared" si="3"/>
        <v>7.8589999999999993E-2</v>
      </c>
      <c r="N27" s="49">
        <f t="shared" si="3"/>
        <v>7.8589999999999993E-2</v>
      </c>
      <c r="O27" s="49">
        <f t="shared" si="3"/>
        <v>7.8589999999999993E-2</v>
      </c>
      <c r="P27" s="49">
        <f t="shared" si="3"/>
        <v>7.8589999999999993E-2</v>
      </c>
      <c r="Q27" s="49">
        <f t="shared" si="3"/>
        <v>7.8589999999999993E-2</v>
      </c>
      <c r="R27" s="49">
        <f t="shared" si="3"/>
        <v>7.8589999999999993E-2</v>
      </c>
      <c r="S27" s="49">
        <f t="shared" si="3"/>
        <v>7.8589999999999993E-2</v>
      </c>
      <c r="T27" s="49">
        <f t="shared" si="3"/>
        <v>7.9839999999999994E-2</v>
      </c>
      <c r="U27" s="49">
        <f t="shared" si="3"/>
        <v>7.9839999999999994E-2</v>
      </c>
      <c r="V27" s="49">
        <f t="shared" si="3"/>
        <v>7.9839999999999994E-2</v>
      </c>
      <c r="W27" s="49">
        <f t="shared" si="3"/>
        <v>7.9839999999999994E-2</v>
      </c>
      <c r="X27" s="49">
        <f t="shared" si="3"/>
        <v>7.9839999999999994E-2</v>
      </c>
      <c r="Y27" s="49">
        <f t="shared" si="3"/>
        <v>7.9839999999999994E-2</v>
      </c>
      <c r="Z27" s="49">
        <f t="shared" si="3"/>
        <v>7.9839999999999994E-2</v>
      </c>
      <c r="AA27" s="49">
        <f t="shared" si="3"/>
        <v>7.9839999999999994E-2</v>
      </c>
      <c r="AB27" s="49">
        <f t="shared" si="3"/>
        <v>8.1089999999999995E-2</v>
      </c>
      <c r="AC27" s="49">
        <f t="shared" si="3"/>
        <v>8.1089999999999995E-2</v>
      </c>
      <c r="AD27" s="49">
        <f t="shared" si="3"/>
        <v>8.1089999999999995E-2</v>
      </c>
      <c r="AE27" s="49">
        <f t="shared" si="3"/>
        <v>8.1089999999999995E-2</v>
      </c>
      <c r="AF27" s="49">
        <f t="shared" si="3"/>
        <v>8.1089999999999995E-2</v>
      </c>
      <c r="AG27" s="49">
        <f t="shared" si="3"/>
        <v>8.1089999999999995E-2</v>
      </c>
      <c r="AH27" s="49">
        <f t="shared" ref="AH27:AP27" si="4">SUM(AH25:AH26)</f>
        <v>8.1089999999999995E-2</v>
      </c>
      <c r="AI27" s="49">
        <f t="shared" si="4"/>
        <v>8.1089999999999995E-2</v>
      </c>
      <c r="AJ27" s="49">
        <f t="shared" si="4"/>
        <v>8.1089999999999995E-2</v>
      </c>
      <c r="AK27" s="49">
        <f t="shared" si="4"/>
        <v>8.1089999999999995E-2</v>
      </c>
      <c r="AL27" s="49">
        <f t="shared" si="4"/>
        <v>8.1089999999999995E-2</v>
      </c>
      <c r="AM27" s="49">
        <f t="shared" si="4"/>
        <v>8.1089999999999995E-2</v>
      </c>
      <c r="AN27" s="49">
        <f t="shared" si="4"/>
        <v>8.1089999999999995E-2</v>
      </c>
      <c r="AO27" s="49">
        <f t="shared" si="4"/>
        <v>8.1089999999999995E-2</v>
      </c>
      <c r="AP27" s="49">
        <f t="shared" si="4"/>
        <v>8.1089999999999995E-2</v>
      </c>
      <c r="AQ27" s="49"/>
      <c r="AR27" s="49"/>
    </row>
    <row r="28" spans="1:44" x14ac:dyDescent="0.2">
      <c r="A28" s="30" t="s">
        <v>99</v>
      </c>
      <c r="C28" s="13">
        <f>B8</f>
        <v>55966897.477750897</v>
      </c>
      <c r="D28" s="13">
        <f>C31</f>
        <v>55966897.477750897</v>
      </c>
      <c r="E28" s="13">
        <f>D31</f>
        <v>55966897.477750897</v>
      </c>
      <c r="F28" s="13">
        <f>E31</f>
        <v>55966897.477750897</v>
      </c>
      <c r="G28" s="13">
        <f>F31</f>
        <v>55966897.477750897</v>
      </c>
      <c r="H28" s="13">
        <f t="shared" ref="H28:AP28" si="5">G31</f>
        <v>54876654.72655274</v>
      </c>
      <c r="I28" s="13">
        <f t="shared" si="5"/>
        <v>53764863.690791398</v>
      </c>
      <c r="J28" s="13">
        <f t="shared" si="5"/>
        <v>52607997.506039433</v>
      </c>
      <c r="K28" s="13">
        <f t="shared" si="5"/>
        <v>51440065.265069507</v>
      </c>
      <c r="L28" s="13">
        <f t="shared" si="5"/>
        <v>50260351.184131771</v>
      </c>
      <c r="M28" s="13">
        <f t="shared" si="5"/>
        <v>49073375.837583922</v>
      </c>
      <c r="N28" s="13">
        <f t="shared" si="5"/>
        <v>47841135.165139437</v>
      </c>
      <c r="O28" s="13">
        <f t="shared" si="5"/>
        <v>46595128.029673733</v>
      </c>
      <c r="P28" s="13">
        <f t="shared" si="5"/>
        <v>45334539.934044734</v>
      </c>
      <c r="Q28" s="13">
        <f t="shared" si="5"/>
        <v>44048634.04703778</v>
      </c>
      <c r="R28" s="13">
        <f t="shared" si="5"/>
        <v>42727285.821790643</v>
      </c>
      <c r="S28" s="13">
        <f t="shared" si="5"/>
        <v>41379687.949629568</v>
      </c>
      <c r="T28" s="13">
        <f t="shared" si="5"/>
        <v>40014352.375939623</v>
      </c>
      <c r="U28" s="13">
        <f t="shared" si="5"/>
        <v>38634377.61344827</v>
      </c>
      <c r="V28" s="13">
        <f t="shared" si="5"/>
        <v>37209109.966399282</v>
      </c>
      <c r="W28" s="13">
        <f t="shared" si="5"/>
        <v>35763646.130836636</v>
      </c>
      <c r="X28" s="13">
        <f t="shared" si="5"/>
        <v>34296941.847322978</v>
      </c>
      <c r="Y28" s="13">
        <f t="shared" si="5"/>
        <v>32800311.581477076</v>
      </c>
      <c r="Z28" s="13">
        <f t="shared" si="5"/>
        <v>31258595.976429943</v>
      </c>
      <c r="AA28" s="13">
        <f t="shared" si="5"/>
        <v>29693040.189858176</v>
      </c>
      <c r="AB28" s="13">
        <f t="shared" si="5"/>
        <v>28102473.960771877</v>
      </c>
      <c r="AC28" s="13">
        <f t="shared" si="5"/>
        <v>26488431.704447538</v>
      </c>
      <c r="AD28" s="13">
        <f t="shared" si="5"/>
        <v>24829008.611962538</v>
      </c>
      <c r="AE28" s="13">
        <f t="shared" si="5"/>
        <v>23141537.599024981</v>
      </c>
      <c r="AF28" s="13">
        <f t="shared" si="5"/>
        <v>21424689.858476162</v>
      </c>
      <c r="AG28" s="13">
        <f t="shared" si="5"/>
        <v>19672263.882199951</v>
      </c>
      <c r="AH28" s="13">
        <f t="shared" si="5"/>
        <v>17879091.2049779</v>
      </c>
      <c r="AI28" s="13">
        <f t="shared" si="5"/>
        <v>16049162.522511322</v>
      </c>
      <c r="AJ28" s="13">
        <f t="shared" si="5"/>
        <v>14185339.49325191</v>
      </c>
      <c r="AK28" s="13">
        <f t="shared" si="5"/>
        <v>12282892.459357155</v>
      </c>
      <c r="AL28" s="13">
        <f t="shared" si="5"/>
        <v>10335487.57252606</v>
      </c>
      <c r="AM28" s="13">
        <f t="shared" si="5"/>
        <v>8350931.9887023922</v>
      </c>
      <c r="AN28" s="13">
        <f t="shared" si="5"/>
        <v>6327578.5280908588</v>
      </c>
      <c r="AO28" s="13">
        <f t="shared" si="5"/>
        <v>4262295.1137150722</v>
      </c>
      <c r="AP28" s="13">
        <f t="shared" si="5"/>
        <v>2152292.6671944475</v>
      </c>
    </row>
    <row r="29" spans="1:44" x14ac:dyDescent="0.2">
      <c r="A29" s="30" t="s">
        <v>100</v>
      </c>
      <c r="C29" s="9">
        <v>0</v>
      </c>
      <c r="D29" s="37">
        <v>0</v>
      </c>
      <c r="E29" s="9">
        <v>0</v>
      </c>
      <c r="F29" s="9">
        <v>0</v>
      </c>
      <c r="G29" s="40">
        <f>G33-G30</f>
        <v>1090242.7511981598</v>
      </c>
      <c r="H29" s="40">
        <f t="shared" ref="H29:AP29" si="6">H33-H30</f>
        <v>1111791.035761341</v>
      </c>
      <c r="I29" s="40">
        <f t="shared" si="6"/>
        <v>1156866.1847519618</v>
      </c>
      <c r="J29" s="40">
        <f t="shared" si="6"/>
        <v>1167932.2409699271</v>
      </c>
      <c r="K29" s="40">
        <f t="shared" si="6"/>
        <v>1179714.0809377367</v>
      </c>
      <c r="L29" s="40">
        <f t="shared" si="6"/>
        <v>1186975.3465478462</v>
      </c>
      <c r="M29" s="40">
        <f t="shared" si="6"/>
        <v>1232240.6724444833</v>
      </c>
      <c r="N29" s="40">
        <f t="shared" si="6"/>
        <v>1246007.1354657025</v>
      </c>
      <c r="O29" s="40">
        <f t="shared" si="6"/>
        <v>1260588.0956289987</v>
      </c>
      <c r="P29" s="40">
        <f t="shared" si="6"/>
        <v>1285905.8870069555</v>
      </c>
      <c r="Q29" s="40">
        <f t="shared" si="6"/>
        <v>1321348.2252471368</v>
      </c>
      <c r="R29" s="40">
        <f t="shared" si="6"/>
        <v>1347597.872161075</v>
      </c>
      <c r="S29" s="40">
        <f t="shared" si="6"/>
        <v>1365335.5736899478</v>
      </c>
      <c r="T29" s="40">
        <f t="shared" si="6"/>
        <v>1379974.7624913531</v>
      </c>
      <c r="U29" s="40">
        <f t="shared" si="6"/>
        <v>1425267.6470489863</v>
      </c>
      <c r="V29" s="40">
        <f t="shared" si="6"/>
        <v>1445463.8355626469</v>
      </c>
      <c r="W29" s="40">
        <f t="shared" si="6"/>
        <v>1466704.2835136587</v>
      </c>
      <c r="X29" s="40">
        <f t="shared" si="6"/>
        <v>1496630.2658459009</v>
      </c>
      <c r="Y29" s="40">
        <f t="shared" si="6"/>
        <v>1541715.6050471312</v>
      </c>
      <c r="Z29" s="40">
        <f t="shared" si="6"/>
        <v>1565555.7865717658</v>
      </c>
      <c r="AA29" s="40">
        <f t="shared" si="6"/>
        <v>1590566.2290862985</v>
      </c>
      <c r="AB29" s="40">
        <f t="shared" si="6"/>
        <v>1614042.2563243378</v>
      </c>
      <c r="AC29" s="40">
        <f t="shared" si="6"/>
        <v>1659423.0924850008</v>
      </c>
      <c r="AD29" s="40">
        <f t="shared" si="6"/>
        <v>1687471.0129375583</v>
      </c>
      <c r="AE29" s="40">
        <f t="shared" si="6"/>
        <v>1716847.7405488188</v>
      </c>
      <c r="AF29" s="40">
        <f t="shared" si="6"/>
        <v>1752425.9762762121</v>
      </c>
      <c r="AG29" s="40">
        <f t="shared" si="6"/>
        <v>1793172.6772220496</v>
      </c>
      <c r="AH29" s="40">
        <f t="shared" si="6"/>
        <v>1829928.6824665777</v>
      </c>
      <c r="AI29" s="40">
        <f t="shared" si="6"/>
        <v>1863823.0292594114</v>
      </c>
      <c r="AJ29" s="40">
        <f t="shared" si="6"/>
        <v>1902447.0338947542</v>
      </c>
      <c r="AK29" s="40">
        <f t="shared" si="6"/>
        <v>1947404.8868310957</v>
      </c>
      <c r="AL29" s="40">
        <f t="shared" si="6"/>
        <v>1984555.5838236674</v>
      </c>
      <c r="AM29" s="40">
        <f t="shared" si="6"/>
        <v>2023353.4606115338</v>
      </c>
      <c r="AN29" s="40">
        <f t="shared" si="6"/>
        <v>2065283.4143757867</v>
      </c>
      <c r="AO29" s="40">
        <f t="shared" si="6"/>
        <v>2110002.4465206247</v>
      </c>
      <c r="AP29" s="40">
        <f t="shared" si="6"/>
        <v>2152292.6671944284</v>
      </c>
    </row>
    <row r="30" spans="1:44" x14ac:dyDescent="0.2">
      <c r="A30" s="30" t="s">
        <v>101</v>
      </c>
      <c r="C30" s="10">
        <v>0</v>
      </c>
      <c r="D30" s="39">
        <f>D27*D28*(D24-C24)/360</f>
        <v>1106167.0730152538</v>
      </c>
      <c r="E30" s="39">
        <f>E27*E28*(E24-D24)/360</f>
        <v>1082119.9627323134</v>
      </c>
      <c r="F30" s="39">
        <f>F27*F28*(F24-E24)/360</f>
        <v>1094143.5178737836</v>
      </c>
      <c r="G30" s="39">
        <f>G27*G28*(G24-F24)/360</f>
        <v>1106167.0730152538</v>
      </c>
      <c r="H30" s="39">
        <f t="shared" ref="H30:AP30" si="7">H27*H28*(H24-G24)/360</f>
        <v>1084618.7884520725</v>
      </c>
      <c r="I30" s="39">
        <f t="shared" si="7"/>
        <v>1039543.6394614516</v>
      </c>
      <c r="J30" s="39">
        <f t="shared" si="7"/>
        <v>1028477.5832434865</v>
      </c>
      <c r="K30" s="39">
        <f t="shared" si="7"/>
        <v>1016695.743275677</v>
      </c>
      <c r="L30" s="39">
        <f t="shared" si="7"/>
        <v>1009434.4776655672</v>
      </c>
      <c r="M30" s="39">
        <f t="shared" si="7"/>
        <v>964169.15176893014</v>
      </c>
      <c r="N30" s="39">
        <f t="shared" si="7"/>
        <v>950402.68874771113</v>
      </c>
      <c r="O30" s="39">
        <f t="shared" si="7"/>
        <v>935821.72858441493</v>
      </c>
      <c r="P30" s="39">
        <f t="shared" si="7"/>
        <v>910503.93720645807</v>
      </c>
      <c r="Q30" s="39">
        <f t="shared" si="7"/>
        <v>875061.59896627662</v>
      </c>
      <c r="R30" s="39">
        <f t="shared" si="7"/>
        <v>848811.95205233863</v>
      </c>
      <c r="S30" s="39">
        <f t="shared" si="7"/>
        <v>831074.25052346569</v>
      </c>
      <c r="T30" s="39">
        <f t="shared" si="7"/>
        <v>816435.06172206043</v>
      </c>
      <c r="U30" s="39">
        <f t="shared" si="7"/>
        <v>771142.17716442724</v>
      </c>
      <c r="V30" s="39">
        <f t="shared" si="7"/>
        <v>750945.98865076655</v>
      </c>
      <c r="W30" s="39">
        <f t="shared" si="7"/>
        <v>729705.54069975473</v>
      </c>
      <c r="X30" s="39">
        <f t="shared" si="7"/>
        <v>699779.55836751254</v>
      </c>
      <c r="Y30" s="39">
        <f t="shared" si="7"/>
        <v>654694.21916628233</v>
      </c>
      <c r="Z30" s="39">
        <f t="shared" si="7"/>
        <v>630854.03764164762</v>
      </c>
      <c r="AA30" s="39">
        <f t="shared" si="7"/>
        <v>605843.59512711514</v>
      </c>
      <c r="AB30" s="39">
        <f t="shared" si="7"/>
        <v>582367.56788907561</v>
      </c>
      <c r="AC30" s="39">
        <f t="shared" si="7"/>
        <v>536986.73172841268</v>
      </c>
      <c r="AD30" s="39">
        <f t="shared" si="7"/>
        <v>508938.81127585511</v>
      </c>
      <c r="AE30" s="39">
        <f t="shared" si="7"/>
        <v>479562.08366459468</v>
      </c>
      <c r="AF30" s="39">
        <f t="shared" si="7"/>
        <v>443983.84793720144</v>
      </c>
      <c r="AG30" s="39">
        <f t="shared" si="7"/>
        <v>403237.14699136402</v>
      </c>
      <c r="AH30" s="39">
        <f t="shared" si="7"/>
        <v>366481.14174683572</v>
      </c>
      <c r="AI30" s="39">
        <f t="shared" si="7"/>
        <v>332586.79495400214</v>
      </c>
      <c r="AJ30" s="39">
        <f t="shared" si="7"/>
        <v>293962.79031865933</v>
      </c>
      <c r="AK30" s="39">
        <f t="shared" si="7"/>
        <v>249004.9373823179</v>
      </c>
      <c r="AL30" s="39">
        <f t="shared" si="7"/>
        <v>211854.24038974606</v>
      </c>
      <c r="AM30" s="39">
        <f t="shared" si="7"/>
        <v>173056.36360187968</v>
      </c>
      <c r="AN30" s="39">
        <f t="shared" si="7"/>
        <v>131126.40983762688</v>
      </c>
      <c r="AO30" s="39">
        <f t="shared" si="7"/>
        <v>86407.377692788796</v>
      </c>
      <c r="AP30" s="39">
        <f t="shared" si="7"/>
        <v>44117.157018984981</v>
      </c>
    </row>
    <row r="31" spans="1:44" x14ac:dyDescent="0.2">
      <c r="A31" s="30" t="s">
        <v>102</v>
      </c>
      <c r="C31" s="13">
        <f>C28-C29</f>
        <v>55966897.477750897</v>
      </c>
      <c r="D31" s="13">
        <f>D28-D29</f>
        <v>55966897.477750897</v>
      </c>
      <c r="E31" s="13">
        <f>E28-E29</f>
        <v>55966897.477750897</v>
      </c>
      <c r="F31" s="13">
        <f>F28-F29</f>
        <v>55966897.477750897</v>
      </c>
      <c r="G31" s="13">
        <f>G28-G29</f>
        <v>54876654.72655274</v>
      </c>
      <c r="H31" s="13">
        <f t="shared" ref="H31:AP31" si="8">H28-H29</f>
        <v>53764863.690791398</v>
      </c>
      <c r="I31" s="13">
        <f t="shared" si="8"/>
        <v>52607997.506039433</v>
      </c>
      <c r="J31" s="13">
        <f t="shared" si="8"/>
        <v>51440065.265069507</v>
      </c>
      <c r="K31" s="13">
        <f t="shared" si="8"/>
        <v>50260351.184131771</v>
      </c>
      <c r="L31" s="13">
        <f t="shared" si="8"/>
        <v>49073375.837583922</v>
      </c>
      <c r="M31" s="13">
        <f t="shared" si="8"/>
        <v>47841135.165139437</v>
      </c>
      <c r="N31" s="13">
        <f t="shared" si="8"/>
        <v>46595128.029673733</v>
      </c>
      <c r="O31" s="13">
        <f t="shared" si="8"/>
        <v>45334539.934044734</v>
      </c>
      <c r="P31" s="13">
        <f t="shared" si="8"/>
        <v>44048634.04703778</v>
      </c>
      <c r="Q31" s="13">
        <f t="shared" si="8"/>
        <v>42727285.821790643</v>
      </c>
      <c r="R31" s="13">
        <f t="shared" si="8"/>
        <v>41379687.949629568</v>
      </c>
      <c r="S31" s="13">
        <f t="shared" si="8"/>
        <v>40014352.375939623</v>
      </c>
      <c r="T31" s="13">
        <f t="shared" si="8"/>
        <v>38634377.61344827</v>
      </c>
      <c r="U31" s="13">
        <f t="shared" si="8"/>
        <v>37209109.966399282</v>
      </c>
      <c r="V31" s="13">
        <f t="shared" si="8"/>
        <v>35763646.130836636</v>
      </c>
      <c r="W31" s="13">
        <f t="shared" si="8"/>
        <v>34296941.847322978</v>
      </c>
      <c r="X31" s="13">
        <f t="shared" si="8"/>
        <v>32800311.581477076</v>
      </c>
      <c r="Y31" s="13">
        <f t="shared" si="8"/>
        <v>31258595.976429943</v>
      </c>
      <c r="Z31" s="13">
        <f t="shared" si="8"/>
        <v>29693040.189858176</v>
      </c>
      <c r="AA31" s="13">
        <f t="shared" si="8"/>
        <v>28102473.960771877</v>
      </c>
      <c r="AB31" s="13">
        <f t="shared" si="8"/>
        <v>26488431.704447538</v>
      </c>
      <c r="AC31" s="13">
        <f t="shared" si="8"/>
        <v>24829008.611962538</v>
      </c>
      <c r="AD31" s="13">
        <f t="shared" si="8"/>
        <v>23141537.599024981</v>
      </c>
      <c r="AE31" s="13">
        <f t="shared" si="8"/>
        <v>21424689.858476162</v>
      </c>
      <c r="AF31" s="13">
        <f t="shared" si="8"/>
        <v>19672263.882199951</v>
      </c>
      <c r="AG31" s="13">
        <f t="shared" si="8"/>
        <v>17879091.2049779</v>
      </c>
      <c r="AH31" s="13">
        <f t="shared" si="8"/>
        <v>16049162.522511322</v>
      </c>
      <c r="AI31" s="13">
        <f t="shared" si="8"/>
        <v>14185339.49325191</v>
      </c>
      <c r="AJ31" s="13">
        <f t="shared" si="8"/>
        <v>12282892.459357155</v>
      </c>
      <c r="AK31" s="13">
        <f t="shared" si="8"/>
        <v>10335487.57252606</v>
      </c>
      <c r="AL31" s="13">
        <f t="shared" si="8"/>
        <v>8350931.9887023922</v>
      </c>
      <c r="AM31" s="13">
        <f t="shared" si="8"/>
        <v>6327578.5280908588</v>
      </c>
      <c r="AN31" s="13">
        <f t="shared" si="8"/>
        <v>4262295.1137150722</v>
      </c>
      <c r="AO31" s="13">
        <f t="shared" si="8"/>
        <v>2152292.6671944475</v>
      </c>
      <c r="AP31" s="13">
        <f t="shared" si="8"/>
        <v>1.909211277961731E-8</v>
      </c>
    </row>
    <row r="32" spans="1:44" x14ac:dyDescent="0.2">
      <c r="A32" s="30"/>
    </row>
    <row r="33" spans="1:42" x14ac:dyDescent="0.2">
      <c r="A33" s="30" t="s">
        <v>103</v>
      </c>
      <c r="C33" s="13">
        <f>C30+C29</f>
        <v>0</v>
      </c>
      <c r="D33" s="13">
        <f>D30+D29</f>
        <v>1106167.0730152538</v>
      </c>
      <c r="E33" s="13">
        <f>E30+E29</f>
        <v>1082119.9627323134</v>
      </c>
      <c r="F33" s="13">
        <f>F30+F29</f>
        <v>1094143.5178737836</v>
      </c>
      <c r="G33" s="84">
        <v>2196409.8242134135</v>
      </c>
      <c r="H33" s="85">
        <f>G33</f>
        <v>2196409.8242134135</v>
      </c>
      <c r="I33" s="85">
        <f t="shared" ref="I33:AP33" si="9">H33</f>
        <v>2196409.8242134135</v>
      </c>
      <c r="J33" s="85">
        <f t="shared" si="9"/>
        <v>2196409.8242134135</v>
      </c>
      <c r="K33" s="85">
        <f t="shared" si="9"/>
        <v>2196409.8242134135</v>
      </c>
      <c r="L33" s="85">
        <f t="shared" si="9"/>
        <v>2196409.8242134135</v>
      </c>
      <c r="M33" s="85">
        <f t="shared" si="9"/>
        <v>2196409.8242134135</v>
      </c>
      <c r="N33" s="85">
        <f t="shared" si="9"/>
        <v>2196409.8242134135</v>
      </c>
      <c r="O33" s="85">
        <f t="shared" si="9"/>
        <v>2196409.8242134135</v>
      </c>
      <c r="P33" s="85">
        <f t="shared" si="9"/>
        <v>2196409.8242134135</v>
      </c>
      <c r="Q33" s="85">
        <f t="shared" si="9"/>
        <v>2196409.8242134135</v>
      </c>
      <c r="R33" s="85">
        <f t="shared" si="9"/>
        <v>2196409.8242134135</v>
      </c>
      <c r="S33" s="85">
        <f t="shared" si="9"/>
        <v>2196409.8242134135</v>
      </c>
      <c r="T33" s="85">
        <f t="shared" si="9"/>
        <v>2196409.8242134135</v>
      </c>
      <c r="U33" s="85">
        <f t="shared" si="9"/>
        <v>2196409.8242134135</v>
      </c>
      <c r="V33" s="85">
        <f t="shared" si="9"/>
        <v>2196409.8242134135</v>
      </c>
      <c r="W33" s="85">
        <f t="shared" si="9"/>
        <v>2196409.8242134135</v>
      </c>
      <c r="X33" s="85">
        <f t="shared" si="9"/>
        <v>2196409.8242134135</v>
      </c>
      <c r="Y33" s="85">
        <f t="shared" si="9"/>
        <v>2196409.8242134135</v>
      </c>
      <c r="Z33" s="85">
        <f t="shared" si="9"/>
        <v>2196409.8242134135</v>
      </c>
      <c r="AA33" s="85">
        <f t="shared" si="9"/>
        <v>2196409.8242134135</v>
      </c>
      <c r="AB33" s="85">
        <f t="shared" si="9"/>
        <v>2196409.8242134135</v>
      </c>
      <c r="AC33" s="85">
        <f t="shared" si="9"/>
        <v>2196409.8242134135</v>
      </c>
      <c r="AD33" s="85">
        <f t="shared" si="9"/>
        <v>2196409.8242134135</v>
      </c>
      <c r="AE33" s="85">
        <f t="shared" si="9"/>
        <v>2196409.8242134135</v>
      </c>
      <c r="AF33" s="85">
        <f t="shared" si="9"/>
        <v>2196409.8242134135</v>
      </c>
      <c r="AG33" s="85">
        <f t="shared" si="9"/>
        <v>2196409.8242134135</v>
      </c>
      <c r="AH33" s="85">
        <f t="shared" si="9"/>
        <v>2196409.8242134135</v>
      </c>
      <c r="AI33" s="85">
        <f t="shared" si="9"/>
        <v>2196409.8242134135</v>
      </c>
      <c r="AJ33" s="85">
        <f t="shared" si="9"/>
        <v>2196409.8242134135</v>
      </c>
      <c r="AK33" s="85">
        <f t="shared" si="9"/>
        <v>2196409.8242134135</v>
      </c>
      <c r="AL33" s="85">
        <f t="shared" si="9"/>
        <v>2196409.8242134135</v>
      </c>
      <c r="AM33" s="85">
        <f t="shared" si="9"/>
        <v>2196409.8242134135</v>
      </c>
      <c r="AN33" s="85">
        <f t="shared" si="9"/>
        <v>2196409.8242134135</v>
      </c>
      <c r="AO33" s="85">
        <f t="shared" si="9"/>
        <v>2196409.8242134135</v>
      </c>
      <c r="AP33" s="85">
        <f t="shared" si="9"/>
        <v>2196409.8242134135</v>
      </c>
    </row>
    <row r="34" spans="1:42" x14ac:dyDescent="0.2">
      <c r="A34" s="30" t="s">
        <v>104</v>
      </c>
      <c r="C34" s="13">
        <f>SUM($C$29:C29)</f>
        <v>0</v>
      </c>
      <c r="D34" s="13">
        <f>SUM($C$29:D29)</f>
        <v>0</v>
      </c>
      <c r="E34" s="13">
        <f>SUM($C$29:E29)</f>
        <v>0</v>
      </c>
      <c r="F34" s="13">
        <f>SUM($C$29:F29)</f>
        <v>0</v>
      </c>
      <c r="G34" s="13">
        <f>SUM($C$29:G29)</f>
        <v>1090242.7511981598</v>
      </c>
      <c r="H34" s="13">
        <f>SUM($C$29:H29)</f>
        <v>2202033.786959501</v>
      </c>
      <c r="I34" s="13">
        <f>SUM($C$29:I29)</f>
        <v>3358899.9717114628</v>
      </c>
      <c r="J34" s="13">
        <f>SUM($C$29:J29)</f>
        <v>4526832.2126813903</v>
      </c>
      <c r="K34" s="13">
        <f>SUM($C$29:K29)</f>
        <v>5706546.293619127</v>
      </c>
      <c r="L34" s="13">
        <f>SUM($C$29:L29)</f>
        <v>6893521.6401669737</v>
      </c>
      <c r="M34" s="13">
        <f>SUM($C$29:M29)</f>
        <v>8125762.312611457</v>
      </c>
      <c r="N34" s="13">
        <f>SUM($C$29:N29)</f>
        <v>9371769.448077159</v>
      </c>
      <c r="O34" s="13">
        <f>SUM($C$29:O29)</f>
        <v>10632357.543706158</v>
      </c>
      <c r="P34" s="13">
        <f>SUM($C$29:P29)</f>
        <v>11918263.430713113</v>
      </c>
      <c r="Q34" s="13">
        <f>SUM($C$29:Q29)</f>
        <v>13239611.655960251</v>
      </c>
      <c r="R34" s="13">
        <f>SUM($C$29:R29)</f>
        <v>14587209.528121326</v>
      </c>
      <c r="S34" s="13">
        <f>SUM($C$29:S29)</f>
        <v>15952545.101811275</v>
      </c>
      <c r="T34" s="13">
        <f>SUM($C$29:T29)</f>
        <v>17332519.864302628</v>
      </c>
      <c r="U34" s="13">
        <f>SUM($C$29:U29)</f>
        <v>18757787.511351615</v>
      </c>
      <c r="V34" s="13">
        <f>SUM($C$29:V29)</f>
        <v>20203251.346914262</v>
      </c>
      <c r="W34" s="13">
        <f>SUM($C$29:W29)</f>
        <v>21669955.630427919</v>
      </c>
      <c r="X34" s="13">
        <f>SUM($C$29:X29)</f>
        <v>23166585.896273822</v>
      </c>
      <c r="Y34" s="13">
        <f>SUM($C$29:Y29)</f>
        <v>24708301.501320954</v>
      </c>
      <c r="Z34" s="13">
        <f>SUM($C$29:Z29)</f>
        <v>26273857.287892722</v>
      </c>
      <c r="AA34" s="13">
        <f>SUM($C$29:AA29)</f>
        <v>27864423.51697902</v>
      </c>
      <c r="AB34" s="13">
        <f>SUM($C$29:AB29)</f>
        <v>29478465.77330336</v>
      </c>
      <c r="AC34" s="13">
        <f>SUM($C$29:AC29)</f>
        <v>31137888.865788359</v>
      </c>
      <c r="AD34" s="13">
        <f>SUM($C$29:AD29)</f>
        <v>32825359.878725916</v>
      </c>
      <c r="AE34" s="13">
        <f>SUM($C$29:AE29)</f>
        <v>34542207.619274735</v>
      </c>
      <c r="AF34" s="13">
        <f>SUM($C$29:AF29)</f>
        <v>36294633.595550947</v>
      </c>
      <c r="AG34" s="13">
        <f>SUM($C$29:AG29)</f>
        <v>38087806.272772998</v>
      </c>
      <c r="AH34" s="13">
        <f>SUM($C$29:AH29)</f>
        <v>39917734.955239579</v>
      </c>
      <c r="AI34" s="13">
        <f>SUM($C$29:AI29)</f>
        <v>41781557.984498993</v>
      </c>
      <c r="AJ34" s="13">
        <f>SUM($C$29:AJ29)</f>
        <v>43684005.018393748</v>
      </c>
      <c r="AK34" s="13">
        <f>SUM($C$29:AK29)</f>
        <v>45631409.905224845</v>
      </c>
      <c r="AL34" s="13">
        <f>SUM($C$29:AL29)</f>
        <v>47615965.489048511</v>
      </c>
      <c r="AM34" s="13">
        <f>SUM($C$29:AM29)</f>
        <v>49639318.949660048</v>
      </c>
      <c r="AN34" s="13">
        <f>SUM($C$29:AN29)</f>
        <v>51704602.364035837</v>
      </c>
      <c r="AO34" s="13">
        <f>SUM($C$29:AO29)</f>
        <v>53814604.810556464</v>
      </c>
      <c r="AP34" s="13">
        <f>SUM($C$29:AP29)</f>
        <v>55966897.47775089</v>
      </c>
    </row>
    <row r="35" spans="1:42" x14ac:dyDescent="0.2">
      <c r="A35" s="30"/>
    </row>
    <row r="36" spans="1:42" x14ac:dyDescent="0.2">
      <c r="A36" s="30" t="s">
        <v>105</v>
      </c>
      <c r="C36" s="13">
        <f>$C$28-C34</f>
        <v>55966897.477750897</v>
      </c>
      <c r="D36" s="13">
        <f t="shared" ref="D36:AP36" si="10">$C$28-D34</f>
        <v>55966897.477750897</v>
      </c>
      <c r="E36" s="13">
        <f t="shared" si="10"/>
        <v>55966897.477750897</v>
      </c>
      <c r="F36" s="13">
        <f t="shared" si="10"/>
        <v>55966897.477750897</v>
      </c>
      <c r="G36" s="13">
        <f t="shared" si="10"/>
        <v>54876654.72655274</v>
      </c>
      <c r="H36" s="13">
        <f t="shared" si="10"/>
        <v>53764863.690791398</v>
      </c>
      <c r="I36" s="13">
        <f t="shared" si="10"/>
        <v>52607997.506039433</v>
      </c>
      <c r="J36" s="13">
        <f t="shared" si="10"/>
        <v>51440065.265069507</v>
      </c>
      <c r="K36" s="13">
        <f t="shared" si="10"/>
        <v>50260351.184131771</v>
      </c>
      <c r="L36" s="13">
        <f t="shared" si="10"/>
        <v>49073375.837583922</v>
      </c>
      <c r="M36" s="13">
        <f t="shared" si="10"/>
        <v>47841135.165139437</v>
      </c>
      <c r="N36" s="13">
        <f t="shared" si="10"/>
        <v>46595128.02967374</v>
      </c>
      <c r="O36" s="13">
        <f t="shared" si="10"/>
        <v>45334539.934044741</v>
      </c>
      <c r="P36" s="13">
        <f t="shared" si="10"/>
        <v>44048634.04703778</v>
      </c>
      <c r="Q36" s="13">
        <f t="shared" si="10"/>
        <v>42727285.82179065</v>
      </c>
      <c r="R36" s="13">
        <f t="shared" si="10"/>
        <v>41379687.949629575</v>
      </c>
      <c r="S36" s="13">
        <f t="shared" si="10"/>
        <v>40014352.375939623</v>
      </c>
      <c r="T36" s="13">
        <f t="shared" si="10"/>
        <v>38634377.61344827</v>
      </c>
      <c r="U36" s="13">
        <f t="shared" si="10"/>
        <v>37209109.966399282</v>
      </c>
      <c r="V36" s="13">
        <f t="shared" si="10"/>
        <v>35763646.130836636</v>
      </c>
      <c r="W36" s="13">
        <f t="shared" si="10"/>
        <v>34296941.847322978</v>
      </c>
      <c r="X36" s="13">
        <f t="shared" si="10"/>
        <v>32800311.581477076</v>
      </c>
      <c r="Y36" s="13">
        <f t="shared" si="10"/>
        <v>31258595.976429943</v>
      </c>
      <c r="Z36" s="13">
        <f t="shared" si="10"/>
        <v>29693040.189858176</v>
      </c>
      <c r="AA36" s="13">
        <f t="shared" si="10"/>
        <v>28102473.960771877</v>
      </c>
      <c r="AB36" s="13">
        <f t="shared" si="10"/>
        <v>26488431.704447538</v>
      </c>
      <c r="AC36" s="13">
        <f t="shared" si="10"/>
        <v>24829008.611962538</v>
      </c>
      <c r="AD36" s="13">
        <f t="shared" si="10"/>
        <v>23141537.599024981</v>
      </c>
      <c r="AE36" s="13">
        <f t="shared" si="10"/>
        <v>21424689.858476162</v>
      </c>
      <c r="AF36" s="13">
        <f t="shared" si="10"/>
        <v>19672263.882199951</v>
      </c>
      <c r="AG36" s="13">
        <f t="shared" si="10"/>
        <v>17879091.2049779</v>
      </c>
      <c r="AH36" s="13">
        <f t="shared" si="10"/>
        <v>16049162.522511318</v>
      </c>
      <c r="AI36" s="13">
        <f t="shared" si="10"/>
        <v>14185339.493251905</v>
      </c>
      <c r="AJ36" s="13">
        <f t="shared" si="10"/>
        <v>12282892.45935715</v>
      </c>
      <c r="AK36" s="13">
        <f t="shared" si="10"/>
        <v>10335487.572526053</v>
      </c>
      <c r="AL36" s="13">
        <f t="shared" si="10"/>
        <v>8350931.9887023866</v>
      </c>
      <c r="AM36" s="13">
        <f t="shared" si="10"/>
        <v>6327578.5280908495</v>
      </c>
      <c r="AN36" s="13">
        <f t="shared" si="10"/>
        <v>4262295.1137150601</v>
      </c>
      <c r="AO36" s="13">
        <f t="shared" si="10"/>
        <v>2152292.6671944335</v>
      </c>
      <c r="AP36" s="13">
        <f t="shared" si="10"/>
        <v>0</v>
      </c>
    </row>
    <row r="37" spans="1:42" x14ac:dyDescent="0.2">
      <c r="A37" s="30"/>
    </row>
    <row r="38" spans="1:42" x14ac:dyDescent="0.2">
      <c r="A38" s="30" t="s">
        <v>107</v>
      </c>
      <c r="C38" s="13">
        <v>0</v>
      </c>
      <c r="D38" s="13">
        <f>SUM('LCGG valuation'!B21:D21)</f>
        <v>1695147.5</v>
      </c>
      <c r="E38" s="13">
        <f>SUM('LCGG valuation'!E21:G21)</f>
        <v>1647267.5</v>
      </c>
      <c r="F38" s="13">
        <f>SUM('LCGG valuation'!H21:J21)</f>
        <v>1671207.5</v>
      </c>
      <c r="G38" s="13">
        <f>SUM('LCGG valuation'!K21:M21)</f>
        <v>1695147.5</v>
      </c>
      <c r="H38" s="13">
        <f>SUM('LCGG valuation'!N21:P21)</f>
        <v>2429307.5000000005</v>
      </c>
      <c r="I38" s="13">
        <f>SUM('LCGG valuation'!Q21:S21)</f>
        <v>2365467.5000000005</v>
      </c>
      <c r="J38" s="13">
        <f>SUM('LCGG valuation'!T21:V21)</f>
        <v>2397387.5000000005</v>
      </c>
      <c r="K38" s="13">
        <f>SUM('LCGG valuation'!W21:Y21)</f>
        <v>2429307.5000000005</v>
      </c>
      <c r="L38" s="13">
        <f>SUM('LCGG valuation'!Z21:AB21)</f>
        <v>3034667.5000000005</v>
      </c>
      <c r="M38" s="13">
        <f>SUM('LCGG valuation'!AC21:AE21)</f>
        <v>2957667.5000000005</v>
      </c>
      <c r="N38" s="13">
        <f>SUM('LCGG valuation'!AF21:AH21)</f>
        <v>2996167.5000000005</v>
      </c>
      <c r="O38" s="13">
        <f>SUM('LCGG valuation'!AI21:AK21)</f>
        <v>3034667.5000000005</v>
      </c>
      <c r="P38" s="13">
        <f>SUM('LCGG valuation'!AL21:AN21)</f>
        <v>3034667.5000000005</v>
      </c>
      <c r="Q38" s="13">
        <f>SUM('LCGG valuation'!AO21:AQ21)</f>
        <v>2996167.5000000005</v>
      </c>
      <c r="R38" s="13">
        <f>SUM('LCGG valuation'!AR21:AT21)</f>
        <v>2996167.5000000005</v>
      </c>
      <c r="S38" s="13">
        <f>SUM('LCGG valuation'!AU21:AW21)</f>
        <v>3034667.5000000005</v>
      </c>
      <c r="T38" s="13">
        <f>SUM('LCGG valuation'!AX21:AZ21)</f>
        <v>3034667.5000000005</v>
      </c>
      <c r="U38" s="13">
        <f>SUM('LCGG valuation'!BA21:BC21)</f>
        <v>2957667.5000000005</v>
      </c>
      <c r="V38" s="13">
        <f>SUM('LCGG valuation'!BD21:DF21)</f>
        <v>9065502.5000000019</v>
      </c>
      <c r="W38" s="13">
        <f>SUM('LCGG valuation'!BG21:BI21)</f>
        <v>3034667.5000000005</v>
      </c>
      <c r="X38" s="13">
        <f>SUM('LCGG valuation'!BJ21:BL21)</f>
        <v>3034667.5000000005</v>
      </c>
      <c r="Y38" s="13">
        <f>SUM('LCGG valuation'!BM21:BO21)</f>
        <v>0</v>
      </c>
      <c r="Z38" s="13">
        <f>SUM('LCGG valuation'!BP21:BR21)</f>
        <v>0</v>
      </c>
      <c r="AA38" s="13">
        <f>SUM('LCGG valuation'!BS21:BU21)</f>
        <v>0</v>
      </c>
      <c r="AB38" s="13">
        <f>SUM('LCGG valuation'!BV21:BX21)</f>
        <v>0</v>
      </c>
      <c r="AC38" s="13">
        <f>SUM('LCGG valuation'!BY21:CA21)</f>
        <v>0</v>
      </c>
      <c r="AD38" s="13">
        <f>SUM('LCGG valuation'!CB21:CD21)</f>
        <v>0</v>
      </c>
      <c r="AE38" s="13">
        <f>SUM('LCGG valuation'!CE21:CG21)</f>
        <v>0</v>
      </c>
      <c r="AF38" s="13">
        <f>SUM('LCGG valuation'!CH21:CJ21)</f>
        <v>0</v>
      </c>
      <c r="AG38" s="13">
        <f>SUM('LCGG valuation'!CK21:CM21)</f>
        <v>0</v>
      </c>
      <c r="AH38" s="13">
        <f>SUM('LCGG valuation'!CN21:CP21)</f>
        <v>0</v>
      </c>
      <c r="AI38" s="13">
        <f>SUM('LCGG valuation'!CQ21:CS21)</f>
        <v>0</v>
      </c>
      <c r="AJ38" s="13">
        <f>SUM('LCGG valuation'!CT21:CV21)</f>
        <v>0</v>
      </c>
      <c r="AK38" s="13">
        <f>SUM('LCGG valuation'!CW21:CY21)</f>
        <v>0</v>
      </c>
      <c r="AL38" s="13">
        <f>SUM('LCGG valuation'!CZ21:DB21)</f>
        <v>0</v>
      </c>
      <c r="AM38" s="13">
        <f>SUM('LCGG valuation'!DC21:DE21)</f>
        <v>0</v>
      </c>
      <c r="AN38" s="13">
        <f>SUM('LCGG valuation'!DF21:DH21)</f>
        <v>0</v>
      </c>
      <c r="AO38" s="13">
        <f>SUM('LCGG valuation'!DI21:DK21)</f>
        <v>0</v>
      </c>
      <c r="AP38" s="13">
        <f>SUM('LCGG valuation'!DL21:DN21)</f>
        <v>0</v>
      </c>
    </row>
    <row r="39" spans="1:42" x14ac:dyDescent="0.2">
      <c r="A39" s="30" t="s">
        <v>108</v>
      </c>
      <c r="C39" s="53">
        <v>0</v>
      </c>
      <c r="D39" s="116">
        <f>D38/D33</f>
        <v>1.5324515991777532</v>
      </c>
      <c r="E39" s="116">
        <f t="shared" ref="E39:AP39" si="11">E38/E33</f>
        <v>1.522259598502101</v>
      </c>
      <c r="F39" s="116">
        <f t="shared" si="11"/>
        <v>1.5274115988436394</v>
      </c>
      <c r="G39" s="116">
        <f t="shared" si="11"/>
        <v>0.77178105894107107</v>
      </c>
      <c r="H39" s="116">
        <f t="shared" si="11"/>
        <v>1.1060356192269323</v>
      </c>
      <c r="I39" s="116">
        <f t="shared" si="11"/>
        <v>1.0769700052890314</v>
      </c>
      <c r="J39" s="116">
        <f t="shared" si="11"/>
        <v>1.091502812257982</v>
      </c>
      <c r="K39" s="116">
        <f t="shared" si="11"/>
        <v>1.1060356192269323</v>
      </c>
      <c r="L39" s="116">
        <f t="shared" si="11"/>
        <v>1.3816490285854495</v>
      </c>
      <c r="M39" s="116">
        <f t="shared" si="11"/>
        <v>1.3465918187919286</v>
      </c>
      <c r="N39" s="116">
        <f t="shared" si="11"/>
        <v>1.364120423688689</v>
      </c>
      <c r="O39" s="116">
        <f t="shared" si="11"/>
        <v>1.3816490285854495</v>
      </c>
      <c r="P39" s="116">
        <f t="shared" si="11"/>
        <v>1.3816490285854495</v>
      </c>
      <c r="Q39" s="116">
        <f t="shared" si="11"/>
        <v>1.364120423688689</v>
      </c>
      <c r="R39" s="116">
        <f t="shared" si="11"/>
        <v>1.364120423688689</v>
      </c>
      <c r="S39" s="116">
        <f t="shared" si="11"/>
        <v>1.3816490285854495</v>
      </c>
      <c r="T39" s="116">
        <f t="shared" si="11"/>
        <v>1.3816490285854495</v>
      </c>
      <c r="U39" s="116">
        <f t="shared" si="11"/>
        <v>1.3465918187919286</v>
      </c>
      <c r="V39" s="116">
        <f t="shared" si="11"/>
        <v>4.1274184808595882</v>
      </c>
      <c r="W39" s="116">
        <f t="shared" si="11"/>
        <v>1.3816490285854495</v>
      </c>
      <c r="X39" s="116">
        <f t="shared" si="11"/>
        <v>1.3816490285854495</v>
      </c>
      <c r="Y39" s="116">
        <f t="shared" si="11"/>
        <v>0</v>
      </c>
      <c r="Z39" s="116">
        <f t="shared" si="11"/>
        <v>0</v>
      </c>
      <c r="AA39" s="116">
        <f t="shared" si="11"/>
        <v>0</v>
      </c>
      <c r="AB39" s="116">
        <f t="shared" si="11"/>
        <v>0</v>
      </c>
      <c r="AC39" s="116">
        <f t="shared" si="11"/>
        <v>0</v>
      </c>
      <c r="AD39" s="116">
        <f t="shared" si="11"/>
        <v>0</v>
      </c>
      <c r="AE39" s="116">
        <f t="shared" si="11"/>
        <v>0</v>
      </c>
      <c r="AF39" s="116">
        <f t="shared" si="11"/>
        <v>0</v>
      </c>
      <c r="AG39" s="116">
        <f t="shared" si="11"/>
        <v>0</v>
      </c>
      <c r="AH39" s="116">
        <f t="shared" si="11"/>
        <v>0</v>
      </c>
      <c r="AI39" s="116">
        <f t="shared" si="11"/>
        <v>0</v>
      </c>
      <c r="AJ39" s="116">
        <f t="shared" si="11"/>
        <v>0</v>
      </c>
      <c r="AK39" s="116">
        <f t="shared" si="11"/>
        <v>0</v>
      </c>
      <c r="AL39" s="116">
        <f t="shared" si="11"/>
        <v>0</v>
      </c>
      <c r="AM39" s="116">
        <f t="shared" si="11"/>
        <v>0</v>
      </c>
      <c r="AN39" s="116">
        <f t="shared" si="11"/>
        <v>0</v>
      </c>
      <c r="AO39" s="116">
        <f t="shared" si="11"/>
        <v>0</v>
      </c>
      <c r="AP39" s="116">
        <f t="shared" si="11"/>
        <v>0</v>
      </c>
    </row>
    <row r="40" spans="1:42" x14ac:dyDescent="0.2">
      <c r="A40" s="30"/>
    </row>
    <row r="41" spans="1:42" x14ac:dyDescent="0.2">
      <c r="A41" s="30"/>
    </row>
    <row r="42" spans="1:42" x14ac:dyDescent="0.2">
      <c r="A42" s="15"/>
    </row>
    <row r="43" spans="1:42" x14ac:dyDescent="0.2">
      <c r="A43" s="30"/>
    </row>
    <row r="44" spans="1:42" x14ac:dyDescent="0.2">
      <c r="A44" s="30"/>
    </row>
    <row r="45" spans="1:42" x14ac:dyDescent="0.2">
      <c r="A45" s="30"/>
    </row>
    <row r="46" spans="1:42" x14ac:dyDescent="0.2">
      <c r="A46" s="30"/>
    </row>
    <row r="47" spans="1:42" x14ac:dyDescent="0.2">
      <c r="A47" s="30"/>
    </row>
  </sheetData>
  <printOptions horizontalCentered="1"/>
  <pageMargins left="0.24" right="0.17" top="1" bottom="1" header="0.5" footer="0.5"/>
  <pageSetup scale="76" fitToWidth="2"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summary</vt:lpstr>
      <vt:lpstr>assumptions</vt:lpstr>
      <vt:lpstr>volumes</vt:lpstr>
      <vt:lpstr> FUGG valuation</vt:lpstr>
      <vt:lpstr>FUGG financing</vt:lpstr>
      <vt:lpstr>LCGG valuation</vt:lpstr>
      <vt:lpstr>LCGG financing</vt:lpstr>
      <vt:lpstr>discount_rate</vt:lpstr>
      <vt:lpstr>Expansion_Cost</vt:lpstr>
      <vt:lpstr>FUGG_initialcapacity</vt:lpstr>
      <vt:lpstr>GandAEsc</vt:lpstr>
      <vt:lpstr>LCGG_initialcapacity</vt:lpstr>
      <vt:lpstr>OandMEsc_FUGG</vt:lpstr>
      <vt:lpstr>OandMEsc_LCGG</vt:lpstr>
      <vt:lpstr>' FUGG valuation'!Print_Area</vt:lpstr>
      <vt:lpstr>'FUGG financing'!Print_Area</vt:lpstr>
      <vt:lpstr>'LCGG financing'!Print_Area</vt:lpstr>
      <vt:lpstr>'LCGG valuation'!Print_Area</vt:lpstr>
      <vt:lpstr>summary!Print_Area</vt:lpstr>
    </vt:vector>
  </TitlesOfParts>
  <Company>ect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Stowers</dc:creator>
  <cp:lastModifiedBy>Felienne</cp:lastModifiedBy>
  <cp:lastPrinted>2000-05-10T14:24:00Z</cp:lastPrinted>
  <dcterms:created xsi:type="dcterms:W3CDTF">2000-05-08T19:53:12Z</dcterms:created>
  <dcterms:modified xsi:type="dcterms:W3CDTF">2014-09-03T16:49:00Z</dcterms:modified>
</cp:coreProperties>
</file>