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4380" windowWidth="12120" windowHeight="3915" tabRatio="932" firstSheet="2" activeTab="3"/>
  </bookViews>
  <sheets>
    <sheet name="Example" sheetId="28" r:id="rId1"/>
    <sheet name="Control Page" sheetId="29" r:id="rId2"/>
    <sheet name="Balance Sheet" sheetId="37" r:id="rId3"/>
    <sheet name="Cash Flow" sheetId="36" r:id="rId4"/>
    <sheet name="Many to Many Revenue" sheetId="34" r:id="rId5"/>
    <sheet name="Private Label Revenue" sheetId="32" r:id="rId6"/>
    <sheet name="Outsourcing and Acquisition Ass" sheetId="35" r:id="rId7"/>
    <sheet name="Many to Many Ass." sheetId="18" r:id="rId8"/>
    <sheet name="Private Label Ass" sheetId="33" r:id="rId9"/>
    <sheet name=" Volume Assumptions" sheetId="16" r:id="rId10"/>
    <sheet name="Expenses" sheetId="31" r:id="rId11"/>
    <sheet name="EOL mgt. report" sheetId="30" r:id="rId12"/>
    <sheet name="EOL STAT" sheetId="21" r:id="rId13"/>
    <sheet name="Total Market Size" sheetId="14" r:id="rId14"/>
    <sheet name="Oil" sheetId="4" r:id="rId15"/>
    <sheet name="Gas" sheetId="6" r:id="rId16"/>
    <sheet name="LNG" sheetId="7" r:id="rId17"/>
    <sheet name="Power" sheetId="8" r:id="rId18"/>
    <sheet name="Coal" sheetId="9" r:id="rId19"/>
    <sheet name="Logistics" sheetId="12" r:id="rId20"/>
    <sheet name="Grains" sheetId="17" r:id="rId21"/>
    <sheet name="Metals" sheetId="11" r:id="rId22"/>
    <sheet name="Forest Products" sheetId="13" r:id="rId23"/>
    <sheet name="Liquids" sheetId="5" r:id="rId24"/>
    <sheet name="Pet Chems and Plastics" sheetId="15" r:id="rId25"/>
    <sheet name="EC" sheetId="10" r:id="rId26"/>
    <sheet name=" Construction " sheetId="23" r:id="rId27"/>
    <sheet name="Spreadsheet Construction" sheetId="22" r:id="rId28"/>
    <sheet name="VAS CF" sheetId="25" r:id="rId29"/>
    <sheet name="Total CF" sheetId="27" r:id="rId30"/>
  </sheets>
  <definedNames>
    <definedName name="_xlnm.Print_Area" localSheetId="26">' Construction '!$A$1:$V$47</definedName>
    <definedName name="_xlnm.Print_Area" localSheetId="0">Example!$A$1:$H$34</definedName>
    <definedName name="_xlnm.Print_Area" localSheetId="27">'Spreadsheet Construction'!$A$1:$V$47</definedName>
  </definedNames>
  <calcPr calcId="152511"/>
</workbook>
</file>

<file path=xl/calcChain.xml><?xml version="1.0" encoding="utf-8"?>
<calcChain xmlns="http://schemas.openxmlformats.org/spreadsheetml/2006/main">
  <c r="K7" i="16" l="1"/>
  <c r="D8" i="16"/>
  <c r="E8" i="16"/>
  <c r="K8" i="16"/>
  <c r="K9" i="16"/>
  <c r="E10" i="16"/>
  <c r="K10" i="16"/>
  <c r="K11" i="16"/>
  <c r="K12" i="16"/>
  <c r="K13" i="16"/>
  <c r="K14" i="16"/>
  <c r="D15" i="16"/>
  <c r="E15" i="16"/>
  <c r="K15" i="16"/>
  <c r="D16" i="16"/>
  <c r="E16" i="16"/>
  <c r="K16" i="16"/>
  <c r="K17" i="16"/>
  <c r="C18" i="16"/>
  <c r="D18" i="16" s="1"/>
  <c r="E18" i="16" s="1"/>
  <c r="K18" i="16"/>
  <c r="B26" i="16"/>
  <c r="A15" i="28" s="1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43" i="16"/>
  <c r="C43" i="16"/>
  <c r="D43" i="16"/>
  <c r="E43" i="16"/>
  <c r="F43" i="16"/>
  <c r="G43" i="16"/>
  <c r="H43" i="16"/>
  <c r="I43" i="16"/>
  <c r="J43" i="16"/>
  <c r="K43" i="16"/>
  <c r="L43" i="16"/>
  <c r="B44" i="16"/>
  <c r="C44" i="16"/>
  <c r="D44" i="16"/>
  <c r="E44" i="16"/>
  <c r="F44" i="16"/>
  <c r="G44" i="16"/>
  <c r="H44" i="16"/>
  <c r="I44" i="16"/>
  <c r="J44" i="16"/>
  <c r="K44" i="16"/>
  <c r="L44" i="16"/>
  <c r="B45" i="16"/>
  <c r="C45" i="16"/>
  <c r="D45" i="16"/>
  <c r="E45" i="16"/>
  <c r="F45" i="16"/>
  <c r="G45" i="16"/>
  <c r="H45" i="16"/>
  <c r="I45" i="16"/>
  <c r="J45" i="16"/>
  <c r="K45" i="16"/>
  <c r="L45" i="16"/>
  <c r="B46" i="16"/>
  <c r="C46" i="16"/>
  <c r="D46" i="16"/>
  <c r="E46" i="16"/>
  <c r="F46" i="16"/>
  <c r="G46" i="16"/>
  <c r="H46" i="16"/>
  <c r="I46" i="16"/>
  <c r="J46" i="16"/>
  <c r="K46" i="16"/>
  <c r="L46" i="16"/>
  <c r="B47" i="16"/>
  <c r="C47" i="16"/>
  <c r="D47" i="16"/>
  <c r="E47" i="16"/>
  <c r="F47" i="16"/>
  <c r="G47" i="16"/>
  <c r="H47" i="16"/>
  <c r="I47" i="16"/>
  <c r="J47" i="16"/>
  <c r="K47" i="16"/>
  <c r="L47" i="16"/>
  <c r="B48" i="16"/>
  <c r="C48" i="16"/>
  <c r="D48" i="16"/>
  <c r="E48" i="16"/>
  <c r="F48" i="16"/>
  <c r="G48" i="16"/>
  <c r="H48" i="16"/>
  <c r="I48" i="16"/>
  <c r="J48" i="16"/>
  <c r="K48" i="16"/>
  <c r="L48" i="16"/>
  <c r="B49" i="16"/>
  <c r="C49" i="16"/>
  <c r="D49" i="16"/>
  <c r="E49" i="16"/>
  <c r="F49" i="16"/>
  <c r="G49" i="16"/>
  <c r="H49" i="16"/>
  <c r="I49" i="16"/>
  <c r="J49" i="16"/>
  <c r="K49" i="16"/>
  <c r="L49" i="16"/>
  <c r="B50" i="16"/>
  <c r="C50" i="16"/>
  <c r="D50" i="16"/>
  <c r="E50" i="16"/>
  <c r="F50" i="16"/>
  <c r="G50" i="16"/>
  <c r="H50" i="16"/>
  <c r="I50" i="16"/>
  <c r="J50" i="16"/>
  <c r="K50" i="16"/>
  <c r="L50" i="16"/>
  <c r="B51" i="16"/>
  <c r="C51" i="16"/>
  <c r="D51" i="16"/>
  <c r="E51" i="16"/>
  <c r="F51" i="16"/>
  <c r="G51" i="16"/>
  <c r="H51" i="16"/>
  <c r="I51" i="16"/>
  <c r="J51" i="16"/>
  <c r="K51" i="16"/>
  <c r="L51" i="16"/>
  <c r="B52" i="16"/>
  <c r="C52" i="16"/>
  <c r="D52" i="16"/>
  <c r="E52" i="16"/>
  <c r="F52" i="16"/>
  <c r="G52" i="16"/>
  <c r="H52" i="16"/>
  <c r="I52" i="16"/>
  <c r="J52" i="16"/>
  <c r="K52" i="16"/>
  <c r="L52" i="16"/>
  <c r="B53" i="16"/>
  <c r="C53" i="16"/>
  <c r="D53" i="16"/>
  <c r="E53" i="16"/>
  <c r="F53" i="16"/>
  <c r="G53" i="16"/>
  <c r="H53" i="16"/>
  <c r="I53" i="16"/>
  <c r="J53" i="16"/>
  <c r="K53" i="16"/>
  <c r="L53" i="16"/>
  <c r="B54" i="16"/>
  <c r="C54" i="16"/>
  <c r="D54" i="16"/>
  <c r="E54" i="16"/>
  <c r="F54" i="16"/>
  <c r="G54" i="16"/>
  <c r="H54" i="16"/>
  <c r="I54" i="16"/>
  <c r="J54" i="16"/>
  <c r="K54" i="16"/>
  <c r="L54" i="16"/>
  <c r="C60" i="16"/>
  <c r="D60" i="16"/>
  <c r="E60" i="16" s="1"/>
  <c r="F60" i="16" s="1"/>
  <c r="G60" i="16" s="1"/>
  <c r="H60" i="16" s="1"/>
  <c r="I60" i="16" s="1"/>
  <c r="J60" i="16" s="1"/>
  <c r="K60" i="16" s="1"/>
  <c r="L60" i="16" s="1"/>
  <c r="C61" i="16"/>
  <c r="D61" i="16"/>
  <c r="E61" i="16"/>
  <c r="F61" i="16" s="1"/>
  <c r="G61" i="16" s="1"/>
  <c r="H61" i="16" s="1"/>
  <c r="I61" i="16" s="1"/>
  <c r="J61" i="16" s="1"/>
  <c r="K61" i="16" s="1"/>
  <c r="L61" i="16" s="1"/>
  <c r="C62" i="16"/>
  <c r="D62" i="16" s="1"/>
  <c r="E62" i="16"/>
  <c r="F62" i="16" s="1"/>
  <c r="G62" i="16"/>
  <c r="H62" i="16" s="1"/>
  <c r="I62" i="16" s="1"/>
  <c r="J62" i="16" s="1"/>
  <c r="K62" i="16" s="1"/>
  <c r="L62" i="16" s="1"/>
  <c r="C63" i="16"/>
  <c r="D63" i="16"/>
  <c r="E63" i="16" s="1"/>
  <c r="F63" i="16" s="1"/>
  <c r="G63" i="16" s="1"/>
  <c r="H63" i="16" s="1"/>
  <c r="I63" i="16" s="1"/>
  <c r="J63" i="16" s="1"/>
  <c r="K63" i="16" s="1"/>
  <c r="L63" i="16" s="1"/>
  <c r="C64" i="16"/>
  <c r="D64" i="16"/>
  <c r="E64" i="16" s="1"/>
  <c r="F64" i="16" s="1"/>
  <c r="G64" i="16"/>
  <c r="H64" i="16" s="1"/>
  <c r="I64" i="16" s="1"/>
  <c r="J64" i="16" s="1"/>
  <c r="K64" i="16" s="1"/>
  <c r="L64" i="16" s="1"/>
  <c r="C65" i="16"/>
  <c r="D65" i="16"/>
  <c r="E65" i="16"/>
  <c r="F65" i="16" s="1"/>
  <c r="G65" i="16"/>
  <c r="H65" i="16" s="1"/>
  <c r="I65" i="16" s="1"/>
  <c r="J65" i="16" s="1"/>
  <c r="K65" i="16" s="1"/>
  <c r="L65" i="16" s="1"/>
  <c r="C66" i="16"/>
  <c r="D66" i="16" s="1"/>
  <c r="E66" i="16" s="1"/>
  <c r="F66" i="16" s="1"/>
  <c r="G66" i="16" s="1"/>
  <c r="H66" i="16"/>
  <c r="I66" i="16" s="1"/>
  <c r="J66" i="16" s="1"/>
  <c r="K66" i="16" s="1"/>
  <c r="L66" i="16" s="1"/>
  <c r="C67" i="16"/>
  <c r="D67" i="16" s="1"/>
  <c r="E67" i="16" s="1"/>
  <c r="F67" i="16" s="1"/>
  <c r="G67" i="16" s="1"/>
  <c r="H67" i="16" s="1"/>
  <c r="I67" i="16" s="1"/>
  <c r="J67" i="16" s="1"/>
  <c r="K67" i="16" s="1"/>
  <c r="L67" i="16" s="1"/>
  <c r="C68" i="16"/>
  <c r="D68" i="16"/>
  <c r="E68" i="16" s="1"/>
  <c r="F68" i="16" s="1"/>
  <c r="G68" i="16" s="1"/>
  <c r="H68" i="16" s="1"/>
  <c r="I68" i="16" s="1"/>
  <c r="J68" i="16"/>
  <c r="K68" i="16" s="1"/>
  <c r="L68" i="16" s="1"/>
  <c r="C69" i="16"/>
  <c r="D69" i="16"/>
  <c r="E69" i="16"/>
  <c r="F69" i="16" s="1"/>
  <c r="G69" i="16" s="1"/>
  <c r="H69" i="16" s="1"/>
  <c r="I69" i="16"/>
  <c r="J69" i="16" s="1"/>
  <c r="K69" i="16" s="1"/>
  <c r="L69" i="16" s="1"/>
  <c r="C70" i="16"/>
  <c r="D70" i="16" s="1"/>
  <c r="E70" i="16"/>
  <c r="F70" i="16" s="1"/>
  <c r="G70" i="16" s="1"/>
  <c r="H70" i="16" s="1"/>
  <c r="I70" i="16" s="1"/>
  <c r="J70" i="16" s="1"/>
  <c r="K70" i="16"/>
  <c r="L70" i="16" s="1"/>
  <c r="C71" i="16"/>
  <c r="D71" i="16" s="1"/>
  <c r="E71" i="16" s="1"/>
  <c r="F71" i="16" s="1"/>
  <c r="G71" i="16" s="1"/>
  <c r="H71" i="16" s="1"/>
  <c r="I71" i="16" s="1"/>
  <c r="J71" i="16" s="1"/>
  <c r="K71" i="16" s="1"/>
  <c r="L71" i="16" s="1"/>
  <c r="B7" i="37"/>
  <c r="B14" i="37" s="1"/>
  <c r="B28" i="37" s="1"/>
  <c r="C14" i="37"/>
  <c r="D14" i="37"/>
  <c r="E14" i="37"/>
  <c r="F14" i="37"/>
  <c r="G14" i="37"/>
  <c r="H14" i="37"/>
  <c r="I14" i="37"/>
  <c r="I28" i="37" s="1"/>
  <c r="J14" i="37"/>
  <c r="K14" i="37"/>
  <c r="L14" i="37"/>
  <c r="B24" i="37"/>
  <c r="C24" i="37"/>
  <c r="D24" i="37"/>
  <c r="E24" i="37"/>
  <c r="E28" i="37" s="1"/>
  <c r="F24" i="37"/>
  <c r="F28" i="37" s="1"/>
  <c r="G24" i="37"/>
  <c r="G28" i="37" s="1"/>
  <c r="H24" i="37"/>
  <c r="I24" i="37"/>
  <c r="J24" i="37"/>
  <c r="K24" i="37"/>
  <c r="L24" i="37"/>
  <c r="C28" i="37"/>
  <c r="D28" i="37"/>
  <c r="H28" i="37"/>
  <c r="J28" i="37"/>
  <c r="K28" i="37"/>
  <c r="L28" i="37"/>
  <c r="B38" i="37"/>
  <c r="B48" i="37" s="1"/>
  <c r="B60" i="37" s="1"/>
  <c r="C38" i="37"/>
  <c r="D38" i="37"/>
  <c r="E38" i="37"/>
  <c r="F38" i="37"/>
  <c r="G38" i="37"/>
  <c r="H38" i="37"/>
  <c r="H48" i="37" s="1"/>
  <c r="I38" i="37"/>
  <c r="I48" i="37" s="1"/>
  <c r="I60" i="37" s="1"/>
  <c r="J38" i="37"/>
  <c r="J48" i="37" s="1"/>
  <c r="J60" i="37" s="1"/>
  <c r="K38" i="37"/>
  <c r="L38" i="37"/>
  <c r="B46" i="37"/>
  <c r="C46" i="37"/>
  <c r="D46" i="37"/>
  <c r="E46" i="37"/>
  <c r="E48" i="37" s="1"/>
  <c r="E60" i="37" s="1"/>
  <c r="F46" i="37"/>
  <c r="F48" i="37" s="1"/>
  <c r="G46" i="37"/>
  <c r="H46" i="37"/>
  <c r="I46" i="37"/>
  <c r="J46" i="37"/>
  <c r="K46" i="37"/>
  <c r="L46" i="37"/>
  <c r="C48" i="37"/>
  <c r="D48" i="37"/>
  <c r="G48" i="37"/>
  <c r="K48" i="37"/>
  <c r="K60" i="37" s="1"/>
  <c r="L48" i="37"/>
  <c r="B58" i="37"/>
  <c r="C58" i="37"/>
  <c r="D58" i="37"/>
  <c r="D60" i="37" s="1"/>
  <c r="E58" i="37"/>
  <c r="F58" i="37"/>
  <c r="G58" i="37"/>
  <c r="H58" i="37"/>
  <c r="H60" i="37" s="1"/>
  <c r="I58" i="37"/>
  <c r="J58" i="37"/>
  <c r="K58" i="37"/>
  <c r="L58" i="37"/>
  <c r="L60" i="37" s="1"/>
  <c r="C60" i="37"/>
  <c r="F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B7" i="36"/>
  <c r="B12" i="36"/>
  <c r="B13" i="36"/>
  <c r="C13" i="36"/>
  <c r="D13" i="36"/>
  <c r="D21" i="36" s="1"/>
  <c r="E13" i="36"/>
  <c r="F13" i="36"/>
  <c r="G13" i="36"/>
  <c r="G21" i="36" s="1"/>
  <c r="H13" i="36"/>
  <c r="H21" i="36" s="1"/>
  <c r="I13" i="36"/>
  <c r="J13" i="36"/>
  <c r="K13" i="36"/>
  <c r="L13" i="36"/>
  <c r="L21" i="36" s="1"/>
  <c r="B14" i="36"/>
  <c r="C14" i="36"/>
  <c r="D14" i="36"/>
  <c r="E14" i="36"/>
  <c r="F14" i="36"/>
  <c r="G14" i="36"/>
  <c r="H14" i="36"/>
  <c r="I14" i="36"/>
  <c r="J14" i="36"/>
  <c r="K14" i="36"/>
  <c r="L14" i="36"/>
  <c r="B17" i="36"/>
  <c r="C17" i="36"/>
  <c r="D17" i="36"/>
  <c r="E17" i="36"/>
  <c r="F17" i="36"/>
  <c r="G17" i="36"/>
  <c r="H17" i="36"/>
  <c r="I17" i="36"/>
  <c r="J17" i="36"/>
  <c r="K17" i="36"/>
  <c r="L17" i="36"/>
  <c r="B21" i="36"/>
  <c r="C21" i="36"/>
  <c r="I21" i="36"/>
  <c r="J21" i="36"/>
  <c r="K21" i="36"/>
  <c r="D6" i="9"/>
  <c r="E6" i="9"/>
  <c r="D7" i="9"/>
  <c r="E7" i="9" s="1"/>
  <c r="D8" i="9"/>
  <c r="E8" i="9" s="1"/>
  <c r="E13" i="9" s="1"/>
  <c r="D9" i="9"/>
  <c r="E9" i="9" s="1"/>
  <c r="D10" i="9"/>
  <c r="E10" i="9"/>
  <c r="D11" i="9"/>
  <c r="E11" i="9" s="1"/>
  <c r="D13" i="9"/>
  <c r="E7" i="29"/>
  <c r="F7" i="29"/>
  <c r="G7" i="29"/>
  <c r="E8" i="29"/>
  <c r="F8" i="29"/>
  <c r="G8" i="29"/>
  <c r="E9" i="29"/>
  <c r="F9" i="29"/>
  <c r="G9" i="29"/>
  <c r="E10" i="29"/>
  <c r="F10" i="29"/>
  <c r="G10" i="29"/>
  <c r="E11" i="29"/>
  <c r="F11" i="29"/>
  <c r="G11" i="29"/>
  <c r="E12" i="29"/>
  <c r="F12" i="29"/>
  <c r="G12" i="29"/>
  <c r="E13" i="29"/>
  <c r="F13" i="29"/>
  <c r="G13" i="29"/>
  <c r="E14" i="29"/>
  <c r="F14" i="29"/>
  <c r="G14" i="29"/>
  <c r="E15" i="29"/>
  <c r="F15" i="29"/>
  <c r="G15" i="29"/>
  <c r="E16" i="29"/>
  <c r="F16" i="29"/>
  <c r="G16" i="29"/>
  <c r="E17" i="29"/>
  <c r="F17" i="29"/>
  <c r="G17" i="29"/>
  <c r="E18" i="29"/>
  <c r="F18" i="29"/>
  <c r="G18" i="29"/>
  <c r="B12" i="10"/>
  <c r="C9" i="30"/>
  <c r="D9" i="30"/>
  <c r="E9" i="30"/>
  <c r="F9" i="30"/>
  <c r="G9" i="30"/>
  <c r="H9" i="30"/>
  <c r="I9" i="30"/>
  <c r="J9" i="30"/>
  <c r="K9" i="30"/>
  <c r="C11" i="30"/>
  <c r="D11" i="30"/>
  <c r="E11" i="30"/>
  <c r="F11" i="30"/>
  <c r="G11" i="30"/>
  <c r="H11" i="30"/>
  <c r="I11" i="30"/>
  <c r="J11" i="30"/>
  <c r="K11" i="30"/>
  <c r="C23" i="30"/>
  <c r="D23" i="30"/>
  <c r="E23" i="30"/>
  <c r="F23" i="30"/>
  <c r="G23" i="30"/>
  <c r="H23" i="30"/>
  <c r="I23" i="30"/>
  <c r="J23" i="30"/>
  <c r="K23" i="30"/>
  <c r="C25" i="30"/>
  <c r="D25" i="30"/>
  <c r="E25" i="30"/>
  <c r="F25" i="30"/>
  <c r="G25" i="30"/>
  <c r="H25" i="30"/>
  <c r="I25" i="30"/>
  <c r="J25" i="30"/>
  <c r="K25" i="30"/>
  <c r="C27" i="30"/>
  <c r="D27" i="30"/>
  <c r="E27" i="30"/>
  <c r="F27" i="30"/>
  <c r="G27" i="30"/>
  <c r="H27" i="30"/>
  <c r="I27" i="30"/>
  <c r="J27" i="30"/>
  <c r="K27" i="30"/>
  <c r="C29" i="30"/>
  <c r="D29" i="30"/>
  <c r="E29" i="30"/>
  <c r="F29" i="30"/>
  <c r="G29" i="30"/>
  <c r="H29" i="30"/>
  <c r="I29" i="30"/>
  <c r="J29" i="30"/>
  <c r="K29" i="30"/>
  <c r="C31" i="30"/>
  <c r="D31" i="30"/>
  <c r="E31" i="30"/>
  <c r="F31" i="30"/>
  <c r="G31" i="30"/>
  <c r="H31" i="30"/>
  <c r="H47" i="30" s="1"/>
  <c r="I31" i="30"/>
  <c r="J31" i="30"/>
  <c r="K31" i="30"/>
  <c r="C34" i="30"/>
  <c r="D34" i="30"/>
  <c r="E34" i="30"/>
  <c r="F34" i="30"/>
  <c r="G34" i="30"/>
  <c r="H34" i="30"/>
  <c r="I34" i="30"/>
  <c r="J34" i="30"/>
  <c r="K34" i="30"/>
  <c r="C36" i="30"/>
  <c r="D36" i="30"/>
  <c r="E36" i="30"/>
  <c r="F36" i="30"/>
  <c r="G36" i="30"/>
  <c r="H36" i="30"/>
  <c r="I36" i="30"/>
  <c r="J36" i="30"/>
  <c r="K36" i="30"/>
  <c r="C38" i="30"/>
  <c r="D38" i="30"/>
  <c r="E38" i="30"/>
  <c r="F38" i="30"/>
  <c r="G38" i="30"/>
  <c r="H38" i="30"/>
  <c r="I38" i="30"/>
  <c r="J38" i="30"/>
  <c r="K38" i="30"/>
  <c r="C40" i="30"/>
  <c r="D40" i="30"/>
  <c r="E40" i="30"/>
  <c r="F40" i="30"/>
  <c r="G40" i="30"/>
  <c r="H40" i="30"/>
  <c r="I40" i="30"/>
  <c r="J40" i="30"/>
  <c r="K40" i="30"/>
  <c r="C44" i="30"/>
  <c r="D44" i="30"/>
  <c r="E44" i="30"/>
  <c r="F44" i="30"/>
  <c r="G44" i="30"/>
  <c r="H44" i="30"/>
  <c r="I44" i="30"/>
  <c r="J44" i="30"/>
  <c r="K44" i="30"/>
  <c r="C46" i="30"/>
  <c r="D46" i="30"/>
  <c r="E46" i="30"/>
  <c r="F46" i="30"/>
  <c r="G46" i="30"/>
  <c r="H46" i="30"/>
  <c r="I46" i="30"/>
  <c r="J46" i="30"/>
  <c r="K46" i="30"/>
  <c r="E4" i="21"/>
  <c r="F4" i="21"/>
  <c r="J4" i="21" s="1"/>
  <c r="E5" i="21"/>
  <c r="F5" i="21"/>
  <c r="E6" i="21"/>
  <c r="F6" i="21"/>
  <c r="K6" i="21" s="1"/>
  <c r="G6" i="21"/>
  <c r="J6" i="21"/>
  <c r="E7" i="21"/>
  <c r="F7" i="21"/>
  <c r="J7" i="21" s="1"/>
  <c r="G7" i="21"/>
  <c r="K7" i="21"/>
  <c r="E8" i="21"/>
  <c r="F8" i="21"/>
  <c r="G8" i="21"/>
  <c r="E9" i="21"/>
  <c r="J9" i="21" s="1"/>
  <c r="F9" i="21"/>
  <c r="G9" i="21"/>
  <c r="E10" i="21"/>
  <c r="F10" i="21"/>
  <c r="E11" i="21"/>
  <c r="F11" i="21"/>
  <c r="F12" i="21"/>
  <c r="F17" i="21"/>
  <c r="A9" i="28"/>
  <c r="A27" i="28"/>
  <c r="B15" i="31"/>
  <c r="C15" i="31"/>
  <c r="D15" i="31"/>
  <c r="E15" i="31" s="1"/>
  <c r="F15" i="31"/>
  <c r="G15" i="31"/>
  <c r="H15" i="31" s="1"/>
  <c r="I15" i="31" s="1"/>
  <c r="J15" i="31" s="1"/>
  <c r="N15" i="31"/>
  <c r="C16" i="31"/>
  <c r="D16" i="31"/>
  <c r="E16" i="31"/>
  <c r="F16" i="31"/>
  <c r="G16" i="31" s="1"/>
  <c r="H16" i="31" s="1"/>
  <c r="I16" i="31"/>
  <c r="J16" i="31" s="1"/>
  <c r="K16" i="31" s="1"/>
  <c r="L16" i="31" s="1"/>
  <c r="N16" i="31"/>
  <c r="B17" i="31"/>
  <c r="C17" i="31" s="1"/>
  <c r="D17" i="31" s="1"/>
  <c r="E17" i="31"/>
  <c r="F17" i="31" s="1"/>
  <c r="G17" i="31"/>
  <c r="H17" i="31" s="1"/>
  <c r="I17" i="31" s="1"/>
  <c r="J17" i="31" s="1"/>
  <c r="K17" i="31" s="1"/>
  <c r="L17" i="31" s="1"/>
  <c r="N17" i="31"/>
  <c r="B18" i="31"/>
  <c r="C18" i="31"/>
  <c r="D18" i="31"/>
  <c r="E18" i="31"/>
  <c r="F18" i="31" s="1"/>
  <c r="G18" i="31" s="1"/>
  <c r="H18" i="31" s="1"/>
  <c r="I18" i="31" s="1"/>
  <c r="J18" i="31" s="1"/>
  <c r="K18" i="31" s="1"/>
  <c r="L18" i="31" s="1"/>
  <c r="N18" i="31"/>
  <c r="B19" i="31"/>
  <c r="N19" i="31"/>
  <c r="N20" i="31"/>
  <c r="C21" i="31"/>
  <c r="D21" i="31" s="1"/>
  <c r="E21" i="31" s="1"/>
  <c r="F21" i="31" s="1"/>
  <c r="G21" i="31" s="1"/>
  <c r="H21" i="31" s="1"/>
  <c r="I21" i="31" s="1"/>
  <c r="J21" i="31" s="1"/>
  <c r="K21" i="31" s="1"/>
  <c r="L21" i="31" s="1"/>
  <c r="N21" i="31"/>
  <c r="C22" i="31"/>
  <c r="D22" i="31" s="1"/>
  <c r="E22" i="31" s="1"/>
  <c r="F22" i="31" s="1"/>
  <c r="G22" i="31" s="1"/>
  <c r="H22" i="31" s="1"/>
  <c r="I22" i="31" s="1"/>
  <c r="J22" i="31" s="1"/>
  <c r="K22" i="31"/>
  <c r="L22" i="31" s="1"/>
  <c r="N22" i="31"/>
  <c r="C23" i="31"/>
  <c r="D23" i="31"/>
  <c r="E23" i="31"/>
  <c r="F23" i="31" s="1"/>
  <c r="G23" i="31" s="1"/>
  <c r="H23" i="31" s="1"/>
  <c r="I23" i="31" s="1"/>
  <c r="J23" i="31"/>
  <c r="K23" i="31" s="1"/>
  <c r="L23" i="31" s="1"/>
  <c r="N23" i="31"/>
  <c r="C24" i="31"/>
  <c r="D24" i="31"/>
  <c r="E24" i="31"/>
  <c r="F24" i="31"/>
  <c r="G24" i="31"/>
  <c r="H24" i="31" s="1"/>
  <c r="I24" i="31" s="1"/>
  <c r="J24" i="31" s="1"/>
  <c r="K24" i="31" s="1"/>
  <c r="L24" i="31" s="1"/>
  <c r="N24" i="31"/>
  <c r="B25" i="31"/>
  <c r="C25" i="31" s="1"/>
  <c r="D25" i="31" s="1"/>
  <c r="E25" i="31" s="1"/>
  <c r="F25" i="31" s="1"/>
  <c r="G25" i="31" s="1"/>
  <c r="H25" i="31" s="1"/>
  <c r="I25" i="31" s="1"/>
  <c r="J25" i="31" s="1"/>
  <c r="K25" i="31"/>
  <c r="L25" i="31" s="1"/>
  <c r="N25" i="31"/>
  <c r="C26" i="31"/>
  <c r="D26" i="31" s="1"/>
  <c r="E26" i="31" s="1"/>
  <c r="F26" i="31"/>
  <c r="G26" i="31" s="1"/>
  <c r="H26" i="31" s="1"/>
  <c r="I26" i="31" s="1"/>
  <c r="J26" i="31" s="1"/>
  <c r="K26" i="31"/>
  <c r="L26" i="31" s="1"/>
  <c r="N26" i="31"/>
  <c r="C27" i="31"/>
  <c r="D27" i="31"/>
  <c r="E27" i="31" s="1"/>
  <c r="F27" i="31" s="1"/>
  <c r="G27" i="31" s="1"/>
  <c r="H27" i="31" s="1"/>
  <c r="I27" i="31" s="1"/>
  <c r="J27" i="31" s="1"/>
  <c r="K27" i="31" s="1"/>
  <c r="L27" i="31" s="1"/>
  <c r="N27" i="31"/>
  <c r="N28" i="31"/>
  <c r="C29" i="31"/>
  <c r="D29" i="31" s="1"/>
  <c r="E29" i="31" s="1"/>
  <c r="F29" i="31" s="1"/>
  <c r="G29" i="31"/>
  <c r="H29" i="31" s="1"/>
  <c r="I29" i="31" s="1"/>
  <c r="J29" i="31" s="1"/>
  <c r="K29" i="31" s="1"/>
  <c r="L29" i="31" s="1"/>
  <c r="N29" i="31"/>
  <c r="C30" i="31"/>
  <c r="D30" i="31"/>
  <c r="E30" i="31"/>
  <c r="F30" i="31"/>
  <c r="G30" i="31" s="1"/>
  <c r="H30" i="31" s="1"/>
  <c r="I30" i="31" s="1"/>
  <c r="J30" i="31" s="1"/>
  <c r="K30" i="31" s="1"/>
  <c r="L30" i="31" s="1"/>
  <c r="N30" i="31"/>
  <c r="C31" i="31"/>
  <c r="D31" i="31" s="1"/>
  <c r="E31" i="31" s="1"/>
  <c r="F31" i="31" s="1"/>
  <c r="G31" i="31" s="1"/>
  <c r="H31" i="31"/>
  <c r="I31" i="31" s="1"/>
  <c r="J31" i="31" s="1"/>
  <c r="K31" i="31" s="1"/>
  <c r="L31" i="31" s="1"/>
  <c r="N31" i="31"/>
  <c r="C32" i="31"/>
  <c r="D32" i="31"/>
  <c r="E32" i="31" s="1"/>
  <c r="F32" i="31"/>
  <c r="G32" i="31" s="1"/>
  <c r="H32" i="31" s="1"/>
  <c r="I32" i="31" s="1"/>
  <c r="J32" i="31" s="1"/>
  <c r="K32" i="31" s="1"/>
  <c r="L32" i="31" s="1"/>
  <c r="N32" i="31"/>
  <c r="C33" i="31"/>
  <c r="D33" i="31"/>
  <c r="E33" i="31"/>
  <c r="F33" i="31" s="1"/>
  <c r="G33" i="31" s="1"/>
  <c r="H33" i="31" s="1"/>
  <c r="I33" i="31"/>
  <c r="J33" i="31" s="1"/>
  <c r="K33" i="31" s="1"/>
  <c r="L33" i="31" s="1"/>
  <c r="N33" i="31"/>
  <c r="C34" i="31"/>
  <c r="D34" i="31"/>
  <c r="E34" i="31"/>
  <c r="F34" i="31"/>
  <c r="G34" i="31"/>
  <c r="H34" i="31" s="1"/>
  <c r="I34" i="31" s="1"/>
  <c r="J34" i="31" s="1"/>
  <c r="K34" i="31" s="1"/>
  <c r="L34" i="31" s="1"/>
  <c r="N34" i="31"/>
  <c r="B35" i="31"/>
  <c r="C35" i="31"/>
  <c r="D35" i="31"/>
  <c r="E35" i="31"/>
  <c r="F35" i="31" s="1"/>
  <c r="G35" i="31" s="1"/>
  <c r="H35" i="31" s="1"/>
  <c r="I35" i="31" s="1"/>
  <c r="J35" i="31" s="1"/>
  <c r="K35" i="31" s="1"/>
  <c r="L35" i="31" s="1"/>
  <c r="N35" i="31"/>
  <c r="C36" i="31"/>
  <c r="D36" i="31" s="1"/>
  <c r="E36" i="31" s="1"/>
  <c r="F36" i="31" s="1"/>
  <c r="G36" i="31" s="1"/>
  <c r="H36" i="31" s="1"/>
  <c r="I36" i="31" s="1"/>
  <c r="J36" i="31"/>
  <c r="K36" i="31" s="1"/>
  <c r="L36" i="31" s="1"/>
  <c r="N36" i="31"/>
  <c r="C37" i="31"/>
  <c r="D37" i="31" s="1"/>
  <c r="E37" i="31" s="1"/>
  <c r="F37" i="31" s="1"/>
  <c r="G37" i="31" s="1"/>
  <c r="H37" i="31" s="1"/>
  <c r="I37" i="31" s="1"/>
  <c r="J37" i="31" s="1"/>
  <c r="K37" i="31" s="1"/>
  <c r="L37" i="31" s="1"/>
  <c r="N37" i="31"/>
  <c r="C38" i="31"/>
  <c r="D38" i="31"/>
  <c r="E38" i="31" s="1"/>
  <c r="F38" i="31" s="1"/>
  <c r="G38" i="31" s="1"/>
  <c r="H38" i="31" s="1"/>
  <c r="I38" i="31" s="1"/>
  <c r="J38" i="31" s="1"/>
  <c r="K38" i="31" s="1"/>
  <c r="L38" i="31" s="1"/>
  <c r="N38" i="31"/>
  <c r="B39" i="31"/>
  <c r="C39" i="31" s="1"/>
  <c r="D39" i="31" s="1"/>
  <c r="E39" i="31" s="1"/>
  <c r="F39" i="31" s="1"/>
  <c r="G39" i="31" s="1"/>
  <c r="H39" i="31" s="1"/>
  <c r="I39" i="31"/>
  <c r="J39" i="31" s="1"/>
  <c r="K39" i="31" s="1"/>
  <c r="L39" i="31" s="1"/>
  <c r="N39" i="31"/>
  <c r="C40" i="31"/>
  <c r="D40" i="31"/>
  <c r="E40" i="31"/>
  <c r="F40" i="31"/>
  <c r="G40" i="31"/>
  <c r="H40" i="31" s="1"/>
  <c r="I40" i="31" s="1"/>
  <c r="J40" i="31" s="1"/>
  <c r="K40" i="31" s="1"/>
  <c r="L40" i="31" s="1"/>
  <c r="N40" i="31"/>
  <c r="C41" i="31"/>
  <c r="D41" i="31" s="1"/>
  <c r="E41" i="31" s="1"/>
  <c r="F41" i="31" s="1"/>
  <c r="G41" i="31" s="1"/>
  <c r="H41" i="31" s="1"/>
  <c r="I41" i="31" s="1"/>
  <c r="J41" i="31" s="1"/>
  <c r="K41" i="31" s="1"/>
  <c r="L41" i="31" s="1"/>
  <c r="N41" i="31"/>
  <c r="C42" i="31"/>
  <c r="D42" i="31" s="1"/>
  <c r="E42" i="31" s="1"/>
  <c r="F42" i="31" s="1"/>
  <c r="G42" i="31" s="1"/>
  <c r="H42" i="31" s="1"/>
  <c r="I42" i="31"/>
  <c r="J42" i="31" s="1"/>
  <c r="K42" i="31" s="1"/>
  <c r="L42" i="31" s="1"/>
  <c r="N42" i="31"/>
  <c r="C43" i="31"/>
  <c r="D43" i="31"/>
  <c r="E43" i="31" s="1"/>
  <c r="F43" i="31" s="1"/>
  <c r="G43" i="31" s="1"/>
  <c r="H43" i="31"/>
  <c r="I43" i="31" s="1"/>
  <c r="J43" i="31" s="1"/>
  <c r="K43" i="31" s="1"/>
  <c r="L43" i="31" s="1"/>
  <c r="N43" i="31"/>
  <c r="C44" i="31"/>
  <c r="D44" i="31" s="1"/>
  <c r="E44" i="31" s="1"/>
  <c r="F44" i="31" s="1"/>
  <c r="G44" i="31" s="1"/>
  <c r="H44" i="31" s="1"/>
  <c r="I44" i="31" s="1"/>
  <c r="J44" i="31" s="1"/>
  <c r="K44" i="31" s="1"/>
  <c r="L44" i="31" s="1"/>
  <c r="N44" i="31"/>
  <c r="C45" i="31"/>
  <c r="D45" i="31" s="1"/>
  <c r="E45" i="31" s="1"/>
  <c r="F45" i="31" s="1"/>
  <c r="G45" i="31" s="1"/>
  <c r="H45" i="31" s="1"/>
  <c r="I45" i="31" s="1"/>
  <c r="J45" i="31" s="1"/>
  <c r="K45" i="31"/>
  <c r="L45" i="31" s="1"/>
  <c r="N45" i="31"/>
  <c r="C46" i="31"/>
  <c r="D46" i="31"/>
  <c r="E46" i="31" s="1"/>
  <c r="F46" i="31" s="1"/>
  <c r="G46" i="31" s="1"/>
  <c r="H46" i="31" s="1"/>
  <c r="I46" i="31" s="1"/>
  <c r="J46" i="31" s="1"/>
  <c r="K46" i="31"/>
  <c r="L46" i="31" s="1"/>
  <c r="N46" i="31"/>
  <c r="B47" i="31"/>
  <c r="C47" i="31"/>
  <c r="D47" i="31" s="1"/>
  <c r="E47" i="31" s="1"/>
  <c r="F47" i="31" s="1"/>
  <c r="G47" i="31" s="1"/>
  <c r="H47" i="31"/>
  <c r="I47" i="31" s="1"/>
  <c r="J47" i="31" s="1"/>
  <c r="K47" i="31" s="1"/>
  <c r="L47" i="31" s="1"/>
  <c r="N47" i="31"/>
  <c r="C48" i="31"/>
  <c r="D48" i="31" s="1"/>
  <c r="E48" i="31" s="1"/>
  <c r="F48" i="31"/>
  <c r="G48" i="31" s="1"/>
  <c r="H48" i="31" s="1"/>
  <c r="I48" i="31" s="1"/>
  <c r="J48" i="31" s="1"/>
  <c r="K48" i="31" s="1"/>
  <c r="L48" i="31" s="1"/>
  <c r="N48" i="31"/>
  <c r="C49" i="31"/>
  <c r="D49" i="31" s="1"/>
  <c r="E49" i="31"/>
  <c r="F49" i="31"/>
  <c r="G49" i="31" s="1"/>
  <c r="H49" i="31" s="1"/>
  <c r="I49" i="31" s="1"/>
  <c r="J49" i="31"/>
  <c r="K49" i="31" s="1"/>
  <c r="L49" i="31" s="1"/>
  <c r="N49" i="31"/>
  <c r="C50" i="31"/>
  <c r="D50" i="31" s="1"/>
  <c r="E50" i="31"/>
  <c r="F50" i="31"/>
  <c r="G50" i="31" s="1"/>
  <c r="H50" i="31" s="1"/>
  <c r="I50" i="31" s="1"/>
  <c r="J50" i="31" s="1"/>
  <c r="K50" i="31" s="1"/>
  <c r="L50" i="31" s="1"/>
  <c r="N50" i="31"/>
  <c r="C51" i="31"/>
  <c r="D51" i="31"/>
  <c r="E51" i="31"/>
  <c r="F51" i="31" s="1"/>
  <c r="G51" i="31" s="1"/>
  <c r="H51" i="31" s="1"/>
  <c r="I51" i="31" s="1"/>
  <c r="J51" i="31"/>
  <c r="K51" i="31" s="1"/>
  <c r="L51" i="31" s="1"/>
  <c r="N51" i="31"/>
  <c r="B52" i="31"/>
  <c r="C52" i="31"/>
  <c r="D52" i="31" s="1"/>
  <c r="E52" i="31" s="1"/>
  <c r="F52" i="31" s="1"/>
  <c r="G52" i="31"/>
  <c r="H52" i="31" s="1"/>
  <c r="I52" i="31" s="1"/>
  <c r="J52" i="31" s="1"/>
  <c r="K52" i="31" s="1"/>
  <c r="L52" i="31" s="1"/>
  <c r="N52" i="31"/>
  <c r="C53" i="31"/>
  <c r="D53" i="31"/>
  <c r="E53" i="31"/>
  <c r="F53" i="31" s="1"/>
  <c r="G53" i="31" s="1"/>
  <c r="H53" i="31" s="1"/>
  <c r="I53" i="31" s="1"/>
  <c r="J53" i="31" s="1"/>
  <c r="K53" i="31" s="1"/>
  <c r="L53" i="31" s="1"/>
  <c r="N53" i="31"/>
  <c r="C54" i="31"/>
  <c r="D54" i="31" s="1"/>
  <c r="E54" i="31"/>
  <c r="F54" i="31" s="1"/>
  <c r="G54" i="31" s="1"/>
  <c r="H54" i="31" s="1"/>
  <c r="I54" i="31" s="1"/>
  <c r="J54" i="31" s="1"/>
  <c r="K54" i="31" s="1"/>
  <c r="L54" i="31" s="1"/>
  <c r="N54" i="31"/>
  <c r="C55" i="31"/>
  <c r="D55" i="31" s="1"/>
  <c r="E55" i="31"/>
  <c r="F55" i="31" s="1"/>
  <c r="G55" i="31" s="1"/>
  <c r="H55" i="31" s="1"/>
  <c r="I55" i="31" s="1"/>
  <c r="J55" i="31" s="1"/>
  <c r="K55" i="31" s="1"/>
  <c r="L55" i="31" s="1"/>
  <c r="N55" i="31"/>
  <c r="B56" i="31"/>
  <c r="C56" i="31"/>
  <c r="D56" i="31" s="1"/>
  <c r="E56" i="31" s="1"/>
  <c r="F56" i="31" s="1"/>
  <c r="G56" i="31" s="1"/>
  <c r="H56" i="31" s="1"/>
  <c r="I56" i="31" s="1"/>
  <c r="J56" i="31" s="1"/>
  <c r="K56" i="31" s="1"/>
  <c r="L56" i="31" s="1"/>
  <c r="N56" i="31"/>
  <c r="C57" i="31"/>
  <c r="D57" i="31" s="1"/>
  <c r="E57" i="31" s="1"/>
  <c r="F57" i="31" s="1"/>
  <c r="G57" i="31" s="1"/>
  <c r="H57" i="31"/>
  <c r="I57" i="31" s="1"/>
  <c r="J57" i="31" s="1"/>
  <c r="K57" i="31" s="1"/>
  <c r="L57" i="31" s="1"/>
  <c r="N57" i="31"/>
  <c r="C58" i="31"/>
  <c r="D58" i="31" s="1"/>
  <c r="E58" i="31" s="1"/>
  <c r="F58" i="31"/>
  <c r="G58" i="31" s="1"/>
  <c r="H58" i="31" s="1"/>
  <c r="I58" i="31" s="1"/>
  <c r="J58" i="31" s="1"/>
  <c r="K58" i="31" s="1"/>
  <c r="L58" i="31" s="1"/>
  <c r="N58" i="31"/>
  <c r="C59" i="31"/>
  <c r="D59" i="31" s="1"/>
  <c r="E59" i="31"/>
  <c r="F59" i="31"/>
  <c r="G59" i="31" s="1"/>
  <c r="H59" i="31" s="1"/>
  <c r="I59" i="31" s="1"/>
  <c r="J59" i="31"/>
  <c r="K59" i="31" s="1"/>
  <c r="L59" i="31" s="1"/>
  <c r="N59" i="31"/>
  <c r="C60" i="31"/>
  <c r="D60" i="31" s="1"/>
  <c r="E60" i="31"/>
  <c r="F60" i="31"/>
  <c r="G60" i="31" s="1"/>
  <c r="H60" i="31" s="1"/>
  <c r="I60" i="31" s="1"/>
  <c r="J60" i="31" s="1"/>
  <c r="K60" i="31" s="1"/>
  <c r="L60" i="31" s="1"/>
  <c r="N60" i="31"/>
  <c r="C61" i="31"/>
  <c r="D61" i="31"/>
  <c r="E61" i="31"/>
  <c r="F61" i="31" s="1"/>
  <c r="G61" i="31" s="1"/>
  <c r="H61" i="31" s="1"/>
  <c r="I61" i="31" s="1"/>
  <c r="J61" i="31"/>
  <c r="K61" i="31" s="1"/>
  <c r="L61" i="31" s="1"/>
  <c r="N61" i="31"/>
  <c r="N62" i="31"/>
  <c r="C63" i="31"/>
  <c r="D63" i="31"/>
  <c r="E63" i="31" s="1"/>
  <c r="F63" i="31" s="1"/>
  <c r="G63" i="31" s="1"/>
  <c r="H63" i="31" s="1"/>
  <c r="I63" i="31"/>
  <c r="J63" i="31" s="1"/>
  <c r="K63" i="31" s="1"/>
  <c r="L63" i="31" s="1"/>
  <c r="N63" i="31"/>
  <c r="C64" i="31"/>
  <c r="D64" i="31" s="1"/>
  <c r="E64" i="31" s="1"/>
  <c r="F64" i="31" s="1"/>
  <c r="G64" i="31" s="1"/>
  <c r="H64" i="31" s="1"/>
  <c r="I64" i="31" s="1"/>
  <c r="J64" i="31" s="1"/>
  <c r="K64" i="31"/>
  <c r="L64" i="31" s="1"/>
  <c r="N64" i="31"/>
  <c r="C65" i="31"/>
  <c r="D65" i="31" s="1"/>
  <c r="E65" i="31"/>
  <c r="F65" i="31"/>
  <c r="G65" i="31" s="1"/>
  <c r="H65" i="31" s="1"/>
  <c r="I65" i="31" s="1"/>
  <c r="J65" i="31" s="1"/>
  <c r="K65" i="31" s="1"/>
  <c r="L65" i="31" s="1"/>
  <c r="N65" i="31"/>
  <c r="C66" i="31"/>
  <c r="D66" i="31"/>
  <c r="E66" i="31" s="1"/>
  <c r="F66" i="31" s="1"/>
  <c r="G66" i="31" s="1"/>
  <c r="H66" i="31" s="1"/>
  <c r="I66" i="31" s="1"/>
  <c r="J66" i="31" s="1"/>
  <c r="K66" i="31" s="1"/>
  <c r="L66" i="31" s="1"/>
  <c r="N66" i="31"/>
  <c r="C86" i="31"/>
  <c r="D86" i="31"/>
  <c r="E86" i="31" s="1"/>
  <c r="F86" i="31" s="1"/>
  <c r="G86" i="31" s="1"/>
  <c r="H86" i="31" s="1"/>
  <c r="I86" i="31" s="1"/>
  <c r="J86" i="31"/>
  <c r="K86" i="31" s="1"/>
  <c r="L86" i="31" s="1"/>
  <c r="C87" i="31"/>
  <c r="D87" i="31"/>
  <c r="E87" i="31" s="1"/>
  <c r="F87" i="31" s="1"/>
  <c r="G87" i="31" s="1"/>
  <c r="H87" i="31" s="1"/>
  <c r="I87" i="31"/>
  <c r="J87" i="31" s="1"/>
  <c r="K87" i="31" s="1"/>
  <c r="L87" i="31" s="1"/>
  <c r="C88" i="31"/>
  <c r="D88" i="31" s="1"/>
  <c r="E88" i="31" s="1"/>
  <c r="F88" i="31" s="1"/>
  <c r="G88" i="31" s="1"/>
  <c r="H88" i="31" s="1"/>
  <c r="I88" i="31" s="1"/>
  <c r="J88" i="31" s="1"/>
  <c r="K88" i="31" s="1"/>
  <c r="L88" i="31" s="1"/>
  <c r="C89" i="31"/>
  <c r="D89" i="31"/>
  <c r="E89" i="31"/>
  <c r="F89" i="31"/>
  <c r="G89" i="31" s="1"/>
  <c r="H89" i="31"/>
  <c r="I89" i="31" s="1"/>
  <c r="J89" i="31" s="1"/>
  <c r="K89" i="31" s="1"/>
  <c r="L89" i="31" s="1"/>
  <c r="C90" i="31"/>
  <c r="D90" i="31" s="1"/>
  <c r="E90" i="31" s="1"/>
  <c r="F90" i="31"/>
  <c r="G90" i="31" s="1"/>
  <c r="H90" i="31" s="1"/>
  <c r="I90" i="31" s="1"/>
  <c r="J90" i="31" s="1"/>
  <c r="K90" i="31" s="1"/>
  <c r="L90" i="31" s="1"/>
  <c r="C91" i="31"/>
  <c r="D91" i="31"/>
  <c r="E91" i="31" s="1"/>
  <c r="F91" i="31" s="1"/>
  <c r="G91" i="31" s="1"/>
  <c r="H91" i="31"/>
  <c r="I91" i="31" s="1"/>
  <c r="J91" i="31"/>
  <c r="K91" i="31" s="1"/>
  <c r="L91" i="31" s="1"/>
  <c r="C92" i="31"/>
  <c r="D92" i="31" s="1"/>
  <c r="E92" i="31" s="1"/>
  <c r="F92" i="31"/>
  <c r="G92" i="31"/>
  <c r="H92" i="31" s="1"/>
  <c r="I92" i="31" s="1"/>
  <c r="J92" i="31" s="1"/>
  <c r="K92" i="31" s="1"/>
  <c r="L92" i="31" s="1"/>
  <c r="C93" i="31"/>
  <c r="D93" i="31"/>
  <c r="E93" i="31"/>
  <c r="F93" i="31"/>
  <c r="G93" i="31" s="1"/>
  <c r="H93" i="31"/>
  <c r="I93" i="31" s="1"/>
  <c r="J93" i="31" s="1"/>
  <c r="K93" i="31" s="1"/>
  <c r="L93" i="31" s="1"/>
  <c r="C94" i="31"/>
  <c r="D94" i="31"/>
  <c r="E94" i="31" s="1"/>
  <c r="F94" i="31" s="1"/>
  <c r="G94" i="31" s="1"/>
  <c r="H94" i="31" s="1"/>
  <c r="I94" i="31" s="1"/>
  <c r="J94" i="31" s="1"/>
  <c r="K94" i="31" s="1"/>
  <c r="L94" i="31" s="1"/>
  <c r="C95" i="31"/>
  <c r="D95" i="31"/>
  <c r="E95" i="31" s="1"/>
  <c r="F95" i="31" s="1"/>
  <c r="G95" i="31" s="1"/>
  <c r="H95" i="31" s="1"/>
  <c r="I95" i="31" s="1"/>
  <c r="J95" i="31" s="1"/>
  <c r="K95" i="31" s="1"/>
  <c r="L95" i="31" s="1"/>
  <c r="C96" i="31"/>
  <c r="D96" i="31" s="1"/>
  <c r="E96" i="31" s="1"/>
  <c r="F96" i="31" s="1"/>
  <c r="G96" i="31" s="1"/>
  <c r="H96" i="31" s="1"/>
  <c r="I96" i="31" s="1"/>
  <c r="J96" i="31" s="1"/>
  <c r="K96" i="31" s="1"/>
  <c r="L96" i="31" s="1"/>
  <c r="C97" i="31"/>
  <c r="D97" i="31"/>
  <c r="E97" i="31"/>
  <c r="F97" i="31" s="1"/>
  <c r="G97" i="31" s="1"/>
  <c r="H97" i="31" s="1"/>
  <c r="I97" i="31" s="1"/>
  <c r="J97" i="31" s="1"/>
  <c r="K97" i="31" s="1"/>
  <c r="L97" i="31" s="1"/>
  <c r="C98" i="31"/>
  <c r="D98" i="31" s="1"/>
  <c r="E98" i="31" s="1"/>
  <c r="F98" i="31" s="1"/>
  <c r="G98" i="31" s="1"/>
  <c r="H98" i="31" s="1"/>
  <c r="I98" i="31" s="1"/>
  <c r="J98" i="31" s="1"/>
  <c r="K98" i="31"/>
  <c r="L98" i="31" s="1"/>
  <c r="C99" i="31"/>
  <c r="D99" i="31"/>
  <c r="E99" i="31" s="1"/>
  <c r="F99" i="31" s="1"/>
  <c r="G99" i="31" s="1"/>
  <c r="H99" i="31" s="1"/>
  <c r="I99" i="31" s="1"/>
  <c r="J99" i="31" s="1"/>
  <c r="K99" i="31" s="1"/>
  <c r="L99" i="31" s="1"/>
  <c r="C100" i="31"/>
  <c r="D100" i="31" s="1"/>
  <c r="E100" i="31" s="1"/>
  <c r="F100" i="31" s="1"/>
  <c r="G100" i="31" s="1"/>
  <c r="H100" i="31" s="1"/>
  <c r="I100" i="31" s="1"/>
  <c r="J100" i="31" s="1"/>
  <c r="K100" i="31" s="1"/>
  <c r="L100" i="31" s="1"/>
  <c r="C101" i="31"/>
  <c r="D101" i="31"/>
  <c r="E101" i="31" s="1"/>
  <c r="F101" i="31" s="1"/>
  <c r="G101" i="31" s="1"/>
  <c r="H101" i="31" s="1"/>
  <c r="I101" i="31" s="1"/>
  <c r="J101" i="31" s="1"/>
  <c r="K101" i="31" s="1"/>
  <c r="L101" i="31" s="1"/>
  <c r="C102" i="31"/>
  <c r="D102" i="31"/>
  <c r="E102" i="31" s="1"/>
  <c r="F102" i="31" s="1"/>
  <c r="G102" i="31" s="1"/>
  <c r="H102" i="31" s="1"/>
  <c r="I102" i="31" s="1"/>
  <c r="J102" i="31" s="1"/>
  <c r="K102" i="31" s="1"/>
  <c r="L102" i="31" s="1"/>
  <c r="C103" i="31"/>
  <c r="D103" i="31"/>
  <c r="E103" i="31" s="1"/>
  <c r="F103" i="31" s="1"/>
  <c r="G103" i="31" s="1"/>
  <c r="H103" i="31" s="1"/>
  <c r="I103" i="31" s="1"/>
  <c r="J103" i="31" s="1"/>
  <c r="K103" i="31" s="1"/>
  <c r="L103" i="31" s="1"/>
  <c r="C104" i="31"/>
  <c r="D104" i="31" s="1"/>
  <c r="E104" i="31" s="1"/>
  <c r="F104" i="31"/>
  <c r="G104" i="31"/>
  <c r="H104" i="31" s="1"/>
  <c r="I104" i="31" s="1"/>
  <c r="J104" i="31" s="1"/>
  <c r="K104" i="31" s="1"/>
  <c r="L104" i="31" s="1"/>
  <c r="C105" i="31"/>
  <c r="D105" i="31"/>
  <c r="E105" i="31" s="1"/>
  <c r="F105" i="31"/>
  <c r="G105" i="31" s="1"/>
  <c r="H105" i="31" s="1"/>
  <c r="I105" i="31"/>
  <c r="J105" i="31" s="1"/>
  <c r="K105" i="31" s="1"/>
  <c r="L105" i="31" s="1"/>
  <c r="C106" i="31"/>
  <c r="D106" i="31" s="1"/>
  <c r="E106" i="31" s="1"/>
  <c r="F106" i="31" s="1"/>
  <c r="G106" i="31" s="1"/>
  <c r="H106" i="31" s="1"/>
  <c r="I106" i="31" s="1"/>
  <c r="J106" i="31" s="1"/>
  <c r="K106" i="31" s="1"/>
  <c r="L106" i="31" s="1"/>
  <c r="C107" i="31"/>
  <c r="D107" i="31"/>
  <c r="E107" i="31" s="1"/>
  <c r="F107" i="31" s="1"/>
  <c r="G107" i="31" s="1"/>
  <c r="H107" i="31" s="1"/>
  <c r="I107" i="31" s="1"/>
  <c r="J107" i="31"/>
  <c r="K107" i="31" s="1"/>
  <c r="L107" i="31" s="1"/>
  <c r="C108" i="31"/>
  <c r="D108" i="31" s="1"/>
  <c r="E108" i="31" s="1"/>
  <c r="F108" i="31" s="1"/>
  <c r="G108" i="31" s="1"/>
  <c r="H108" i="31" s="1"/>
  <c r="I108" i="31" s="1"/>
  <c r="J108" i="31" s="1"/>
  <c r="K108" i="31" s="1"/>
  <c r="L108" i="31" s="1"/>
  <c r="C109" i="31"/>
  <c r="D109" i="31"/>
  <c r="E109" i="31" s="1"/>
  <c r="F109" i="31" s="1"/>
  <c r="G109" i="31" s="1"/>
  <c r="H109" i="31" s="1"/>
  <c r="I109" i="31" s="1"/>
  <c r="J109" i="31" s="1"/>
  <c r="K109" i="31" s="1"/>
  <c r="L109" i="31" s="1"/>
  <c r="C110" i="31"/>
  <c r="D110" i="31"/>
  <c r="E110" i="31" s="1"/>
  <c r="F110" i="31" s="1"/>
  <c r="G110" i="31" s="1"/>
  <c r="H110" i="31" s="1"/>
  <c r="I110" i="31" s="1"/>
  <c r="J110" i="31" s="1"/>
  <c r="K110" i="31" s="1"/>
  <c r="L110" i="31" s="1"/>
  <c r="C111" i="31"/>
  <c r="D111" i="31"/>
  <c r="E111" i="31"/>
  <c r="F111" i="31" s="1"/>
  <c r="G111" i="31" s="1"/>
  <c r="H111" i="31" s="1"/>
  <c r="I111" i="31" s="1"/>
  <c r="J111" i="31" s="1"/>
  <c r="K111" i="31" s="1"/>
  <c r="L111" i="31" s="1"/>
  <c r="C112" i="31"/>
  <c r="D112" i="31" s="1"/>
  <c r="E112" i="31" s="1"/>
  <c r="F112" i="31"/>
  <c r="G112" i="31" s="1"/>
  <c r="H112" i="31"/>
  <c r="I112" i="31" s="1"/>
  <c r="J112" i="31" s="1"/>
  <c r="K112" i="31" s="1"/>
  <c r="L112" i="31" s="1"/>
  <c r="C113" i="31"/>
  <c r="D113" i="31"/>
  <c r="E113" i="31" s="1"/>
  <c r="F113" i="31" s="1"/>
  <c r="G113" i="31" s="1"/>
  <c r="H113" i="31"/>
  <c r="I113" i="31" s="1"/>
  <c r="J113" i="31" s="1"/>
  <c r="K113" i="31" s="1"/>
  <c r="L113" i="31" s="1"/>
  <c r="C114" i="31"/>
  <c r="D114" i="31" s="1"/>
  <c r="E114" i="31" s="1"/>
  <c r="F114" i="31" s="1"/>
  <c r="G114" i="31" s="1"/>
  <c r="H114" i="31" s="1"/>
  <c r="I114" i="31" s="1"/>
  <c r="J114" i="31" s="1"/>
  <c r="K114" i="31" s="1"/>
  <c r="L114" i="31" s="1"/>
  <c r="C115" i="31"/>
  <c r="D115" i="31" s="1"/>
  <c r="E115" i="31" s="1"/>
  <c r="F115" i="31" s="1"/>
  <c r="G115" i="31" s="1"/>
  <c r="H115" i="31" s="1"/>
  <c r="I115" i="31" s="1"/>
  <c r="J115" i="31" s="1"/>
  <c r="K115" i="31" s="1"/>
  <c r="L115" i="31" s="1"/>
  <c r="C116" i="31"/>
  <c r="D116" i="31" s="1"/>
  <c r="E116" i="31" s="1"/>
  <c r="F116" i="31" s="1"/>
  <c r="G116" i="31" s="1"/>
  <c r="H116" i="31" s="1"/>
  <c r="I116" i="31" s="1"/>
  <c r="J116" i="31" s="1"/>
  <c r="K116" i="31"/>
  <c r="L116" i="31" s="1"/>
  <c r="C117" i="31"/>
  <c r="D117" i="31"/>
  <c r="E117" i="31"/>
  <c r="F117" i="31" s="1"/>
  <c r="G117" i="31" s="1"/>
  <c r="H117" i="31" s="1"/>
  <c r="I117" i="31" s="1"/>
  <c r="J117" i="31" s="1"/>
  <c r="K117" i="31" s="1"/>
  <c r="L117" i="31" s="1"/>
  <c r="C118" i="31"/>
  <c r="D118" i="31"/>
  <c r="E118" i="31"/>
  <c r="F118" i="31" s="1"/>
  <c r="G118" i="31" s="1"/>
  <c r="H118" i="31" s="1"/>
  <c r="I118" i="31" s="1"/>
  <c r="J118" i="31" s="1"/>
  <c r="K118" i="31" s="1"/>
  <c r="L118" i="31" s="1"/>
  <c r="C119" i="31"/>
  <c r="D119" i="31" s="1"/>
  <c r="E119" i="31" s="1"/>
  <c r="F119" i="31" s="1"/>
  <c r="G119" i="31" s="1"/>
  <c r="H119" i="31" s="1"/>
  <c r="I119" i="31" s="1"/>
  <c r="J119" i="31" s="1"/>
  <c r="K119" i="31" s="1"/>
  <c r="L119" i="31" s="1"/>
  <c r="C120" i="31"/>
  <c r="D120" i="31" s="1"/>
  <c r="E120" i="31" s="1"/>
  <c r="F120" i="31" s="1"/>
  <c r="G120" i="31" s="1"/>
  <c r="H120" i="31" s="1"/>
  <c r="I120" i="31" s="1"/>
  <c r="J120" i="31" s="1"/>
  <c r="K120" i="31" s="1"/>
  <c r="L120" i="31" s="1"/>
  <c r="C121" i="31"/>
  <c r="D121" i="31"/>
  <c r="E121" i="31" s="1"/>
  <c r="F121" i="31"/>
  <c r="G121" i="31"/>
  <c r="H121" i="31" s="1"/>
  <c r="I121" i="31" s="1"/>
  <c r="J121" i="31" s="1"/>
  <c r="K121" i="31" s="1"/>
  <c r="L121" i="31" s="1"/>
  <c r="C122" i="31"/>
  <c r="D122" i="31"/>
  <c r="E122" i="31" s="1"/>
  <c r="F122" i="31"/>
  <c r="G122" i="31" s="1"/>
  <c r="H122" i="31" s="1"/>
  <c r="I122" i="31" s="1"/>
  <c r="J122" i="31" s="1"/>
  <c r="K122" i="31" s="1"/>
  <c r="L122" i="31" s="1"/>
  <c r="C123" i="31"/>
  <c r="D123" i="31"/>
  <c r="E123" i="31"/>
  <c r="F123" i="31" s="1"/>
  <c r="G123" i="31" s="1"/>
  <c r="H123" i="31" s="1"/>
  <c r="I123" i="31" s="1"/>
  <c r="J123" i="31"/>
  <c r="K123" i="31"/>
  <c r="L123" i="31" s="1"/>
  <c r="C124" i="31"/>
  <c r="D124" i="31" s="1"/>
  <c r="E124" i="31" s="1"/>
  <c r="F124" i="31" s="1"/>
  <c r="G124" i="31" s="1"/>
  <c r="H124" i="31" s="1"/>
  <c r="I124" i="31"/>
  <c r="J124" i="31" s="1"/>
  <c r="K124" i="31" s="1"/>
  <c r="L124" i="31" s="1"/>
  <c r="C125" i="31"/>
  <c r="D125" i="31"/>
  <c r="E125" i="31" s="1"/>
  <c r="F125" i="31" s="1"/>
  <c r="G125" i="31" s="1"/>
  <c r="H125" i="31"/>
  <c r="I125" i="31" s="1"/>
  <c r="J125" i="31"/>
  <c r="K125" i="31" s="1"/>
  <c r="L125" i="31" s="1"/>
  <c r="C126" i="31"/>
  <c r="D126" i="31"/>
  <c r="E126" i="31" s="1"/>
  <c r="F126" i="31" s="1"/>
  <c r="G126" i="31" s="1"/>
  <c r="H126" i="31" s="1"/>
  <c r="I126" i="31" s="1"/>
  <c r="J126" i="31" s="1"/>
  <c r="K126" i="31" s="1"/>
  <c r="L126" i="31" s="1"/>
  <c r="C127" i="31"/>
  <c r="D127" i="31"/>
  <c r="E127" i="31" s="1"/>
  <c r="F127" i="31" s="1"/>
  <c r="G127" i="31" s="1"/>
  <c r="H127" i="31" s="1"/>
  <c r="I127" i="31" s="1"/>
  <c r="J127" i="31" s="1"/>
  <c r="K127" i="31" s="1"/>
  <c r="L127" i="31" s="1"/>
  <c r="C128" i="31"/>
  <c r="D128" i="31"/>
  <c r="E128" i="31" s="1"/>
  <c r="F128" i="31" s="1"/>
  <c r="G128" i="31" s="1"/>
  <c r="H128" i="31" s="1"/>
  <c r="I128" i="31" s="1"/>
  <c r="J128" i="31" s="1"/>
  <c r="K128" i="31" s="1"/>
  <c r="L128" i="31" s="1"/>
  <c r="C129" i="31"/>
  <c r="D129" i="31"/>
  <c r="E129" i="31" s="1"/>
  <c r="F129" i="31"/>
  <c r="G129" i="31"/>
  <c r="H129" i="31" s="1"/>
  <c r="I129" i="31" s="1"/>
  <c r="J129" i="31" s="1"/>
  <c r="K129" i="31" s="1"/>
  <c r="L129" i="31" s="1"/>
  <c r="C130" i="31"/>
  <c r="D130" i="31"/>
  <c r="E130" i="31" s="1"/>
  <c r="F130" i="31"/>
  <c r="G130" i="31" s="1"/>
  <c r="H130" i="31" s="1"/>
  <c r="I130" i="31" s="1"/>
  <c r="J130" i="31" s="1"/>
  <c r="K130" i="31" s="1"/>
  <c r="L130" i="31" s="1"/>
  <c r="C131" i="31"/>
  <c r="D131" i="31"/>
  <c r="E131" i="31"/>
  <c r="F131" i="31" s="1"/>
  <c r="G131" i="31" s="1"/>
  <c r="H131" i="31" s="1"/>
  <c r="I131" i="31" s="1"/>
  <c r="J131" i="31"/>
  <c r="K131" i="31" s="1"/>
  <c r="L131" i="31" s="1"/>
  <c r="C132" i="31"/>
  <c r="D132" i="31" s="1"/>
  <c r="E132" i="31" s="1"/>
  <c r="F132" i="31" s="1"/>
  <c r="G132" i="31" s="1"/>
  <c r="H132" i="31" s="1"/>
  <c r="I132" i="31"/>
  <c r="J132" i="31" s="1"/>
  <c r="K132" i="31" s="1"/>
  <c r="L132" i="31" s="1"/>
  <c r="C133" i="31"/>
  <c r="D133" i="31"/>
  <c r="E133" i="31" s="1"/>
  <c r="F133" i="31" s="1"/>
  <c r="G133" i="31" s="1"/>
  <c r="H133" i="31"/>
  <c r="C135" i="31"/>
  <c r="D135" i="31"/>
  <c r="E135" i="31"/>
  <c r="F135" i="31" s="1"/>
  <c r="G135" i="31" s="1"/>
  <c r="H135" i="31"/>
  <c r="I135" i="31" s="1"/>
  <c r="J135" i="31" s="1"/>
  <c r="K135" i="31" s="1"/>
  <c r="L135" i="31" s="1"/>
  <c r="C136" i="31"/>
  <c r="C138" i="31" s="1"/>
  <c r="C12" i="36" s="1"/>
  <c r="C137" i="31"/>
  <c r="D137" i="31"/>
  <c r="E137" i="31" s="1"/>
  <c r="F137" i="31" s="1"/>
  <c r="G137" i="31" s="1"/>
  <c r="H137" i="31" s="1"/>
  <c r="I137" i="31" s="1"/>
  <c r="J137" i="31" s="1"/>
  <c r="K137" i="31"/>
  <c r="L137" i="31" s="1"/>
  <c r="C148" i="31"/>
  <c r="D148" i="31"/>
  <c r="E148" i="31" s="1"/>
  <c r="F148" i="31" s="1"/>
  <c r="G148" i="31" s="1"/>
  <c r="H148" i="31" s="1"/>
  <c r="I148" i="31" s="1"/>
  <c r="J148" i="31" s="1"/>
  <c r="K148" i="31" s="1"/>
  <c r="L148" i="31" s="1"/>
  <c r="C149" i="31"/>
  <c r="D149" i="31"/>
  <c r="E149" i="31"/>
  <c r="F149" i="31" s="1"/>
  <c r="G149" i="31" s="1"/>
  <c r="H149" i="31" s="1"/>
  <c r="I149" i="31" s="1"/>
  <c r="J149" i="31" s="1"/>
  <c r="K149" i="31" s="1"/>
  <c r="L149" i="31" s="1"/>
  <c r="C150" i="31"/>
  <c r="D150" i="31"/>
  <c r="E150" i="31" s="1"/>
  <c r="F150" i="31" s="1"/>
  <c r="G150" i="31" s="1"/>
  <c r="H150" i="31" s="1"/>
  <c r="I150" i="31" s="1"/>
  <c r="J150" i="31" s="1"/>
  <c r="K150" i="31" s="1"/>
  <c r="L150" i="31" s="1"/>
  <c r="C151" i="31"/>
  <c r="D151" i="31"/>
  <c r="E151" i="31" s="1"/>
  <c r="F151" i="31"/>
  <c r="G151" i="31" s="1"/>
  <c r="H151" i="31" s="1"/>
  <c r="I151" i="31" s="1"/>
  <c r="J151" i="31" s="1"/>
  <c r="K151" i="31" s="1"/>
  <c r="L151" i="31" s="1"/>
  <c r="C152" i="31"/>
  <c r="D152" i="31"/>
  <c r="E152" i="31" s="1"/>
  <c r="F152" i="31" s="1"/>
  <c r="G152" i="31" s="1"/>
  <c r="H152" i="31" s="1"/>
  <c r="I152" i="31" s="1"/>
  <c r="J152" i="31" s="1"/>
  <c r="K152" i="31" s="1"/>
  <c r="L152" i="31" s="1"/>
  <c r="C153" i="31"/>
  <c r="D153" i="31"/>
  <c r="E153" i="31"/>
  <c r="F153" i="31" s="1"/>
  <c r="G153" i="31" s="1"/>
  <c r="H153" i="31" s="1"/>
  <c r="I153" i="31" s="1"/>
  <c r="J153" i="31" s="1"/>
  <c r="K153" i="31" s="1"/>
  <c r="L153" i="31" s="1"/>
  <c r="C154" i="31"/>
  <c r="D154" i="31"/>
  <c r="E154" i="31" s="1"/>
  <c r="F154" i="31" s="1"/>
  <c r="G154" i="31" s="1"/>
  <c r="H154" i="31" s="1"/>
  <c r="I154" i="31" s="1"/>
  <c r="J154" i="31" s="1"/>
  <c r="K154" i="31" s="1"/>
  <c r="L154" i="31" s="1"/>
  <c r="C155" i="31"/>
  <c r="D155" i="31"/>
  <c r="E155" i="31" s="1"/>
  <c r="F155" i="31"/>
  <c r="G155" i="31" s="1"/>
  <c r="H155" i="31" s="1"/>
  <c r="I155" i="31" s="1"/>
  <c r="J155" i="31" s="1"/>
  <c r="K155" i="31" s="1"/>
  <c r="L155" i="31" s="1"/>
  <c r="C156" i="31"/>
  <c r="D156" i="31"/>
  <c r="E156" i="31" s="1"/>
  <c r="F156" i="31" s="1"/>
  <c r="G156" i="31" s="1"/>
  <c r="H156" i="31" s="1"/>
  <c r="I156" i="31" s="1"/>
  <c r="J156" i="31" s="1"/>
  <c r="K156" i="31" s="1"/>
  <c r="L156" i="31" s="1"/>
  <c r="C157" i="31"/>
  <c r="D157" i="31"/>
  <c r="E157" i="31"/>
  <c r="F157" i="31" s="1"/>
  <c r="G157" i="31" s="1"/>
  <c r="H157" i="31" s="1"/>
  <c r="I157" i="31" s="1"/>
  <c r="J157" i="31" s="1"/>
  <c r="K157" i="31" s="1"/>
  <c r="L157" i="31" s="1"/>
  <c r="C158" i="31"/>
  <c r="D158" i="31"/>
  <c r="E158" i="31" s="1"/>
  <c r="F158" i="31" s="1"/>
  <c r="G158" i="31" s="1"/>
  <c r="H158" i="31" s="1"/>
  <c r="I158" i="31" s="1"/>
  <c r="J158" i="31" s="1"/>
  <c r="K158" i="31" s="1"/>
  <c r="L158" i="31" s="1"/>
  <c r="C159" i="31"/>
  <c r="D159" i="31"/>
  <c r="E159" i="31" s="1"/>
  <c r="F159" i="31"/>
  <c r="G159" i="31" s="1"/>
  <c r="H159" i="31" s="1"/>
  <c r="I159" i="31" s="1"/>
  <c r="J159" i="31" s="1"/>
  <c r="K159" i="31" s="1"/>
  <c r="L159" i="31" s="1"/>
  <c r="C160" i="31"/>
  <c r="D160" i="31"/>
  <c r="E160" i="31" s="1"/>
  <c r="F160" i="31" s="1"/>
  <c r="G160" i="31" s="1"/>
  <c r="H160" i="31" s="1"/>
  <c r="I160" i="31" s="1"/>
  <c r="J160" i="31" s="1"/>
  <c r="K160" i="31" s="1"/>
  <c r="L160" i="31" s="1"/>
  <c r="C161" i="31"/>
  <c r="D161" i="31"/>
  <c r="E161" i="31"/>
  <c r="F161" i="31" s="1"/>
  <c r="G161" i="31" s="1"/>
  <c r="H161" i="31" s="1"/>
  <c r="I161" i="31" s="1"/>
  <c r="J161" i="31" s="1"/>
  <c r="K161" i="31" s="1"/>
  <c r="L161" i="31" s="1"/>
  <c r="C162" i="31"/>
  <c r="D162" i="31"/>
  <c r="E162" i="31" s="1"/>
  <c r="F162" i="31" s="1"/>
  <c r="G162" i="31" s="1"/>
  <c r="H162" i="31" s="1"/>
  <c r="I162" i="31" s="1"/>
  <c r="J162" i="31" s="1"/>
  <c r="K162" i="31" s="1"/>
  <c r="L162" i="31" s="1"/>
  <c r="C163" i="31"/>
  <c r="D163" i="31"/>
  <c r="E163" i="31" s="1"/>
  <c r="F163" i="31"/>
  <c r="G163" i="31" s="1"/>
  <c r="H163" i="31" s="1"/>
  <c r="I163" i="31" s="1"/>
  <c r="J163" i="31" s="1"/>
  <c r="K163" i="31" s="1"/>
  <c r="L163" i="31" s="1"/>
  <c r="C164" i="31"/>
  <c r="D164" i="31"/>
  <c r="E164" i="31" s="1"/>
  <c r="F164" i="31" s="1"/>
  <c r="G164" i="31" s="1"/>
  <c r="H164" i="31" s="1"/>
  <c r="I164" i="31" s="1"/>
  <c r="J164" i="31" s="1"/>
  <c r="K164" i="31" s="1"/>
  <c r="L164" i="31" s="1"/>
  <c r="C165" i="31"/>
  <c r="D165" i="31"/>
  <c r="E165" i="31"/>
  <c r="F165" i="31" s="1"/>
  <c r="G165" i="31" s="1"/>
  <c r="H165" i="31" s="1"/>
  <c r="I165" i="31" s="1"/>
  <c r="J165" i="31" s="1"/>
  <c r="K165" i="31" s="1"/>
  <c r="L165" i="31" s="1"/>
  <c r="C166" i="31"/>
  <c r="D166" i="31"/>
  <c r="E166" i="31" s="1"/>
  <c r="F166" i="31" s="1"/>
  <c r="G166" i="31" s="1"/>
  <c r="H166" i="31" s="1"/>
  <c r="I166" i="31" s="1"/>
  <c r="J166" i="31" s="1"/>
  <c r="K166" i="31" s="1"/>
  <c r="L166" i="31" s="1"/>
  <c r="C167" i="31"/>
  <c r="D167" i="31"/>
  <c r="E167" i="31" s="1"/>
  <c r="F167" i="31"/>
  <c r="G167" i="31" s="1"/>
  <c r="H167" i="31" s="1"/>
  <c r="I167" i="31" s="1"/>
  <c r="J167" i="31" s="1"/>
  <c r="K167" i="31" s="1"/>
  <c r="L167" i="31" s="1"/>
  <c r="C168" i="31"/>
  <c r="D168" i="31"/>
  <c r="E168" i="31" s="1"/>
  <c r="F168" i="31" s="1"/>
  <c r="G168" i="31" s="1"/>
  <c r="H168" i="31" s="1"/>
  <c r="I168" i="31" s="1"/>
  <c r="J168" i="31" s="1"/>
  <c r="K168" i="31" s="1"/>
  <c r="L168" i="31" s="1"/>
  <c r="C169" i="31"/>
  <c r="D169" i="31"/>
  <c r="E169" i="31"/>
  <c r="F169" i="31" s="1"/>
  <c r="G169" i="31" s="1"/>
  <c r="H169" i="31" s="1"/>
  <c r="I169" i="31" s="1"/>
  <c r="J169" i="31" s="1"/>
  <c r="K169" i="31" s="1"/>
  <c r="L169" i="31" s="1"/>
  <c r="C170" i="31"/>
  <c r="D170" i="31"/>
  <c r="E170" i="31" s="1"/>
  <c r="F170" i="31" s="1"/>
  <c r="G170" i="31" s="1"/>
  <c r="H170" i="31" s="1"/>
  <c r="I170" i="31" s="1"/>
  <c r="J170" i="31" s="1"/>
  <c r="K170" i="31" s="1"/>
  <c r="L170" i="31" s="1"/>
  <c r="C171" i="31"/>
  <c r="D171" i="31"/>
  <c r="E171" i="31" s="1"/>
  <c r="F171" i="31"/>
  <c r="G171" i="31" s="1"/>
  <c r="H171" i="31" s="1"/>
  <c r="I171" i="31" s="1"/>
  <c r="J171" i="31" s="1"/>
  <c r="K171" i="31" s="1"/>
  <c r="L171" i="31" s="1"/>
  <c r="C172" i="31"/>
  <c r="D172" i="31"/>
  <c r="E172" i="31" s="1"/>
  <c r="F172" i="31" s="1"/>
  <c r="G172" i="31" s="1"/>
  <c r="H172" i="31" s="1"/>
  <c r="I172" i="31" s="1"/>
  <c r="J172" i="31" s="1"/>
  <c r="K172" i="31" s="1"/>
  <c r="L172" i="31" s="1"/>
  <c r="C173" i="31"/>
  <c r="D173" i="31" s="1"/>
  <c r="E173" i="31" s="1"/>
  <c r="F173" i="31" s="1"/>
  <c r="G173" i="31" s="1"/>
  <c r="H173" i="31" s="1"/>
  <c r="I173" i="31" s="1"/>
  <c r="J173" i="31" s="1"/>
  <c r="K173" i="31" s="1"/>
  <c r="L173" i="31" s="1"/>
  <c r="C174" i="31"/>
  <c r="D174" i="31" s="1"/>
  <c r="E174" i="31" s="1"/>
  <c r="F174" i="31" s="1"/>
  <c r="G174" i="31" s="1"/>
  <c r="H174" i="31" s="1"/>
  <c r="I174" i="31"/>
  <c r="J174" i="31" s="1"/>
  <c r="K174" i="31" s="1"/>
  <c r="L174" i="31" s="1"/>
  <c r="C175" i="31"/>
  <c r="D175" i="31"/>
  <c r="E175" i="31" s="1"/>
  <c r="F175" i="31" s="1"/>
  <c r="G175" i="31" s="1"/>
  <c r="H175" i="31"/>
  <c r="I175" i="31" s="1"/>
  <c r="J175" i="31" s="1"/>
  <c r="K175" i="31" s="1"/>
  <c r="L175" i="31" s="1"/>
  <c r="C176" i="31"/>
  <c r="D176" i="31"/>
  <c r="E176" i="31"/>
  <c r="F176" i="31"/>
  <c r="G176" i="31" s="1"/>
  <c r="H176" i="31" s="1"/>
  <c r="I176" i="31" s="1"/>
  <c r="J176" i="31" s="1"/>
  <c r="K176" i="31" s="1"/>
  <c r="L176" i="31" s="1"/>
  <c r="C177" i="31"/>
  <c r="D177" i="31"/>
  <c r="E177" i="31"/>
  <c r="F177" i="31" s="1"/>
  <c r="G177" i="31" s="1"/>
  <c r="H177" i="31" s="1"/>
  <c r="I177" i="31" s="1"/>
  <c r="J177" i="31" s="1"/>
  <c r="K177" i="31" s="1"/>
  <c r="L177" i="31" s="1"/>
  <c r="C178" i="31"/>
  <c r="D178" i="31"/>
  <c r="E178" i="31" s="1"/>
  <c r="F178" i="31"/>
  <c r="G178" i="31" s="1"/>
  <c r="H178" i="31" s="1"/>
  <c r="I178" i="31" s="1"/>
  <c r="J178" i="31" s="1"/>
  <c r="K178" i="31" s="1"/>
  <c r="L178" i="31" s="1"/>
  <c r="C179" i="31"/>
  <c r="D179" i="31" s="1"/>
  <c r="E179" i="31" s="1"/>
  <c r="F179" i="31"/>
  <c r="G179" i="31" s="1"/>
  <c r="H179" i="31" s="1"/>
  <c r="I179" i="31" s="1"/>
  <c r="J179" i="31" s="1"/>
  <c r="K179" i="31" s="1"/>
  <c r="L179" i="31" s="1"/>
  <c r="C180" i="31"/>
  <c r="D180" i="31"/>
  <c r="E180" i="31"/>
  <c r="F180" i="31" s="1"/>
  <c r="G180" i="31" s="1"/>
  <c r="H180" i="31" s="1"/>
  <c r="I180" i="31" s="1"/>
  <c r="J180" i="31" s="1"/>
  <c r="K180" i="31" s="1"/>
  <c r="L180" i="31" s="1"/>
  <c r="C181" i="31"/>
  <c r="D181" i="31"/>
  <c r="E181" i="31" s="1"/>
  <c r="F181" i="31" s="1"/>
  <c r="G181" i="31" s="1"/>
  <c r="H181" i="31" s="1"/>
  <c r="I181" i="31" s="1"/>
  <c r="J181" i="31" s="1"/>
  <c r="K181" i="31" s="1"/>
  <c r="L181" i="31" s="1"/>
  <c r="C182" i="31"/>
  <c r="D182" i="31" s="1"/>
  <c r="E182" i="31" s="1"/>
  <c r="F182" i="31" s="1"/>
  <c r="G182" i="31" s="1"/>
  <c r="H182" i="31" s="1"/>
  <c r="I182" i="31" s="1"/>
  <c r="J182" i="31" s="1"/>
  <c r="K182" i="31" s="1"/>
  <c r="L182" i="31" s="1"/>
  <c r="C183" i="31"/>
  <c r="D183" i="31" s="1"/>
  <c r="E183" i="31" s="1"/>
  <c r="F183" i="31"/>
  <c r="G183" i="31" s="1"/>
  <c r="H183" i="31" s="1"/>
  <c r="I183" i="31" s="1"/>
  <c r="J183" i="31" s="1"/>
  <c r="K183" i="31" s="1"/>
  <c r="L183" i="31" s="1"/>
  <c r="C184" i="31"/>
  <c r="D184" i="31"/>
  <c r="E184" i="31" s="1"/>
  <c r="F184" i="31"/>
  <c r="G184" i="31" s="1"/>
  <c r="H184" i="31" s="1"/>
  <c r="I184" i="31" s="1"/>
  <c r="J184" i="31" s="1"/>
  <c r="K184" i="31" s="1"/>
  <c r="L184" i="31" s="1"/>
  <c r="C185" i="31"/>
  <c r="D185" i="31"/>
  <c r="E185" i="31"/>
  <c r="F185" i="31" s="1"/>
  <c r="G185" i="31" s="1"/>
  <c r="H185" i="31" s="1"/>
  <c r="I185" i="31" s="1"/>
  <c r="J185" i="31"/>
  <c r="K185" i="31" s="1"/>
  <c r="L185" i="31" s="1"/>
  <c r="C186" i="31"/>
  <c r="D186" i="31" s="1"/>
  <c r="E186" i="31" s="1"/>
  <c r="F186" i="31" s="1"/>
  <c r="G186" i="31" s="1"/>
  <c r="H186" i="31" s="1"/>
  <c r="I186" i="31" s="1"/>
  <c r="J186" i="31" s="1"/>
  <c r="K186" i="31" s="1"/>
  <c r="L186" i="31" s="1"/>
  <c r="C187" i="31"/>
  <c r="D187" i="31" s="1"/>
  <c r="E187" i="31" s="1"/>
  <c r="F187" i="31"/>
  <c r="G187" i="31" s="1"/>
  <c r="H187" i="31"/>
  <c r="I187" i="31" s="1"/>
  <c r="J187" i="31" s="1"/>
  <c r="K187" i="31" s="1"/>
  <c r="L187" i="31" s="1"/>
  <c r="C188" i="31"/>
  <c r="D188" i="31"/>
  <c r="E188" i="31" s="1"/>
  <c r="F188" i="31" s="1"/>
  <c r="G188" i="31" s="1"/>
  <c r="H188" i="31" s="1"/>
  <c r="I188" i="31" s="1"/>
  <c r="J188" i="31" s="1"/>
  <c r="K188" i="31" s="1"/>
  <c r="L188" i="31" s="1"/>
  <c r="C189" i="31"/>
  <c r="D189" i="31"/>
  <c r="E189" i="31" s="1"/>
  <c r="F189" i="31" s="1"/>
  <c r="G189" i="31" s="1"/>
  <c r="H189" i="31" s="1"/>
  <c r="I189" i="31" s="1"/>
  <c r="J189" i="31" s="1"/>
  <c r="K189" i="31" s="1"/>
  <c r="L189" i="31" s="1"/>
  <c r="C190" i="31"/>
  <c r="D190" i="31" s="1"/>
  <c r="E190" i="31" s="1"/>
  <c r="F190" i="31" s="1"/>
  <c r="G190" i="31" s="1"/>
  <c r="H190" i="31"/>
  <c r="I190" i="31" s="1"/>
  <c r="J190" i="31" s="1"/>
  <c r="K190" i="31" s="1"/>
  <c r="L190" i="31" s="1"/>
  <c r="C191" i="31"/>
  <c r="D191" i="31" s="1"/>
  <c r="E191" i="31" s="1"/>
  <c r="F191" i="31" s="1"/>
  <c r="G191" i="31" s="1"/>
  <c r="H191" i="31" s="1"/>
  <c r="I191" i="31" s="1"/>
  <c r="J191" i="31" s="1"/>
  <c r="K191" i="31" s="1"/>
  <c r="L191" i="31" s="1"/>
  <c r="C192" i="31"/>
  <c r="D192" i="31"/>
  <c r="E192" i="31" s="1"/>
  <c r="F192" i="31"/>
  <c r="G192" i="31"/>
  <c r="H192" i="31" s="1"/>
  <c r="I192" i="31" s="1"/>
  <c r="J192" i="31" s="1"/>
  <c r="K192" i="31" s="1"/>
  <c r="L192" i="31" s="1"/>
  <c r="C193" i="31"/>
  <c r="D193" i="31"/>
  <c r="E193" i="31"/>
  <c r="F193" i="31" s="1"/>
  <c r="G193" i="31" s="1"/>
  <c r="H193" i="31" s="1"/>
  <c r="I193" i="31" s="1"/>
  <c r="J193" i="31" s="1"/>
  <c r="K193" i="31" s="1"/>
  <c r="L193" i="31"/>
  <c r="C194" i="31"/>
  <c r="D194" i="31" s="1"/>
  <c r="E194" i="31"/>
  <c r="F194" i="31" s="1"/>
  <c r="G194" i="31" s="1"/>
  <c r="H194" i="31" s="1"/>
  <c r="I194" i="31" s="1"/>
  <c r="J194" i="31" s="1"/>
  <c r="K194" i="31" s="1"/>
  <c r="L194" i="31" s="1"/>
  <c r="C195" i="31"/>
  <c r="D195" i="31" s="1"/>
  <c r="E195" i="31" s="1"/>
  <c r="F195" i="31"/>
  <c r="G195" i="31" s="1"/>
  <c r="H195" i="31" s="1"/>
  <c r="I195" i="31" s="1"/>
  <c r="J195" i="31" s="1"/>
  <c r="K195" i="31" s="1"/>
  <c r="L195" i="31" s="1"/>
  <c r="C196" i="31"/>
  <c r="D196" i="31"/>
  <c r="E196" i="31"/>
  <c r="F196" i="31"/>
  <c r="G196" i="31" s="1"/>
  <c r="H196" i="31" s="1"/>
  <c r="I196" i="31" s="1"/>
  <c r="J196" i="31" s="1"/>
  <c r="K196" i="31" s="1"/>
  <c r="L196" i="31" s="1"/>
  <c r="C197" i="31"/>
  <c r="D197" i="31"/>
  <c r="E197" i="31" s="1"/>
  <c r="F197" i="31" s="1"/>
  <c r="G197" i="31" s="1"/>
  <c r="H197" i="31" s="1"/>
  <c r="I197" i="31" s="1"/>
  <c r="J197" i="31"/>
  <c r="K197" i="31" s="1"/>
  <c r="L197" i="31" s="1"/>
  <c r="C198" i="31"/>
  <c r="D198" i="31" s="1"/>
  <c r="E198" i="31" s="1"/>
  <c r="F198" i="31" s="1"/>
  <c r="G198" i="31" s="1"/>
  <c r="H198" i="31" s="1"/>
  <c r="I198" i="31" s="1"/>
  <c r="J198" i="31" s="1"/>
  <c r="K198" i="31" s="1"/>
  <c r="L198" i="31" s="1"/>
  <c r="C199" i="31"/>
  <c r="D199" i="31" s="1"/>
  <c r="E199" i="31" s="1"/>
  <c r="F199" i="31"/>
  <c r="G199" i="31" s="1"/>
  <c r="H199" i="31" s="1"/>
  <c r="I199" i="31"/>
  <c r="J199" i="31" s="1"/>
  <c r="K199" i="31" s="1"/>
  <c r="L199" i="31" s="1"/>
  <c r="C200" i="31"/>
  <c r="D200" i="31"/>
  <c r="E200" i="31" s="1"/>
  <c r="F200" i="31" s="1"/>
  <c r="G200" i="31" s="1"/>
  <c r="H200" i="31" s="1"/>
  <c r="I200" i="31" s="1"/>
  <c r="J200" i="31" s="1"/>
  <c r="K200" i="31" s="1"/>
  <c r="L200" i="31" s="1"/>
  <c r="C201" i="31"/>
  <c r="C7" i="36" s="1"/>
  <c r="D201" i="31"/>
  <c r="J6" i="13"/>
  <c r="B7" i="13"/>
  <c r="C7" i="13"/>
  <c r="D7" i="13"/>
  <c r="D13" i="13" s="1"/>
  <c r="D14" i="13" s="1"/>
  <c r="E7" i="13"/>
  <c r="E13" i="13" s="1"/>
  <c r="F7" i="13"/>
  <c r="G7" i="13"/>
  <c r="H7" i="13"/>
  <c r="I7" i="13"/>
  <c r="I13" i="13" s="1"/>
  <c r="I14" i="13" s="1"/>
  <c r="J9" i="13"/>
  <c r="B11" i="13"/>
  <c r="C11" i="13"/>
  <c r="D11" i="13"/>
  <c r="E11" i="13"/>
  <c r="J11" i="13" s="1"/>
  <c r="J10" i="13" s="1"/>
  <c r="D31" i="18" s="1"/>
  <c r="F11" i="13"/>
  <c r="G11" i="13"/>
  <c r="H11" i="13"/>
  <c r="I11" i="13"/>
  <c r="B12" i="13"/>
  <c r="B14" i="13" s="1"/>
  <c r="C12" i="13"/>
  <c r="D12" i="13"/>
  <c r="E12" i="13"/>
  <c r="F12" i="13"/>
  <c r="G12" i="13"/>
  <c r="H12" i="13"/>
  <c r="I12" i="13"/>
  <c r="B13" i="13"/>
  <c r="C13" i="13"/>
  <c r="F13" i="13"/>
  <c r="G13" i="13"/>
  <c r="G14" i="13" s="1"/>
  <c r="H13" i="13"/>
  <c r="H14" i="13" s="1"/>
  <c r="E14" i="13"/>
  <c r="F14" i="13"/>
  <c r="D5" i="6"/>
  <c r="E5" i="6" s="1"/>
  <c r="D6" i="6"/>
  <c r="E6" i="6"/>
  <c r="D7" i="6"/>
  <c r="E7" i="6" s="1"/>
  <c r="D8" i="6"/>
  <c r="E8" i="6" s="1"/>
  <c r="D9" i="6"/>
  <c r="E9" i="6" s="1"/>
  <c r="D10" i="6"/>
  <c r="E10" i="6"/>
  <c r="D11" i="6"/>
  <c r="E11" i="6" s="1"/>
  <c r="D13" i="6"/>
  <c r="E6" i="17"/>
  <c r="E9" i="17" s="1"/>
  <c r="B7" i="17"/>
  <c r="C7" i="17"/>
  <c r="C9" i="17" s="1"/>
  <c r="D7" i="17"/>
  <c r="E7" i="17" s="1"/>
  <c r="B9" i="17"/>
  <c r="B11" i="17"/>
  <c r="E11" i="17"/>
  <c r="E10" i="17" s="1"/>
  <c r="D32" i="18" s="1"/>
  <c r="B12" i="17"/>
  <c r="C12" i="17"/>
  <c r="D12" i="17"/>
  <c r="B13" i="17"/>
  <c r="B13" i="5"/>
  <c r="C13" i="5"/>
  <c r="D13" i="5"/>
  <c r="E13" i="5"/>
  <c r="F13" i="5"/>
  <c r="G13" i="5"/>
  <c r="H13" i="5"/>
  <c r="I13" i="5"/>
  <c r="B14" i="5"/>
  <c r="C14" i="5"/>
  <c r="D14" i="5"/>
  <c r="D15" i="5" s="1"/>
  <c r="E14" i="5"/>
  <c r="F14" i="5"/>
  <c r="F16" i="5" s="1"/>
  <c r="G14" i="5"/>
  <c r="C15" i="5"/>
  <c r="F15" i="5"/>
  <c r="G15" i="5"/>
  <c r="H15" i="5"/>
  <c r="C16" i="5"/>
  <c r="G16" i="5"/>
  <c r="G17" i="5" s="1"/>
  <c r="G18" i="5" s="1"/>
  <c r="H16" i="5"/>
  <c r="H17" i="5"/>
  <c r="H18" i="5"/>
  <c r="D5" i="7"/>
  <c r="E5" i="7"/>
  <c r="D6" i="7"/>
  <c r="E6" i="7"/>
  <c r="D7" i="7"/>
  <c r="E7" i="7" s="1"/>
  <c r="B9" i="7"/>
  <c r="D9" i="7" s="1"/>
  <c r="C6" i="12"/>
  <c r="C7" i="12"/>
  <c r="C8" i="12"/>
  <c r="C9" i="12"/>
  <c r="B11" i="12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R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R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R15" i="18"/>
  <c r="B16" i="18"/>
  <c r="C16" i="18"/>
  <c r="D16" i="18"/>
  <c r="E16" i="18"/>
  <c r="F16" i="18"/>
  <c r="G16" i="18"/>
  <c r="H16" i="18"/>
  <c r="I16" i="18"/>
  <c r="J16" i="18"/>
  <c r="K16" i="18"/>
  <c r="L16" i="18"/>
  <c r="R16" i="18"/>
  <c r="B17" i="18"/>
  <c r="C17" i="18"/>
  <c r="D17" i="18"/>
  <c r="E17" i="18"/>
  <c r="F17" i="18"/>
  <c r="G17" i="18"/>
  <c r="H17" i="18"/>
  <c r="I17" i="18"/>
  <c r="J17" i="18"/>
  <c r="K17" i="18"/>
  <c r="L17" i="18"/>
  <c r="R17" i="18"/>
  <c r="B18" i="18"/>
  <c r="C18" i="18"/>
  <c r="D18" i="18"/>
  <c r="E18" i="18"/>
  <c r="F18" i="18"/>
  <c r="G18" i="18"/>
  <c r="H18" i="18"/>
  <c r="I18" i="18"/>
  <c r="J18" i="18"/>
  <c r="K18" i="18"/>
  <c r="L18" i="18"/>
  <c r="R18" i="18"/>
  <c r="B19" i="18"/>
  <c r="C19" i="18"/>
  <c r="D19" i="18"/>
  <c r="E19" i="18"/>
  <c r="F19" i="18"/>
  <c r="G19" i="18"/>
  <c r="H19" i="18"/>
  <c r="I19" i="18"/>
  <c r="J19" i="18"/>
  <c r="K19" i="18"/>
  <c r="L19" i="18"/>
  <c r="B23" i="18"/>
  <c r="D23" i="18" s="1"/>
  <c r="F23" i="18"/>
  <c r="B24" i="18"/>
  <c r="R9" i="18" s="1"/>
  <c r="F24" i="18"/>
  <c r="G24" i="18"/>
  <c r="B25" i="18"/>
  <c r="D25" i="18" s="1"/>
  <c r="F25" i="18"/>
  <c r="D26" i="18"/>
  <c r="F26" i="18"/>
  <c r="G26" i="18"/>
  <c r="B27" i="18"/>
  <c r="G27" i="18"/>
  <c r="B28" i="18"/>
  <c r="D28" i="18"/>
  <c r="F28" i="18"/>
  <c r="G28" i="18"/>
  <c r="B29" i="18"/>
  <c r="F30" i="18"/>
  <c r="G30" i="18"/>
  <c r="F31" i="18"/>
  <c r="G31" i="18"/>
  <c r="F32" i="18"/>
  <c r="G32" i="18"/>
  <c r="F33" i="18"/>
  <c r="G33" i="18"/>
  <c r="B34" i="18"/>
  <c r="B55" i="18"/>
  <c r="C55" i="18"/>
  <c r="B59" i="34" s="1"/>
  <c r="D55" i="18"/>
  <c r="E55" i="18"/>
  <c r="B56" i="18"/>
  <c r="C56" i="18"/>
  <c r="D56" i="18"/>
  <c r="E56" i="18"/>
  <c r="B57" i="18"/>
  <c r="C57" i="18"/>
  <c r="D57" i="18"/>
  <c r="E57" i="18"/>
  <c r="B58" i="18"/>
  <c r="C58" i="18"/>
  <c r="D58" i="18"/>
  <c r="E58" i="18"/>
  <c r="B59" i="18"/>
  <c r="C59" i="18"/>
  <c r="D59" i="18"/>
  <c r="E59" i="18"/>
  <c r="B60" i="18"/>
  <c r="C60" i="18"/>
  <c r="D60" i="18"/>
  <c r="E60" i="18"/>
  <c r="B61" i="18"/>
  <c r="C61" i="18"/>
  <c r="D61" i="18"/>
  <c r="E61" i="18"/>
  <c r="B62" i="18"/>
  <c r="C62" i="18"/>
  <c r="D62" i="18"/>
  <c r="E62" i="18"/>
  <c r="B63" i="18"/>
  <c r="C63" i="18"/>
  <c r="D63" i="18"/>
  <c r="E63" i="18"/>
  <c r="B64" i="18"/>
  <c r="C64" i="18"/>
  <c r="D64" i="18"/>
  <c r="E64" i="18"/>
  <c r="B65" i="18"/>
  <c r="C65" i="18"/>
  <c r="B69" i="34" s="1"/>
  <c r="D65" i="18"/>
  <c r="E65" i="18"/>
  <c r="B66" i="18"/>
  <c r="C66" i="18"/>
  <c r="D66" i="18"/>
  <c r="E66" i="18"/>
  <c r="E133" i="18"/>
  <c r="B42" i="34"/>
  <c r="B43" i="34"/>
  <c r="B44" i="34"/>
  <c r="C44" i="34"/>
  <c r="B46" i="34"/>
  <c r="C46" i="34"/>
  <c r="B47" i="34"/>
  <c r="B48" i="34"/>
  <c r="B49" i="34"/>
  <c r="C49" i="34"/>
  <c r="B50" i="34"/>
  <c r="B51" i="34"/>
  <c r="C51" i="34"/>
  <c r="D51" i="34"/>
  <c r="B52" i="34"/>
  <c r="B55" i="34"/>
  <c r="B60" i="34"/>
  <c r="C60" i="34"/>
  <c r="B61" i="34"/>
  <c r="B63" i="34"/>
  <c r="C64" i="34"/>
  <c r="B65" i="34"/>
  <c r="C65" i="34"/>
  <c r="B67" i="34"/>
  <c r="B68" i="34"/>
  <c r="C69" i="34"/>
  <c r="C70" i="34"/>
  <c r="C109" i="34"/>
  <c r="C45" i="34" s="1"/>
  <c r="D109" i="34"/>
  <c r="D67" i="34" s="1"/>
  <c r="H6" i="11"/>
  <c r="I6" i="11" s="1"/>
  <c r="H7" i="11"/>
  <c r="I7" i="11" s="1"/>
  <c r="H8" i="11"/>
  <c r="I8" i="11"/>
  <c r="C9" i="11"/>
  <c r="C16" i="11" s="1"/>
  <c r="H9" i="11"/>
  <c r="I9" i="11" s="1"/>
  <c r="B11" i="11"/>
  <c r="C11" i="11"/>
  <c r="H11" i="11" s="1"/>
  <c r="D11" i="11"/>
  <c r="F11" i="11"/>
  <c r="G11" i="11"/>
  <c r="D12" i="11"/>
  <c r="D14" i="11" s="1"/>
  <c r="B14" i="11"/>
  <c r="C14" i="11"/>
  <c r="H14" i="11" s="1"/>
  <c r="F14" i="11"/>
  <c r="G14" i="11"/>
  <c r="B15" i="11"/>
  <c r="C15" i="11"/>
  <c r="I15" i="11" s="1"/>
  <c r="D15" i="11"/>
  <c r="D17" i="11" s="1"/>
  <c r="E15" i="11"/>
  <c r="F15" i="11"/>
  <c r="G15" i="11"/>
  <c r="B16" i="11"/>
  <c r="D16" i="11"/>
  <c r="E16" i="11"/>
  <c r="F16" i="11"/>
  <c r="G16" i="11"/>
  <c r="E17" i="11"/>
  <c r="F17" i="11"/>
  <c r="H17" i="11"/>
  <c r="B5" i="4"/>
  <c r="D6" i="4"/>
  <c r="E6" i="4" s="1"/>
  <c r="B7" i="4"/>
  <c r="D7" i="4"/>
  <c r="E7" i="4" s="1"/>
  <c r="B8" i="4"/>
  <c r="D8" i="4"/>
  <c r="E8" i="4" s="1"/>
  <c r="D9" i="4"/>
  <c r="E9" i="4"/>
  <c r="B10" i="4"/>
  <c r="D10" i="4"/>
  <c r="E10" i="4" s="1"/>
  <c r="B11" i="4"/>
  <c r="D11" i="4"/>
  <c r="E11" i="4" s="1"/>
  <c r="B12" i="4"/>
  <c r="D12" i="4" s="1"/>
  <c r="E12" i="4" s="1"/>
  <c r="B21" i="35"/>
  <c r="B5" i="15"/>
  <c r="C5" i="15"/>
  <c r="C8" i="15" s="1"/>
  <c r="C9" i="15" s="1"/>
  <c r="D5" i="15"/>
  <c r="D8" i="15" s="1"/>
  <c r="D9" i="15" s="1"/>
  <c r="E5" i="15"/>
  <c r="G5" i="15"/>
  <c r="G8" i="15" s="1"/>
  <c r="H5" i="15"/>
  <c r="J5" i="15"/>
  <c r="B8" i="15"/>
  <c r="B9" i="15" s="1"/>
  <c r="E8" i="15"/>
  <c r="E9" i="15" s="1"/>
  <c r="F8" i="15"/>
  <c r="H8" i="15"/>
  <c r="H9" i="15" s="1"/>
  <c r="I8" i="15"/>
  <c r="F9" i="15"/>
  <c r="G9" i="15"/>
  <c r="I9" i="15"/>
  <c r="B13" i="15"/>
  <c r="C13" i="15"/>
  <c r="D13" i="15"/>
  <c r="E13" i="15"/>
  <c r="F13" i="15"/>
  <c r="F16" i="15" s="1"/>
  <c r="F17" i="15" s="1"/>
  <c r="G13" i="15"/>
  <c r="G16" i="15" s="1"/>
  <c r="G17" i="15" s="1"/>
  <c r="H13" i="15"/>
  <c r="H16" i="15" s="1"/>
  <c r="I13" i="15"/>
  <c r="B16" i="15"/>
  <c r="D16" i="15"/>
  <c r="E16" i="15"/>
  <c r="I16" i="15"/>
  <c r="D17" i="15"/>
  <c r="E17" i="15"/>
  <c r="H17" i="15"/>
  <c r="I17" i="15"/>
  <c r="B21" i="15"/>
  <c r="C21" i="15"/>
  <c r="D21" i="15"/>
  <c r="E21" i="15"/>
  <c r="E24" i="15" s="1"/>
  <c r="E25" i="15" s="1"/>
  <c r="F21" i="15"/>
  <c r="G21" i="15"/>
  <c r="H21" i="15"/>
  <c r="H24" i="15" s="1"/>
  <c r="H25" i="15" s="1"/>
  <c r="I21" i="15"/>
  <c r="B24" i="15"/>
  <c r="B25" i="15" s="1"/>
  <c r="D24" i="15"/>
  <c r="D25" i="15" s="1"/>
  <c r="F24" i="15"/>
  <c r="G24" i="15"/>
  <c r="G25" i="15" s="1"/>
  <c r="I24" i="15"/>
  <c r="I25" i="15" s="1"/>
  <c r="F25" i="15"/>
  <c r="B29" i="15"/>
  <c r="C29" i="15"/>
  <c r="D29" i="15"/>
  <c r="E29" i="15"/>
  <c r="E32" i="15" s="1"/>
  <c r="C32" i="15"/>
  <c r="C33" i="15" s="1"/>
  <c r="D32" i="15"/>
  <c r="D33" i="15" s="1"/>
  <c r="E33" i="15"/>
  <c r="F33" i="15"/>
  <c r="G33" i="15"/>
  <c r="H33" i="15"/>
  <c r="I33" i="15"/>
  <c r="D6" i="8"/>
  <c r="E6" i="8" s="1"/>
  <c r="D7" i="8"/>
  <c r="E7" i="8" s="1"/>
  <c r="D8" i="8"/>
  <c r="E8" i="8" s="1"/>
  <c r="D9" i="8"/>
  <c r="E9" i="8"/>
  <c r="D10" i="8"/>
  <c r="E10" i="8"/>
  <c r="D12" i="8"/>
  <c r="M8" i="33"/>
  <c r="M9" i="33"/>
  <c r="M10" i="33"/>
  <c r="M11" i="33"/>
  <c r="M12" i="33"/>
  <c r="M13" i="33"/>
  <c r="M14" i="33"/>
  <c r="M15" i="33"/>
  <c r="M16" i="33"/>
  <c r="M17" i="33"/>
  <c r="M18" i="33"/>
  <c r="M19" i="33"/>
  <c r="B20" i="33"/>
  <c r="C20" i="33"/>
  <c r="D20" i="33"/>
  <c r="E20" i="33"/>
  <c r="F20" i="33"/>
  <c r="G20" i="33"/>
  <c r="H20" i="33"/>
  <c r="I20" i="33"/>
  <c r="J20" i="33"/>
  <c r="K20" i="33"/>
  <c r="L20" i="33"/>
  <c r="B21" i="33"/>
  <c r="C21" i="33"/>
  <c r="D21" i="33"/>
  <c r="E21" i="33"/>
  <c r="F21" i="33"/>
  <c r="G21" i="33"/>
  <c r="H21" i="33"/>
  <c r="I21" i="33"/>
  <c r="J21" i="33"/>
  <c r="K21" i="33"/>
  <c r="L21" i="33"/>
  <c r="B26" i="33"/>
  <c r="D24" i="32" s="1"/>
  <c r="C26" i="33"/>
  <c r="D26" i="33"/>
  <c r="E26" i="33"/>
  <c r="F26" i="33"/>
  <c r="B27" i="33"/>
  <c r="D27" i="33"/>
  <c r="E27" i="33"/>
  <c r="F27" i="33"/>
  <c r="B28" i="33"/>
  <c r="D28" i="33"/>
  <c r="E28" i="33"/>
  <c r="F28" i="33"/>
  <c r="B29" i="33"/>
  <c r="D29" i="33"/>
  <c r="E29" i="33"/>
  <c r="F29" i="33"/>
  <c r="B30" i="33"/>
  <c r="D30" i="33"/>
  <c r="E30" i="33"/>
  <c r="F30" i="33"/>
  <c r="B31" i="33"/>
  <c r="C31" i="33"/>
  <c r="D31" i="33"/>
  <c r="E31" i="33"/>
  <c r="F31" i="33"/>
  <c r="B32" i="33"/>
  <c r="D32" i="33"/>
  <c r="E32" i="33"/>
  <c r="F32" i="33"/>
  <c r="B33" i="33"/>
  <c r="C33" i="33"/>
  <c r="B48" i="32" s="1"/>
  <c r="D33" i="33"/>
  <c r="E33" i="33"/>
  <c r="F33" i="33"/>
  <c r="B34" i="33"/>
  <c r="C34" i="33"/>
  <c r="D34" i="33"/>
  <c r="E34" i="33"/>
  <c r="F34" i="33"/>
  <c r="B35" i="33"/>
  <c r="C35" i="33"/>
  <c r="D35" i="33"/>
  <c r="E35" i="33"/>
  <c r="F35" i="33"/>
  <c r="B36" i="33"/>
  <c r="D36" i="33"/>
  <c r="E36" i="33"/>
  <c r="F36" i="33"/>
  <c r="B37" i="33"/>
  <c r="B35" i="32" s="1"/>
  <c r="D37" i="33"/>
  <c r="E37" i="33"/>
  <c r="F37" i="33"/>
  <c r="D58" i="33"/>
  <c r="D59" i="33"/>
  <c r="C27" i="33" s="1"/>
  <c r="B42" i="32" s="1"/>
  <c r="D60" i="33"/>
  <c r="C28" i="33" s="1"/>
  <c r="D61" i="33"/>
  <c r="C29" i="33" s="1"/>
  <c r="D62" i="33"/>
  <c r="C30" i="33" s="1"/>
  <c r="D63" i="33"/>
  <c r="D64" i="33"/>
  <c r="C32" i="33" s="1"/>
  <c r="D65" i="33"/>
  <c r="D66" i="33"/>
  <c r="D67" i="33"/>
  <c r="D68" i="33"/>
  <c r="C36" i="33" s="1"/>
  <c r="D69" i="33"/>
  <c r="C37" i="33" s="1"/>
  <c r="B25" i="32"/>
  <c r="B26" i="32"/>
  <c r="D26" i="32"/>
  <c r="B27" i="32"/>
  <c r="C27" i="32"/>
  <c r="D29" i="32"/>
  <c r="B30" i="32"/>
  <c r="B31" i="32"/>
  <c r="D31" i="32"/>
  <c r="B32" i="32"/>
  <c r="C32" i="32"/>
  <c r="B33" i="32"/>
  <c r="B37" i="32"/>
  <c r="B41" i="32"/>
  <c r="D41" i="32"/>
  <c r="B43" i="32"/>
  <c r="C43" i="32"/>
  <c r="C45" i="32"/>
  <c r="B46" i="32"/>
  <c r="D46" i="32"/>
  <c r="B47" i="32"/>
  <c r="C48" i="32"/>
  <c r="D49" i="32"/>
  <c r="B50" i="32"/>
  <c r="B51" i="32"/>
  <c r="B52" i="32"/>
  <c r="B80" i="32"/>
  <c r="C107" i="32"/>
  <c r="C51" i="32" s="1"/>
  <c r="D107" i="32"/>
  <c r="E107" i="32"/>
  <c r="F107" i="32" s="1"/>
  <c r="B12" i="27"/>
  <c r="C12" i="27"/>
  <c r="C65" i="27" s="1"/>
  <c r="D12" i="27"/>
  <c r="E12" i="27"/>
  <c r="F12" i="27"/>
  <c r="G12" i="27"/>
  <c r="H12" i="27"/>
  <c r="H65" i="27" s="1"/>
  <c r="I12" i="27"/>
  <c r="J12" i="27"/>
  <c r="K12" i="27"/>
  <c r="K65" i="27" s="1"/>
  <c r="L12" i="27"/>
  <c r="B43" i="27"/>
  <c r="B65" i="27"/>
  <c r="D65" i="27"/>
  <c r="E65" i="27"/>
  <c r="F65" i="27"/>
  <c r="G65" i="27"/>
  <c r="I65" i="27"/>
  <c r="J65" i="27"/>
  <c r="L65" i="27"/>
  <c r="B9" i="14"/>
  <c r="B10" i="14"/>
  <c r="B48" i="14" s="1"/>
  <c r="B11" i="14"/>
  <c r="B12" i="14"/>
  <c r="C12" i="14"/>
  <c r="B14" i="14"/>
  <c r="C14" i="14"/>
  <c r="C52" i="14" s="1"/>
  <c r="B15" i="14"/>
  <c r="B16" i="14"/>
  <c r="C16" i="14" s="1"/>
  <c r="B17" i="14"/>
  <c r="B29" i="14"/>
  <c r="B31" i="14"/>
  <c r="B33" i="14"/>
  <c r="C35" i="14"/>
  <c r="B47" i="14"/>
  <c r="B50" i="14"/>
  <c r="C50" i="14"/>
  <c r="B52" i="14"/>
  <c r="B53" i="14"/>
  <c r="B55" i="14"/>
  <c r="B66" i="14"/>
  <c r="B67" i="14"/>
  <c r="B68" i="14"/>
  <c r="B69" i="14"/>
  <c r="C69" i="14"/>
  <c r="B71" i="14"/>
  <c r="C71" i="14"/>
  <c r="B72" i="14"/>
  <c r="B73" i="14"/>
  <c r="B74" i="14"/>
  <c r="B86" i="14"/>
  <c r="B87" i="14"/>
  <c r="B88" i="14"/>
  <c r="B107" i="14" s="1"/>
  <c r="B63" i="32" s="1"/>
  <c r="C88" i="14"/>
  <c r="C107" i="14" s="1"/>
  <c r="C126" i="14" s="1"/>
  <c r="B90" i="14"/>
  <c r="B91" i="14"/>
  <c r="C92" i="14"/>
  <c r="B126" i="14"/>
  <c r="B148" i="14"/>
  <c r="D148" i="14"/>
  <c r="B12" i="25"/>
  <c r="C12" i="25"/>
  <c r="D12" i="25"/>
  <c r="D65" i="25" s="1"/>
  <c r="E12" i="25"/>
  <c r="F12" i="25"/>
  <c r="F65" i="25" s="1"/>
  <c r="G12" i="25"/>
  <c r="H12" i="25"/>
  <c r="I12" i="25"/>
  <c r="J12" i="25"/>
  <c r="J65" i="25" s="1"/>
  <c r="K12" i="25"/>
  <c r="L12" i="25"/>
  <c r="L65" i="25" s="1"/>
  <c r="B18" i="25"/>
  <c r="B18" i="27" s="1"/>
  <c r="B20" i="27" s="1"/>
  <c r="B21" i="27" s="1"/>
  <c r="B23" i="27" s="1"/>
  <c r="C18" i="25"/>
  <c r="B19" i="25"/>
  <c r="B19" i="27" s="1"/>
  <c r="B20" i="25"/>
  <c r="B21" i="25" s="1"/>
  <c r="B23" i="25" s="1"/>
  <c r="B31" i="25"/>
  <c r="C31" i="25" s="1"/>
  <c r="C43" i="25" s="1"/>
  <c r="B43" i="25"/>
  <c r="B55" i="25"/>
  <c r="B55" i="27" s="1"/>
  <c r="B65" i="25"/>
  <c r="C65" i="25"/>
  <c r="E65" i="25"/>
  <c r="G65" i="25"/>
  <c r="H65" i="25"/>
  <c r="I65" i="25"/>
  <c r="K65" i="25"/>
  <c r="B67" i="25"/>
  <c r="B67" i="27" s="1"/>
  <c r="F26" i="32" l="1"/>
  <c r="F31" i="32"/>
  <c r="F27" i="32"/>
  <c r="G107" i="32"/>
  <c r="F43" i="32"/>
  <c r="F48" i="32"/>
  <c r="F30" i="32"/>
  <c r="F50" i="32"/>
  <c r="F25" i="32"/>
  <c r="F51" i="32"/>
  <c r="F45" i="32"/>
  <c r="F28" i="32"/>
  <c r="F33" i="32"/>
  <c r="F35" i="32"/>
  <c r="F44" i="32"/>
  <c r="C83" i="16"/>
  <c r="C29" i="34"/>
  <c r="C81" i="34"/>
  <c r="C98" i="34"/>
  <c r="C43" i="27"/>
  <c r="C55" i="25"/>
  <c r="D16" i="14"/>
  <c r="C54" i="14"/>
  <c r="C73" i="14"/>
  <c r="D7" i="36"/>
  <c r="E201" i="31"/>
  <c r="C18" i="27"/>
  <c r="C63" i="32"/>
  <c r="C80" i="32"/>
  <c r="B31" i="27"/>
  <c r="E32" i="32"/>
  <c r="E33" i="32"/>
  <c r="E51" i="32"/>
  <c r="E43" i="32"/>
  <c r="E48" i="32"/>
  <c r="E26" i="32"/>
  <c r="E31" i="32"/>
  <c r="E42" i="32"/>
  <c r="E49" i="32"/>
  <c r="C19" i="25"/>
  <c r="C20" i="25" s="1"/>
  <c r="C21" i="25" s="1"/>
  <c r="C31" i="27"/>
  <c r="D31" i="25"/>
  <c r="B36" i="14"/>
  <c r="C17" i="14"/>
  <c r="B93" i="14"/>
  <c r="B112" i="14" s="1"/>
  <c r="B34" i="14"/>
  <c r="C15" i="14"/>
  <c r="D47" i="32"/>
  <c r="C47" i="32"/>
  <c r="F47" i="32"/>
  <c r="G47" i="32"/>
  <c r="E47" i="32"/>
  <c r="B83" i="16"/>
  <c r="B29" i="34"/>
  <c r="B81" i="34"/>
  <c r="B98" i="34"/>
  <c r="B12" i="34" s="1"/>
  <c r="C11" i="14"/>
  <c r="B49" i="14"/>
  <c r="B30" i="14"/>
  <c r="B92" i="14"/>
  <c r="B35" i="14"/>
  <c r="B54" i="14"/>
  <c r="C33" i="14"/>
  <c r="D14" i="14"/>
  <c r="C90" i="14"/>
  <c r="B28" i="14"/>
  <c r="C9" i="14"/>
  <c r="B85" i="14"/>
  <c r="C18" i="5"/>
  <c r="C17" i="5"/>
  <c r="F49" i="32"/>
  <c r="G49" i="32"/>
  <c r="C49" i="32"/>
  <c r="B49" i="32"/>
  <c r="I14" i="11"/>
  <c r="C31" i="14"/>
  <c r="D12" i="14"/>
  <c r="J29" i="15"/>
  <c r="B32" i="15"/>
  <c r="E52" i="32"/>
  <c r="C52" i="32"/>
  <c r="G52" i="32"/>
  <c r="D52" i="32"/>
  <c r="F52" i="32"/>
  <c r="E44" i="32"/>
  <c r="G44" i="32"/>
  <c r="B44" i="32"/>
  <c r="C44" i="32"/>
  <c r="D44" i="32"/>
  <c r="F24" i="32"/>
  <c r="B24" i="32"/>
  <c r="C24" i="32"/>
  <c r="E24" i="32"/>
  <c r="G24" i="32"/>
  <c r="C10" i="14"/>
  <c r="D28" i="32"/>
  <c r="D33" i="32"/>
  <c r="D43" i="32"/>
  <c r="D48" i="32"/>
  <c r="B53" i="32"/>
  <c r="D30" i="32"/>
  <c r="C30" i="32"/>
  <c r="E30" i="32"/>
  <c r="M20" i="33"/>
  <c r="J8" i="15"/>
  <c r="J9" i="15" s="1"/>
  <c r="D50" i="32"/>
  <c r="B45" i="32"/>
  <c r="E45" i="32"/>
  <c r="G45" i="32"/>
  <c r="E35" i="32"/>
  <c r="C35" i="32"/>
  <c r="D35" i="32"/>
  <c r="C50" i="32"/>
  <c r="E50" i="32"/>
  <c r="G50" i="32"/>
  <c r="E28" i="32"/>
  <c r="F41" i="32"/>
  <c r="C41" i="32"/>
  <c r="E41" i="32"/>
  <c r="E53" i="32" s="1"/>
  <c r="J21" i="15"/>
  <c r="D51" i="32"/>
  <c r="D45" i="32"/>
  <c r="D34" i="32"/>
  <c r="C16" i="15"/>
  <c r="C17" i="15" s="1"/>
  <c r="J13" i="15"/>
  <c r="D5" i="4"/>
  <c r="E5" i="4" s="1"/>
  <c r="E14" i="4" s="1"/>
  <c r="B14" i="4"/>
  <c r="D14" i="4" s="1"/>
  <c r="B7" i="14" s="1"/>
  <c r="F29" i="18"/>
  <c r="R14" i="18"/>
  <c r="G29" i="18"/>
  <c r="C42" i="32"/>
  <c r="D42" i="32"/>
  <c r="F42" i="32"/>
  <c r="G42" i="32"/>
  <c r="G46" i="32"/>
  <c r="C46" i="32"/>
  <c r="E46" i="32"/>
  <c r="M21" i="33"/>
  <c r="E12" i="8"/>
  <c r="B17" i="15"/>
  <c r="J16" i="15"/>
  <c r="J17" i="15" s="1"/>
  <c r="I16" i="11"/>
  <c r="B17" i="11"/>
  <c r="F46" i="32"/>
  <c r="B34" i="32"/>
  <c r="C34" i="32"/>
  <c r="E34" i="32"/>
  <c r="F34" i="32"/>
  <c r="G29" i="32"/>
  <c r="B29" i="32"/>
  <c r="C29" i="32"/>
  <c r="E29" i="32"/>
  <c r="F29" i="32"/>
  <c r="C25" i="32"/>
  <c r="D25" i="32"/>
  <c r="E25" i="32"/>
  <c r="I11" i="11"/>
  <c r="C31" i="32"/>
  <c r="C26" i="32"/>
  <c r="F32" i="32"/>
  <c r="D59" i="34"/>
  <c r="F18" i="5"/>
  <c r="F17" i="5"/>
  <c r="E27" i="32"/>
  <c r="D69" i="34"/>
  <c r="D63" i="34"/>
  <c r="E12" i="17"/>
  <c r="B14" i="17"/>
  <c r="G32" i="32"/>
  <c r="G27" i="32"/>
  <c r="C33" i="32"/>
  <c r="C24" i="15"/>
  <c r="C17" i="11"/>
  <c r="B28" i="32"/>
  <c r="G17" i="11"/>
  <c r="D42" i="34"/>
  <c r="D65" i="34"/>
  <c r="D52" i="34"/>
  <c r="D43" i="34"/>
  <c r="D48" i="34"/>
  <c r="D53" i="34"/>
  <c r="D61" i="34"/>
  <c r="D44" i="34"/>
  <c r="D49" i="34"/>
  <c r="E109" i="34"/>
  <c r="D45" i="34"/>
  <c r="D50" i="34"/>
  <c r="D62" i="34"/>
  <c r="G34" i="18"/>
  <c r="F34" i="18"/>
  <c r="R19" i="18"/>
  <c r="D32" i="32"/>
  <c r="C28" i="32"/>
  <c r="D27" i="32"/>
  <c r="D46" i="34"/>
  <c r="B70" i="34"/>
  <c r="D70" i="34"/>
  <c r="C68" i="34"/>
  <c r="D68" i="34"/>
  <c r="B66" i="34"/>
  <c r="C66" i="34"/>
  <c r="D66" i="34"/>
  <c r="D64" i="34"/>
  <c r="B64" i="34"/>
  <c r="B62" i="34"/>
  <c r="B71" i="34" s="1"/>
  <c r="C62" i="34"/>
  <c r="D60" i="34"/>
  <c r="B53" i="34"/>
  <c r="D47" i="34"/>
  <c r="B45" i="34"/>
  <c r="B54" i="34" s="1"/>
  <c r="D27" i="18"/>
  <c r="F27" i="18"/>
  <c r="R12" i="18"/>
  <c r="B15" i="5"/>
  <c r="B16" i="5"/>
  <c r="B17" i="5" s="1"/>
  <c r="J12" i="13"/>
  <c r="C63" i="34"/>
  <c r="E9" i="7"/>
  <c r="E13" i="6"/>
  <c r="J13" i="13"/>
  <c r="J14" i="13" s="1"/>
  <c r="C42" i="34"/>
  <c r="C50" i="34"/>
  <c r="E69" i="34"/>
  <c r="C67" i="34"/>
  <c r="C59" i="34"/>
  <c r="C11" i="12"/>
  <c r="I133" i="31"/>
  <c r="C61" i="34"/>
  <c r="C53" i="34"/>
  <c r="C48" i="34"/>
  <c r="C43" i="34"/>
  <c r="D9" i="17"/>
  <c r="D13" i="17"/>
  <c r="D14" i="17" s="1"/>
  <c r="C52" i="34"/>
  <c r="C47" i="34"/>
  <c r="E15" i="5"/>
  <c r="E16" i="5"/>
  <c r="E17" i="5" s="1"/>
  <c r="C14" i="13"/>
  <c r="J7" i="13"/>
  <c r="G25" i="18"/>
  <c r="G23" i="18"/>
  <c r="R10" i="18"/>
  <c r="R8" i="18"/>
  <c r="D16" i="5"/>
  <c r="C13" i="17"/>
  <c r="D136" i="31"/>
  <c r="K15" i="31"/>
  <c r="L15" i="31" s="1"/>
  <c r="G47" i="30"/>
  <c r="G10" i="21"/>
  <c r="J10" i="21"/>
  <c r="G5" i="21"/>
  <c r="J5" i="21"/>
  <c r="K5" i="21"/>
  <c r="J8" i="21"/>
  <c r="K8" i="21"/>
  <c r="E47" i="30"/>
  <c r="G4" i="21"/>
  <c r="K4" i="21"/>
  <c r="I47" i="30"/>
  <c r="J47" i="30"/>
  <c r="F47" i="30"/>
  <c r="K47" i="30"/>
  <c r="C47" i="30"/>
  <c r="D47" i="30"/>
  <c r="F21" i="36"/>
  <c r="G60" i="37"/>
  <c r="C19" i="31"/>
  <c r="D19" i="31" s="1"/>
  <c r="E19" i="31" s="1"/>
  <c r="F19" i="31" s="1"/>
  <c r="G19" i="31" s="1"/>
  <c r="H19" i="31" s="1"/>
  <c r="B20" i="31"/>
  <c r="E21" i="36"/>
  <c r="B110" i="14" l="1"/>
  <c r="E44" i="34"/>
  <c r="E52" i="34"/>
  <c r="E46" i="34"/>
  <c r="E51" i="34"/>
  <c r="E42" i="34"/>
  <c r="E47" i="34"/>
  <c r="E65" i="34"/>
  <c r="E67" i="34"/>
  <c r="E49" i="34"/>
  <c r="F109" i="34"/>
  <c r="E48" i="34"/>
  <c r="E66" i="34"/>
  <c r="E68" i="34"/>
  <c r="E50" i="34"/>
  <c r="E64" i="34"/>
  <c r="E53" i="34"/>
  <c r="E63" i="34"/>
  <c r="E59" i="34"/>
  <c r="E43" i="34"/>
  <c r="E45" i="34"/>
  <c r="A6" i="28"/>
  <c r="B64" i="14"/>
  <c r="B26" i="14"/>
  <c r="C7" i="14"/>
  <c r="B83" i="14"/>
  <c r="B45" i="14"/>
  <c r="I19" i="31"/>
  <c r="D54" i="34"/>
  <c r="F36" i="32"/>
  <c r="I12" i="11"/>
  <c r="D29" i="18" s="1"/>
  <c r="B13" i="14"/>
  <c r="C55" i="27"/>
  <c r="C67" i="25"/>
  <c r="C67" i="27" s="1"/>
  <c r="C20" i="31"/>
  <c r="B28" i="31"/>
  <c r="B109" i="14"/>
  <c r="C109" i="14"/>
  <c r="D111" i="14"/>
  <c r="D73" i="14"/>
  <c r="E16" i="14"/>
  <c r="D35" i="14"/>
  <c r="D92" i="14"/>
  <c r="D54" i="14"/>
  <c r="E136" i="31"/>
  <c r="D138" i="31"/>
  <c r="D12" i="36" s="1"/>
  <c r="C71" i="34"/>
  <c r="I16" i="5"/>
  <c r="B18" i="5"/>
  <c r="E62" i="34"/>
  <c r="I17" i="11"/>
  <c r="C53" i="14"/>
  <c r="D15" i="14"/>
  <c r="C72" i="14"/>
  <c r="C91" i="14"/>
  <c r="C110" i="14" s="1"/>
  <c r="C34" i="14"/>
  <c r="E31" i="25"/>
  <c r="D43" i="25"/>
  <c r="D31" i="27"/>
  <c r="B85" i="32"/>
  <c r="B68" i="32"/>
  <c r="B131" i="14"/>
  <c r="G16" i="21"/>
  <c r="G18" i="21" s="1"/>
  <c r="C14" i="17"/>
  <c r="E13" i="17"/>
  <c r="E61" i="34"/>
  <c r="C54" i="34"/>
  <c r="I15" i="5"/>
  <c r="E70" i="34"/>
  <c r="E36" i="32"/>
  <c r="C47" i="14"/>
  <c r="C28" i="14"/>
  <c r="C66" i="14"/>
  <c r="D9" i="14"/>
  <c r="C85" i="14"/>
  <c r="C104" i="14" s="1"/>
  <c r="C68" i="14"/>
  <c r="D11" i="14"/>
  <c r="C49" i="14"/>
  <c r="C30" i="14"/>
  <c r="C87" i="14"/>
  <c r="C106" i="14" s="1"/>
  <c r="E7" i="36"/>
  <c r="F201" i="31"/>
  <c r="G26" i="32"/>
  <c r="G31" i="32"/>
  <c r="G28" i="32"/>
  <c r="G33" i="32"/>
  <c r="G25" i="32"/>
  <c r="H107" i="32"/>
  <c r="G43" i="32"/>
  <c r="G48" i="32"/>
  <c r="G51" i="32"/>
  <c r="G35" i="32"/>
  <c r="G34" i="32"/>
  <c r="G41" i="32"/>
  <c r="G30" i="32"/>
  <c r="B104" i="14"/>
  <c r="B106" i="14"/>
  <c r="C67" i="14"/>
  <c r="C29" i="14"/>
  <c r="C48" i="14"/>
  <c r="C86" i="14"/>
  <c r="C105" i="14" s="1"/>
  <c r="D10" i="14"/>
  <c r="C36" i="32"/>
  <c r="B33" i="15"/>
  <c r="J32" i="15"/>
  <c r="D17" i="5"/>
  <c r="I17" i="5" s="1"/>
  <c r="C55" i="14"/>
  <c r="C74" i="14"/>
  <c r="C36" i="14"/>
  <c r="C93" i="14"/>
  <c r="C112" i="14" s="1"/>
  <c r="D17" i="14"/>
  <c r="C12" i="34"/>
  <c r="J133" i="31"/>
  <c r="B105" i="14"/>
  <c r="E60" i="34"/>
  <c r="C53" i="32"/>
  <c r="D52" i="14"/>
  <c r="D71" i="14"/>
  <c r="E14" i="14"/>
  <c r="D90" i="14"/>
  <c r="D109" i="14" s="1"/>
  <c r="D33" i="14"/>
  <c r="D36" i="32"/>
  <c r="E18" i="5"/>
  <c r="D71" i="34"/>
  <c r="C19" i="27"/>
  <c r="C20" i="27" s="1"/>
  <c r="C21" i="27" s="1"/>
  <c r="D19" i="25"/>
  <c r="C25" i="15"/>
  <c r="J24" i="15"/>
  <c r="J25" i="15" s="1"/>
  <c r="D53" i="32"/>
  <c r="F53" i="32"/>
  <c r="B36" i="32"/>
  <c r="D50" i="14"/>
  <c r="E12" i="14"/>
  <c r="D88" i="14"/>
  <c r="D107" i="14" s="1"/>
  <c r="D69" i="14"/>
  <c r="D31" i="14"/>
  <c r="C60" i="32" l="1"/>
  <c r="C77" i="32"/>
  <c r="C123" i="14"/>
  <c r="D65" i="32"/>
  <c r="D82" i="32"/>
  <c r="D128" i="14"/>
  <c r="C62" i="32"/>
  <c r="C79" i="32"/>
  <c r="C125" i="14"/>
  <c r="C83" i="32"/>
  <c r="C66" i="32"/>
  <c r="C129" i="14"/>
  <c r="C61" i="32"/>
  <c r="C78" i="32"/>
  <c r="C124" i="14"/>
  <c r="I14" i="5"/>
  <c r="D24" i="18" s="1"/>
  <c r="B8" i="14"/>
  <c r="D19" i="27"/>
  <c r="E19" i="25"/>
  <c r="J35" i="15"/>
  <c r="J33" i="15"/>
  <c r="J36" i="15" s="1"/>
  <c r="F7" i="36"/>
  <c r="G201" i="31"/>
  <c r="D66" i="14"/>
  <c r="D28" i="14"/>
  <c r="E9" i="14"/>
  <c r="D47" i="14"/>
  <c r="D85" i="14"/>
  <c r="D104" i="14" s="1"/>
  <c r="D72" i="14"/>
  <c r="D34" i="14"/>
  <c r="E15" i="14"/>
  <c r="D53" i="14"/>
  <c r="D91" i="14"/>
  <c r="D110" i="14" s="1"/>
  <c r="D67" i="32"/>
  <c r="D84" i="32"/>
  <c r="D130" i="14"/>
  <c r="A18" i="28"/>
  <c r="E71" i="34"/>
  <c r="F59" i="34"/>
  <c r="F69" i="34"/>
  <c r="F46" i="34"/>
  <c r="F51" i="34"/>
  <c r="F42" i="34"/>
  <c r="F47" i="34"/>
  <c r="F52" i="34"/>
  <c r="F65" i="34"/>
  <c r="F43" i="34"/>
  <c r="F48" i="34"/>
  <c r="F53" i="34"/>
  <c r="F44" i="34"/>
  <c r="F68" i="34"/>
  <c r="F50" i="34"/>
  <c r="G109" i="34"/>
  <c r="F45" i="34"/>
  <c r="F61" i="34"/>
  <c r="F63" i="34"/>
  <c r="F64" i="34"/>
  <c r="F67" i="34"/>
  <c r="F60" i="34"/>
  <c r="F49" i="34"/>
  <c r="F70" i="34"/>
  <c r="F62" i="34"/>
  <c r="F66" i="34"/>
  <c r="B66" i="32"/>
  <c r="B83" i="32"/>
  <c r="B129" i="14"/>
  <c r="E33" i="14"/>
  <c r="F14" i="14"/>
  <c r="E52" i="14"/>
  <c r="E90" i="14"/>
  <c r="E109" i="14" s="1"/>
  <c r="E71" i="14"/>
  <c r="K133" i="31"/>
  <c r="D18" i="5"/>
  <c r="H31" i="32"/>
  <c r="H33" i="32"/>
  <c r="H27" i="32"/>
  <c r="I107" i="32"/>
  <c r="H45" i="32"/>
  <c r="H50" i="32"/>
  <c r="H32" i="32"/>
  <c r="H29" i="32"/>
  <c r="H28" i="32"/>
  <c r="H49" i="32"/>
  <c r="H34" i="32"/>
  <c r="H42" i="32"/>
  <c r="H35" i="32"/>
  <c r="H41" i="32"/>
  <c r="H53" i="32" s="1"/>
  <c r="H51" i="32"/>
  <c r="H25" i="32"/>
  <c r="H48" i="32"/>
  <c r="H47" i="32"/>
  <c r="H43" i="32"/>
  <c r="H26" i="32"/>
  <c r="H46" i="32"/>
  <c r="H30" i="32"/>
  <c r="H24" i="32"/>
  <c r="H44" i="32"/>
  <c r="H52" i="32"/>
  <c r="E35" i="14"/>
  <c r="F16" i="14"/>
  <c r="E92" i="14"/>
  <c r="E111" i="14" s="1"/>
  <c r="E54" i="14"/>
  <c r="E73" i="14"/>
  <c r="C111" i="14"/>
  <c r="E14" i="17"/>
  <c r="C45" i="14"/>
  <c r="D7" i="14"/>
  <c r="C64" i="14"/>
  <c r="C83" i="14"/>
  <c r="C26" i="14"/>
  <c r="C82" i="32"/>
  <c r="C65" i="32"/>
  <c r="C128" i="14"/>
  <c r="J19" i="31"/>
  <c r="E69" i="14"/>
  <c r="E31" i="14"/>
  <c r="F12" i="14"/>
  <c r="E88" i="14"/>
  <c r="E107" i="14" s="1"/>
  <c r="E50" i="14"/>
  <c r="C68" i="32"/>
  <c r="C85" i="32"/>
  <c r="C131" i="14"/>
  <c r="G53" i="32"/>
  <c r="B88" i="16"/>
  <c r="B86" i="34"/>
  <c r="B17" i="34" s="1"/>
  <c r="B34" i="34"/>
  <c r="B103" i="34"/>
  <c r="B153" i="14"/>
  <c r="D153" i="14" s="1"/>
  <c r="D43" i="27"/>
  <c r="D55" i="25"/>
  <c r="B111" i="14"/>
  <c r="A12" i="28"/>
  <c r="D80" i="32"/>
  <c r="D63" i="32"/>
  <c r="D126" i="14"/>
  <c r="G36" i="32"/>
  <c r="D86" i="14"/>
  <c r="D105" i="14" s="1"/>
  <c r="D29" i="14"/>
  <c r="D67" i="14"/>
  <c r="D48" i="14"/>
  <c r="E10" i="14"/>
  <c r="B70" i="14"/>
  <c r="B32" i="14"/>
  <c r="B89" i="14"/>
  <c r="B108" i="14" s="1"/>
  <c r="B51" i="14"/>
  <c r="C13" i="14"/>
  <c r="D30" i="14"/>
  <c r="E11" i="14"/>
  <c r="D87" i="14"/>
  <c r="D106" i="14" s="1"/>
  <c r="D68" i="14"/>
  <c r="D49" i="14"/>
  <c r="B65" i="32"/>
  <c r="B82" i="32"/>
  <c r="B128" i="14"/>
  <c r="B102" i="14"/>
  <c r="E54" i="34"/>
  <c r="D36" i="14"/>
  <c r="E17" i="14"/>
  <c r="D55" i="14"/>
  <c r="D93" i="14"/>
  <c r="D112" i="14" s="1"/>
  <c r="D74" i="14"/>
  <c r="B79" i="32"/>
  <c r="B125" i="14"/>
  <c r="B62" i="32"/>
  <c r="E31" i="27"/>
  <c r="F31" i="25"/>
  <c r="E43" i="25"/>
  <c r="C28" i="31"/>
  <c r="D28" i="31" s="1"/>
  <c r="E28" i="31" s="1"/>
  <c r="F28" i="31" s="1"/>
  <c r="G28" i="31" s="1"/>
  <c r="H28" i="31" s="1"/>
  <c r="I28" i="31" s="1"/>
  <c r="J28" i="31" s="1"/>
  <c r="K28" i="31" s="1"/>
  <c r="L28" i="31" s="1"/>
  <c r="B62" i="31"/>
  <c r="B68" i="31"/>
  <c r="B10" i="36" s="1"/>
  <c r="B78" i="32"/>
  <c r="B61" i="32"/>
  <c r="B124" i="14"/>
  <c r="F136" i="31"/>
  <c r="E138" i="31"/>
  <c r="E12" i="36" s="1"/>
  <c r="B77" i="32"/>
  <c r="B60" i="32"/>
  <c r="B123" i="14"/>
  <c r="I18" i="5"/>
  <c r="D20" i="31"/>
  <c r="E55" i="14" l="1"/>
  <c r="F17" i="14"/>
  <c r="E93" i="14"/>
  <c r="E112" i="14" s="1"/>
  <c r="E36" i="14"/>
  <c r="E74" i="14"/>
  <c r="B82" i="16"/>
  <c r="B80" i="34"/>
  <c r="B11" i="34" s="1"/>
  <c r="B28" i="34"/>
  <c r="B97" i="34"/>
  <c r="B147" i="14"/>
  <c r="D147" i="14" s="1"/>
  <c r="F88" i="14"/>
  <c r="F107" i="14" s="1"/>
  <c r="F31" i="14"/>
  <c r="G12" i="14"/>
  <c r="F69" i="14"/>
  <c r="F50" i="14"/>
  <c r="B81" i="16"/>
  <c r="B27" i="34"/>
  <c r="B96" i="34"/>
  <c r="B79" i="34"/>
  <c r="B10" i="34" s="1"/>
  <c r="B146" i="14"/>
  <c r="D146" i="14" s="1"/>
  <c r="F31" i="27"/>
  <c r="F43" i="25"/>
  <c r="G31" i="25"/>
  <c r="D68" i="32"/>
  <c r="D85" i="32"/>
  <c r="D131" i="14"/>
  <c r="E49" i="14"/>
  <c r="F11" i="14"/>
  <c r="E30" i="14"/>
  <c r="E87" i="14"/>
  <c r="E106" i="14" s="1"/>
  <c r="E68" i="14"/>
  <c r="C84" i="32"/>
  <c r="C67" i="32"/>
  <c r="C130" i="14"/>
  <c r="B86" i="16"/>
  <c r="B32" i="34"/>
  <c r="B84" i="34"/>
  <c r="B101" i="34"/>
  <c r="B151" i="14"/>
  <c r="D151" i="14" s="1"/>
  <c r="F54" i="34"/>
  <c r="D87" i="16"/>
  <c r="D102" i="34"/>
  <c r="D85" i="34"/>
  <c r="D33" i="34"/>
  <c r="F10" i="14"/>
  <c r="E48" i="14"/>
  <c r="E67" i="14"/>
  <c r="E29" i="14"/>
  <c r="E86" i="14"/>
  <c r="E105" i="14" s="1"/>
  <c r="H36" i="32"/>
  <c r="D60" i="32"/>
  <c r="D77" i="32"/>
  <c r="D123" i="14"/>
  <c r="B18" i="14"/>
  <c r="J31" i="15"/>
  <c r="D34" i="18" s="1"/>
  <c r="D85" i="16"/>
  <c r="D100" i="34"/>
  <c r="D31" i="34"/>
  <c r="D83" i="34"/>
  <c r="L133" i="31"/>
  <c r="F19" i="25"/>
  <c r="E19" i="27"/>
  <c r="C86" i="16"/>
  <c r="C84" i="34"/>
  <c r="C101" i="34"/>
  <c r="C32" i="34"/>
  <c r="E20" i="31"/>
  <c r="C89" i="14"/>
  <c r="C108" i="14" s="1"/>
  <c r="C32" i="14"/>
  <c r="C70" i="14"/>
  <c r="C51" i="14"/>
  <c r="D13" i="14"/>
  <c r="E63" i="32"/>
  <c r="E80" i="32"/>
  <c r="E126" i="14"/>
  <c r="C85" i="16"/>
  <c r="C31" i="34"/>
  <c r="C83" i="34"/>
  <c r="C14" i="34" s="1"/>
  <c r="C100" i="34"/>
  <c r="E84" i="32"/>
  <c r="E67" i="32"/>
  <c r="E130" i="14"/>
  <c r="E47" i="14"/>
  <c r="F9" i="14"/>
  <c r="E28" i="14"/>
  <c r="E66" i="14"/>
  <c r="E85" i="14"/>
  <c r="E104" i="14" s="1"/>
  <c r="C102" i="14"/>
  <c r="B67" i="32"/>
  <c r="B130" i="14"/>
  <c r="B84" i="32"/>
  <c r="E65" i="32"/>
  <c r="E82" i="32"/>
  <c r="E128" i="14"/>
  <c r="F71" i="34"/>
  <c r="B64" i="32"/>
  <c r="B127" i="14"/>
  <c r="B81" i="32"/>
  <c r="D61" i="32"/>
  <c r="D78" i="32"/>
  <c r="D124" i="14"/>
  <c r="C80" i="16"/>
  <c r="C26" i="34"/>
  <c r="C95" i="34"/>
  <c r="C78" i="34"/>
  <c r="C9" i="34" s="1"/>
  <c r="B80" i="16"/>
  <c r="B26" i="34"/>
  <c r="B95" i="34"/>
  <c r="B78" i="34"/>
  <c r="B9" i="34" s="1"/>
  <c r="B145" i="14"/>
  <c r="D145" i="14" s="1"/>
  <c r="D64" i="14"/>
  <c r="D26" i="14"/>
  <c r="D45" i="14"/>
  <c r="E7" i="14"/>
  <c r="D83" i="14"/>
  <c r="F54" i="14"/>
  <c r="F35" i="14"/>
  <c r="F73" i="14"/>
  <c r="F92" i="14"/>
  <c r="F111" i="14" s="1"/>
  <c r="G16" i="14"/>
  <c r="I31" i="32"/>
  <c r="I43" i="32"/>
  <c r="I26" i="32"/>
  <c r="I27" i="32"/>
  <c r="I32" i="32"/>
  <c r="I51" i="32"/>
  <c r="I29" i="32"/>
  <c r="I33" i="32"/>
  <c r="I28" i="32"/>
  <c r="I34" i="32"/>
  <c r="I50" i="32"/>
  <c r="J107" i="32"/>
  <c r="I52" i="32"/>
  <c r="I46" i="32"/>
  <c r="I25" i="32"/>
  <c r="I45" i="32"/>
  <c r="I48" i="32"/>
  <c r="I30" i="32"/>
  <c r="I35" i="32"/>
  <c r="I41" i="32"/>
  <c r="I44" i="32"/>
  <c r="I42" i="32"/>
  <c r="I47" i="32"/>
  <c r="I49" i="32"/>
  <c r="I24" i="32"/>
  <c r="D66" i="32"/>
  <c r="D83" i="32"/>
  <c r="D129" i="14"/>
  <c r="B67" i="31"/>
  <c r="C62" i="31"/>
  <c r="A24" i="28"/>
  <c r="B58" i="32"/>
  <c r="B75" i="32"/>
  <c r="B121" i="14"/>
  <c r="D55" i="27"/>
  <c r="D67" i="25"/>
  <c r="D67" i="27" s="1"/>
  <c r="F52" i="14"/>
  <c r="G14" i="14"/>
  <c r="F33" i="14"/>
  <c r="F90" i="14"/>
  <c r="F109" i="14" s="1"/>
  <c r="F71" i="14"/>
  <c r="G46" i="34"/>
  <c r="G45" i="34"/>
  <c r="G50" i="34"/>
  <c r="G59" i="34"/>
  <c r="G69" i="34"/>
  <c r="G51" i="34"/>
  <c r="G61" i="34"/>
  <c r="G43" i="34"/>
  <c r="G48" i="34"/>
  <c r="G53" i="34"/>
  <c r="G44" i="34"/>
  <c r="G70" i="34"/>
  <c r="G52" i="34"/>
  <c r="G60" i="34"/>
  <c r="G62" i="34"/>
  <c r="G47" i="34"/>
  <c r="G49" i="34"/>
  <c r="G65" i="34"/>
  <c r="G67" i="34"/>
  <c r="H109" i="34"/>
  <c r="G42" i="34"/>
  <c r="G68" i="34"/>
  <c r="G63" i="34"/>
  <c r="G64" i="34"/>
  <c r="G66" i="34"/>
  <c r="E91" i="14"/>
  <c r="E110" i="14" s="1"/>
  <c r="E34" i="14"/>
  <c r="E72" i="14"/>
  <c r="F15" i="14"/>
  <c r="E53" i="14"/>
  <c r="G7" i="36"/>
  <c r="H201" i="31"/>
  <c r="C82" i="16"/>
  <c r="C97" i="34"/>
  <c r="C28" i="34"/>
  <c r="C80" i="34"/>
  <c r="C11" i="34" s="1"/>
  <c r="K19" i="31"/>
  <c r="B84" i="14"/>
  <c r="B103" i="14" s="1"/>
  <c r="B27" i="14"/>
  <c r="C8" i="14"/>
  <c r="B46" i="14"/>
  <c r="B65" i="14"/>
  <c r="B19" i="14"/>
  <c r="G136" i="31"/>
  <c r="F138" i="31"/>
  <c r="F12" i="36" s="1"/>
  <c r="E43" i="27"/>
  <c r="E55" i="25"/>
  <c r="B85" i="16"/>
  <c r="B100" i="34"/>
  <c r="B31" i="34"/>
  <c r="B83" i="34"/>
  <c r="B150" i="14"/>
  <c r="D150" i="14" s="1"/>
  <c r="D79" i="32"/>
  <c r="D62" i="32"/>
  <c r="D125" i="14"/>
  <c r="D83" i="16"/>
  <c r="D81" i="34"/>
  <c r="D12" i="34" s="1"/>
  <c r="D98" i="34"/>
  <c r="D29" i="34"/>
  <c r="C88" i="16"/>
  <c r="C103" i="34"/>
  <c r="C34" i="34"/>
  <c r="C86" i="34"/>
  <c r="C17" i="34" s="1"/>
  <c r="C81" i="16"/>
  <c r="C79" i="34"/>
  <c r="C10" i="34" s="1"/>
  <c r="C27" i="34"/>
  <c r="C96" i="34"/>
  <c r="B59" i="32" l="1"/>
  <c r="B76" i="32"/>
  <c r="B122" i="14"/>
  <c r="B114" i="14"/>
  <c r="G54" i="34"/>
  <c r="B7" i="27"/>
  <c r="B7" i="25"/>
  <c r="F82" i="32"/>
  <c r="F128" i="14"/>
  <c r="F65" i="32"/>
  <c r="D86" i="16"/>
  <c r="D84" i="34"/>
  <c r="D15" i="34" s="1"/>
  <c r="D32" i="34"/>
  <c r="D101" i="34"/>
  <c r="I53" i="32"/>
  <c r="K107" i="32"/>
  <c r="J27" i="32"/>
  <c r="J32" i="32"/>
  <c r="J31" i="32"/>
  <c r="J33" i="32"/>
  <c r="J46" i="32"/>
  <c r="J26" i="32"/>
  <c r="J51" i="32"/>
  <c r="J43" i="32"/>
  <c r="J48" i="32"/>
  <c r="J47" i="32"/>
  <c r="J41" i="32"/>
  <c r="J25" i="32"/>
  <c r="J49" i="32"/>
  <c r="J44" i="32"/>
  <c r="J34" i="32"/>
  <c r="J28" i="32"/>
  <c r="J52" i="32"/>
  <c r="J30" i="32"/>
  <c r="J24" i="32"/>
  <c r="J42" i="32"/>
  <c r="J45" i="32"/>
  <c r="J35" i="32"/>
  <c r="J50" i="32"/>
  <c r="J29" i="32"/>
  <c r="B84" i="16"/>
  <c r="B82" i="34"/>
  <c r="B13" i="34" s="1"/>
  <c r="B30" i="34"/>
  <c r="B99" i="34"/>
  <c r="B149" i="14"/>
  <c r="D149" i="14" s="1"/>
  <c r="D14" i="34"/>
  <c r="L19" i="31"/>
  <c r="G15" i="14"/>
  <c r="F53" i="14"/>
  <c r="F34" i="14"/>
  <c r="F72" i="14"/>
  <c r="F91" i="14"/>
  <c r="F110" i="14" s="1"/>
  <c r="D102" i="14"/>
  <c r="B87" i="16"/>
  <c r="B85" i="34"/>
  <c r="B16" i="34" s="1"/>
  <c r="B33" i="34"/>
  <c r="B102" i="34"/>
  <c r="B152" i="14"/>
  <c r="D152" i="14" s="1"/>
  <c r="G19" i="25"/>
  <c r="F19" i="27"/>
  <c r="E78" i="32"/>
  <c r="E61" i="32"/>
  <c r="E124" i="14"/>
  <c r="F30" i="14"/>
  <c r="G11" i="14"/>
  <c r="F68" i="14"/>
  <c r="F49" i="14"/>
  <c r="F87" i="14"/>
  <c r="F106" i="14" s="1"/>
  <c r="H12" i="14"/>
  <c r="G50" i="14"/>
  <c r="G31" i="14"/>
  <c r="G88" i="14"/>
  <c r="G107" i="14" s="1"/>
  <c r="G69" i="14"/>
  <c r="E55" i="27"/>
  <c r="E67" i="25"/>
  <c r="E67" i="27" s="1"/>
  <c r="G71" i="14"/>
  <c r="G33" i="14"/>
  <c r="G52" i="14"/>
  <c r="H14" i="14"/>
  <c r="G90" i="14"/>
  <c r="G109" i="14" s="1"/>
  <c r="F66" i="14"/>
  <c r="F28" i="14"/>
  <c r="G9" i="14"/>
  <c r="F85" i="14"/>
  <c r="F104" i="14" s="1"/>
  <c r="F47" i="14"/>
  <c r="E13" i="14"/>
  <c r="D51" i="14"/>
  <c r="D32" i="14"/>
  <c r="D89" i="14"/>
  <c r="D108" i="14" s="1"/>
  <c r="D70" i="14"/>
  <c r="C87" i="16"/>
  <c r="C33" i="34"/>
  <c r="C102" i="34"/>
  <c r="C85" i="34"/>
  <c r="C16" i="34" s="1"/>
  <c r="D8" i="14"/>
  <c r="C46" i="14"/>
  <c r="C27" i="14"/>
  <c r="C65" i="14"/>
  <c r="C84" i="14"/>
  <c r="H63" i="34"/>
  <c r="I109" i="34"/>
  <c r="H45" i="34"/>
  <c r="H50" i="34"/>
  <c r="H46" i="34"/>
  <c r="H59" i="34"/>
  <c r="H69" i="34"/>
  <c r="H42" i="34"/>
  <c r="H47" i="34"/>
  <c r="H52" i="34"/>
  <c r="H65" i="34"/>
  <c r="H44" i="34"/>
  <c r="H48" i="34"/>
  <c r="H53" i="34"/>
  <c r="H62" i="34"/>
  <c r="H67" i="34"/>
  <c r="H49" i="34"/>
  <c r="H68" i="34"/>
  <c r="H51" i="34"/>
  <c r="H61" i="34"/>
  <c r="H64" i="34"/>
  <c r="H70" i="34"/>
  <c r="H66" i="34"/>
  <c r="H60" i="34"/>
  <c r="H43" i="34"/>
  <c r="G71" i="34"/>
  <c r="I36" i="32"/>
  <c r="C75" i="32"/>
  <c r="C58" i="32"/>
  <c r="C121" i="14"/>
  <c r="F20" i="31"/>
  <c r="D88" i="16"/>
  <c r="D34" i="34"/>
  <c r="D86" i="34"/>
  <c r="D17" i="34" s="1"/>
  <c r="D103" i="34"/>
  <c r="F63" i="32"/>
  <c r="F80" i="32"/>
  <c r="F126" i="14"/>
  <c r="G35" i="14"/>
  <c r="H16" i="14"/>
  <c r="G73" i="14"/>
  <c r="G92" i="14"/>
  <c r="G111" i="14" s="1"/>
  <c r="G54" i="14"/>
  <c r="H136" i="31"/>
  <c r="G138" i="31"/>
  <c r="G12" i="36" s="1"/>
  <c r="B69" i="31"/>
  <c r="B11" i="36" s="1"/>
  <c r="B15" i="36" s="1"/>
  <c r="B99" i="32"/>
  <c r="B14" i="32" s="1"/>
  <c r="B97" i="32"/>
  <c r="B12" i="32" s="1"/>
  <c r="B98" i="32"/>
  <c r="B13" i="32" s="1"/>
  <c r="B100" i="32"/>
  <c r="B15" i="32" s="1"/>
  <c r="B96" i="32"/>
  <c r="B11" i="32" s="1"/>
  <c r="B102" i="32"/>
  <c r="B17" i="32" s="1"/>
  <c r="B103" i="32"/>
  <c r="B92" i="32"/>
  <c r="B95" i="32"/>
  <c r="B10" i="32" s="1"/>
  <c r="B101" i="32"/>
  <c r="B16" i="32" s="1"/>
  <c r="B94" i="32"/>
  <c r="B9" i="32" s="1"/>
  <c r="B93" i="32"/>
  <c r="F67" i="32"/>
  <c r="F84" i="32"/>
  <c r="F130" i="14"/>
  <c r="E85" i="16"/>
  <c r="E31" i="34"/>
  <c r="E83" i="34"/>
  <c r="E100" i="34"/>
  <c r="F67" i="14"/>
  <c r="F48" i="14"/>
  <c r="G10" i="14"/>
  <c r="F29" i="14"/>
  <c r="F86" i="14"/>
  <c r="F105" i="14" s="1"/>
  <c r="B15" i="34"/>
  <c r="F74" i="14"/>
  <c r="F93" i="14"/>
  <c r="F112" i="14" s="1"/>
  <c r="F55" i="14"/>
  <c r="G17" i="14"/>
  <c r="F36" i="14"/>
  <c r="E83" i="14"/>
  <c r="E26" i="14"/>
  <c r="F7" i="14"/>
  <c r="E64" i="14"/>
  <c r="E45" i="14"/>
  <c r="E66" i="32"/>
  <c r="E83" i="32"/>
  <c r="E129" i="14"/>
  <c r="D62" i="31"/>
  <c r="C67" i="31"/>
  <c r="C68" i="31"/>
  <c r="C10" i="36" s="1"/>
  <c r="D81" i="16"/>
  <c r="D79" i="34"/>
  <c r="D27" i="34"/>
  <c r="D96" i="34"/>
  <c r="E85" i="32"/>
  <c r="E68" i="32"/>
  <c r="E131" i="14"/>
  <c r="B95" i="14"/>
  <c r="B14" i="34"/>
  <c r="H7" i="36"/>
  <c r="I201" i="31"/>
  <c r="D18" i="25"/>
  <c r="E87" i="16"/>
  <c r="E33" i="34"/>
  <c r="E85" i="34"/>
  <c r="E102" i="34"/>
  <c r="C64" i="32"/>
  <c r="C81" i="32"/>
  <c r="C127" i="14"/>
  <c r="C15" i="34"/>
  <c r="B56" i="14"/>
  <c r="B57" i="14" s="1"/>
  <c r="C18" i="14"/>
  <c r="C19" i="14" s="1"/>
  <c r="B75" i="14"/>
  <c r="B76" i="14" s="1"/>
  <c r="B37" i="14"/>
  <c r="B38" i="14" s="1"/>
  <c r="B94" i="14"/>
  <c r="B113" i="14" s="1"/>
  <c r="D16" i="34"/>
  <c r="G31" i="27"/>
  <c r="H31" i="25"/>
  <c r="G43" i="25"/>
  <c r="D82" i="16"/>
  <c r="D80" i="34"/>
  <c r="D11" i="34" s="1"/>
  <c r="D28" i="34"/>
  <c r="D97" i="34"/>
  <c r="B78" i="16"/>
  <c r="A30" i="28"/>
  <c r="B24" i="34"/>
  <c r="B76" i="34"/>
  <c r="B93" i="34"/>
  <c r="B143" i="14"/>
  <c r="D143" i="14" s="1"/>
  <c r="E77" i="32"/>
  <c r="E60" i="32"/>
  <c r="E123" i="14"/>
  <c r="E83" i="16"/>
  <c r="E81" i="34"/>
  <c r="E29" i="34"/>
  <c r="E98" i="34"/>
  <c r="D80" i="16"/>
  <c r="D26" i="34"/>
  <c r="D95" i="34"/>
  <c r="D78" i="34"/>
  <c r="D9" i="34" s="1"/>
  <c r="E62" i="32"/>
  <c r="E79" i="32"/>
  <c r="E125" i="14"/>
  <c r="F43" i="27"/>
  <c r="F55" i="25"/>
  <c r="C7" i="27" l="1"/>
  <c r="C7" i="25"/>
  <c r="B8" i="25"/>
  <c r="B17" i="25" s="1"/>
  <c r="B8" i="27"/>
  <c r="B17" i="27" s="1"/>
  <c r="E14" i="34"/>
  <c r="G93" i="14"/>
  <c r="G112" i="14" s="1"/>
  <c r="G36" i="14"/>
  <c r="G55" i="14"/>
  <c r="G74" i="14"/>
  <c r="H17" i="14"/>
  <c r="E70" i="14"/>
  <c r="E89" i="14"/>
  <c r="E108" i="14" s="1"/>
  <c r="E32" i="14"/>
  <c r="E51" i="14"/>
  <c r="F13" i="14"/>
  <c r="H90" i="14"/>
  <c r="H109" i="14" s="1"/>
  <c r="H33" i="14"/>
  <c r="I14" i="14"/>
  <c r="H52" i="14"/>
  <c r="H71" i="14"/>
  <c r="G72" i="14"/>
  <c r="G53" i="14"/>
  <c r="G91" i="14"/>
  <c r="G110" i="14" s="1"/>
  <c r="G34" i="14"/>
  <c r="H15" i="14"/>
  <c r="J36" i="32"/>
  <c r="J53" i="32"/>
  <c r="E80" i="16"/>
  <c r="E78" i="34"/>
  <c r="E9" i="34" s="1"/>
  <c r="E95" i="34"/>
  <c r="E26" i="34"/>
  <c r="B7" i="34"/>
  <c r="C84" i="16"/>
  <c r="C30" i="34"/>
  <c r="C82" i="34"/>
  <c r="C99" i="34"/>
  <c r="C69" i="31"/>
  <c r="C11" i="36" s="1"/>
  <c r="C15" i="36" s="1"/>
  <c r="C96" i="32"/>
  <c r="C11" i="32" s="1"/>
  <c r="C102" i="32"/>
  <c r="C17" i="32" s="1"/>
  <c r="C95" i="32"/>
  <c r="C10" i="32" s="1"/>
  <c r="C97" i="32"/>
  <c r="C12" i="32" s="1"/>
  <c r="C98" i="32"/>
  <c r="C99" i="32"/>
  <c r="C14" i="32" s="1"/>
  <c r="C100" i="32"/>
  <c r="C15" i="32" s="1"/>
  <c r="C92" i="32"/>
  <c r="C93" i="32"/>
  <c r="C101" i="32"/>
  <c r="C16" i="32" s="1"/>
  <c r="C103" i="32"/>
  <c r="C94" i="32"/>
  <c r="C9" i="32" s="1"/>
  <c r="G7" i="14"/>
  <c r="F45" i="14"/>
  <c r="F26" i="14"/>
  <c r="F64" i="14"/>
  <c r="F83" i="14"/>
  <c r="B104" i="32"/>
  <c r="H54" i="34"/>
  <c r="E81" i="16"/>
  <c r="E96" i="34"/>
  <c r="E79" i="34"/>
  <c r="E10" i="34" s="1"/>
  <c r="E27" i="34"/>
  <c r="F55" i="27"/>
  <c r="F67" i="25"/>
  <c r="F67" i="27" s="1"/>
  <c r="E86" i="16"/>
  <c r="E32" i="34"/>
  <c r="E101" i="34"/>
  <c r="E84" i="34"/>
  <c r="E15" i="34" s="1"/>
  <c r="E88" i="16"/>
  <c r="E103" i="34"/>
  <c r="E34" i="34"/>
  <c r="E86" i="34"/>
  <c r="E66" i="25"/>
  <c r="E18" i="25"/>
  <c r="G29" i="14"/>
  <c r="H10" i="14"/>
  <c r="G86" i="14"/>
  <c r="G105" i="14" s="1"/>
  <c r="G67" i="14"/>
  <c r="G48" i="14"/>
  <c r="F87" i="16"/>
  <c r="F102" i="34"/>
  <c r="F85" i="34"/>
  <c r="F16" i="34" s="1"/>
  <c r="F33" i="34"/>
  <c r="B86" i="32"/>
  <c r="B87" i="32" s="1"/>
  <c r="B69" i="32"/>
  <c r="B132" i="14"/>
  <c r="I7" i="36"/>
  <c r="J201" i="31"/>
  <c r="E62" i="31"/>
  <c r="D67" i="31"/>
  <c r="D68" i="31"/>
  <c r="D10" i="36" s="1"/>
  <c r="F85" i="32"/>
  <c r="F68" i="32"/>
  <c r="F131" i="14"/>
  <c r="C103" i="14"/>
  <c r="F60" i="32"/>
  <c r="F77" i="32"/>
  <c r="F123" i="14"/>
  <c r="H69" i="14"/>
  <c r="H50" i="14"/>
  <c r="H31" i="14"/>
  <c r="I12" i="14"/>
  <c r="H88" i="14"/>
  <c r="H107" i="14" s="1"/>
  <c r="F85" i="16"/>
  <c r="F100" i="34"/>
  <c r="F31" i="34"/>
  <c r="F83" i="34"/>
  <c r="D18" i="27"/>
  <c r="D20" i="27" s="1"/>
  <c r="D21" i="27" s="1"/>
  <c r="D20" i="25"/>
  <c r="D21" i="25" s="1"/>
  <c r="E102" i="14"/>
  <c r="I136" i="31"/>
  <c r="H138" i="31"/>
  <c r="H12" i="36" s="1"/>
  <c r="F83" i="16"/>
  <c r="F29" i="34"/>
  <c r="F81" i="34"/>
  <c r="F98" i="34"/>
  <c r="H71" i="34"/>
  <c r="G85" i="14"/>
  <c r="G104" i="14" s="1"/>
  <c r="G28" i="14"/>
  <c r="H9" i="14"/>
  <c r="G47" i="14"/>
  <c r="G66" i="14"/>
  <c r="F62" i="32"/>
  <c r="F79" i="32"/>
  <c r="F125" i="14"/>
  <c r="K43" i="32"/>
  <c r="K26" i="32"/>
  <c r="K31" i="32"/>
  <c r="K27" i="32"/>
  <c r="K41" i="32"/>
  <c r="K30" i="32"/>
  <c r="K32" i="32"/>
  <c r="L107" i="32"/>
  <c r="K28" i="32"/>
  <c r="K47" i="32"/>
  <c r="K51" i="32"/>
  <c r="K29" i="32"/>
  <c r="K44" i="32"/>
  <c r="K24" i="32"/>
  <c r="K48" i="32"/>
  <c r="K45" i="32"/>
  <c r="K35" i="32"/>
  <c r="K52" i="32"/>
  <c r="K49" i="32"/>
  <c r="K50" i="32"/>
  <c r="K42" i="32"/>
  <c r="K34" i="32"/>
  <c r="K25" i="32"/>
  <c r="K46" i="32"/>
  <c r="K33" i="32"/>
  <c r="C13" i="32"/>
  <c r="C75" i="14"/>
  <c r="C76" i="14" s="1"/>
  <c r="D18" i="14"/>
  <c r="C37" i="14"/>
  <c r="C56" i="14"/>
  <c r="C57" i="14" s="1"/>
  <c r="C94" i="14"/>
  <c r="C113" i="14" s="1"/>
  <c r="D10" i="34"/>
  <c r="G67" i="32"/>
  <c r="G84" i="32"/>
  <c r="G130" i="14"/>
  <c r="G20" i="31"/>
  <c r="D81" i="32"/>
  <c r="D64" i="32"/>
  <c r="D127" i="14"/>
  <c r="B79" i="16"/>
  <c r="B94" i="34"/>
  <c r="B25" i="34"/>
  <c r="B77" i="34"/>
  <c r="B8" i="34" s="1"/>
  <c r="B144" i="14"/>
  <c r="D144" i="14" s="1"/>
  <c r="C38" i="14"/>
  <c r="G55" i="25"/>
  <c r="G43" i="27"/>
  <c r="E16" i="34"/>
  <c r="E12" i="34"/>
  <c r="H31" i="27"/>
  <c r="H43" i="25"/>
  <c r="I31" i="25"/>
  <c r="F61" i="32"/>
  <c r="F78" i="32"/>
  <c r="F124" i="14"/>
  <c r="C78" i="16"/>
  <c r="C93" i="34"/>
  <c r="C24" i="34"/>
  <c r="C76" i="34"/>
  <c r="D65" i="14"/>
  <c r="D46" i="14"/>
  <c r="E8" i="14"/>
  <c r="D27" i="14"/>
  <c r="D84" i="14"/>
  <c r="D19" i="14"/>
  <c r="G49" i="14"/>
  <c r="H11" i="14"/>
  <c r="G68" i="14"/>
  <c r="G30" i="14"/>
  <c r="G87" i="14"/>
  <c r="G106" i="14" s="1"/>
  <c r="G19" i="27"/>
  <c r="H19" i="25"/>
  <c r="D58" i="32"/>
  <c r="D75" i="32"/>
  <c r="D121" i="14"/>
  <c r="F83" i="32"/>
  <c r="F66" i="32"/>
  <c r="F129" i="14"/>
  <c r="B10" i="27"/>
  <c r="B41" i="27" s="1"/>
  <c r="B10" i="25"/>
  <c r="B41" i="25" s="1"/>
  <c r="B42" i="25" s="1"/>
  <c r="E82" i="16"/>
  <c r="E97" i="34"/>
  <c r="E28" i="34"/>
  <c r="E80" i="34"/>
  <c r="B9" i="27"/>
  <c r="B29" i="27" s="1"/>
  <c r="B9" i="25"/>
  <c r="B29" i="25" s="1"/>
  <c r="B30" i="25" s="1"/>
  <c r="H54" i="14"/>
  <c r="I16" i="14"/>
  <c r="H35" i="14"/>
  <c r="H92" i="14"/>
  <c r="H111" i="14" s="1"/>
  <c r="H73" i="14"/>
  <c r="I48" i="34"/>
  <c r="I44" i="34"/>
  <c r="I49" i="34"/>
  <c r="I67" i="34"/>
  <c r="I63" i="34"/>
  <c r="I45" i="34"/>
  <c r="I50" i="34"/>
  <c r="I42" i="34"/>
  <c r="I47" i="34"/>
  <c r="I52" i="34"/>
  <c r="I46" i="34"/>
  <c r="I66" i="34"/>
  <c r="I64" i="34"/>
  <c r="I43" i="34"/>
  <c r="J109" i="34"/>
  <c r="I69" i="34"/>
  <c r="I53" i="34"/>
  <c r="I51" i="34"/>
  <c r="I59" i="34"/>
  <c r="I61" i="34"/>
  <c r="I60" i="34"/>
  <c r="I62" i="34"/>
  <c r="I68" i="34"/>
  <c r="I65" i="34"/>
  <c r="I70" i="34"/>
  <c r="G82" i="32"/>
  <c r="G65" i="32"/>
  <c r="G128" i="14"/>
  <c r="G80" i="32"/>
  <c r="G63" i="32"/>
  <c r="G126" i="14"/>
  <c r="B7" i="32"/>
  <c r="B8" i="32"/>
  <c r="C8" i="27" l="1"/>
  <c r="C17" i="27" s="1"/>
  <c r="C8" i="25"/>
  <c r="C17" i="25" s="1"/>
  <c r="D7" i="27"/>
  <c r="D7" i="25"/>
  <c r="C69" i="32"/>
  <c r="C18" i="32" s="1"/>
  <c r="C86" i="32"/>
  <c r="C132" i="14"/>
  <c r="E18" i="27"/>
  <c r="E20" i="27" s="1"/>
  <c r="E21" i="27" s="1"/>
  <c r="E20" i="25"/>
  <c r="E21" i="25" s="1"/>
  <c r="G66" i="32"/>
  <c r="G83" i="32"/>
  <c r="G129" i="14"/>
  <c r="F32" i="14"/>
  <c r="G13" i="14"/>
  <c r="F89" i="14"/>
  <c r="F108" i="14" s="1"/>
  <c r="F70" i="14"/>
  <c r="F51" i="14"/>
  <c r="H68" i="14"/>
  <c r="H30" i="14"/>
  <c r="H49" i="14"/>
  <c r="I11" i="14"/>
  <c r="H87" i="14"/>
  <c r="H106" i="14" s="1"/>
  <c r="J136" i="31"/>
  <c r="I138" i="31"/>
  <c r="I12" i="36" s="1"/>
  <c r="B89" i="16"/>
  <c r="B90" i="16" s="1"/>
  <c r="B87" i="34"/>
  <c r="B18" i="34" s="1"/>
  <c r="B104" i="34"/>
  <c r="B105" i="34" s="1"/>
  <c r="B35" i="34"/>
  <c r="B36" i="34" s="1"/>
  <c r="B154" i="14"/>
  <c r="D154" i="14" s="1"/>
  <c r="B133" i="14"/>
  <c r="G64" i="14"/>
  <c r="G83" i="14"/>
  <c r="H7" i="14"/>
  <c r="G26" i="14"/>
  <c r="G45" i="14"/>
  <c r="C13" i="34"/>
  <c r="I17" i="14"/>
  <c r="H55" i="14"/>
  <c r="H36" i="14"/>
  <c r="H74" i="14"/>
  <c r="H93" i="14"/>
  <c r="H112" i="14" s="1"/>
  <c r="D84" i="16"/>
  <c r="D82" i="34"/>
  <c r="D99" i="34"/>
  <c r="D30" i="34"/>
  <c r="D78" i="16"/>
  <c r="D76" i="34"/>
  <c r="D24" i="34"/>
  <c r="D93" i="34"/>
  <c r="F81" i="16"/>
  <c r="F96" i="34"/>
  <c r="F79" i="34"/>
  <c r="F27" i="34"/>
  <c r="G60" i="32"/>
  <c r="G77" i="32"/>
  <c r="G123" i="14"/>
  <c r="F88" i="16"/>
  <c r="F86" i="34"/>
  <c r="F17" i="34" s="1"/>
  <c r="F34" i="34"/>
  <c r="F103" i="34"/>
  <c r="G85" i="16"/>
  <c r="G83" i="34"/>
  <c r="G14" i="34" s="1"/>
  <c r="G31" i="34"/>
  <c r="G100" i="34"/>
  <c r="I73" i="14"/>
  <c r="J16" i="14"/>
  <c r="I35" i="14"/>
  <c r="I92" i="14"/>
  <c r="I111" i="14" s="1"/>
  <c r="I54" i="14"/>
  <c r="K36" i="32"/>
  <c r="F82" i="16"/>
  <c r="F28" i="34"/>
  <c r="F80" i="34"/>
  <c r="F11" i="34" s="1"/>
  <c r="F97" i="34"/>
  <c r="I71" i="34"/>
  <c r="G55" i="27"/>
  <c r="G67" i="25"/>
  <c r="G67" i="27" s="1"/>
  <c r="H20" i="31"/>
  <c r="K53" i="32"/>
  <c r="E58" i="32"/>
  <c r="E75" i="32"/>
  <c r="E121" i="14"/>
  <c r="F80" i="16"/>
  <c r="F78" i="34"/>
  <c r="F9" i="34" s="1"/>
  <c r="F26" i="34"/>
  <c r="F95" i="34"/>
  <c r="B18" i="32"/>
  <c r="B19" i="32" s="1"/>
  <c r="B5" i="36" s="1"/>
  <c r="B8" i="36" s="1"/>
  <c r="B16" i="36" s="1"/>
  <c r="B19" i="36" s="1"/>
  <c r="B70" i="32"/>
  <c r="D94" i="14"/>
  <c r="D113" i="14" s="1"/>
  <c r="D37" i="14"/>
  <c r="E18" i="14"/>
  <c r="D75" i="14"/>
  <c r="D76" i="14" s="1"/>
  <c r="D56" i="14"/>
  <c r="D103" i="14"/>
  <c r="D95" i="14"/>
  <c r="C7" i="34"/>
  <c r="I43" i="25"/>
  <c r="I31" i="27"/>
  <c r="J31" i="25"/>
  <c r="G87" i="16"/>
  <c r="G33" i="34"/>
  <c r="G85" i="34"/>
  <c r="G102" i="34"/>
  <c r="D15" i="36"/>
  <c r="B19" i="34"/>
  <c r="B6" i="36" s="1"/>
  <c r="D38" i="14"/>
  <c r="H55" i="25"/>
  <c r="H43" i="27"/>
  <c r="F12" i="34"/>
  <c r="H63" i="32"/>
  <c r="H80" i="32"/>
  <c r="H126" i="14"/>
  <c r="C76" i="32"/>
  <c r="C87" i="32" s="1"/>
  <c r="C122" i="14"/>
  <c r="C59" i="32"/>
  <c r="C114" i="14"/>
  <c r="D69" i="31"/>
  <c r="D11" i="36" s="1"/>
  <c r="D99" i="32"/>
  <c r="D14" i="32" s="1"/>
  <c r="D92" i="32"/>
  <c r="D7" i="32" s="1"/>
  <c r="D97" i="32"/>
  <c r="D12" i="32" s="1"/>
  <c r="D95" i="32"/>
  <c r="D10" i="32" s="1"/>
  <c r="D103" i="32"/>
  <c r="D102" i="32"/>
  <c r="D17" i="32" s="1"/>
  <c r="D100" i="32"/>
  <c r="D15" i="32" s="1"/>
  <c r="D98" i="32"/>
  <c r="D13" i="32" s="1"/>
  <c r="D96" i="32"/>
  <c r="D11" i="32" s="1"/>
  <c r="D101" i="32"/>
  <c r="D16" i="32" s="1"/>
  <c r="D94" i="32"/>
  <c r="D9" i="32" s="1"/>
  <c r="D93" i="32"/>
  <c r="G78" i="32"/>
  <c r="G124" i="14"/>
  <c r="G61" i="32"/>
  <c r="F102" i="14"/>
  <c r="B88" i="34"/>
  <c r="J14" i="14"/>
  <c r="I52" i="14"/>
  <c r="I33" i="14"/>
  <c r="I90" i="14"/>
  <c r="I109" i="14" s="1"/>
  <c r="I71" i="14"/>
  <c r="G68" i="32"/>
  <c r="G85" i="32"/>
  <c r="G131" i="14"/>
  <c r="C66" i="25"/>
  <c r="B66" i="25"/>
  <c r="D66" i="25"/>
  <c r="E66" i="27"/>
  <c r="E68" i="27" s="1"/>
  <c r="E69" i="27" s="1"/>
  <c r="E68" i="25"/>
  <c r="E69" i="25" s="1"/>
  <c r="E64" i="32"/>
  <c r="E81" i="32"/>
  <c r="E127" i="14"/>
  <c r="H19" i="27"/>
  <c r="I19" i="25"/>
  <c r="I54" i="34"/>
  <c r="F86" i="16"/>
  <c r="F84" i="34"/>
  <c r="F32" i="34"/>
  <c r="F101" i="34"/>
  <c r="J44" i="34"/>
  <c r="J49" i="34"/>
  <c r="J67" i="34"/>
  <c r="J63" i="34"/>
  <c r="K109" i="34"/>
  <c r="J46" i="34"/>
  <c r="J51" i="34"/>
  <c r="J59" i="34"/>
  <c r="J69" i="34"/>
  <c r="J42" i="34"/>
  <c r="J61" i="34"/>
  <c r="J48" i="34"/>
  <c r="J66" i="34"/>
  <c r="J43" i="34"/>
  <c r="J47" i="34"/>
  <c r="J50" i="34"/>
  <c r="J52" i="34"/>
  <c r="J62" i="34"/>
  <c r="J53" i="34"/>
  <c r="J70" i="34"/>
  <c r="J65" i="34"/>
  <c r="J64" i="34"/>
  <c r="J60" i="34"/>
  <c r="J45" i="34"/>
  <c r="J68" i="34"/>
  <c r="G79" i="32"/>
  <c r="G62" i="32"/>
  <c r="G125" i="14"/>
  <c r="E27" i="14"/>
  <c r="F8" i="14"/>
  <c r="E84" i="14"/>
  <c r="E46" i="14"/>
  <c r="E65" i="14"/>
  <c r="E19" i="14"/>
  <c r="I9" i="14"/>
  <c r="H47" i="14"/>
  <c r="H28" i="14"/>
  <c r="H85" i="14"/>
  <c r="H104" i="14" s="1"/>
  <c r="H66" i="14"/>
  <c r="F14" i="34"/>
  <c r="I31" i="14"/>
  <c r="J12" i="14"/>
  <c r="I88" i="14"/>
  <c r="I107" i="14" s="1"/>
  <c r="I69" i="14"/>
  <c r="I50" i="14"/>
  <c r="C95" i="14"/>
  <c r="E67" i="31"/>
  <c r="F62" i="31"/>
  <c r="E68" i="31"/>
  <c r="E10" i="36" s="1"/>
  <c r="H48" i="14"/>
  <c r="H29" i="14"/>
  <c r="I10" i="14"/>
  <c r="H67" i="14"/>
  <c r="H86" i="14"/>
  <c r="H105" i="14" s="1"/>
  <c r="E17" i="34"/>
  <c r="F66" i="25"/>
  <c r="F18" i="25"/>
  <c r="C104" i="32"/>
  <c r="H34" i="14"/>
  <c r="I15" i="14"/>
  <c r="H91" i="14"/>
  <c r="H110" i="14" s="1"/>
  <c r="H53" i="14"/>
  <c r="H72" i="14"/>
  <c r="B44" i="25"/>
  <c r="B45" i="25" s="1"/>
  <c r="B47" i="25" s="1"/>
  <c r="B42" i="27"/>
  <c r="B44" i="27" s="1"/>
  <c r="B45" i="27" s="1"/>
  <c r="B47" i="27" s="1"/>
  <c r="B30" i="27"/>
  <c r="B32" i="27" s="1"/>
  <c r="B33" i="27" s="1"/>
  <c r="B35" i="27" s="1"/>
  <c r="B32" i="25"/>
  <c r="B33" i="25" s="1"/>
  <c r="B35" i="25" s="1"/>
  <c r="G83" i="16"/>
  <c r="G29" i="34"/>
  <c r="G81" i="34"/>
  <c r="G12" i="34" s="1"/>
  <c r="G98" i="34"/>
  <c r="H84" i="32"/>
  <c r="H67" i="32"/>
  <c r="H130" i="14"/>
  <c r="E11" i="34"/>
  <c r="D57" i="14"/>
  <c r="L33" i="32"/>
  <c r="L51" i="32"/>
  <c r="L26" i="32"/>
  <c r="L31" i="32"/>
  <c r="L50" i="32"/>
  <c r="L25" i="32"/>
  <c r="L27" i="32"/>
  <c r="L43" i="32"/>
  <c r="L48" i="32"/>
  <c r="L32" i="32"/>
  <c r="L45" i="32"/>
  <c r="L42" i="32"/>
  <c r="L49" i="32"/>
  <c r="L35" i="32"/>
  <c r="L34" i="32"/>
  <c r="L30" i="32"/>
  <c r="L41" i="32"/>
  <c r="L29" i="32"/>
  <c r="L28" i="32"/>
  <c r="L46" i="32"/>
  <c r="L47" i="32"/>
  <c r="L52" i="32"/>
  <c r="L44" i="32"/>
  <c r="L24" i="32"/>
  <c r="J7" i="36"/>
  <c r="K201" i="31"/>
  <c r="H65" i="32"/>
  <c r="H82" i="32"/>
  <c r="H128" i="14"/>
  <c r="C7" i="32"/>
  <c r="D8" i="27" l="1"/>
  <c r="D17" i="27" s="1"/>
  <c r="D8" i="25"/>
  <c r="D17" i="25" s="1"/>
  <c r="B20" i="36"/>
  <c r="B22" i="36" s="1"/>
  <c r="B26" i="36" s="1"/>
  <c r="C9" i="27"/>
  <c r="C29" i="27" s="1"/>
  <c r="C9" i="25"/>
  <c r="C29" i="25" s="1"/>
  <c r="C30" i="25" s="1"/>
  <c r="H77" i="32"/>
  <c r="H60" i="32"/>
  <c r="H123" i="14"/>
  <c r="K42" i="34"/>
  <c r="K50" i="34"/>
  <c r="K43" i="34"/>
  <c r="K48" i="34"/>
  <c r="K53" i="34"/>
  <c r="K61" i="34"/>
  <c r="K44" i="34"/>
  <c r="K49" i="34"/>
  <c r="K46" i="34"/>
  <c r="K51" i="34"/>
  <c r="K70" i="34"/>
  <c r="K68" i="34"/>
  <c r="K52" i="34"/>
  <c r="K45" i="34"/>
  <c r="L109" i="34"/>
  <c r="K60" i="34"/>
  <c r="K47" i="34"/>
  <c r="K65" i="34"/>
  <c r="K63" i="34"/>
  <c r="K66" i="34"/>
  <c r="K67" i="34"/>
  <c r="K62" i="34"/>
  <c r="K69" i="34"/>
  <c r="K64" i="34"/>
  <c r="K59" i="34"/>
  <c r="F75" i="32"/>
  <c r="F58" i="32"/>
  <c r="F121" i="14"/>
  <c r="D59" i="32"/>
  <c r="D76" i="32"/>
  <c r="D122" i="14"/>
  <c r="D114" i="14"/>
  <c r="C19" i="32"/>
  <c r="C5" i="36" s="1"/>
  <c r="F18" i="27"/>
  <c r="F20" i="27" s="1"/>
  <c r="F21" i="27" s="1"/>
  <c r="F20" i="25"/>
  <c r="F21" i="25" s="1"/>
  <c r="E7" i="27"/>
  <c r="E7" i="25"/>
  <c r="G80" i="16"/>
  <c r="G95" i="34"/>
  <c r="G26" i="34"/>
  <c r="G78" i="34"/>
  <c r="G9" i="34" s="1"/>
  <c r="D13" i="34"/>
  <c r="I74" i="14"/>
  <c r="J17" i="14"/>
  <c r="I93" i="14"/>
  <c r="I112" i="14" s="1"/>
  <c r="I55" i="14"/>
  <c r="I36" i="14"/>
  <c r="B11" i="27"/>
  <c r="B53" i="27"/>
  <c r="B11" i="25"/>
  <c r="B53" i="25" s="1"/>
  <c r="B54" i="25" s="1"/>
  <c r="B138" i="14"/>
  <c r="K136" i="31"/>
  <c r="J138" i="31"/>
  <c r="J12" i="36" s="1"/>
  <c r="H61" i="32"/>
  <c r="H78" i="32"/>
  <c r="H124" i="14"/>
  <c r="I67" i="14"/>
  <c r="I29" i="14"/>
  <c r="J10" i="14"/>
  <c r="I48" i="14"/>
  <c r="I86" i="14"/>
  <c r="I105" i="14" s="1"/>
  <c r="H87" i="16"/>
  <c r="H102" i="34"/>
  <c r="H85" i="34"/>
  <c r="H16" i="34" s="1"/>
  <c r="H33" i="34"/>
  <c r="I80" i="32"/>
  <c r="I63" i="32"/>
  <c r="I126" i="14"/>
  <c r="I66" i="14"/>
  <c r="I47" i="14"/>
  <c r="I85" i="14"/>
  <c r="I104" i="14" s="1"/>
  <c r="J9" i="14"/>
  <c r="I28" i="14"/>
  <c r="J54" i="34"/>
  <c r="I19" i="27"/>
  <c r="J19" i="25"/>
  <c r="I82" i="32"/>
  <c r="I65" i="32"/>
  <c r="I128" i="14"/>
  <c r="G81" i="16"/>
  <c r="G27" i="34"/>
  <c r="G79" i="34"/>
  <c r="G96" i="34"/>
  <c r="C8" i="32"/>
  <c r="C70" i="32"/>
  <c r="F81" i="32"/>
  <c r="F127" i="14"/>
  <c r="F64" i="32"/>
  <c r="H85" i="16"/>
  <c r="H83" i="34"/>
  <c r="H100" i="34"/>
  <c r="H31" i="34"/>
  <c r="J31" i="27"/>
  <c r="J43" i="25"/>
  <c r="K31" i="25"/>
  <c r="J50" i="14"/>
  <c r="J31" i="14"/>
  <c r="J69" i="14"/>
  <c r="K12" i="14"/>
  <c r="J88" i="14"/>
  <c r="J107" i="14" s="1"/>
  <c r="E103" i="14"/>
  <c r="D66" i="27"/>
  <c r="D68" i="27" s="1"/>
  <c r="D69" i="27" s="1"/>
  <c r="D68" i="25"/>
  <c r="D69" i="25" s="1"/>
  <c r="C79" i="16"/>
  <c r="C90" i="16" s="1"/>
  <c r="C77" i="34"/>
  <c r="C25" i="34"/>
  <c r="C94" i="34"/>
  <c r="C133" i="14"/>
  <c r="H55" i="27"/>
  <c r="H67" i="25"/>
  <c r="H67" i="27" s="1"/>
  <c r="I43" i="27"/>
  <c r="I55" i="25"/>
  <c r="H79" i="32"/>
  <c r="H62" i="32"/>
  <c r="H125" i="14"/>
  <c r="G51" i="14"/>
  <c r="H13" i="14"/>
  <c r="G32" i="14"/>
  <c r="G89" i="14"/>
  <c r="G108" i="14" s="1"/>
  <c r="G70" i="14"/>
  <c r="E15" i="36"/>
  <c r="F46" i="14"/>
  <c r="G8" i="14"/>
  <c r="F84" i="14"/>
  <c r="F65" i="14"/>
  <c r="F27" i="14"/>
  <c r="F19" i="14"/>
  <c r="J71" i="34"/>
  <c r="B66" i="27"/>
  <c r="B68" i="27" s="1"/>
  <c r="B69" i="27" s="1"/>
  <c r="B71" i="27" s="1"/>
  <c r="D78" i="27" s="1"/>
  <c r="B68" i="25"/>
  <c r="B69" i="25" s="1"/>
  <c r="B71" i="25" s="1"/>
  <c r="F18" i="14"/>
  <c r="E56" i="14"/>
  <c r="E57" i="14" s="1"/>
  <c r="E37" i="14"/>
  <c r="E75" i="14"/>
  <c r="E76" i="14" s="1"/>
  <c r="E94" i="14"/>
  <c r="E113" i="14" s="1"/>
  <c r="I20" i="31"/>
  <c r="I67" i="32"/>
  <c r="I84" i="32"/>
  <c r="I130" i="14"/>
  <c r="D7" i="34"/>
  <c r="H85" i="32"/>
  <c r="H68" i="32"/>
  <c r="H131" i="14"/>
  <c r="H26" i="14"/>
  <c r="I7" i="14"/>
  <c r="H83" i="14"/>
  <c r="H64" i="14"/>
  <c r="H45" i="14"/>
  <c r="I87" i="14"/>
  <c r="I106" i="14" s="1"/>
  <c r="I30" i="14"/>
  <c r="I68" i="14"/>
  <c r="I49" i="14"/>
  <c r="J11" i="14"/>
  <c r="C89" i="16"/>
  <c r="C87" i="34"/>
  <c r="C18" i="34" s="1"/>
  <c r="C35" i="34"/>
  <c r="C104" i="34"/>
  <c r="L36" i="32"/>
  <c r="F66" i="27"/>
  <c r="F68" i="27" s="1"/>
  <c r="F69" i="27" s="1"/>
  <c r="F68" i="25"/>
  <c r="F69" i="25" s="1"/>
  <c r="I53" i="14"/>
  <c r="I91" i="14"/>
  <c r="I110" i="14" s="1"/>
  <c r="I34" i="14"/>
  <c r="I72" i="14"/>
  <c r="J15" i="14"/>
  <c r="F67" i="31"/>
  <c r="G62" i="31"/>
  <c r="F68" i="31"/>
  <c r="F10" i="36" s="1"/>
  <c r="E38" i="14"/>
  <c r="E84" i="16"/>
  <c r="E99" i="34"/>
  <c r="E30" i="34"/>
  <c r="E82" i="34"/>
  <c r="E13" i="34" s="1"/>
  <c r="C66" i="27"/>
  <c r="C68" i="27" s="1"/>
  <c r="C69" i="27" s="1"/>
  <c r="C68" i="25"/>
  <c r="C69" i="25" s="1"/>
  <c r="J71" i="14"/>
  <c r="K14" i="14"/>
  <c r="J90" i="14"/>
  <c r="J109" i="14" s="1"/>
  <c r="J33" i="14"/>
  <c r="J52" i="14"/>
  <c r="H83" i="16"/>
  <c r="H98" i="34"/>
  <c r="H29" i="34"/>
  <c r="H81" i="34"/>
  <c r="H12" i="34" s="1"/>
  <c r="G16" i="34"/>
  <c r="F10" i="34"/>
  <c r="G102" i="14"/>
  <c r="G86" i="16"/>
  <c r="G101" i="34"/>
  <c r="G84" i="34"/>
  <c r="G32" i="34"/>
  <c r="C10" i="27"/>
  <c r="C41" i="27" s="1"/>
  <c r="C10" i="25"/>
  <c r="C41" i="25" s="1"/>
  <c r="C42" i="25" s="1"/>
  <c r="E7" i="32"/>
  <c r="H83" i="32"/>
  <c r="H66" i="32"/>
  <c r="H129" i="14"/>
  <c r="K7" i="36"/>
  <c r="L201" i="31"/>
  <c r="L7" i="36" s="1"/>
  <c r="L53" i="32"/>
  <c r="E69" i="31"/>
  <c r="E11" i="36" s="1"/>
  <c r="E96" i="32"/>
  <c r="E11" i="32" s="1"/>
  <c r="E92" i="32"/>
  <c r="E100" i="32"/>
  <c r="E15" i="32" s="1"/>
  <c r="E102" i="32"/>
  <c r="E17" i="32" s="1"/>
  <c r="E95" i="32"/>
  <c r="E10" i="32" s="1"/>
  <c r="E103" i="32"/>
  <c r="E97" i="32"/>
  <c r="E12" i="32" s="1"/>
  <c r="E93" i="32"/>
  <c r="E94" i="32"/>
  <c r="E9" i="32" s="1"/>
  <c r="E99" i="32"/>
  <c r="E14" i="32" s="1"/>
  <c r="E101" i="32"/>
  <c r="E16" i="32" s="1"/>
  <c r="E98" i="32"/>
  <c r="E13" i="32" s="1"/>
  <c r="G82" i="16"/>
  <c r="G97" i="34"/>
  <c r="G28" i="34"/>
  <c r="G80" i="34"/>
  <c r="F15" i="34"/>
  <c r="G88" i="16"/>
  <c r="G103" i="34"/>
  <c r="G34" i="34"/>
  <c r="G86" i="34"/>
  <c r="D104" i="32"/>
  <c r="D9" i="27"/>
  <c r="D29" i="27" s="1"/>
  <c r="D9" i="25"/>
  <c r="D29" i="25" s="1"/>
  <c r="D30" i="25" s="1"/>
  <c r="D69" i="32"/>
  <c r="D86" i="32"/>
  <c r="D132" i="14"/>
  <c r="E78" i="16"/>
  <c r="E93" i="34"/>
  <c r="E76" i="34"/>
  <c r="E24" i="34"/>
  <c r="J92" i="14"/>
  <c r="J111" i="14" s="1"/>
  <c r="J35" i="14"/>
  <c r="K16" i="14"/>
  <c r="J73" i="14"/>
  <c r="J54" i="14"/>
  <c r="G66" i="25"/>
  <c r="G18" i="25"/>
  <c r="E8" i="27" l="1"/>
  <c r="E17" i="27" s="1"/>
  <c r="E8" i="25"/>
  <c r="E17" i="25" s="1"/>
  <c r="H18" i="25"/>
  <c r="H66" i="25"/>
  <c r="J48" i="14"/>
  <c r="K10" i="14"/>
  <c r="J29" i="14"/>
  <c r="J86" i="14"/>
  <c r="J105" i="14" s="1"/>
  <c r="J67" i="14"/>
  <c r="J36" i="14"/>
  <c r="K17" i="14"/>
  <c r="J93" i="14"/>
  <c r="J112" i="14" s="1"/>
  <c r="J74" i="14"/>
  <c r="J55" i="14"/>
  <c r="G18" i="27"/>
  <c r="G20" i="27" s="1"/>
  <c r="G21" i="27" s="1"/>
  <c r="G20" i="25"/>
  <c r="G21" i="25" s="1"/>
  <c r="L16" i="14"/>
  <c r="K54" i="14"/>
  <c r="K73" i="14"/>
  <c r="K35" i="14"/>
  <c r="K92" i="14"/>
  <c r="K111" i="14" s="1"/>
  <c r="D89" i="16"/>
  <c r="D35" i="34"/>
  <c r="D87" i="34"/>
  <c r="D104" i="34"/>
  <c r="C44" i="25"/>
  <c r="C45" i="25" s="1"/>
  <c r="C42" i="27"/>
  <c r="C44" i="27" s="1"/>
  <c r="C45" i="27" s="1"/>
  <c r="H102" i="14"/>
  <c r="I85" i="16"/>
  <c r="I83" i="34"/>
  <c r="I100" i="34"/>
  <c r="I31" i="34"/>
  <c r="C30" i="27"/>
  <c r="C32" i="27" s="1"/>
  <c r="C33" i="27" s="1"/>
  <c r="C32" i="25"/>
  <c r="C33" i="25" s="1"/>
  <c r="H32" i="14"/>
  <c r="I13" i="14"/>
  <c r="H51" i="14"/>
  <c r="H89" i="14"/>
  <c r="H108" i="14" s="1"/>
  <c r="H70" i="14"/>
  <c r="B54" i="27"/>
  <c r="B56" i="27" s="1"/>
  <c r="B57" i="27" s="1"/>
  <c r="B59" i="27" s="1"/>
  <c r="D77" i="27" s="1"/>
  <c r="B56" i="25"/>
  <c r="B57" i="25" s="1"/>
  <c r="B59" i="25" s="1"/>
  <c r="J67" i="32"/>
  <c r="J84" i="32"/>
  <c r="J130" i="14"/>
  <c r="D18" i="32"/>
  <c r="F69" i="31"/>
  <c r="F11" i="36" s="1"/>
  <c r="F15" i="36" s="1"/>
  <c r="F95" i="32"/>
  <c r="F10" i="32" s="1"/>
  <c r="F103" i="32"/>
  <c r="F92" i="32"/>
  <c r="F96" i="32"/>
  <c r="F11" i="32" s="1"/>
  <c r="F97" i="32"/>
  <c r="F12" i="32" s="1"/>
  <c r="F98" i="32"/>
  <c r="F99" i="32"/>
  <c r="F14" i="32" s="1"/>
  <c r="F100" i="32"/>
  <c r="F15" i="32" s="1"/>
  <c r="F102" i="32"/>
  <c r="F17" i="32" s="1"/>
  <c r="F94" i="32"/>
  <c r="F9" i="32" s="1"/>
  <c r="F93" i="32"/>
  <c r="F101" i="32"/>
  <c r="F16" i="32" s="1"/>
  <c r="I45" i="14"/>
  <c r="I26" i="14"/>
  <c r="I64" i="14"/>
  <c r="J7" i="14"/>
  <c r="I83" i="14"/>
  <c r="F75" i="14"/>
  <c r="F56" i="14"/>
  <c r="F94" i="14"/>
  <c r="F113" i="14" s="1"/>
  <c r="F37" i="14"/>
  <c r="F38" i="14" s="1"/>
  <c r="G18" i="14"/>
  <c r="G19" i="14" s="1"/>
  <c r="C11" i="27"/>
  <c r="C53" i="27"/>
  <c r="C138" i="14"/>
  <c r="C11" i="25"/>
  <c r="C53" i="25" s="1"/>
  <c r="C54" i="25" s="1"/>
  <c r="H14" i="34"/>
  <c r="J28" i="14"/>
  <c r="K9" i="14"/>
  <c r="J85" i="14"/>
  <c r="J104" i="14" s="1"/>
  <c r="J47" i="14"/>
  <c r="J66" i="14"/>
  <c r="D79" i="16"/>
  <c r="D90" i="16" s="1"/>
  <c r="D94" i="34"/>
  <c r="D25" i="34"/>
  <c r="D36" i="34" s="1"/>
  <c r="D77" i="34"/>
  <c r="D133" i="14"/>
  <c r="G58" i="32"/>
  <c r="G75" i="32"/>
  <c r="G121" i="14"/>
  <c r="K11" i="14"/>
  <c r="J49" i="14"/>
  <c r="J87" i="14"/>
  <c r="J106" i="14" s="1"/>
  <c r="J68" i="14"/>
  <c r="J30" i="14"/>
  <c r="D30" i="27"/>
  <c r="D32" i="27" s="1"/>
  <c r="D33" i="27" s="1"/>
  <c r="D32" i="25"/>
  <c r="D33" i="25" s="1"/>
  <c r="E104" i="32"/>
  <c r="H86" i="16"/>
  <c r="H84" i="34"/>
  <c r="H15" i="34" s="1"/>
  <c r="H101" i="34"/>
  <c r="H32" i="34"/>
  <c r="J34" i="14"/>
  <c r="K15" i="14"/>
  <c r="J91" i="14"/>
  <c r="J110" i="14" s="1"/>
  <c r="J53" i="14"/>
  <c r="J72" i="14"/>
  <c r="F76" i="14"/>
  <c r="C105" i="34"/>
  <c r="E95" i="14"/>
  <c r="J19" i="27"/>
  <c r="K19" i="25"/>
  <c r="I60" i="32"/>
  <c r="I77" i="32"/>
  <c r="I123" i="14"/>
  <c r="H81" i="16"/>
  <c r="H96" i="34"/>
  <c r="H79" i="34"/>
  <c r="H10" i="34" s="1"/>
  <c r="H27" i="34"/>
  <c r="D87" i="32"/>
  <c r="K71" i="34"/>
  <c r="K54" i="34"/>
  <c r="L136" i="31"/>
  <c r="L138" i="31" s="1"/>
  <c r="L12" i="36" s="1"/>
  <c r="K138" i="31"/>
  <c r="K12" i="36" s="1"/>
  <c r="J65" i="32"/>
  <c r="J82" i="32"/>
  <c r="J128" i="14"/>
  <c r="H88" i="16"/>
  <c r="H103" i="34"/>
  <c r="H34" i="34"/>
  <c r="H86" i="34"/>
  <c r="H17" i="34" s="1"/>
  <c r="F103" i="14"/>
  <c r="F95" i="14"/>
  <c r="C36" i="34"/>
  <c r="E76" i="32"/>
  <c r="E59" i="32"/>
  <c r="E122" i="14"/>
  <c r="E114" i="14"/>
  <c r="F13" i="32"/>
  <c r="D8" i="32"/>
  <c r="D70" i="32"/>
  <c r="G68" i="25"/>
  <c r="G69" i="25" s="1"/>
  <c r="G66" i="27"/>
  <c r="G68" i="27" s="1"/>
  <c r="G69" i="27" s="1"/>
  <c r="H62" i="31"/>
  <c r="G67" i="31"/>
  <c r="G68" i="31"/>
  <c r="G10" i="36" s="1"/>
  <c r="F7" i="27"/>
  <c r="F7" i="25"/>
  <c r="E7" i="34"/>
  <c r="G11" i="34"/>
  <c r="K33" i="14"/>
  <c r="L14" i="14"/>
  <c r="K90" i="14"/>
  <c r="K109" i="14" s="1"/>
  <c r="K52" i="14"/>
  <c r="K71" i="14"/>
  <c r="I62" i="32"/>
  <c r="I79" i="32"/>
  <c r="I125" i="14"/>
  <c r="J20" i="31"/>
  <c r="G65" i="14"/>
  <c r="G27" i="14"/>
  <c r="H8" i="14"/>
  <c r="G84" i="14"/>
  <c r="G46" i="14"/>
  <c r="G64" i="32"/>
  <c r="G81" i="32"/>
  <c r="G127" i="14"/>
  <c r="C8" i="34"/>
  <c r="C19" i="34" s="1"/>
  <c r="C6" i="36" s="1"/>
  <c r="C88" i="34"/>
  <c r="J80" i="32"/>
  <c r="J126" i="14"/>
  <c r="J63" i="32"/>
  <c r="K31" i="27"/>
  <c r="L31" i="25"/>
  <c r="K43" i="25"/>
  <c r="F84" i="16"/>
  <c r="F30" i="34"/>
  <c r="F82" i="34"/>
  <c r="F99" i="34"/>
  <c r="G10" i="34"/>
  <c r="I61" i="32"/>
  <c r="I78" i="32"/>
  <c r="I124" i="14"/>
  <c r="L52" i="34"/>
  <c r="L43" i="34"/>
  <c r="L48" i="34"/>
  <c r="L53" i="34"/>
  <c r="L61" i="34"/>
  <c r="L67" i="34"/>
  <c r="L45" i="34"/>
  <c r="L50" i="34"/>
  <c r="L63" i="34"/>
  <c r="L51" i="34"/>
  <c r="L42" i="34"/>
  <c r="L44" i="34"/>
  <c r="L46" i="34"/>
  <c r="L70" i="34"/>
  <c r="L60" i="34"/>
  <c r="L69" i="34"/>
  <c r="L65" i="34"/>
  <c r="L49" i="34"/>
  <c r="L64" i="34"/>
  <c r="L66" i="34"/>
  <c r="L62" i="34"/>
  <c r="L47" i="34"/>
  <c r="L68" i="34"/>
  <c r="L59" i="34"/>
  <c r="H80" i="16"/>
  <c r="H78" i="34"/>
  <c r="H26" i="34"/>
  <c r="H95" i="34"/>
  <c r="F7" i="32"/>
  <c r="I87" i="16"/>
  <c r="I85" i="34"/>
  <c r="I16" i="34" s="1"/>
  <c r="I33" i="34"/>
  <c r="I102" i="34"/>
  <c r="H82" i="16"/>
  <c r="H80" i="34"/>
  <c r="H28" i="34"/>
  <c r="H97" i="34"/>
  <c r="D10" i="27"/>
  <c r="D41" i="27" s="1"/>
  <c r="D10" i="25"/>
  <c r="D41" i="25" s="1"/>
  <c r="D42" i="25" s="1"/>
  <c r="G17" i="34"/>
  <c r="G15" i="34"/>
  <c r="I83" i="32"/>
  <c r="I66" i="32"/>
  <c r="I129" i="14"/>
  <c r="E86" i="32"/>
  <c r="E69" i="32"/>
  <c r="E132" i="14"/>
  <c r="F57" i="14"/>
  <c r="I55" i="27"/>
  <c r="I67" i="25"/>
  <c r="I67" i="27" s="1"/>
  <c r="K31" i="14"/>
  <c r="L12" i="14"/>
  <c r="K50" i="14"/>
  <c r="K88" i="14"/>
  <c r="K107" i="14" s="1"/>
  <c r="K69" i="14"/>
  <c r="J55" i="25"/>
  <c r="J43" i="27"/>
  <c r="I83" i="16"/>
  <c r="I81" i="34"/>
  <c r="I98" i="34"/>
  <c r="I29" i="34"/>
  <c r="I68" i="32"/>
  <c r="I131" i="14"/>
  <c r="I85" i="32"/>
  <c r="C8" i="36"/>
  <c r="C16" i="36" s="1"/>
  <c r="C19" i="36" s="1"/>
  <c r="F78" i="16"/>
  <c r="F93" i="34"/>
  <c r="F76" i="34"/>
  <c r="F24" i="34"/>
  <c r="G7" i="27" l="1"/>
  <c r="G7" i="25"/>
  <c r="D8" i="34"/>
  <c r="D88" i="34"/>
  <c r="I18" i="25"/>
  <c r="I66" i="25"/>
  <c r="K55" i="14"/>
  <c r="K74" i="14"/>
  <c r="K36" i="14"/>
  <c r="L17" i="14"/>
  <c r="K93" i="14"/>
  <c r="K112" i="14" s="1"/>
  <c r="G69" i="31"/>
  <c r="G11" i="36" s="1"/>
  <c r="G15" i="36" s="1"/>
  <c r="G92" i="32"/>
  <c r="G100" i="32"/>
  <c r="G15" i="32" s="1"/>
  <c r="G96" i="32"/>
  <c r="G11" i="32" s="1"/>
  <c r="G97" i="32"/>
  <c r="G12" i="32" s="1"/>
  <c r="G99" i="32"/>
  <c r="G14" i="32" s="1"/>
  <c r="G94" i="32"/>
  <c r="G9" i="32" s="1"/>
  <c r="G95" i="32"/>
  <c r="G10" i="32" s="1"/>
  <c r="G103" i="32"/>
  <c r="G102" i="32"/>
  <c r="G17" i="32" s="1"/>
  <c r="G101" i="32"/>
  <c r="G16" i="32" s="1"/>
  <c r="G93" i="32"/>
  <c r="G98" i="32"/>
  <c r="G13" i="32" s="1"/>
  <c r="E10" i="27"/>
  <c r="E41" i="27" s="1"/>
  <c r="E10" i="25"/>
  <c r="E41" i="25" s="1"/>
  <c r="E42" i="25" s="1"/>
  <c r="J66" i="32"/>
  <c r="J83" i="32"/>
  <c r="J129" i="14"/>
  <c r="G78" i="16"/>
  <c r="G93" i="34"/>
  <c r="G24" i="34"/>
  <c r="G76" i="34"/>
  <c r="J87" i="16"/>
  <c r="J33" i="34"/>
  <c r="J85" i="34"/>
  <c r="J102" i="34"/>
  <c r="I14" i="34"/>
  <c r="D18" i="34"/>
  <c r="K19" i="27"/>
  <c r="L19" i="25"/>
  <c r="L19" i="27" s="1"/>
  <c r="F7" i="34"/>
  <c r="I12" i="34"/>
  <c r="L54" i="34"/>
  <c r="I82" i="16"/>
  <c r="I80" i="34"/>
  <c r="I97" i="34"/>
  <c r="I28" i="34"/>
  <c r="D105" i="34"/>
  <c r="E8" i="32"/>
  <c r="E70" i="32"/>
  <c r="H75" i="32"/>
  <c r="H58" i="32"/>
  <c r="H121" i="14"/>
  <c r="J78" i="32"/>
  <c r="J61" i="32"/>
  <c r="J124" i="14"/>
  <c r="H20" i="25"/>
  <c r="H21" i="25" s="1"/>
  <c r="H18" i="27"/>
  <c r="H20" i="27" s="1"/>
  <c r="H21" i="27" s="1"/>
  <c r="G37" i="14"/>
  <c r="G38" i="14" s="1"/>
  <c r="H18" i="14"/>
  <c r="G94" i="14"/>
  <c r="G113" i="14" s="1"/>
  <c r="G56" i="14"/>
  <c r="G75" i="14"/>
  <c r="L50" i="14"/>
  <c r="L88" i="14"/>
  <c r="L107" i="14" s="1"/>
  <c r="L69" i="14"/>
  <c r="L31" i="14"/>
  <c r="H9" i="34"/>
  <c r="C56" i="25"/>
  <c r="C57" i="25" s="1"/>
  <c r="C54" i="27"/>
  <c r="C56" i="27" s="1"/>
  <c r="C57" i="27" s="1"/>
  <c r="C20" i="36"/>
  <c r="C22" i="36" s="1"/>
  <c r="C26" i="36" s="1"/>
  <c r="H46" i="14"/>
  <c r="I8" i="14"/>
  <c r="H65" i="14"/>
  <c r="H84" i="14"/>
  <c r="H27" i="14"/>
  <c r="E87" i="32"/>
  <c r="J85" i="16"/>
  <c r="J31" i="34"/>
  <c r="J100" i="34"/>
  <c r="J83" i="34"/>
  <c r="F8" i="27"/>
  <c r="F17" i="27" s="1"/>
  <c r="F8" i="25"/>
  <c r="F17" i="25" s="1"/>
  <c r="G7" i="32"/>
  <c r="F104" i="32"/>
  <c r="K84" i="32"/>
  <c r="K67" i="32"/>
  <c r="K130" i="14"/>
  <c r="K20" i="31"/>
  <c r="H64" i="32"/>
  <c r="H81" i="32"/>
  <c r="H127" i="14"/>
  <c r="L73" i="14"/>
  <c r="L54" i="14"/>
  <c r="L35" i="14"/>
  <c r="L92" i="14"/>
  <c r="L111" i="14" s="1"/>
  <c r="I86" i="16"/>
  <c r="I32" i="34"/>
  <c r="I101" i="34"/>
  <c r="I84" i="34"/>
  <c r="J83" i="16"/>
  <c r="J29" i="34"/>
  <c r="J98" i="34"/>
  <c r="J81" i="34"/>
  <c r="G57" i="14"/>
  <c r="I62" i="31"/>
  <c r="H67" i="31"/>
  <c r="H68" i="31"/>
  <c r="H10" i="36" s="1"/>
  <c r="E79" i="16"/>
  <c r="E25" i="34"/>
  <c r="E94" i="34"/>
  <c r="E105" i="34" s="1"/>
  <c r="E77" i="34"/>
  <c r="E133" i="14"/>
  <c r="E9" i="25"/>
  <c r="E29" i="25" s="1"/>
  <c r="E30" i="25" s="1"/>
  <c r="E9" i="27"/>
  <c r="E29" i="27" s="1"/>
  <c r="K53" i="14"/>
  <c r="L15" i="14"/>
  <c r="K72" i="14"/>
  <c r="K34" i="14"/>
  <c r="K91" i="14"/>
  <c r="K110" i="14" s="1"/>
  <c r="F69" i="32"/>
  <c r="F18" i="32" s="1"/>
  <c r="F132" i="14"/>
  <c r="F86" i="32"/>
  <c r="I51" i="14"/>
  <c r="J13" i="14"/>
  <c r="I70" i="14"/>
  <c r="I89" i="14"/>
  <c r="I108" i="14" s="1"/>
  <c r="I32" i="14"/>
  <c r="F13" i="34"/>
  <c r="G103" i="14"/>
  <c r="G95" i="14"/>
  <c r="J55" i="27"/>
  <c r="J67" i="25"/>
  <c r="J67" i="27" s="1"/>
  <c r="H11" i="34"/>
  <c r="L71" i="34"/>
  <c r="I80" i="16"/>
  <c r="I95" i="34"/>
  <c r="I78" i="34"/>
  <c r="I9" i="34" s="1"/>
  <c r="I26" i="34"/>
  <c r="I102" i="14"/>
  <c r="K67" i="14"/>
  <c r="K29" i="14"/>
  <c r="L10" i="14"/>
  <c r="K86" i="14"/>
  <c r="K105" i="14" s="1"/>
  <c r="K48" i="14"/>
  <c r="H66" i="27"/>
  <c r="H68" i="27" s="1"/>
  <c r="H69" i="27" s="1"/>
  <c r="H68" i="25"/>
  <c r="H69" i="25" s="1"/>
  <c r="I88" i="16"/>
  <c r="I34" i="34"/>
  <c r="I86" i="34"/>
  <c r="I103" i="34"/>
  <c r="K43" i="27"/>
  <c r="K55" i="25"/>
  <c r="J79" i="32"/>
  <c r="J62" i="32"/>
  <c r="J125" i="14"/>
  <c r="J77" i="32"/>
  <c r="J123" i="14"/>
  <c r="J60" i="32"/>
  <c r="J64" i="14"/>
  <c r="J26" i="14"/>
  <c r="K7" i="14"/>
  <c r="J83" i="14"/>
  <c r="J45" i="14"/>
  <c r="L52" i="14"/>
  <c r="L33" i="14"/>
  <c r="L71" i="14"/>
  <c r="L90" i="14"/>
  <c r="L109" i="14" s="1"/>
  <c r="K68" i="14"/>
  <c r="K49" i="14"/>
  <c r="K87" i="14"/>
  <c r="K106" i="14" s="1"/>
  <c r="K30" i="14"/>
  <c r="L11" i="14"/>
  <c r="D42" i="27"/>
  <c r="D44" i="27" s="1"/>
  <c r="D45" i="27" s="1"/>
  <c r="D44" i="25"/>
  <c r="D45" i="25" s="1"/>
  <c r="E89" i="16"/>
  <c r="E87" i="34"/>
  <c r="E104" i="34"/>
  <c r="E35" i="34"/>
  <c r="I81" i="16"/>
  <c r="I27" i="34"/>
  <c r="I79" i="34"/>
  <c r="I10" i="34" s="1"/>
  <c r="I96" i="34"/>
  <c r="G84" i="16"/>
  <c r="G82" i="34"/>
  <c r="G13" i="34" s="1"/>
  <c r="G99" i="34"/>
  <c r="G30" i="34"/>
  <c r="G76" i="14"/>
  <c r="F9" i="27"/>
  <c r="F29" i="27" s="1"/>
  <c r="F9" i="25"/>
  <c r="F29" i="25" s="1"/>
  <c r="F30" i="25" s="1"/>
  <c r="K63" i="32"/>
  <c r="K80" i="32"/>
  <c r="K126" i="14"/>
  <c r="E18" i="32"/>
  <c r="L31" i="27"/>
  <c r="L43" i="25"/>
  <c r="K82" i="32"/>
  <c r="K65" i="32"/>
  <c r="K128" i="14"/>
  <c r="D19" i="32"/>
  <c r="D5" i="36" s="1"/>
  <c r="F59" i="32"/>
  <c r="F76" i="32"/>
  <c r="F87" i="32" s="1"/>
  <c r="F122" i="14"/>
  <c r="F114" i="14"/>
  <c r="D11" i="27"/>
  <c r="D53" i="27"/>
  <c r="D138" i="14"/>
  <c r="D11" i="25"/>
  <c r="D53" i="25" s="1"/>
  <c r="D54" i="25" s="1"/>
  <c r="K47" i="14"/>
  <c r="L9" i="14"/>
  <c r="K85" i="14"/>
  <c r="K104" i="14" s="1"/>
  <c r="K28" i="14"/>
  <c r="K66" i="14"/>
  <c r="J85" i="32"/>
  <c r="J68" i="32"/>
  <c r="J131" i="14"/>
  <c r="L43" i="27" l="1"/>
  <c r="L55" i="25"/>
  <c r="K55" i="27"/>
  <c r="K67" i="25"/>
  <c r="K67" i="27" s="1"/>
  <c r="E53" i="27"/>
  <c r="E138" i="14"/>
  <c r="E11" i="27"/>
  <c r="E11" i="25"/>
  <c r="E53" i="25" s="1"/>
  <c r="E54" i="25" s="1"/>
  <c r="H84" i="16"/>
  <c r="H30" i="34"/>
  <c r="H99" i="34"/>
  <c r="H82" i="34"/>
  <c r="H13" i="34" s="1"/>
  <c r="I65" i="14"/>
  <c r="I27" i="14"/>
  <c r="I84" i="14"/>
  <c r="I46" i="14"/>
  <c r="J8" i="14"/>
  <c r="G86" i="32"/>
  <c r="G69" i="32"/>
  <c r="G18" i="32" s="1"/>
  <c r="G132" i="14"/>
  <c r="E42" i="27"/>
  <c r="E44" i="27" s="1"/>
  <c r="E45" i="27" s="1"/>
  <c r="E44" i="25"/>
  <c r="E45" i="25" s="1"/>
  <c r="K68" i="32"/>
  <c r="K131" i="14"/>
  <c r="K85" i="32"/>
  <c r="L66" i="14"/>
  <c r="L28" i="14"/>
  <c r="L85" i="14"/>
  <c r="L104" i="14" s="1"/>
  <c r="L47" i="14"/>
  <c r="F79" i="16"/>
  <c r="F25" i="34"/>
  <c r="F94" i="34"/>
  <c r="F77" i="34"/>
  <c r="F133" i="14"/>
  <c r="K61" i="32"/>
  <c r="K78" i="32"/>
  <c r="K124" i="14"/>
  <c r="I81" i="32"/>
  <c r="I64" i="32"/>
  <c r="I127" i="14"/>
  <c r="K83" i="32"/>
  <c r="K66" i="32"/>
  <c r="K129" i="14"/>
  <c r="E8" i="34"/>
  <c r="E19" i="34" s="1"/>
  <c r="E6" i="36" s="1"/>
  <c r="E88" i="34"/>
  <c r="J12" i="34"/>
  <c r="H57" i="14"/>
  <c r="H56" i="14"/>
  <c r="H94" i="14"/>
  <c r="H113" i="14" s="1"/>
  <c r="I18" i="14"/>
  <c r="H37" i="14"/>
  <c r="H38" i="14" s="1"/>
  <c r="H75" i="14"/>
  <c r="H76" i="14" s="1"/>
  <c r="E19" i="32"/>
  <c r="E5" i="36" s="1"/>
  <c r="G7" i="34"/>
  <c r="L36" i="14"/>
  <c r="L74" i="14"/>
  <c r="L93" i="14"/>
  <c r="L112" i="14" s="1"/>
  <c r="L55" i="14"/>
  <c r="I66" i="27"/>
  <c r="I68" i="27" s="1"/>
  <c r="I69" i="27" s="1"/>
  <c r="I68" i="25"/>
  <c r="I69" i="25" s="1"/>
  <c r="F10" i="27"/>
  <c r="F41" i="27" s="1"/>
  <c r="F10" i="25"/>
  <c r="F41" i="25" s="1"/>
  <c r="F42" i="25" s="1"/>
  <c r="L86" i="14"/>
  <c r="L105" i="14" s="1"/>
  <c r="L29" i="14"/>
  <c r="L67" i="14"/>
  <c r="L48" i="14"/>
  <c r="G9" i="27"/>
  <c r="G29" i="27" s="1"/>
  <c r="G9" i="25"/>
  <c r="G29" i="25" s="1"/>
  <c r="G30" i="25" s="1"/>
  <c r="D54" i="27"/>
  <c r="D56" i="27" s="1"/>
  <c r="D57" i="27" s="1"/>
  <c r="D56" i="25"/>
  <c r="D57" i="25" s="1"/>
  <c r="I17" i="34"/>
  <c r="G59" i="32"/>
  <c r="G76" i="32"/>
  <c r="G87" i="32" s="1"/>
  <c r="G122" i="14"/>
  <c r="G114" i="14"/>
  <c r="J70" i="14"/>
  <c r="J32" i="14"/>
  <c r="J51" i="14"/>
  <c r="J89" i="14"/>
  <c r="J108" i="14" s="1"/>
  <c r="K13" i="14"/>
  <c r="E36" i="34"/>
  <c r="H78" i="16"/>
  <c r="H24" i="34"/>
  <c r="H93" i="34"/>
  <c r="H76" i="34"/>
  <c r="I18" i="27"/>
  <c r="I20" i="27" s="1"/>
  <c r="I21" i="27" s="1"/>
  <c r="I20" i="25"/>
  <c r="I21" i="25" s="1"/>
  <c r="J88" i="16"/>
  <c r="J34" i="34"/>
  <c r="J103" i="34"/>
  <c r="J86" i="34"/>
  <c r="J17" i="34" s="1"/>
  <c r="F8" i="32"/>
  <c r="F19" i="32" s="1"/>
  <c r="F5" i="36" s="1"/>
  <c r="F70" i="32"/>
  <c r="D8" i="36"/>
  <c r="D16" i="36" s="1"/>
  <c r="D19" i="36" s="1"/>
  <c r="K83" i="16"/>
  <c r="K29" i="34"/>
  <c r="K81" i="34"/>
  <c r="K98" i="34"/>
  <c r="K62" i="32"/>
  <c r="K79" i="32"/>
  <c r="K125" i="14"/>
  <c r="J82" i="16"/>
  <c r="J80" i="34"/>
  <c r="J11" i="34" s="1"/>
  <c r="J97" i="34"/>
  <c r="J28" i="34"/>
  <c r="L72" i="14"/>
  <c r="L34" i="14"/>
  <c r="L53" i="14"/>
  <c r="L91" i="14"/>
  <c r="L110" i="14" s="1"/>
  <c r="E90" i="16"/>
  <c r="L67" i="32"/>
  <c r="L84" i="32"/>
  <c r="L130" i="14"/>
  <c r="L20" i="31"/>
  <c r="H19" i="14"/>
  <c r="L80" i="32"/>
  <c r="L63" i="32"/>
  <c r="L126" i="14"/>
  <c r="J16" i="34"/>
  <c r="D19" i="34"/>
  <c r="D6" i="36" s="1"/>
  <c r="K77" i="32"/>
  <c r="K60" i="32"/>
  <c r="K123" i="14"/>
  <c r="J18" i="25"/>
  <c r="J66" i="25"/>
  <c r="G8" i="27"/>
  <c r="G17" i="27" s="1"/>
  <c r="G8" i="25"/>
  <c r="G17" i="25" s="1"/>
  <c r="J86" i="16"/>
  <c r="J32" i="34"/>
  <c r="J101" i="34"/>
  <c r="J84" i="34"/>
  <c r="G104" i="32"/>
  <c r="K85" i="16"/>
  <c r="K31" i="34"/>
  <c r="K83" i="34"/>
  <c r="K14" i="34" s="1"/>
  <c r="K100" i="34"/>
  <c r="J102" i="14"/>
  <c r="I58" i="32"/>
  <c r="I75" i="32"/>
  <c r="I121" i="14"/>
  <c r="E18" i="34"/>
  <c r="K45" i="14"/>
  <c r="L7" i="14"/>
  <c r="K26" i="14"/>
  <c r="K64" i="14"/>
  <c r="K83" i="14"/>
  <c r="H69" i="31"/>
  <c r="H11" i="36" s="1"/>
  <c r="H15" i="36" s="1"/>
  <c r="H97" i="32"/>
  <c r="H12" i="32" s="1"/>
  <c r="H95" i="32"/>
  <c r="H10" i="32" s="1"/>
  <c r="H103" i="32"/>
  <c r="H96" i="32"/>
  <c r="H11" i="32" s="1"/>
  <c r="H92" i="32"/>
  <c r="H98" i="32"/>
  <c r="H13" i="32" s="1"/>
  <c r="H99" i="32"/>
  <c r="H14" i="32" s="1"/>
  <c r="H102" i="32"/>
  <c r="H17" i="32" s="1"/>
  <c r="H100" i="32"/>
  <c r="H15" i="32" s="1"/>
  <c r="H101" i="32"/>
  <c r="H16" i="32" s="1"/>
  <c r="H94" i="32"/>
  <c r="H9" i="32" s="1"/>
  <c r="H93" i="32"/>
  <c r="I15" i="34"/>
  <c r="K87" i="16"/>
  <c r="K85" i="34"/>
  <c r="K16" i="34" s="1"/>
  <c r="K33" i="34"/>
  <c r="K102" i="34"/>
  <c r="J14" i="34"/>
  <c r="H103" i="14"/>
  <c r="H95" i="14"/>
  <c r="I11" i="34"/>
  <c r="F30" i="27"/>
  <c r="F32" i="27" s="1"/>
  <c r="F33" i="27" s="1"/>
  <c r="F32" i="25"/>
  <c r="F33" i="25" s="1"/>
  <c r="L30" i="14"/>
  <c r="L87" i="14"/>
  <c r="L106" i="14" s="1"/>
  <c r="L68" i="14"/>
  <c r="L49" i="14"/>
  <c r="J80" i="16"/>
  <c r="J78" i="34"/>
  <c r="J26" i="34"/>
  <c r="J95" i="34"/>
  <c r="L65" i="32"/>
  <c r="L82" i="32"/>
  <c r="L128" i="14"/>
  <c r="F89" i="16"/>
  <c r="F104" i="34"/>
  <c r="F35" i="34"/>
  <c r="F87" i="34"/>
  <c r="F18" i="34" s="1"/>
  <c r="E30" i="27"/>
  <c r="E32" i="27" s="1"/>
  <c r="E33" i="27" s="1"/>
  <c r="E32" i="25"/>
  <c r="E33" i="25" s="1"/>
  <c r="J62" i="31"/>
  <c r="I67" i="31"/>
  <c r="I68" i="31"/>
  <c r="I10" i="36" s="1"/>
  <c r="J81" i="16"/>
  <c r="J96" i="34"/>
  <c r="J27" i="34"/>
  <c r="J79" i="34"/>
  <c r="H8" i="27" l="1"/>
  <c r="H17" i="27" s="1"/>
  <c r="H8" i="25"/>
  <c r="H17" i="25" s="1"/>
  <c r="K18" i="25"/>
  <c r="K66" i="25"/>
  <c r="L60" i="32"/>
  <c r="L77" i="32"/>
  <c r="L123" i="14"/>
  <c r="I38" i="14"/>
  <c r="J9" i="34"/>
  <c r="H104" i="32"/>
  <c r="I78" i="16"/>
  <c r="I24" i="34"/>
  <c r="I76" i="34"/>
  <c r="I93" i="34"/>
  <c r="L66" i="32"/>
  <c r="L83" i="32"/>
  <c r="L129" i="14"/>
  <c r="K82" i="16"/>
  <c r="K28" i="34"/>
  <c r="K80" i="34"/>
  <c r="K97" i="34"/>
  <c r="K89" i="14"/>
  <c r="K108" i="14" s="1"/>
  <c r="K32" i="14"/>
  <c r="L13" i="14"/>
  <c r="K70" i="14"/>
  <c r="K51" i="14"/>
  <c r="G8" i="32"/>
  <c r="G19" i="32" s="1"/>
  <c r="G5" i="36" s="1"/>
  <c r="G70" i="32"/>
  <c r="L68" i="32"/>
  <c r="L85" i="32"/>
  <c r="L131" i="14"/>
  <c r="I37" i="14"/>
  <c r="J18" i="14"/>
  <c r="I56" i="14"/>
  <c r="I94" i="14"/>
  <c r="I113" i="14" s="1"/>
  <c r="I75" i="14"/>
  <c r="G89" i="16"/>
  <c r="G35" i="34"/>
  <c r="G87" i="34"/>
  <c r="G104" i="34"/>
  <c r="I76" i="14"/>
  <c r="I103" i="14"/>
  <c r="K86" i="16"/>
  <c r="K32" i="34"/>
  <c r="K101" i="34"/>
  <c r="K84" i="34"/>
  <c r="H9" i="27"/>
  <c r="H29" i="27" s="1"/>
  <c r="H9" i="25"/>
  <c r="H29" i="25" s="1"/>
  <c r="H30" i="25" s="1"/>
  <c r="L64" i="14"/>
  <c r="L26" i="14"/>
  <c r="L83" i="14"/>
  <c r="L45" i="14"/>
  <c r="J66" i="27"/>
  <c r="J68" i="27" s="1"/>
  <c r="J69" i="27" s="1"/>
  <c r="J68" i="25"/>
  <c r="J69" i="25" s="1"/>
  <c r="H7" i="27"/>
  <c r="H7" i="25"/>
  <c r="J64" i="32"/>
  <c r="J81" i="32"/>
  <c r="J127" i="14"/>
  <c r="H86" i="32"/>
  <c r="H69" i="32"/>
  <c r="H18" i="32" s="1"/>
  <c r="H132" i="14"/>
  <c r="F11" i="25"/>
  <c r="F53" i="25" s="1"/>
  <c r="F54" i="25" s="1"/>
  <c r="F53" i="27"/>
  <c r="F11" i="27"/>
  <c r="F138" i="14"/>
  <c r="K102" i="14"/>
  <c r="I69" i="31"/>
  <c r="I11" i="36" s="1"/>
  <c r="I15" i="36" s="1"/>
  <c r="I102" i="32"/>
  <c r="I17" i="32" s="1"/>
  <c r="I92" i="32"/>
  <c r="I100" i="32"/>
  <c r="I15" i="32" s="1"/>
  <c r="I97" i="32"/>
  <c r="I12" i="32" s="1"/>
  <c r="I96" i="32"/>
  <c r="I11" i="32" s="1"/>
  <c r="I103" i="32"/>
  <c r="I98" i="32"/>
  <c r="I101" i="32"/>
  <c r="I16" i="32" s="1"/>
  <c r="I95" i="32"/>
  <c r="I10" i="32" s="1"/>
  <c r="I99" i="32"/>
  <c r="I14" i="32" s="1"/>
  <c r="I93" i="32"/>
  <c r="I94" i="32"/>
  <c r="I9" i="32" s="1"/>
  <c r="H76" i="32"/>
  <c r="H87" i="32" s="1"/>
  <c r="H59" i="32"/>
  <c r="H122" i="14"/>
  <c r="H114" i="14"/>
  <c r="I7" i="32"/>
  <c r="L61" i="32"/>
  <c r="L78" i="32"/>
  <c r="L124" i="14"/>
  <c r="I84" i="16"/>
  <c r="I82" i="34"/>
  <c r="I99" i="34"/>
  <c r="I30" i="34"/>
  <c r="F8" i="34"/>
  <c r="F19" i="34" s="1"/>
  <c r="F6" i="36" s="1"/>
  <c r="F8" i="36" s="1"/>
  <c r="F16" i="36" s="1"/>
  <c r="F19" i="36" s="1"/>
  <c r="F88" i="34"/>
  <c r="G79" i="16"/>
  <c r="G25" i="34"/>
  <c r="G77" i="34"/>
  <c r="G94" i="34"/>
  <c r="G133" i="14"/>
  <c r="D20" i="36"/>
  <c r="D22" i="36" s="1"/>
  <c r="D26" i="36" s="1"/>
  <c r="K62" i="31"/>
  <c r="J67" i="31"/>
  <c r="J68" i="31"/>
  <c r="J10" i="36" s="1"/>
  <c r="J18" i="27"/>
  <c r="J20" i="27" s="1"/>
  <c r="J21" i="27" s="1"/>
  <c r="J20" i="25"/>
  <c r="J21" i="25" s="1"/>
  <c r="H7" i="34"/>
  <c r="F42" i="27"/>
  <c r="F44" i="27" s="1"/>
  <c r="F45" i="27" s="1"/>
  <c r="F44" i="25"/>
  <c r="F45" i="25" s="1"/>
  <c r="I13" i="32"/>
  <c r="F105" i="34"/>
  <c r="K88" i="16"/>
  <c r="K34" i="34"/>
  <c r="K86" i="34"/>
  <c r="K17" i="34" s="1"/>
  <c r="K103" i="34"/>
  <c r="I19" i="14"/>
  <c r="L55" i="27"/>
  <c r="L67" i="25"/>
  <c r="L67" i="27" s="1"/>
  <c r="J10" i="34"/>
  <c r="L85" i="16"/>
  <c r="L31" i="34"/>
  <c r="L100" i="34"/>
  <c r="L83" i="34"/>
  <c r="J58" i="32"/>
  <c r="J75" i="32"/>
  <c r="J121" i="14"/>
  <c r="L79" i="32"/>
  <c r="L62" i="32"/>
  <c r="L125" i="14"/>
  <c r="J15" i="34"/>
  <c r="H7" i="32"/>
  <c r="L87" i="16"/>
  <c r="L102" i="34"/>
  <c r="L33" i="34"/>
  <c r="L85" i="34"/>
  <c r="L16" i="34" s="1"/>
  <c r="K12" i="34"/>
  <c r="F36" i="34"/>
  <c r="J84" i="14"/>
  <c r="J27" i="14"/>
  <c r="J65" i="14"/>
  <c r="J46" i="14"/>
  <c r="K8" i="14"/>
  <c r="L83" i="16"/>
  <c r="L29" i="34"/>
  <c r="L98" i="34"/>
  <c r="L81" i="34"/>
  <c r="L12" i="34" s="1"/>
  <c r="K80" i="16"/>
  <c r="K26" i="34"/>
  <c r="K95" i="34"/>
  <c r="K78" i="34"/>
  <c r="K9" i="34" s="1"/>
  <c r="G10" i="27"/>
  <c r="G41" i="27" s="1"/>
  <c r="G10" i="25"/>
  <c r="G41" i="25" s="1"/>
  <c r="G42" i="25" s="1"/>
  <c r="G30" i="27"/>
  <c r="G32" i="27" s="1"/>
  <c r="G33" i="27" s="1"/>
  <c r="G32" i="25"/>
  <c r="G33" i="25" s="1"/>
  <c r="E8" i="36"/>
  <c r="E16" i="36" s="1"/>
  <c r="E19" i="36" s="1"/>
  <c r="K81" i="16"/>
  <c r="K79" i="34"/>
  <c r="K27" i="34"/>
  <c r="K96" i="34"/>
  <c r="F90" i="16"/>
  <c r="I57" i="14"/>
  <c r="E56" i="25"/>
  <c r="E57" i="25" s="1"/>
  <c r="E54" i="27"/>
  <c r="E56" i="27" s="1"/>
  <c r="E57" i="27" s="1"/>
  <c r="F20" i="36" l="1"/>
  <c r="F22" i="36" s="1"/>
  <c r="F26" i="36" s="1"/>
  <c r="H8" i="32"/>
  <c r="H70" i="32"/>
  <c r="J56" i="14"/>
  <c r="J57" i="14" s="1"/>
  <c r="K18" i="14"/>
  <c r="J37" i="14"/>
  <c r="J75" i="14"/>
  <c r="J94" i="14"/>
  <c r="J113" i="14" s="1"/>
  <c r="L86" i="16"/>
  <c r="L84" i="34"/>
  <c r="L32" i="34"/>
  <c r="L101" i="34"/>
  <c r="K68" i="25"/>
  <c r="K69" i="25" s="1"/>
  <c r="K66" i="27"/>
  <c r="K68" i="27" s="1"/>
  <c r="K69" i="27" s="1"/>
  <c r="J76" i="14"/>
  <c r="J78" i="16"/>
  <c r="J24" i="34"/>
  <c r="J76" i="34"/>
  <c r="J93" i="34"/>
  <c r="K75" i="32"/>
  <c r="K58" i="32"/>
  <c r="K121" i="14"/>
  <c r="K15" i="34"/>
  <c r="G18" i="34"/>
  <c r="L51" i="14"/>
  <c r="L32" i="14"/>
  <c r="L70" i="14"/>
  <c r="L89" i="14"/>
  <c r="L108" i="14" s="1"/>
  <c r="J84" i="16"/>
  <c r="J82" i="34"/>
  <c r="J13" i="34" s="1"/>
  <c r="J30" i="34"/>
  <c r="J99" i="34"/>
  <c r="G105" i="34"/>
  <c r="H19" i="32"/>
  <c r="H5" i="36" s="1"/>
  <c r="G8" i="34"/>
  <c r="G19" i="34" s="1"/>
  <c r="G6" i="36" s="1"/>
  <c r="G8" i="36" s="1"/>
  <c r="G16" i="36" s="1"/>
  <c r="G19" i="36" s="1"/>
  <c r="G88" i="34"/>
  <c r="I13" i="34"/>
  <c r="I104" i="32"/>
  <c r="J13" i="32"/>
  <c r="L102" i="14"/>
  <c r="L80" i="16"/>
  <c r="L26" i="34"/>
  <c r="L95" i="34"/>
  <c r="L78" i="34"/>
  <c r="L9" i="34" s="1"/>
  <c r="K64" i="32"/>
  <c r="K81" i="32"/>
  <c r="K127" i="14"/>
  <c r="L14" i="34"/>
  <c r="G36" i="34"/>
  <c r="I95" i="14"/>
  <c r="K11" i="34"/>
  <c r="I7" i="34"/>
  <c r="K18" i="27"/>
  <c r="K20" i="27" s="1"/>
  <c r="K21" i="27" s="1"/>
  <c r="K20" i="25"/>
  <c r="K21" i="25" s="1"/>
  <c r="J103" i="14"/>
  <c r="I7" i="27"/>
  <c r="I7" i="25"/>
  <c r="J69" i="31"/>
  <c r="J11" i="36" s="1"/>
  <c r="J15" i="36" s="1"/>
  <c r="J99" i="32"/>
  <c r="J14" i="32" s="1"/>
  <c r="J97" i="32"/>
  <c r="J12" i="32" s="1"/>
  <c r="J95" i="32"/>
  <c r="J10" i="32" s="1"/>
  <c r="J102" i="32"/>
  <c r="J17" i="32" s="1"/>
  <c r="J103" i="32"/>
  <c r="J96" i="32"/>
  <c r="J11" i="32" s="1"/>
  <c r="J92" i="32"/>
  <c r="J104" i="32" s="1"/>
  <c r="J100" i="32"/>
  <c r="J15" i="32" s="1"/>
  <c r="J98" i="32"/>
  <c r="J94" i="32"/>
  <c r="J9" i="32" s="1"/>
  <c r="J93" i="32"/>
  <c r="J101" i="32"/>
  <c r="J16" i="32" s="1"/>
  <c r="G90" i="16"/>
  <c r="L81" i="16"/>
  <c r="L27" i="34"/>
  <c r="L96" i="34"/>
  <c r="L79" i="34"/>
  <c r="H10" i="25"/>
  <c r="H41" i="25" s="1"/>
  <c r="H42" i="25" s="1"/>
  <c r="H10" i="27"/>
  <c r="H41" i="27" s="1"/>
  <c r="F54" i="27"/>
  <c r="F56" i="27" s="1"/>
  <c r="F57" i="27" s="1"/>
  <c r="F56" i="25"/>
  <c r="F57" i="25" s="1"/>
  <c r="L18" i="25"/>
  <c r="L66" i="25"/>
  <c r="I76" i="32"/>
  <c r="I87" i="32" s="1"/>
  <c r="I59" i="32"/>
  <c r="I122" i="14"/>
  <c r="I114" i="14"/>
  <c r="I69" i="32"/>
  <c r="I18" i="32" s="1"/>
  <c r="I86" i="32"/>
  <c r="I132" i="14"/>
  <c r="G42" i="27"/>
  <c r="G44" i="27" s="1"/>
  <c r="G45" i="27" s="1"/>
  <c r="G44" i="25"/>
  <c r="G45" i="25" s="1"/>
  <c r="J38" i="14"/>
  <c r="G11" i="27"/>
  <c r="G53" i="27"/>
  <c r="G11" i="25"/>
  <c r="G53" i="25" s="1"/>
  <c r="G54" i="25" s="1"/>
  <c r="G138" i="14"/>
  <c r="L88" i="16"/>
  <c r="L34" i="34"/>
  <c r="L86" i="34"/>
  <c r="L17" i="34" s="1"/>
  <c r="L103" i="34"/>
  <c r="K10" i="34"/>
  <c r="J19" i="14"/>
  <c r="L82" i="16"/>
  <c r="L28" i="34"/>
  <c r="L80" i="34"/>
  <c r="L11" i="34" s="1"/>
  <c r="L97" i="34"/>
  <c r="E22" i="36"/>
  <c r="E26" i="36" s="1"/>
  <c r="E20" i="36"/>
  <c r="L8" i="14"/>
  <c r="K46" i="14"/>
  <c r="K65" i="14"/>
  <c r="K27" i="14"/>
  <c r="K84" i="14"/>
  <c r="K19" i="14"/>
  <c r="K67" i="31"/>
  <c r="L62" i="31"/>
  <c r="K68" i="31"/>
  <c r="K10" i="36" s="1"/>
  <c r="H79" i="16"/>
  <c r="H90" i="16" s="1"/>
  <c r="H77" i="34"/>
  <c r="H25" i="34"/>
  <c r="H36" i="34" s="1"/>
  <c r="H94" i="34"/>
  <c r="H105" i="34" s="1"/>
  <c r="H133" i="14"/>
  <c r="H89" i="16"/>
  <c r="H35" i="34"/>
  <c r="H104" i="34"/>
  <c r="H87" i="34"/>
  <c r="H30" i="27"/>
  <c r="H32" i="27" s="1"/>
  <c r="H33" i="27" s="1"/>
  <c r="H32" i="25"/>
  <c r="H33" i="25" s="1"/>
  <c r="I8" i="27"/>
  <c r="I17" i="27" s="1"/>
  <c r="I8" i="25"/>
  <c r="I17" i="25" s="1"/>
  <c r="G20" i="36" l="1"/>
  <c r="G22" i="36" s="1"/>
  <c r="G26" i="36" s="1"/>
  <c r="K57" i="14"/>
  <c r="J7" i="27"/>
  <c r="J7" i="25"/>
  <c r="J95" i="14"/>
  <c r="K75" i="14"/>
  <c r="K56" i="14"/>
  <c r="K94" i="14"/>
  <c r="K113" i="14" s="1"/>
  <c r="L18" i="14"/>
  <c r="K37" i="14"/>
  <c r="L67" i="31"/>
  <c r="L68" i="31"/>
  <c r="L10" i="36" s="1"/>
  <c r="L65" i="14"/>
  <c r="L84" i="14"/>
  <c r="L27" i="14"/>
  <c r="L46" i="14"/>
  <c r="L66" i="27"/>
  <c r="L68" i="27" s="1"/>
  <c r="L68" i="25"/>
  <c r="J59" i="32"/>
  <c r="J76" i="32"/>
  <c r="J122" i="14"/>
  <c r="J114" i="14"/>
  <c r="K69" i="31"/>
  <c r="K11" i="36" s="1"/>
  <c r="K15" i="36" s="1"/>
  <c r="K96" i="32"/>
  <c r="K11" i="32" s="1"/>
  <c r="K102" i="32"/>
  <c r="K17" i="32" s="1"/>
  <c r="K95" i="32"/>
  <c r="K10" i="32" s="1"/>
  <c r="K98" i="32"/>
  <c r="K99" i="32"/>
  <c r="K14" i="32" s="1"/>
  <c r="K100" i="32"/>
  <c r="K15" i="32" s="1"/>
  <c r="K103" i="32"/>
  <c r="K92" i="32"/>
  <c r="K7" i="32" s="1"/>
  <c r="K97" i="32"/>
  <c r="K12" i="32" s="1"/>
  <c r="K93" i="32"/>
  <c r="K101" i="32"/>
  <c r="K16" i="32" s="1"/>
  <c r="K94" i="32"/>
  <c r="K9" i="32" s="1"/>
  <c r="I89" i="16"/>
  <c r="I35" i="34"/>
  <c r="I87" i="34"/>
  <c r="I104" i="34"/>
  <c r="H42" i="27"/>
  <c r="H44" i="27" s="1"/>
  <c r="H45" i="27" s="1"/>
  <c r="H44" i="25"/>
  <c r="H45" i="25" s="1"/>
  <c r="G54" i="27"/>
  <c r="G56" i="27" s="1"/>
  <c r="G57" i="27" s="1"/>
  <c r="G56" i="25"/>
  <c r="G57" i="25" s="1"/>
  <c r="H11" i="27"/>
  <c r="H53" i="27"/>
  <c r="H11" i="25"/>
  <c r="H53" i="25" s="1"/>
  <c r="H54" i="25" s="1"/>
  <c r="H138" i="14"/>
  <c r="L10" i="34"/>
  <c r="J7" i="34"/>
  <c r="L15" i="34"/>
  <c r="K7" i="27"/>
  <c r="K7" i="25"/>
  <c r="L18" i="27"/>
  <c r="L20" i="27" s="1"/>
  <c r="L20" i="25"/>
  <c r="K84" i="16"/>
  <c r="K30" i="34"/>
  <c r="K82" i="34"/>
  <c r="K13" i="34" s="1"/>
  <c r="K99" i="34"/>
  <c r="J86" i="32"/>
  <c r="J69" i="32"/>
  <c r="J18" i="32" s="1"/>
  <c r="J132" i="14"/>
  <c r="H8" i="34"/>
  <c r="H88" i="34"/>
  <c r="K38" i="14"/>
  <c r="I79" i="16"/>
  <c r="I77" i="34"/>
  <c r="I25" i="34"/>
  <c r="I36" i="34" s="1"/>
  <c r="I94" i="34"/>
  <c r="I105" i="34" s="1"/>
  <c r="I133" i="14"/>
  <c r="K13" i="32"/>
  <c r="J7" i="32"/>
  <c r="J8" i="25"/>
  <c r="J17" i="25" s="1"/>
  <c r="J8" i="27"/>
  <c r="J17" i="27" s="1"/>
  <c r="K103" i="14"/>
  <c r="K95" i="14"/>
  <c r="I10" i="27"/>
  <c r="I41" i="27" s="1"/>
  <c r="I10" i="25"/>
  <c r="I41" i="25" s="1"/>
  <c r="I42" i="25" s="1"/>
  <c r="K78" i="16"/>
  <c r="K24" i="34"/>
  <c r="K76" i="34"/>
  <c r="K93" i="34"/>
  <c r="H18" i="34"/>
  <c r="K76" i="14"/>
  <c r="I8" i="32"/>
  <c r="I19" i="32" s="1"/>
  <c r="I5" i="36" s="1"/>
  <c r="I70" i="32"/>
  <c r="I9" i="27"/>
  <c r="I29" i="27" s="1"/>
  <c r="I9" i="25"/>
  <c r="I29" i="25" s="1"/>
  <c r="I30" i="25" s="1"/>
  <c r="L58" i="32"/>
  <c r="L75" i="32"/>
  <c r="L121" i="14"/>
  <c r="L81" i="32"/>
  <c r="L64" i="32"/>
  <c r="L127" i="14"/>
  <c r="L21" i="25" l="1"/>
  <c r="M20" i="25"/>
  <c r="M21" i="25" s="1"/>
  <c r="L94" i="14"/>
  <c r="L113" i="14" s="1"/>
  <c r="L37" i="14"/>
  <c r="L38" i="14" s="1"/>
  <c r="L75" i="14"/>
  <c r="L56" i="14"/>
  <c r="J8" i="32"/>
  <c r="J19" i="32" s="1"/>
  <c r="J5" i="36" s="1"/>
  <c r="J70" i="32"/>
  <c r="L15" i="36"/>
  <c r="L84" i="16"/>
  <c r="L30" i="34"/>
  <c r="L82" i="34"/>
  <c r="L99" i="34"/>
  <c r="H19" i="34"/>
  <c r="H6" i="36" s="1"/>
  <c r="H8" i="36" s="1"/>
  <c r="H16" i="36" s="1"/>
  <c r="H19" i="36" s="1"/>
  <c r="L69" i="25"/>
  <c r="M68" i="25"/>
  <c r="M69" i="25" s="1"/>
  <c r="L69" i="31"/>
  <c r="L11" i="36" s="1"/>
  <c r="L99" i="32"/>
  <c r="L14" i="32" s="1"/>
  <c r="L92" i="32"/>
  <c r="L96" i="32"/>
  <c r="L11" i="32" s="1"/>
  <c r="L97" i="32"/>
  <c r="L12" i="32" s="1"/>
  <c r="L95" i="32"/>
  <c r="L10" i="32" s="1"/>
  <c r="L98" i="32"/>
  <c r="L13" i="32" s="1"/>
  <c r="L100" i="32"/>
  <c r="L15" i="32" s="1"/>
  <c r="L102" i="32"/>
  <c r="L17" i="32" s="1"/>
  <c r="L103" i="32"/>
  <c r="L101" i="32"/>
  <c r="L16" i="32" s="1"/>
  <c r="L93" i="32"/>
  <c r="L94" i="32"/>
  <c r="L9" i="32" s="1"/>
  <c r="J9" i="27"/>
  <c r="J29" i="27" s="1"/>
  <c r="J9" i="25"/>
  <c r="J29" i="25" s="1"/>
  <c r="J30" i="25" s="1"/>
  <c r="L78" i="16"/>
  <c r="L76" i="34"/>
  <c r="L24" i="34"/>
  <c r="L93" i="34"/>
  <c r="K8" i="25"/>
  <c r="K17" i="25" s="1"/>
  <c r="K8" i="27"/>
  <c r="K17" i="27" s="1"/>
  <c r="I42" i="27"/>
  <c r="I44" i="27" s="1"/>
  <c r="I45" i="27" s="1"/>
  <c r="I44" i="25"/>
  <c r="I45" i="25" s="1"/>
  <c r="I11" i="27"/>
  <c r="I53" i="27"/>
  <c r="I138" i="14"/>
  <c r="I11" i="25"/>
  <c r="I53" i="25" s="1"/>
  <c r="I54" i="25" s="1"/>
  <c r="J89" i="16"/>
  <c r="J35" i="34"/>
  <c r="J104" i="34"/>
  <c r="J87" i="34"/>
  <c r="J18" i="34" s="1"/>
  <c r="M68" i="27"/>
  <c r="M69" i="27" s="1"/>
  <c r="L69" i="27"/>
  <c r="L19" i="14"/>
  <c r="M20" i="27"/>
  <c r="M21" i="27" s="1"/>
  <c r="L21" i="27"/>
  <c r="L57" i="14"/>
  <c r="K69" i="32"/>
  <c r="K86" i="32"/>
  <c r="K132" i="14"/>
  <c r="L7" i="32"/>
  <c r="K76" i="32"/>
  <c r="K59" i="32"/>
  <c r="K122" i="14"/>
  <c r="K114" i="14"/>
  <c r="I8" i="34"/>
  <c r="I19" i="34" s="1"/>
  <c r="I6" i="36" s="1"/>
  <c r="I8" i="36" s="1"/>
  <c r="I16" i="36" s="1"/>
  <c r="I19" i="36" s="1"/>
  <c r="I88" i="34"/>
  <c r="I18" i="34"/>
  <c r="J10" i="27"/>
  <c r="J41" i="27" s="1"/>
  <c r="J10" i="25"/>
  <c r="J41" i="25" s="1"/>
  <c r="J42" i="25" s="1"/>
  <c r="H56" i="25"/>
  <c r="H57" i="25" s="1"/>
  <c r="H54" i="27"/>
  <c r="H56" i="27" s="1"/>
  <c r="H57" i="27" s="1"/>
  <c r="K104" i="32"/>
  <c r="I32" i="25"/>
  <c r="I33" i="25" s="1"/>
  <c r="I30" i="27"/>
  <c r="I32" i="27" s="1"/>
  <c r="I33" i="27" s="1"/>
  <c r="I90" i="16"/>
  <c r="J79" i="16"/>
  <c r="J90" i="16" s="1"/>
  <c r="J94" i="34"/>
  <c r="J105" i="34" s="1"/>
  <c r="J77" i="34"/>
  <c r="J25" i="34"/>
  <c r="J133" i="14"/>
  <c r="L103" i="14"/>
  <c r="K9" i="27"/>
  <c r="K29" i="27" s="1"/>
  <c r="K9" i="25"/>
  <c r="K29" i="25" s="1"/>
  <c r="K30" i="25" s="1"/>
  <c r="K7" i="34"/>
  <c r="J87" i="32"/>
  <c r="L76" i="14"/>
  <c r="J8" i="36" l="1"/>
  <c r="J16" i="36" s="1"/>
  <c r="J19" i="36" s="1"/>
  <c r="I20" i="36"/>
  <c r="I22" i="36" s="1"/>
  <c r="I26" i="36" s="1"/>
  <c r="J42" i="27"/>
  <c r="J44" i="27" s="1"/>
  <c r="J45" i="27" s="1"/>
  <c r="J44" i="25"/>
  <c r="J45" i="25" s="1"/>
  <c r="J53" i="27"/>
  <c r="J11" i="27"/>
  <c r="J11" i="25"/>
  <c r="J53" i="25" s="1"/>
  <c r="J54" i="25" s="1"/>
  <c r="J138" i="14"/>
  <c r="K89" i="16"/>
  <c r="K87" i="34"/>
  <c r="K104" i="34"/>
  <c r="K35" i="34"/>
  <c r="L7" i="34"/>
  <c r="L13" i="34"/>
  <c r="K30" i="27"/>
  <c r="K32" i="27" s="1"/>
  <c r="K33" i="27" s="1"/>
  <c r="K32" i="25"/>
  <c r="K33" i="25" s="1"/>
  <c r="K25" i="34"/>
  <c r="K36" i="34" s="1"/>
  <c r="K94" i="34"/>
  <c r="K105" i="34" s="1"/>
  <c r="K77" i="34"/>
  <c r="K79" i="16"/>
  <c r="K90" i="16" s="1"/>
  <c r="K133" i="14"/>
  <c r="J36" i="34"/>
  <c r="J8" i="34"/>
  <c r="J19" i="34" s="1"/>
  <c r="J6" i="36" s="1"/>
  <c r="J88" i="34"/>
  <c r="K10" i="27"/>
  <c r="K41" i="27" s="1"/>
  <c r="K10" i="25"/>
  <c r="K41" i="25" s="1"/>
  <c r="K42" i="25" s="1"/>
  <c r="K18" i="32"/>
  <c r="J30" i="27"/>
  <c r="J32" i="27" s="1"/>
  <c r="J33" i="27" s="1"/>
  <c r="J32" i="25"/>
  <c r="J33" i="25" s="1"/>
  <c r="I54" i="27"/>
  <c r="I56" i="27" s="1"/>
  <c r="I57" i="27" s="1"/>
  <c r="I56" i="25"/>
  <c r="I57" i="25" s="1"/>
  <c r="H20" i="36"/>
  <c r="H22" i="36" s="1"/>
  <c r="H26" i="36" s="1"/>
  <c r="K87" i="32"/>
  <c r="L95" i="14"/>
  <c r="L7" i="27"/>
  <c r="L7" i="25"/>
  <c r="L104" i="32"/>
  <c r="K8" i="32"/>
  <c r="K19" i="32" s="1"/>
  <c r="K5" i="36" s="1"/>
  <c r="K70" i="32"/>
  <c r="L69" i="32"/>
  <c r="L132" i="14"/>
  <c r="L86" i="32"/>
  <c r="L8" i="27"/>
  <c r="L17" i="27" s="1"/>
  <c r="L8" i="25"/>
  <c r="L17" i="25" s="1"/>
  <c r="L59" i="32"/>
  <c r="L76" i="32"/>
  <c r="L122" i="14"/>
  <c r="L114" i="14"/>
  <c r="L79" i="16" l="1"/>
  <c r="L90" i="16" s="1"/>
  <c r="L25" i="34"/>
  <c r="L36" i="34" s="1"/>
  <c r="L77" i="34"/>
  <c r="L94" i="34"/>
  <c r="L105" i="34" s="1"/>
  <c r="L133" i="14"/>
  <c r="J54" i="27"/>
  <c r="J56" i="27" s="1"/>
  <c r="J57" i="27" s="1"/>
  <c r="J56" i="25"/>
  <c r="J57" i="25" s="1"/>
  <c r="L89" i="16"/>
  <c r="L35" i="34"/>
  <c r="L87" i="34"/>
  <c r="L18" i="34" s="1"/>
  <c r="L104" i="34"/>
  <c r="L10" i="27"/>
  <c r="L41" i="27" s="1"/>
  <c r="L10" i="25"/>
  <c r="L41" i="25" s="1"/>
  <c r="L42" i="25" s="1"/>
  <c r="L18" i="32"/>
  <c r="L9" i="27"/>
  <c r="L29" i="27" s="1"/>
  <c r="L9" i="25"/>
  <c r="L29" i="25" s="1"/>
  <c r="L30" i="25" s="1"/>
  <c r="K11" i="27"/>
  <c r="K53" i="27"/>
  <c r="K11" i="25"/>
  <c r="K53" i="25" s="1"/>
  <c r="K54" i="25" s="1"/>
  <c r="K138" i="14"/>
  <c r="L87" i="32"/>
  <c r="K8" i="34"/>
  <c r="K88" i="34"/>
  <c r="K42" i="27"/>
  <c r="K44" i="27" s="1"/>
  <c r="K45" i="27" s="1"/>
  <c r="K44" i="25"/>
  <c r="K45" i="25" s="1"/>
  <c r="K18" i="34"/>
  <c r="L8" i="32"/>
  <c r="L19" i="32" s="1"/>
  <c r="L5" i="36" s="1"/>
  <c r="L70" i="32"/>
  <c r="J20" i="36"/>
  <c r="J22" i="36" s="1"/>
  <c r="J26" i="36" s="1"/>
  <c r="L32" i="25" l="1"/>
  <c r="L30" i="27"/>
  <c r="L32" i="27" s="1"/>
  <c r="L42" i="27"/>
  <c r="L44" i="27" s="1"/>
  <c r="L44" i="25"/>
  <c r="K19" i="34"/>
  <c r="K6" i="36" s="1"/>
  <c r="K8" i="36" s="1"/>
  <c r="K16" i="36" s="1"/>
  <c r="K19" i="36" s="1"/>
  <c r="K54" i="27"/>
  <c r="K56" i="27" s="1"/>
  <c r="K57" i="27" s="1"/>
  <c r="K56" i="25"/>
  <c r="K57" i="25" s="1"/>
  <c r="L8" i="34"/>
  <c r="L19" i="34" s="1"/>
  <c r="L6" i="36" s="1"/>
  <c r="L8" i="36" s="1"/>
  <c r="L16" i="36" s="1"/>
  <c r="L19" i="36" s="1"/>
  <c r="L88" i="34"/>
  <c r="L11" i="27"/>
  <c r="L53" i="27"/>
  <c r="L138" i="14"/>
  <c r="L11" i="25"/>
  <c r="L53" i="25" s="1"/>
  <c r="L54" i="25" s="1"/>
  <c r="L22" i="36" l="1"/>
  <c r="L26" i="36" s="1"/>
  <c r="M26" i="36" s="1"/>
  <c r="L20" i="36"/>
  <c r="L54" i="27"/>
  <c r="L56" i="27" s="1"/>
  <c r="L56" i="25"/>
  <c r="K20" i="36"/>
  <c r="K22" i="36" s="1"/>
  <c r="K26" i="36" s="1"/>
  <c r="M32" i="25"/>
  <c r="M33" i="25" s="1"/>
  <c r="L33" i="25"/>
  <c r="L45" i="25"/>
  <c r="M44" i="25"/>
  <c r="M45" i="25" s="1"/>
  <c r="L45" i="27"/>
  <c r="M44" i="27"/>
  <c r="M45" i="27" s="1"/>
  <c r="L33" i="27"/>
  <c r="M32" i="27"/>
  <c r="M33" i="27" s="1"/>
  <c r="M56" i="25" l="1"/>
  <c r="M57" i="25" s="1"/>
  <c r="L57" i="25"/>
  <c r="B28" i="36"/>
  <c r="L57" i="27"/>
  <c r="M56" i="27"/>
  <c r="M57" i="27" s="1"/>
</calcChain>
</file>

<file path=xl/comments1.xml><?xml version="1.0" encoding="utf-8"?>
<comments xmlns="http://schemas.openxmlformats.org/spreadsheetml/2006/main">
  <authors>
    <author>meichma</author>
  </authors>
  <commentList>
    <comment ref="A1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1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15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B13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JP Morgan Nov 6 Enron Report
</t>
        </r>
      </text>
    </comment>
  </commentList>
</comments>
</file>

<file path=xl/comments2.xml><?xml version="1.0" encoding="utf-8"?>
<comments xmlns="http://schemas.openxmlformats.org/spreadsheetml/2006/main">
  <authors>
    <author>meichma</author>
  </authors>
  <commentList>
    <comment ref="B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Bear &amp; Sterns Report
</t>
        </r>
      </text>
    </comment>
    <comment ref="B11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Power Markets Week
</t>
        </r>
      </text>
    </comment>
    <comment ref="A30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3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33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4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4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50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6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66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6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8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8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85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</commentList>
</comments>
</file>

<file path=xl/comments3.xml><?xml version="1.0" encoding="utf-8"?>
<comments xmlns="http://schemas.openxmlformats.org/spreadsheetml/2006/main">
  <authors>
    <author>meichma</author>
  </authors>
  <commentList>
    <comment ref="B51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  <comment ref="B8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  <comment ref="B12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</commentList>
</comments>
</file>

<file path=xl/sharedStrings.xml><?xml version="1.0" encoding="utf-8"?>
<sst xmlns="http://schemas.openxmlformats.org/spreadsheetml/2006/main" count="1596" uniqueCount="603">
  <si>
    <t>Crude Oil Consumption</t>
  </si>
  <si>
    <t>Price</t>
  </si>
  <si>
    <t>Market Size</t>
  </si>
  <si>
    <t>United States</t>
  </si>
  <si>
    <t>Canada</t>
  </si>
  <si>
    <t>Japan</t>
  </si>
  <si>
    <t>Europe</t>
  </si>
  <si>
    <t>Australia</t>
  </si>
  <si>
    <t>China</t>
  </si>
  <si>
    <t>Russia</t>
  </si>
  <si>
    <t>Other</t>
  </si>
  <si>
    <t>Total</t>
  </si>
  <si>
    <t>North America</t>
  </si>
  <si>
    <t>Central &amp; South America</t>
  </si>
  <si>
    <t>Western Europe</t>
  </si>
  <si>
    <t>Eastern Europe &amp; Former USSR</t>
  </si>
  <si>
    <t>Middle East</t>
  </si>
  <si>
    <t>Africa</t>
  </si>
  <si>
    <t>Far East &amp; Oceania</t>
  </si>
  <si>
    <t>World Total</t>
  </si>
  <si>
    <t>Natural Gas</t>
  </si>
  <si>
    <t>US</t>
  </si>
  <si>
    <t>Central and South America</t>
  </si>
  <si>
    <t>Eastern Europe &amp; Former U.S.S.R.</t>
  </si>
  <si>
    <t>Far East and Oceania</t>
  </si>
  <si>
    <t>LNG</t>
  </si>
  <si>
    <t>Rest of the World</t>
  </si>
  <si>
    <t>Liquid Fuels</t>
  </si>
  <si>
    <t>  North America</t>
  </si>
  <si>
    <t>  Western Europe</t>
  </si>
  <si>
    <t>  Industrialized Asia</t>
  </si>
  <si>
    <t>Total World</t>
  </si>
  <si>
    <t xml:space="preserve">  Russia</t>
  </si>
  <si>
    <t xml:space="preserve">  Developing</t>
  </si>
  <si>
    <t>Coal</t>
  </si>
  <si>
    <t>N/A</t>
  </si>
  <si>
    <t>Metals</t>
  </si>
  <si>
    <t xml:space="preserve">Europe </t>
  </si>
  <si>
    <t xml:space="preserve">Metals </t>
  </si>
  <si>
    <t>Crude Oil</t>
  </si>
  <si>
    <t>Power</t>
  </si>
  <si>
    <t xml:space="preserve"> "Quarterly Coal Consumption Report Manufacturing Plants;" "Short-Term Energy Outlook" estimates and Form</t>
  </si>
  <si>
    <t xml:space="preserve"> EIA-860B, "Annual Electric Generator Report Nonutility;" Form EIA-7A, "Coal Production Report;" Form EIA-5,</t>
  </si>
  <si>
    <t xml:space="preserve"> "Coke Plant Report Quarterly;" and Form EIA-6, "Coal Distribution Report."</t>
  </si>
  <si>
    <t>North America (inc. Canada)</t>
  </si>
  <si>
    <t>Others</t>
  </si>
  <si>
    <t xml:space="preserve">Pacific Rim </t>
  </si>
  <si>
    <t xml:space="preserve">Total </t>
  </si>
  <si>
    <t>Logistics</t>
  </si>
  <si>
    <r>
      <t>Source for Volumes:</t>
    </r>
    <r>
      <rPr>
        <sz val="9"/>
        <color indexed="10"/>
        <rFont val="Arial"/>
        <family val="2"/>
      </rPr>
      <t xml:space="preserve"> World Apparent Consumption of Refined Petroleum Products, 1997, Energy Information Administration, Department of Energy</t>
    </r>
  </si>
  <si>
    <r>
      <t xml:space="preserve">Source for Prices: </t>
    </r>
    <r>
      <rPr>
        <sz val="9"/>
        <color indexed="10"/>
        <rFont val="Arial"/>
        <family val="2"/>
      </rPr>
      <t>Energy Information Administration, Department of Energy, Rotterdam delivered</t>
    </r>
  </si>
  <si>
    <r>
      <t>Source for Price:</t>
    </r>
    <r>
      <rPr>
        <sz val="10"/>
        <color indexed="10"/>
        <rFont val="Arial"/>
        <family val="2"/>
      </rPr>
      <t xml:space="preserve"> Enron average forward price for Dec. 2000 to Dec.2001.</t>
    </r>
  </si>
  <si>
    <t>Liquid Natural Gas</t>
  </si>
  <si>
    <r>
      <t>Source for Volume</t>
    </r>
    <r>
      <rPr>
        <sz val="9"/>
        <color indexed="10"/>
        <rFont val="Arial"/>
        <family val="2"/>
      </rPr>
      <t xml:space="preserve"> : World Total Net Electricity Consumption by  Energy Information Administration at the Department of Energy</t>
    </r>
  </si>
  <si>
    <r>
      <t xml:space="preserve">Source for Price: </t>
    </r>
    <r>
      <rPr>
        <sz val="10"/>
        <color indexed="10"/>
        <rFont val="Arial"/>
        <family val="2"/>
      </rPr>
      <t>Estimated from Average Wholesale price in US for 1999-2000</t>
    </r>
  </si>
  <si>
    <r>
      <t xml:space="preserve"> </t>
    </r>
    <r>
      <rPr>
        <b/>
        <sz val="9"/>
        <color indexed="10"/>
        <rFont val="Arial"/>
        <family val="2"/>
      </rPr>
      <t>Sources for volume:</t>
    </r>
    <r>
      <rPr>
        <sz val="9"/>
        <color indexed="10"/>
        <rFont val="Arial"/>
        <family val="2"/>
      </rPr>
      <t xml:space="preserve"> Energy Information Administration, Form EIA-759, "Monthly Power Plant Report;" Form EIA-3,</t>
    </r>
  </si>
  <si>
    <t>Emission Credits</t>
  </si>
  <si>
    <r>
      <t xml:space="preserve">Source for Volume: </t>
    </r>
    <r>
      <rPr>
        <sz val="10"/>
        <color indexed="10"/>
        <rFont val="Arial"/>
        <family val="2"/>
      </rPr>
      <t>U.S. Geological Survey, Mineral Commodity Summaries, February 2000</t>
    </r>
  </si>
  <si>
    <r>
      <t xml:space="preserve">Source for Price: </t>
    </r>
    <r>
      <rPr>
        <sz val="10"/>
        <color indexed="10"/>
        <rFont val="Arial"/>
        <family val="2"/>
      </rPr>
      <t>Energy Information Administration , US Department of Commerce, Report, IM 145</t>
    </r>
  </si>
  <si>
    <r>
      <t xml:space="preserve">Source for Volume: </t>
    </r>
    <r>
      <rPr>
        <sz val="10"/>
        <color indexed="10"/>
        <rFont val="Arial"/>
        <family val="2"/>
      </rPr>
      <t>Energy Information Administration , US Department of Commerce</t>
    </r>
  </si>
  <si>
    <r>
      <t>Source for Market Size:</t>
    </r>
    <r>
      <rPr>
        <sz val="10"/>
        <color indexed="10"/>
        <rFont val="Arial"/>
        <family val="2"/>
      </rPr>
      <t xml:space="preserve"> Logistics in the Digital Economy,Bowersox and Calantone, CSFB estimates Sept.25.</t>
    </r>
  </si>
  <si>
    <r>
      <t>Source:</t>
    </r>
    <r>
      <rPr>
        <sz val="10"/>
        <color indexed="10"/>
        <rFont val="Arial"/>
        <family val="2"/>
      </rPr>
      <t xml:space="preserve"> American Forest and Paper Association, capacity and fiber Consumption Report #38</t>
    </r>
  </si>
  <si>
    <t>Forest Products</t>
  </si>
  <si>
    <r>
      <t>Source for Volume</t>
    </r>
    <r>
      <rPr>
        <sz val="10"/>
        <color indexed="10"/>
        <rFont val="Arial"/>
        <family val="2"/>
      </rPr>
      <t>: World Petroleum Consumption 1998 according to Energy Information Administration, Department of Energy</t>
    </r>
  </si>
  <si>
    <t xml:space="preserve">     Crude Oil</t>
  </si>
  <si>
    <t xml:space="preserve">     Liquid Fuels</t>
  </si>
  <si>
    <t xml:space="preserve">     Natural Gas</t>
  </si>
  <si>
    <t xml:space="preserve">     Power</t>
  </si>
  <si>
    <t xml:space="preserve">     Coal</t>
  </si>
  <si>
    <t xml:space="preserve">     Metals</t>
  </si>
  <si>
    <t xml:space="preserve">     Logistics</t>
  </si>
  <si>
    <t xml:space="preserve">     Forest Products</t>
  </si>
  <si>
    <t>Ethylene</t>
  </si>
  <si>
    <t>PVC</t>
  </si>
  <si>
    <t>Ethylene Oxide</t>
  </si>
  <si>
    <t>MEG</t>
  </si>
  <si>
    <t>Petrochemicals and Plastics</t>
  </si>
  <si>
    <t>Pet Chem and Plastics ('000 Tons)</t>
  </si>
  <si>
    <t>VAM</t>
  </si>
  <si>
    <t>Methanol</t>
  </si>
  <si>
    <t>MTBE</t>
  </si>
  <si>
    <t>Polypropylene</t>
  </si>
  <si>
    <t xml:space="preserve">Propylene </t>
  </si>
  <si>
    <t>LLDPE &amp; HDPE</t>
  </si>
  <si>
    <t>Propylene Oxide</t>
  </si>
  <si>
    <t>Butadiene</t>
  </si>
  <si>
    <t>Acrylonitrile</t>
  </si>
  <si>
    <t>Acrylic Fibers</t>
  </si>
  <si>
    <t>Benzene</t>
  </si>
  <si>
    <t>PolyStyrene</t>
  </si>
  <si>
    <t>Styrene</t>
  </si>
  <si>
    <t>ABS</t>
  </si>
  <si>
    <t>Phenol</t>
  </si>
  <si>
    <t>Polycarbonates</t>
  </si>
  <si>
    <t>Caprolactam</t>
  </si>
  <si>
    <t>Nylon 6 Fibers</t>
  </si>
  <si>
    <t>Toluene</t>
  </si>
  <si>
    <t>TDI</t>
  </si>
  <si>
    <t>MDI</t>
  </si>
  <si>
    <t>Ortho-Xylene</t>
  </si>
  <si>
    <t>PTA</t>
  </si>
  <si>
    <r>
      <t>Source</t>
    </r>
    <r>
      <rPr>
        <sz val="10"/>
        <color indexed="10"/>
        <rFont val="Arial"/>
        <family val="2"/>
      </rPr>
      <t>: Bear and Sterns, Chemical Reactions October 2000</t>
    </r>
  </si>
  <si>
    <r>
      <t>Source for Price</t>
    </r>
    <r>
      <rPr>
        <sz val="10"/>
        <color indexed="10"/>
        <rFont val="Arial"/>
        <family val="2"/>
      </rPr>
      <t>: NYMEX spot prices</t>
    </r>
  </si>
  <si>
    <r>
      <t>Source for Volume:</t>
    </r>
    <r>
      <rPr>
        <sz val="9"/>
        <color indexed="10"/>
        <rFont val="Arial"/>
        <family val="2"/>
      </rPr>
      <t xml:space="preserve"> Energy Information Administration/Natural Gas Monthly September 2000</t>
    </r>
  </si>
  <si>
    <r>
      <t>Source for US Addressable Market:</t>
    </r>
    <r>
      <rPr>
        <sz val="10"/>
        <color indexed="10"/>
        <rFont val="Arial"/>
        <family val="2"/>
      </rPr>
      <t xml:space="preserve"> Bear and Sterns, Enron November 6 Report</t>
    </r>
  </si>
  <si>
    <r>
      <t>Source for Foreign Addressable Market:</t>
    </r>
    <r>
      <rPr>
        <sz val="10"/>
        <color indexed="10"/>
        <rFont val="Arial"/>
        <family val="2"/>
      </rPr>
      <t xml:space="preserve"> Enron Estimates (Marc Eichmann)</t>
    </r>
  </si>
  <si>
    <r>
      <t xml:space="preserve">Source for Volume and Price: </t>
    </r>
    <r>
      <rPr>
        <sz val="10"/>
        <color indexed="10"/>
        <rFont val="Arial"/>
        <family val="2"/>
      </rPr>
      <t>Energy Information Administration/Natural Gas Monthly September 2000</t>
    </r>
  </si>
  <si>
    <r>
      <t xml:space="preserve">Source for Addressable Market: </t>
    </r>
    <r>
      <rPr>
        <sz val="10"/>
        <color indexed="10"/>
        <rFont val="Arial"/>
        <family val="2"/>
      </rPr>
      <t>Enron Estimates (Marc Eichmann)</t>
    </r>
  </si>
  <si>
    <r>
      <t>Source for US Addressable Market:</t>
    </r>
    <r>
      <rPr>
        <sz val="10"/>
        <color indexed="10"/>
        <rFont val="Arial"/>
        <family val="2"/>
      </rPr>
      <t xml:space="preserve"> Enron Estimates (Marc Eichmann)</t>
    </r>
  </si>
  <si>
    <t>Commodity</t>
  </si>
  <si>
    <t>Region</t>
  </si>
  <si>
    <t xml:space="preserve">Japan </t>
  </si>
  <si>
    <t xml:space="preserve">     LNG</t>
  </si>
  <si>
    <t xml:space="preserve">     Pet Chems</t>
  </si>
  <si>
    <t>Other Base</t>
  </si>
  <si>
    <t>Year</t>
  </si>
  <si>
    <t>CAGR</t>
  </si>
  <si>
    <t>Target Physical Turns</t>
  </si>
  <si>
    <t>Grains</t>
  </si>
  <si>
    <t xml:space="preserve">     Grains</t>
  </si>
  <si>
    <t xml:space="preserve">     Bandwidth</t>
  </si>
  <si>
    <t>YEAR</t>
  </si>
  <si>
    <t>Target Financial Velocity</t>
  </si>
  <si>
    <t>EnronOnline Share</t>
  </si>
  <si>
    <t>TOTAL</t>
  </si>
  <si>
    <t>EOL Volume Assumptions</t>
  </si>
  <si>
    <t>Percentage of Traded Volume</t>
  </si>
  <si>
    <t>Transaction Fee</t>
  </si>
  <si>
    <t xml:space="preserve"> Transaction Fee</t>
  </si>
  <si>
    <t>Expenses</t>
  </si>
  <si>
    <t>Discount Rate</t>
  </si>
  <si>
    <t>Operating Income</t>
  </si>
  <si>
    <t>Discounted Cash Flow</t>
  </si>
  <si>
    <t>Terminal Value</t>
  </si>
  <si>
    <t>Long Term Growth</t>
  </si>
  <si>
    <t>Present Value</t>
  </si>
  <si>
    <t>Market Size Estimates</t>
  </si>
  <si>
    <t>PPI</t>
  </si>
  <si>
    <t>PPI Index</t>
  </si>
  <si>
    <t>Penetration</t>
  </si>
  <si>
    <t xml:space="preserve">Year at which penetration is set </t>
  </si>
  <si>
    <t>2001 Commoditization %</t>
  </si>
  <si>
    <t>Equivalent P/ CF Multiple</t>
  </si>
  <si>
    <r>
      <t>Source:</t>
    </r>
    <r>
      <rPr>
        <sz val="10"/>
        <color indexed="10"/>
        <rFont val="Arial"/>
        <family val="2"/>
      </rPr>
      <t xml:space="preserve"> McKinsey Study Screening Opportunities in the Agricultural Markets</t>
    </r>
  </si>
  <si>
    <t>Enron Online Statistics</t>
  </si>
  <si>
    <t>Average Transaction Size</t>
  </si>
  <si>
    <t>Units</t>
  </si>
  <si>
    <t>Number of Transactions for Last Month</t>
  </si>
  <si>
    <t>Estimated Financial Percentage</t>
  </si>
  <si>
    <t>BBL</t>
  </si>
  <si>
    <t>MMBtu</t>
  </si>
  <si>
    <t>MWh</t>
  </si>
  <si>
    <t>MT</t>
  </si>
  <si>
    <t>OC3C</t>
  </si>
  <si>
    <t>Price per Unit</t>
  </si>
  <si>
    <t>Maximum Share</t>
  </si>
  <si>
    <t>Percentage commission</t>
  </si>
  <si>
    <t xml:space="preserve">    EnronOnline Operator Revenue Base</t>
  </si>
  <si>
    <t>Commissions per transaction</t>
  </si>
  <si>
    <t>Both</t>
  </si>
  <si>
    <t>Model Architecture</t>
  </si>
  <si>
    <t>Green Giant</t>
  </si>
  <si>
    <t>Transaction Size Average ('000)</t>
  </si>
  <si>
    <t>Addressable Market as a percentage of Physical Consumption</t>
  </si>
  <si>
    <t>Potential Turns</t>
  </si>
  <si>
    <t xml:space="preserve">    Consumption   </t>
  </si>
  <si>
    <t xml:space="preserve">    EOL Share</t>
  </si>
  <si>
    <t>Total Traded Market</t>
  </si>
  <si>
    <t>Overall Traded Market Cash Flow</t>
  </si>
  <si>
    <t xml:space="preserve">    Exchange Operator Revenue</t>
  </si>
  <si>
    <t>Market Size (millions)</t>
  </si>
  <si>
    <t>(millions)</t>
  </si>
  <si>
    <t>Addressable Traded Market Cash Flow</t>
  </si>
  <si>
    <t>Addressable Traded Market</t>
  </si>
  <si>
    <t>EOL Share Cash Flow (millions)</t>
  </si>
  <si>
    <t>EOL Share Cash Flow</t>
  </si>
  <si>
    <t>Addressable Market Size (millions)</t>
  </si>
  <si>
    <t>EnronOnline Share (millions)</t>
  </si>
  <si>
    <t>Potential Physical Turns = Long Term Physical Traded Market / Addressable Consumption</t>
  </si>
  <si>
    <t>Potential Financial Turns = Long Term Financial Traded Market / Addressable Consumption</t>
  </si>
  <si>
    <t>Average Commission per Unit Traded</t>
  </si>
  <si>
    <r>
      <t>Source for Price</t>
    </r>
    <r>
      <rPr>
        <sz val="10"/>
        <color indexed="10"/>
        <rFont val="Arial"/>
        <family val="2"/>
      </rPr>
      <t>: Oil and Gas Exploration Journal, Nov. 6 2000</t>
    </r>
  </si>
  <si>
    <t>Market Size 2000 (millions)</t>
  </si>
  <si>
    <t>Addressable Market (millions)</t>
  </si>
  <si>
    <t>Fully Commoditized Market Cash Flow</t>
  </si>
  <si>
    <t xml:space="preserve">    Fully Commoditized market</t>
  </si>
  <si>
    <t>Target Total</t>
  </si>
  <si>
    <t>Total Fully Commoditized Market</t>
  </si>
  <si>
    <t>Motor Gasoline          ( million barrels)</t>
  </si>
  <si>
    <t>Distillate Fuel Oil (million barrels)</t>
  </si>
  <si>
    <t>Residual Fuel Oil  (million barrels)</t>
  </si>
  <si>
    <t>Total Apparent Consumption (million barrels)</t>
  </si>
  <si>
    <t>Liquid Fuels Consumption</t>
  </si>
  <si>
    <t>World Total ( million barrels)</t>
  </si>
  <si>
    <t>2000 Market Size (millions)</t>
  </si>
  <si>
    <t>Data supplied by Peter Berzins, EOL</t>
  </si>
  <si>
    <t>Total Market (millions)</t>
  </si>
  <si>
    <t>Addressable Market US (millions)</t>
  </si>
  <si>
    <t>Addressable Market Foreign (millions)</t>
  </si>
  <si>
    <t>Total Addressable Market (millions)</t>
  </si>
  <si>
    <t>Market (millions)</t>
  </si>
  <si>
    <t>QTY                  (Million cu.ft.)</t>
  </si>
  <si>
    <t xml:space="preserve">Coal </t>
  </si>
  <si>
    <t>QTY                   (Million Short Tons)</t>
  </si>
  <si>
    <t xml:space="preserve">Emission Credits </t>
  </si>
  <si>
    <t>QTY (million Tons)</t>
  </si>
  <si>
    <t>Addressable US Market (millions)</t>
  </si>
  <si>
    <t>Addressable Foreign Market (millions)</t>
  </si>
  <si>
    <t>Gold          ('000 Tons)</t>
  </si>
  <si>
    <t>Silver       ('000 Tons)</t>
  </si>
  <si>
    <t>Copper                ('000 Tons)</t>
  </si>
  <si>
    <t>Aluminum             ('000 Tons)</t>
  </si>
  <si>
    <t xml:space="preserve">Forest Products </t>
  </si>
  <si>
    <t>Addressable Market Rest of the World (millions)</t>
  </si>
  <si>
    <t>Soybeans  (million tons)</t>
  </si>
  <si>
    <t>Corn     (million tons)</t>
  </si>
  <si>
    <t>Total Market (Millions)</t>
  </si>
  <si>
    <t>Worldwide ('000 Tons)</t>
  </si>
  <si>
    <t>Total Market Size (millions)</t>
  </si>
  <si>
    <t>Non Ferrous ('000 Tons)</t>
  </si>
  <si>
    <t>Enron  % of Traded Market      (Exchange +OTC)</t>
  </si>
  <si>
    <t>Total         ('000 Tons)</t>
  </si>
  <si>
    <t>Total           (million tons)</t>
  </si>
  <si>
    <t>Wheat       (million tons)</t>
  </si>
  <si>
    <t>WTI              (per barrel)</t>
  </si>
  <si>
    <t>Qty                     (millions of barrels)</t>
  </si>
  <si>
    <t>Other                (million barrels)</t>
  </si>
  <si>
    <t>Jet Fuel               (million barrels)</t>
  </si>
  <si>
    <t>Kerosene            (million barrels)</t>
  </si>
  <si>
    <t>Liquefied Petroleum Gases                 (million barrels)</t>
  </si>
  <si>
    <t xml:space="preserve">Electricity                                                                                                              </t>
  </si>
  <si>
    <t>QTY                   (Billion KWHours)</t>
  </si>
  <si>
    <t>Price      (per KWh)</t>
  </si>
  <si>
    <t>Market Size    (millions)</t>
  </si>
  <si>
    <t>Addressable Market       (millions)</t>
  </si>
  <si>
    <t>Transaction Size Average</t>
  </si>
  <si>
    <t>Unit</t>
  </si>
  <si>
    <t>mcf</t>
  </si>
  <si>
    <t>QTY                (bcf)</t>
  </si>
  <si>
    <t>kwh</t>
  </si>
  <si>
    <t>Tons</t>
  </si>
  <si>
    <t>Steel           ('000 Tons)</t>
  </si>
  <si>
    <t>Physical Commoditization Speed</t>
  </si>
  <si>
    <t>Financial Commoditization Speed</t>
  </si>
  <si>
    <t>Transaction Clearing Fee</t>
  </si>
  <si>
    <t>Value Added Services</t>
  </si>
  <si>
    <t>M</t>
  </si>
  <si>
    <t>Total market (millions)</t>
  </si>
  <si>
    <t>Physical Market (millions)</t>
  </si>
  <si>
    <t>Financial Market (millions)</t>
  </si>
  <si>
    <t>Actual Tradeable market</t>
  </si>
  <si>
    <t xml:space="preserve">    Tradeable market</t>
  </si>
  <si>
    <t xml:space="preserve">    Addressable Tradeable Market</t>
  </si>
  <si>
    <t>Equivalent %</t>
  </si>
  <si>
    <t>GDP NUMBERS * POTENTIAL PHYSICAL TURNS</t>
  </si>
  <si>
    <t>GDP NUMBERS * POTENTIAL (PHYSICAL + FINANCIAL) TURNS</t>
  </si>
  <si>
    <t>GDP NUMBERS * POTENTIAL (PHYSICAL + FINANCIAL) TURNS * COMMODITIZATION SPEED *ADDRESSABLE % * EOL SHARE</t>
  </si>
  <si>
    <t>GDP NUMBERS * POTENTIAL (PHYSICAL + FINANCIAL) TURNS * COMMODITIZATION SPEED * ADDRESSABLE %</t>
  </si>
  <si>
    <t>GDP NUMBERS * POTENTIAL (PHYSICAL + FINANCIAL) TURNS * COMMODITIZATION SPEED</t>
  </si>
  <si>
    <t>Total Combined Cash Flow</t>
  </si>
  <si>
    <t>GDP NUMBERS * POTENTIAL TURNS * COMMODITIZATION SPEED</t>
  </si>
  <si>
    <t>GDP NUMBERS * POTENTIAL TURNS * COMMODITIZATION SPEED * ADDRESSABLE %</t>
  </si>
  <si>
    <t>GDP NUMBERS * POTENTIAL TURNS * COMMODITIZATION SPEED *ADDRESSABLE % * EOL SHARE</t>
  </si>
  <si>
    <t>GDP LIKE CONSUMPTION NUMBERS</t>
  </si>
  <si>
    <t xml:space="preserve"> POTENTIAL PHYSICAL + FINANCIAL TURNS MULTIPLIER</t>
  </si>
  <si>
    <t>COMMODITIZATION PERCENTAGE</t>
  </si>
  <si>
    <t>ADDRESSABLE MARKET MULTIPLIER</t>
  </si>
  <si>
    <t>EOL SHARE</t>
  </si>
  <si>
    <t>FULLY COMMODITIZED MARKET (CONSUMPTION * TURNS)</t>
  </si>
  <si>
    <t>TRADEABLE MARKET ( FULLY COMMODITIZED * % COMMODITIZED)</t>
  </si>
  <si>
    <t>ADDRESSABLE TRADEABLE MARKET (TRADEABLE MARKET LESS INTEGRATED)</t>
  </si>
  <si>
    <t>EOL TRADED MARKET ( ADDRESSABLE TRADEABLE * EOL SHARE)</t>
  </si>
  <si>
    <t>Total Enron Yearly Transaction Volume (million units)</t>
  </si>
  <si>
    <t>Enron Yearly Traded Volume (millions)</t>
  </si>
  <si>
    <t>GDP NUMBERS * POTENTIAL ADJUSTED FINANCIAL TURNS</t>
  </si>
  <si>
    <t>GDP NUMBERS  (Volume * Avg. Price)</t>
  </si>
  <si>
    <t>(Dollar amounts in millions)</t>
  </si>
  <si>
    <t>OIL NUMBERS 2001</t>
  </si>
  <si>
    <t xml:space="preserve">See Sources for Assumptions Highlighted in Pages 5 and 8 </t>
  </si>
  <si>
    <t>Daily EOL Volume</t>
  </si>
  <si>
    <t>Control Page</t>
  </si>
  <si>
    <t>Include (1=yes, 0=no)</t>
  </si>
  <si>
    <t>Week of 12/1</t>
  </si>
  <si>
    <t>US gas</t>
  </si>
  <si>
    <t>Canadian Gas</t>
  </si>
  <si>
    <t>Continental Gas</t>
  </si>
  <si>
    <t>UK gas</t>
  </si>
  <si>
    <t>Broadband</t>
  </si>
  <si>
    <t>US East Power</t>
  </si>
  <si>
    <t>US West Power</t>
  </si>
  <si>
    <t>Australian Power</t>
  </si>
  <si>
    <t>Austrian Power</t>
  </si>
  <si>
    <t>Dutch Power</t>
  </si>
  <si>
    <t>German Power</t>
  </si>
  <si>
    <t>Iberian Power</t>
  </si>
  <si>
    <t>Swiss Power</t>
  </si>
  <si>
    <t>Other continental Power</t>
  </si>
  <si>
    <t>Nordic Power</t>
  </si>
  <si>
    <t>UK Power</t>
  </si>
  <si>
    <t>Crude &amp; Products</t>
  </si>
  <si>
    <t>LPG</t>
  </si>
  <si>
    <t>Plastics</t>
  </si>
  <si>
    <t>Petrochemicals</t>
  </si>
  <si>
    <t>Coal International</t>
  </si>
  <si>
    <t>Sea Freight</t>
  </si>
  <si>
    <t>Emissions</t>
  </si>
  <si>
    <t>Pulp and Paper</t>
  </si>
  <si>
    <t>Weather US</t>
  </si>
  <si>
    <t>Weather Europe</t>
  </si>
  <si>
    <t>Weather Asia</t>
  </si>
  <si>
    <t>WTD</t>
  </si>
  <si>
    <t>MTD</t>
  </si>
  <si>
    <t>Daily Transactions</t>
  </si>
  <si>
    <t>Notional Volume</t>
  </si>
  <si>
    <t xml:space="preserve">WTD </t>
  </si>
  <si>
    <t>Notional Value</t>
  </si>
  <si>
    <t>Nov</t>
  </si>
  <si>
    <t>G</t>
  </si>
  <si>
    <t>B</t>
  </si>
  <si>
    <t>P</t>
  </si>
  <si>
    <t>C</t>
  </si>
  <si>
    <t>L</t>
  </si>
  <si>
    <t>PL</t>
  </si>
  <si>
    <t>PE</t>
  </si>
  <si>
    <t>F</t>
  </si>
  <si>
    <t>E</t>
  </si>
  <si>
    <t>PU</t>
  </si>
  <si>
    <t>W</t>
  </si>
  <si>
    <t>G Total</t>
  </si>
  <si>
    <t>B Total</t>
  </si>
  <si>
    <t>P Total</t>
  </si>
  <si>
    <t>C Total</t>
  </si>
  <si>
    <t>L Total</t>
  </si>
  <si>
    <t>PL Total</t>
  </si>
  <si>
    <t>PE Total</t>
  </si>
  <si>
    <t>F Total</t>
  </si>
  <si>
    <t>E Total</t>
  </si>
  <si>
    <t>PU Total</t>
  </si>
  <si>
    <t>W Total</t>
  </si>
  <si>
    <t>M Total</t>
  </si>
  <si>
    <t>Grand Total</t>
  </si>
  <si>
    <t>GAS TOTAL</t>
  </si>
  <si>
    <t>BROADBAND TOTAL</t>
  </si>
  <si>
    <t>POWER TOTAL</t>
  </si>
  <si>
    <t>CRUDE TOTAL</t>
  </si>
  <si>
    <t>LPG TOTAL</t>
  </si>
  <si>
    <t>PLASTICS TOTAL</t>
  </si>
  <si>
    <t>PETROCHEMICALS TOTAL</t>
  </si>
  <si>
    <t>COAL TOTAL</t>
  </si>
  <si>
    <t>LOGISTICS TOTAL</t>
  </si>
  <si>
    <t>EMISSION TOTAL</t>
  </si>
  <si>
    <t>FOREST PRODUCTS TOTAL</t>
  </si>
  <si>
    <t>WEATHER TOTAL</t>
  </si>
  <si>
    <t>METALS TOTAL</t>
  </si>
  <si>
    <t>2001 Forecast</t>
  </si>
  <si>
    <t>2000 Eol Volume</t>
  </si>
  <si>
    <t xml:space="preserve">    EOL Share with Market Makers</t>
  </si>
  <si>
    <t>EOL Share Cash Flow  Market Makers</t>
  </si>
  <si>
    <t>EOL Share Cash Flow Market Makers</t>
  </si>
  <si>
    <t>GDP NUMBERS * POTENTIAL TURNS * COMMODITIZATION SPEED *ADDRESSABLE % * EOL SHARE WITH MARKET MAKERS</t>
  </si>
  <si>
    <t>Responsabilities include:</t>
  </si>
  <si>
    <t>Responsabilities do not include:</t>
  </si>
  <si>
    <t>Clearing of transaction</t>
  </si>
  <si>
    <t>Payment of fees with exchanges</t>
  </si>
  <si>
    <t>Product control</t>
  </si>
  <si>
    <t>Credit function</t>
  </si>
  <si>
    <t>IT Management</t>
  </si>
  <si>
    <t xml:space="preserve">     Product creation, modification </t>
  </si>
  <si>
    <t xml:space="preserve">     User database management</t>
  </si>
  <si>
    <t xml:space="preserve">     Reporting</t>
  </si>
  <si>
    <t xml:space="preserve">     Call Center</t>
  </si>
  <si>
    <t xml:space="preserve">    Day to day maintenance</t>
  </si>
  <si>
    <t xml:space="preserve">    Site Updates</t>
  </si>
  <si>
    <t>IT Hardware &amp; Software</t>
  </si>
  <si>
    <t>Product Control Support</t>
  </si>
  <si>
    <t xml:space="preserve">    Reporting</t>
  </si>
  <si>
    <t>Equivalent Present Value Cash Flow MM</t>
  </si>
  <si>
    <t>Equivalent Present Value Cash Flow EOL only</t>
  </si>
  <si>
    <t>YEARLY CASH FLOW</t>
  </si>
  <si>
    <t>Revenue Model</t>
  </si>
  <si>
    <t>Private Label</t>
  </si>
  <si>
    <t>Many to Many</t>
  </si>
  <si>
    <t>Dissolving Pulp      (Thousand Tons)</t>
  </si>
  <si>
    <t>Newsprint (Thousand Tons)</t>
  </si>
  <si>
    <t>Printing          (Thousand Tons)</t>
  </si>
  <si>
    <t>Packaging (Thousand Tons)</t>
  </si>
  <si>
    <t>Other         (Thousand Tons)</t>
  </si>
  <si>
    <t>Waste        (Thousand Tons)</t>
  </si>
  <si>
    <t>Market Pulp (Thousand Tons)</t>
  </si>
  <si>
    <t>Lumber         (Thousand Tons)</t>
  </si>
  <si>
    <t>Total            (Thousand Tons)</t>
  </si>
  <si>
    <t>1/ Transaction Fee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</si>
  <si>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</si>
  <si>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</si>
  <si>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</si>
  <si>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</si>
  <si>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</si>
  <si>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</si>
  <si>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</si>
  <si>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</si>
  <si>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</si>
  <si>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</si>
  <si>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</si>
  <si>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</si>
  <si>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</si>
  <si>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</si>
  <si>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</si>
  <si>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</si>
  <si>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</si>
  <si>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</si>
  <si>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</si>
  <si>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</si>
  <si>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</si>
  <si>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</si>
  <si>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</si>
  <si>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</si>
  <si>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</si>
  <si>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</si>
  <si>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</si>
  <si>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</si>
  <si>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</si>
  <si>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</si>
  <si>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</si>
  <si>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</si>
  <si>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</si>
  <si>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</si>
  <si>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</si>
  <si>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</si>
  <si>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</si>
  <si>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</si>
  <si>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</si>
  <si>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</si>
  <si>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</si>
  <si>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</si>
  <si>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Technology(Input section below)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</si>
  <si>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</si>
  <si>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</si>
  <si>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</si>
  <si>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</si>
  <si>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</si>
  <si>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</si>
  <si>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</si>
  <si>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</si>
  <si>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IT</t>
  </si>
  <si>
    <t>Rent</t>
  </si>
  <si>
    <t>OUTSOURCING CHARGE PER PRIVATE LABEL</t>
  </si>
  <si>
    <t>Administrative Expenses for Private Label</t>
  </si>
  <si>
    <t>Private Label Customers signed up</t>
  </si>
  <si>
    <t>Revenues per Private Label Customer</t>
  </si>
  <si>
    <t>% of Amount Traded Fee</t>
  </si>
  <si>
    <t>% of Operating Expenses Fee</t>
  </si>
  <si>
    <t>One time Lump Sum per Private Label</t>
  </si>
  <si>
    <t>Yearly Maintenance Fee per Private Label</t>
  </si>
  <si>
    <t>Per Transaction Fee for Private Label</t>
  </si>
  <si>
    <t>% of amount Traded Fee</t>
  </si>
  <si>
    <t>Credit Related Interest Spreads</t>
  </si>
  <si>
    <t>Other Fees as a % of Amount Traded</t>
  </si>
  <si>
    <t>Hosting Fees</t>
  </si>
  <si>
    <t>Other Fees as a % of Operating Expenses</t>
  </si>
  <si>
    <t>Private Label Assumptions</t>
  </si>
  <si>
    <t>Number of Transactions per Year</t>
  </si>
  <si>
    <t>Total Revenues</t>
  </si>
  <si>
    <t>Grand total</t>
  </si>
  <si>
    <t>Many to Many Assumptions</t>
  </si>
  <si>
    <t>One Time Lump Sum ($ '000)</t>
  </si>
  <si>
    <t>Yearly Fee   ($'000)</t>
  </si>
  <si>
    <t xml:space="preserve">% of the Market per Private Label Added </t>
  </si>
  <si>
    <t xml:space="preserve">% of Operating Expenses Fee </t>
  </si>
  <si>
    <t>Lump Sum Licensing Rights ($'000)</t>
  </si>
  <si>
    <t>Lump Sum for Brand          ($'000)</t>
  </si>
  <si>
    <t>Other Lump Sum ($'000)</t>
  </si>
  <si>
    <t>Yearly Licensing Rights ($'000)</t>
  </si>
  <si>
    <t>Yearly Fee from Upgrades ($'000)</t>
  </si>
  <si>
    <t>Yearly Maintenance Fee ($'000)</t>
  </si>
  <si>
    <t>Yearly Advertising Revenue ($'000)</t>
  </si>
  <si>
    <t>Yearly Revenue for Value Added Services ($'000)</t>
  </si>
  <si>
    <t>Other Yearly Revenues ($'000)</t>
  </si>
  <si>
    <t>Inspection and Consulting Fees</t>
  </si>
  <si>
    <t>Per Transaction Fee ($)</t>
  </si>
  <si>
    <t>Transaction Processing Fee ($)</t>
  </si>
  <si>
    <t>Transaction Clearing Fee ($)</t>
  </si>
  <si>
    <t>Per Transaction Reporting Fee ($)</t>
  </si>
  <si>
    <t>Other Per Transaction Fees ($)</t>
  </si>
  <si>
    <t>Include Hosting (1=yes, 0=no)</t>
  </si>
  <si>
    <t>Total Revenues ($'000)</t>
  </si>
  <si>
    <t>Revenues From Lump Sum Payments($000)</t>
  </si>
  <si>
    <t>Revenues from per Transaction Fees($'000)</t>
  </si>
  <si>
    <t>Revenues from per Amount Traded($'000)</t>
  </si>
  <si>
    <t>Cum. PPI</t>
  </si>
  <si>
    <t>Transaction Fee Revenue Model</t>
  </si>
  <si>
    <t>Many to Many Value Added Services</t>
  </si>
  <si>
    <t>Membership Fee ($'000)</t>
  </si>
  <si>
    <t>Many to Many Market Launched</t>
  </si>
  <si>
    <t>Lump Sum Fee ($'000)</t>
  </si>
  <si>
    <t>Yearly Membership Fees ($'000)</t>
  </si>
  <si>
    <t>Yearly Fees From Sale of Information ($'000)</t>
  </si>
  <si>
    <t>One time Lump Sum for Many to Many</t>
  </si>
  <si>
    <t>Yearly Maintenance Fee for Many to Many</t>
  </si>
  <si>
    <t>Per Transaction Fee for Many to Many</t>
  </si>
  <si>
    <t>% of amount Traded Fee for Many to Many</t>
  </si>
  <si>
    <t>Revenues from ongoing Yearly Fees ($'000)</t>
  </si>
  <si>
    <t>Transaction Fees ($'000)</t>
  </si>
  <si>
    <t>Revenues From Lump Sum Payments ($'000)</t>
  </si>
  <si>
    <t>Revenues from per Amount Traded ($'000)</t>
  </si>
  <si>
    <t>Revenues from % of Operational Expenses ($'000)</t>
  </si>
  <si>
    <t>Lump Sum Development Margin '($'000)</t>
  </si>
  <si>
    <t>Fixed</t>
  </si>
  <si>
    <t>Variable</t>
  </si>
  <si>
    <t>Total Fixed Direct Expenses</t>
  </si>
  <si>
    <t>Total Variable Direct Expenses</t>
  </si>
  <si>
    <t>Cash Flow</t>
  </si>
  <si>
    <t>Revenue from Private Label Activity</t>
  </si>
  <si>
    <t>Cash Flow ($'000)</t>
  </si>
  <si>
    <t>Revenue from Market Making Activity</t>
  </si>
  <si>
    <t>Revenue from ASP Activity</t>
  </si>
  <si>
    <t>SAP COST</t>
  </si>
  <si>
    <t>DIRECT EXPENSES</t>
  </si>
  <si>
    <t>Corporate IT</t>
  </si>
  <si>
    <t>Corporate Rent</t>
  </si>
  <si>
    <t>A&amp;A Allocation</t>
  </si>
  <si>
    <t>E N R O N   NETWORKS</t>
  </si>
  <si>
    <t>2 0 0 1   P L A N</t>
  </si>
  <si>
    <t>EOL Operation and Development Budget</t>
  </si>
  <si>
    <t>Revenues</t>
  </si>
  <si>
    <t>Fixed Operating &amp; Development Expenses</t>
  </si>
  <si>
    <t>Variable Private Label Expenses</t>
  </si>
  <si>
    <t>Operating and Marketing Expenses</t>
  </si>
  <si>
    <t>Total Private Label</t>
  </si>
  <si>
    <t>Total Selected</t>
  </si>
  <si>
    <t>Total Gross Margin</t>
  </si>
  <si>
    <t>Assets</t>
  </si>
  <si>
    <t>Cash</t>
  </si>
  <si>
    <t>Current Assets</t>
  </si>
  <si>
    <t>Marketable Securities</t>
  </si>
  <si>
    <t>Accounts Receivable</t>
  </si>
  <si>
    <t>Inventories</t>
  </si>
  <si>
    <t>Work in progress</t>
  </si>
  <si>
    <t>Prepaid Expenses</t>
  </si>
  <si>
    <t>Total Current Assets</t>
  </si>
  <si>
    <t>Non Current Assets</t>
  </si>
  <si>
    <t>Property, Plant and Equipment</t>
  </si>
  <si>
    <t>Development in Progress</t>
  </si>
  <si>
    <t>Intangible Assets EOL</t>
  </si>
  <si>
    <t>Total Non Current Assets</t>
  </si>
  <si>
    <t>Other Assets</t>
  </si>
  <si>
    <t>Current Liabilities</t>
  </si>
  <si>
    <t>Short term Loans</t>
  </si>
  <si>
    <t>Current Portion of Long Term Debt</t>
  </si>
  <si>
    <t>Accounts Payable</t>
  </si>
  <si>
    <t>Total Current Liabilities</t>
  </si>
  <si>
    <t>Long Term Liabilities</t>
  </si>
  <si>
    <t>Long Term Debt</t>
  </si>
  <si>
    <t>Allowance for Retirement Benefits</t>
  </si>
  <si>
    <t>Liabilities</t>
  </si>
  <si>
    <t>Other Long Term Liabilities</t>
  </si>
  <si>
    <t>Stockholder's equity</t>
  </si>
  <si>
    <t>Common Stock</t>
  </si>
  <si>
    <t>Authorized</t>
  </si>
  <si>
    <t>Issued</t>
  </si>
  <si>
    <t>Preferred Stock</t>
  </si>
  <si>
    <t>Retained Earnings</t>
  </si>
  <si>
    <t>Total Long Term Liabilities</t>
  </si>
  <si>
    <t>Total Stockholders equity</t>
  </si>
  <si>
    <t xml:space="preserve">    Minus Accumulated Depreciation</t>
  </si>
  <si>
    <t>Balance Sheet ($'000)</t>
  </si>
  <si>
    <t>Total Liabilities + Stockholder's Equity</t>
  </si>
  <si>
    <t>Total Liabilities</t>
  </si>
  <si>
    <t>Third Party Percentage in SPV</t>
  </si>
  <si>
    <t>Payment to Enron</t>
  </si>
  <si>
    <t>Operating Expenses</t>
  </si>
  <si>
    <t>Total Operating Expenses</t>
  </si>
  <si>
    <t>Interest rate on Long Term Debt</t>
  </si>
  <si>
    <t>Amortization</t>
  </si>
  <si>
    <t>Years</t>
  </si>
  <si>
    <t>Tax Amortization Life for Intangibles</t>
  </si>
  <si>
    <t xml:space="preserve">   Minus Interest Expense</t>
  </si>
  <si>
    <t>Depreciation</t>
  </si>
  <si>
    <t xml:space="preserve">    Minus Accumulated Amortization</t>
  </si>
  <si>
    <t>Tax Depreciation Life of Fixed Assets</t>
  </si>
  <si>
    <t>Plus Other Income</t>
  </si>
  <si>
    <t>Net Income</t>
  </si>
  <si>
    <t>Taxes</t>
  </si>
  <si>
    <t>Tax Rate for SPV</t>
  </si>
  <si>
    <t>Add back Depreciation and Amortization</t>
  </si>
  <si>
    <t>Gross Cash Flow</t>
  </si>
  <si>
    <t>Capital Expenditures</t>
  </si>
  <si>
    <t>Changes in Other Assets</t>
  </si>
  <si>
    <t>Changes in Working Capital</t>
  </si>
  <si>
    <t>Terminal Value Growth Rate</t>
  </si>
  <si>
    <t>Terminal Value Multiple</t>
  </si>
  <si>
    <t>Net Present Value</t>
  </si>
  <si>
    <t>Value</t>
  </si>
  <si>
    <t>Description</t>
  </si>
  <si>
    <t>Outsourcing Revenue Margin on Enron</t>
  </si>
  <si>
    <t>Initial Cash Position in SPV</t>
  </si>
  <si>
    <t>($'000)</t>
  </si>
  <si>
    <t>Many to Many Revenue</t>
  </si>
  <si>
    <t>Private Label Revenue</t>
  </si>
  <si>
    <t>Type</t>
  </si>
  <si>
    <t>General Assumptions</t>
  </si>
  <si>
    <t>Outsourcing</t>
  </si>
  <si>
    <t>Outsourcing and Acquisition Assumptions</t>
  </si>
  <si>
    <t>Outsourcing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</si>
</sst>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72" formatCode="0.000"/>
    <numFmt numFmtId="174" formatCode="&quot;$&quot;#,##0.0000"/>
    <numFmt numFmtId="175" formatCode="&quot;$&quot;#,##0.00"/>
    <numFmt numFmtId="177" formatCode="_(&quot;$&quot;* #,##0.0000_);_(&quot;$&quot;* \(#,##0.0000\);_(&quot;$&quot;* &quot;-&quot;??_);_(@_)"/>
    <numFmt numFmtId="178" formatCode="0.000%"/>
    <numFmt numFmtId="179" formatCode="0.0000%"/>
    <numFmt numFmtId="181" formatCode="_(&quot;$&quot;* #,##0_);_(&quot;$&quot;* \(#,##0\);_(&quot;$&quot;* &quot;-&quot;??_);_(@_)"/>
  </numFmts>
  <fonts count="48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24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u/>
      <sz val="20"/>
      <color indexed="12"/>
      <name val="Arial"/>
      <family val="2"/>
    </font>
    <font>
      <b/>
      <sz val="10"/>
      <color indexed="13"/>
      <name val="Arial"/>
      <family val="2"/>
    </font>
    <font>
      <b/>
      <sz val="10"/>
      <color indexed="43"/>
      <name val="Arial"/>
      <family val="2"/>
    </font>
    <font>
      <sz val="14"/>
      <color indexed="17"/>
      <name val="Arial"/>
      <family val="2"/>
    </font>
    <font>
      <b/>
      <sz val="10"/>
      <color indexed="8"/>
      <name val="Arial"/>
      <family val="2"/>
    </font>
    <font>
      <b/>
      <sz val="20"/>
      <color indexed="8"/>
      <name val="Arial"/>
      <family val="2"/>
    </font>
    <font>
      <b/>
      <u/>
      <sz val="26"/>
      <color indexed="12"/>
      <name val="Arial"/>
      <family val="2"/>
    </font>
    <font>
      <b/>
      <sz val="16"/>
      <name val="Arial"/>
      <family val="2"/>
    </font>
    <font>
      <b/>
      <sz val="20"/>
      <color indexed="12"/>
      <name val="Arial"/>
      <family val="2"/>
    </font>
    <font>
      <sz val="2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0"/>
      <color indexed="57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 Narrow"/>
      <family val="2"/>
    </font>
    <font>
      <b/>
      <sz val="9"/>
      <color indexed="56"/>
      <name val="Arial Narrow"/>
      <family val="2"/>
    </font>
    <font>
      <b/>
      <sz val="10"/>
      <color indexed="56"/>
      <name val="Arial Narrow"/>
      <family val="2"/>
    </font>
    <font>
      <b/>
      <sz val="22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sz val="8"/>
      <color indexed="8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name val="Tahoma"/>
    </font>
    <font>
      <sz val="10"/>
      <color indexed="56"/>
      <name val="Arial Narrow"/>
      <family val="2"/>
    </font>
    <font>
      <b/>
      <sz val="10"/>
      <color indexed="57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/>
    <xf numFmtId="9" fontId="1" fillId="0" borderId="0" applyFont="0" applyFill="0" applyBorder="0" applyAlignment="0" applyProtection="0"/>
  </cellStyleXfs>
  <cellXfs count="706">
    <xf numFmtId="0" fontId="0" fillId="0" borderId="0" xfId="0"/>
    <xf numFmtId="43" fontId="0" fillId="0" borderId="0" xfId="1" applyFont="1"/>
    <xf numFmtId="3" fontId="2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3" fillId="0" borderId="6" xfId="0" applyNumberFormat="1" applyFont="1" applyFill="1" applyBorder="1" applyAlignment="1" applyProtection="1">
      <alignment horizontal="right"/>
      <protection locked="0"/>
    </xf>
    <xf numFmtId="0" fontId="0" fillId="0" borderId="7" xfId="0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Fill="1" applyBorder="1" applyAlignment="1" applyProtection="1">
      <alignment horizontal="left"/>
      <protection locked="0"/>
    </xf>
    <xf numFmtId="3" fontId="3" fillId="0" borderId="6" xfId="0" applyNumberFormat="1" applyFont="1" applyFill="1" applyBorder="1" applyAlignment="1" applyProtection="1"/>
    <xf numFmtId="3" fontId="2" fillId="0" borderId="1" xfId="0" applyNumberFormat="1" applyFont="1" applyFill="1" applyBorder="1" applyAlignment="1" applyProtection="1"/>
    <xf numFmtId="3" fontId="2" fillId="0" borderId="8" xfId="0" applyNumberFormat="1" applyFont="1" applyFill="1" applyBorder="1" applyAlignment="1" applyProtection="1"/>
    <xf numFmtId="3" fontId="2" fillId="0" borderId="9" xfId="0" applyNumberFormat="1" applyFont="1" applyFill="1" applyBorder="1" applyAlignment="1" applyProtection="1"/>
    <xf numFmtId="3" fontId="3" fillId="0" borderId="10" xfId="0" applyNumberFormat="1" applyFont="1" applyFill="1" applyBorder="1" applyAlignment="1" applyProtection="1"/>
    <xf numFmtId="3" fontId="3" fillId="0" borderId="7" xfId="0" applyNumberFormat="1" applyFont="1" applyFill="1" applyBorder="1" applyAlignment="1" applyProtection="1"/>
    <xf numFmtId="3" fontId="2" fillId="0" borderId="3" xfId="0" applyNumberFormat="1" applyFont="1" applyFill="1" applyBorder="1" applyAlignment="1" applyProtection="1"/>
    <xf numFmtId="3" fontId="3" fillId="0" borderId="5" xfId="0" applyNumberFormat="1" applyFont="1" applyFill="1" applyBorder="1" applyAlignment="1" applyProtection="1"/>
    <xf numFmtId="3" fontId="3" fillId="0" borderId="2" xfId="0" applyNumberFormat="1" applyFont="1" applyFill="1" applyBorder="1" applyAlignment="1" applyProtection="1"/>
    <xf numFmtId="3" fontId="3" fillId="0" borderId="8" xfId="0" applyNumberFormat="1" applyFont="1" applyFill="1" applyBorder="1" applyAlignment="1" applyProtection="1"/>
    <xf numFmtId="3" fontId="3" fillId="0" borderId="9" xfId="0" applyNumberFormat="1" applyFont="1" applyFill="1" applyBorder="1" applyAlignment="1" applyProtection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4" fillId="0" borderId="0" xfId="0" applyFont="1" applyBorder="1"/>
    <xf numFmtId="0" fontId="4" fillId="0" borderId="12" xfId="0" applyFont="1" applyBorder="1"/>
    <xf numFmtId="0" fontId="7" fillId="0" borderId="5" xfId="0" applyFont="1" applyBorder="1"/>
    <xf numFmtId="3" fontId="9" fillId="0" borderId="0" xfId="0" applyNumberFormat="1" applyFont="1" applyFill="1" applyBorder="1" applyAlignment="1" applyProtection="1"/>
    <xf numFmtId="3" fontId="10" fillId="0" borderId="0" xfId="0" applyNumberFormat="1" applyFont="1" applyFill="1" applyBorder="1" applyAlignment="1" applyProtection="1"/>
    <xf numFmtId="0" fontId="11" fillId="0" borderId="0" xfId="0" applyFont="1"/>
    <xf numFmtId="0" fontId="12" fillId="0" borderId="0" xfId="0" applyFont="1"/>
    <xf numFmtId="0" fontId="11" fillId="0" borderId="0" xfId="0" applyFont="1" applyBorder="1"/>
    <xf numFmtId="0" fontId="12" fillId="0" borderId="0" xfId="0" applyFont="1" applyBorder="1"/>
    <xf numFmtId="166" fontId="3" fillId="0" borderId="0" xfId="1" applyNumberFormat="1" applyFont="1" applyFill="1" applyBorder="1" applyAlignment="1" applyProtection="1"/>
    <xf numFmtId="9" fontId="0" fillId="0" borderId="13" xfId="0" applyNumberFormat="1" applyBorder="1"/>
    <xf numFmtId="9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0" applyNumberFormat="1" applyBorder="1"/>
    <xf numFmtId="0" fontId="4" fillId="2" borderId="12" xfId="0" applyFont="1" applyFill="1" applyBorder="1"/>
    <xf numFmtId="9" fontId="0" fillId="3" borderId="13" xfId="0" applyNumberFormat="1" applyFill="1" applyBorder="1"/>
    <xf numFmtId="9" fontId="0" fillId="0" borderId="22" xfId="0" applyNumberForma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8" xfId="0" applyFont="1" applyFill="1" applyBorder="1"/>
    <xf numFmtId="0" fontId="4" fillId="2" borderId="23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9" fontId="0" fillId="3" borderId="24" xfId="0" applyNumberFormat="1" applyFill="1" applyBorder="1"/>
    <xf numFmtId="165" fontId="0" fillId="0" borderId="0" xfId="1" applyNumberFormat="1" applyFont="1" applyBorder="1"/>
    <xf numFmtId="9" fontId="0" fillId="0" borderId="25" xfId="0" applyNumberForma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29" xfId="0" applyBorder="1"/>
    <xf numFmtId="0" fontId="0" fillId="0" borderId="30" xfId="0" applyBorder="1"/>
    <xf numFmtId="9" fontId="0" fillId="0" borderId="31" xfId="0" applyNumberFormat="1" applyBorder="1"/>
    <xf numFmtId="9" fontId="0" fillId="0" borderId="6" xfId="0" applyNumberFormat="1" applyBorder="1"/>
    <xf numFmtId="9" fontId="0" fillId="0" borderId="11" xfId="0" applyNumberFormat="1" applyBorder="1"/>
    <xf numFmtId="0" fontId="4" fillId="2" borderId="1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3" borderId="35" xfId="0" applyNumberFormat="1" applyFill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3" borderId="24" xfId="0" applyNumberFormat="1" applyFill="1" applyBorder="1" applyAlignment="1">
      <alignment horizontal="center"/>
    </xf>
    <xf numFmtId="0" fontId="4" fillId="2" borderId="1" xfId="0" applyFont="1" applyFill="1" applyBorder="1"/>
    <xf numFmtId="9" fontId="0" fillId="0" borderId="36" xfId="4" applyFont="1" applyBorder="1"/>
    <xf numFmtId="9" fontId="0" fillId="0" borderId="14" xfId="4" applyFont="1" applyBorder="1"/>
    <xf numFmtId="9" fontId="0" fillId="3" borderId="14" xfId="4" applyFont="1" applyFill="1" applyBorder="1"/>
    <xf numFmtId="9" fontId="0" fillId="3" borderId="37" xfId="4" applyFont="1" applyFill="1" applyBorder="1" applyAlignment="1">
      <alignment horizontal="center"/>
    </xf>
    <xf numFmtId="9" fontId="0" fillId="0" borderId="0" xfId="0" applyNumberFormat="1" applyBorder="1"/>
    <xf numFmtId="0" fontId="15" fillId="0" borderId="0" xfId="0" applyFont="1" applyFill="1"/>
    <xf numFmtId="0" fontId="4" fillId="2" borderId="31" xfId="0" applyFont="1" applyFill="1" applyBorder="1" applyAlignment="1">
      <alignment horizontal="center" wrapText="1"/>
    </xf>
    <xf numFmtId="10" fontId="0" fillId="0" borderId="25" xfId="0" applyNumberFormat="1" applyBorder="1"/>
    <xf numFmtId="166" fontId="4" fillId="0" borderId="0" xfId="1" applyNumberFormat="1" applyFont="1" applyBorder="1"/>
    <xf numFmtId="0" fontId="0" fillId="0" borderId="6" xfId="0" applyBorder="1" applyAlignment="1">
      <alignment horizontal="center"/>
    </xf>
    <xf numFmtId="10" fontId="0" fillId="0" borderId="8" xfId="4" applyNumberFormat="1" applyFont="1" applyBorder="1"/>
    <xf numFmtId="10" fontId="0" fillId="0" borderId="9" xfId="4" applyNumberFormat="1" applyFont="1" applyBorder="1"/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3" borderId="3" xfId="4" applyFont="1" applyFill="1" applyBorder="1"/>
    <xf numFmtId="9" fontId="0" fillId="3" borderId="4" xfId="4" applyFont="1" applyFill="1" applyBorder="1"/>
    <xf numFmtId="9" fontId="0" fillId="3" borderId="5" xfId="4" applyFont="1" applyFill="1" applyBorder="1"/>
    <xf numFmtId="9" fontId="0" fillId="3" borderId="0" xfId="4" applyFont="1" applyFill="1" applyBorder="1"/>
    <xf numFmtId="9" fontId="0" fillId="3" borderId="6" xfId="4" applyFont="1" applyFill="1" applyBorder="1"/>
    <xf numFmtId="9" fontId="0" fillId="3" borderId="7" xfId="4" applyFont="1" applyFill="1" applyBorder="1"/>
    <xf numFmtId="9" fontId="0" fillId="3" borderId="10" xfId="4" applyFont="1" applyFill="1" applyBorder="1"/>
    <xf numFmtId="9" fontId="0" fillId="3" borderId="11" xfId="4" applyFont="1" applyFill="1" applyBorder="1"/>
    <xf numFmtId="43" fontId="0" fillId="0" borderId="9" xfId="1" applyFont="1" applyBorder="1"/>
    <xf numFmtId="0" fontId="0" fillId="0" borderId="12" xfId="0" applyBorder="1"/>
    <xf numFmtId="0" fontId="0" fillId="0" borderId="5" xfId="0" applyNumberFormat="1" applyFont="1" applyFill="1" applyBorder="1" applyAlignment="1" applyProtection="1"/>
    <xf numFmtId="0" fontId="0" fillId="0" borderId="0" xfId="0" applyFill="1" applyBorder="1"/>
    <xf numFmtId="166" fontId="1" fillId="0" borderId="0" xfId="1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65" fontId="0" fillId="0" borderId="36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0" fillId="0" borderId="37" xfId="1" applyNumberFormat="1" applyFont="1" applyBorder="1" applyAlignment="1">
      <alignment horizontal="right"/>
    </xf>
    <xf numFmtId="0" fontId="4" fillId="0" borderId="0" xfId="0" applyFont="1"/>
    <xf numFmtId="0" fontId="17" fillId="0" borderId="0" xfId="0" applyFont="1" applyFill="1"/>
    <xf numFmtId="0" fontId="19" fillId="0" borderId="0" xfId="0" applyFont="1"/>
    <xf numFmtId="0" fontId="4" fillId="2" borderId="27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44" fontId="0" fillId="0" borderId="4" xfId="2" applyFont="1" applyBorder="1" applyAlignment="1">
      <alignment horizontal="center"/>
    </xf>
    <xf numFmtId="44" fontId="0" fillId="0" borderId="6" xfId="2" applyFont="1" applyBorder="1" applyAlignment="1">
      <alignment horizontal="center"/>
    </xf>
    <xf numFmtId="44" fontId="0" fillId="0" borderId="11" xfId="2" applyFont="1" applyBorder="1" applyAlignment="1">
      <alignment horizontal="center"/>
    </xf>
    <xf numFmtId="9" fontId="0" fillId="0" borderId="21" xfId="0" applyNumberFormat="1" applyFill="1" applyBorder="1"/>
    <xf numFmtId="181" fontId="0" fillId="0" borderId="5" xfId="2" applyNumberFormat="1" applyFont="1" applyBorder="1"/>
    <xf numFmtId="181" fontId="0" fillId="0" borderId="0" xfId="2" applyNumberFormat="1" applyFont="1" applyBorder="1"/>
    <xf numFmtId="181" fontId="0" fillId="0" borderId="6" xfId="2" applyNumberFormat="1" applyFont="1" applyBorder="1"/>
    <xf numFmtId="181" fontId="0" fillId="0" borderId="7" xfId="2" applyNumberFormat="1" applyFont="1" applyBorder="1"/>
    <xf numFmtId="181" fontId="0" fillId="0" borderId="10" xfId="2" applyNumberFormat="1" applyFont="1" applyBorder="1"/>
    <xf numFmtId="181" fontId="0" fillId="0" borderId="11" xfId="2" applyNumberFormat="1" applyFont="1" applyBorder="1"/>
    <xf numFmtId="181" fontId="4" fillId="0" borderId="12" xfId="2" applyNumberFormat="1" applyFont="1" applyBorder="1"/>
    <xf numFmtId="181" fontId="0" fillId="0" borderId="2" xfId="2" applyNumberFormat="1" applyFont="1" applyBorder="1"/>
    <xf numFmtId="181" fontId="0" fillId="0" borderId="3" xfId="2" applyNumberFormat="1" applyFont="1" applyBorder="1"/>
    <xf numFmtId="181" fontId="0" fillId="0" borderId="4" xfId="2" applyNumberFormat="1" applyFont="1" applyBorder="1"/>
    <xf numFmtId="181" fontId="4" fillId="0" borderId="10" xfId="2" applyNumberFormat="1" applyFont="1" applyBorder="1"/>
    <xf numFmtId="181" fontId="4" fillId="0" borderId="11" xfId="2" applyNumberFormat="1" applyFont="1" applyBorder="1"/>
    <xf numFmtId="0" fontId="21" fillId="0" borderId="0" xfId="0" applyFont="1" applyFill="1" applyBorder="1"/>
    <xf numFmtId="44" fontId="3" fillId="0" borderId="0" xfId="2" applyFont="1" applyFill="1" applyBorder="1" applyAlignment="1" applyProtection="1">
      <alignment horizontal="right"/>
      <protection locked="0"/>
    </xf>
    <xf numFmtId="181" fontId="3" fillId="0" borderId="0" xfId="2" applyNumberFormat="1" applyFont="1" applyFill="1" applyBorder="1" applyAlignment="1" applyProtection="1">
      <alignment horizontal="right"/>
      <protection locked="0"/>
    </xf>
    <xf numFmtId="181" fontId="3" fillId="0" borderId="6" xfId="2" applyNumberFormat="1" applyFont="1" applyFill="1" applyBorder="1" applyAlignment="1" applyProtection="1">
      <alignment horizontal="right"/>
      <protection locked="0"/>
    </xf>
    <xf numFmtId="3" fontId="3" fillId="0" borderId="2" xfId="0" applyNumberFormat="1" applyFont="1" applyBorder="1"/>
    <xf numFmtId="3" fontId="3" fillId="0" borderId="5" xfId="0" applyNumberFormat="1" applyFont="1" applyFill="1" applyBorder="1" applyAlignment="1" applyProtection="1">
      <alignment horizontal="right"/>
      <protection locked="0"/>
    </xf>
    <xf numFmtId="44" fontId="3" fillId="0" borderId="10" xfId="2" applyFont="1" applyFill="1" applyBorder="1" applyAlignment="1" applyProtection="1"/>
    <xf numFmtId="44" fontId="3" fillId="0" borderId="11" xfId="2" applyFont="1" applyFill="1" applyBorder="1" applyAlignment="1" applyProtection="1"/>
    <xf numFmtId="181" fontId="2" fillId="0" borderId="8" xfId="2" applyNumberFormat="1" applyFont="1" applyFill="1" applyBorder="1" applyAlignment="1" applyProtection="1"/>
    <xf numFmtId="181" fontId="2" fillId="0" borderId="9" xfId="2" applyNumberFormat="1" applyFont="1" applyFill="1" applyBorder="1" applyAlignment="1" applyProtection="1"/>
    <xf numFmtId="44" fontId="3" fillId="0" borderId="0" xfId="2" applyFont="1" applyFill="1" applyBorder="1" applyAlignment="1" applyProtection="1"/>
    <xf numFmtId="3" fontId="2" fillId="2" borderId="33" xfId="0" applyNumberFormat="1" applyFont="1" applyFill="1" applyBorder="1" applyAlignment="1" applyProtection="1"/>
    <xf numFmtId="181" fontId="3" fillId="0" borderId="0" xfId="2" applyNumberFormat="1" applyFont="1" applyFill="1" applyBorder="1" applyAlignment="1" applyProtection="1"/>
    <xf numFmtId="181" fontId="3" fillId="0" borderId="6" xfId="2" applyNumberFormat="1" applyFont="1" applyFill="1" applyBorder="1" applyAlignment="1" applyProtection="1"/>
    <xf numFmtId="181" fontId="3" fillId="0" borderId="10" xfId="2" applyNumberFormat="1" applyFont="1" applyFill="1" applyBorder="1" applyAlignment="1" applyProtection="1"/>
    <xf numFmtId="181" fontId="3" fillId="0" borderId="11" xfId="2" applyNumberFormat="1" applyFont="1" applyFill="1" applyBorder="1" applyAlignment="1" applyProtection="1"/>
    <xf numFmtId="0" fontId="4" fillId="2" borderId="33" xfId="0" applyFont="1" applyFill="1" applyBorder="1"/>
    <xf numFmtId="174" fontId="0" fillId="0" borderId="0" xfId="0" applyNumberFormat="1" applyBorder="1" applyAlignment="1">
      <alignment horizontal="center"/>
    </xf>
    <xf numFmtId="179" fontId="1" fillId="0" borderId="0" xfId="4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166" fontId="1" fillId="0" borderId="31" xfId="1" applyNumberFormat="1" applyBorder="1" applyAlignment="1">
      <alignment horizontal="center"/>
    </xf>
    <xf numFmtId="166" fontId="1" fillId="0" borderId="21" xfId="1" applyNumberFormat="1" applyBorder="1" applyAlignment="1">
      <alignment horizontal="center"/>
    </xf>
    <xf numFmtId="166" fontId="1" fillId="0" borderId="25" xfId="1" applyNumberFormat="1" applyBorder="1" applyAlignment="1">
      <alignment horizontal="center"/>
    </xf>
    <xf numFmtId="9" fontId="1" fillId="0" borderId="31" xfId="4" applyBorder="1" applyAlignment="1">
      <alignment horizontal="center"/>
    </xf>
    <xf numFmtId="9" fontId="1" fillId="0" borderId="21" xfId="4" applyBorder="1" applyAlignment="1">
      <alignment horizontal="center"/>
    </xf>
    <xf numFmtId="0" fontId="0" fillId="0" borderId="21" xfId="0" quotePrefix="1" applyBorder="1" applyAlignment="1">
      <alignment horizontal="center"/>
    </xf>
    <xf numFmtId="9" fontId="1" fillId="0" borderId="25" xfId="4" applyBorder="1" applyAlignment="1">
      <alignment horizontal="center"/>
    </xf>
    <xf numFmtId="181" fontId="1" fillId="0" borderId="31" xfId="2" applyNumberFormat="1" applyBorder="1" applyAlignment="1">
      <alignment horizontal="center"/>
    </xf>
    <xf numFmtId="181" fontId="1" fillId="0" borderId="21" xfId="2" applyNumberFormat="1" applyBorder="1" applyAlignment="1">
      <alignment horizontal="center"/>
    </xf>
    <xf numFmtId="181" fontId="1" fillId="0" borderId="25" xfId="2" applyNumberForma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9" fontId="1" fillId="0" borderId="3" xfId="4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6" fontId="1" fillId="0" borderId="5" xfId="1" applyNumberFormat="1" applyBorder="1" applyAlignment="1">
      <alignment horizontal="center"/>
    </xf>
    <xf numFmtId="166" fontId="1" fillId="0" borderId="7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9" fontId="1" fillId="0" borderId="10" xfId="4" applyNumberFormat="1" applyBorder="1" applyAlignment="1">
      <alignment horizontal="center"/>
    </xf>
    <xf numFmtId="44" fontId="3" fillId="0" borderId="0" xfId="2" applyNumberFormat="1" applyFont="1" applyFill="1" applyBorder="1" applyAlignment="1" applyProtection="1"/>
    <xf numFmtId="44" fontId="3" fillId="0" borderId="11" xfId="2" applyNumberFormat="1" applyFont="1" applyFill="1" applyBorder="1" applyAlignment="1" applyProtection="1"/>
    <xf numFmtId="0" fontId="4" fillId="2" borderId="32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center" wrapText="1"/>
    </xf>
    <xf numFmtId="166" fontId="0" fillId="0" borderId="0" xfId="1" applyNumberFormat="1" applyFont="1" applyBorder="1"/>
    <xf numFmtId="3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2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/>
    <xf numFmtId="0" fontId="11" fillId="0" borderId="0" xfId="0" applyFont="1" applyFill="1" applyBorder="1"/>
    <xf numFmtId="0" fontId="4" fillId="2" borderId="33" xfId="0" applyFont="1" applyFill="1" applyBorder="1" applyAlignment="1">
      <alignment horizontal="center"/>
    </xf>
    <xf numFmtId="3" fontId="2" fillId="2" borderId="33" xfId="0" applyNumberFormat="1" applyFont="1" applyFill="1" applyBorder="1" applyAlignment="1" applyProtection="1">
      <alignment horizontal="center" vertical="center" wrapText="1"/>
    </xf>
    <xf numFmtId="3" fontId="2" fillId="2" borderId="32" xfId="0" applyNumberFormat="1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 applyProtection="1"/>
    <xf numFmtId="0" fontId="4" fillId="2" borderId="33" xfId="0" applyFont="1" applyFill="1" applyBorder="1" applyAlignment="1">
      <alignment horizontal="center" vertical="center" wrapText="1"/>
    </xf>
    <xf numFmtId="3" fontId="2" fillId="2" borderId="34" xfId="0" applyNumberFormat="1" applyFont="1" applyFill="1" applyBorder="1" applyAlignment="1" applyProtection="1">
      <alignment horizontal="center" vertical="center" wrapText="1"/>
    </xf>
    <xf numFmtId="44" fontId="3" fillId="0" borderId="8" xfId="2" applyFont="1" applyFill="1" applyBorder="1" applyAlignment="1" applyProtection="1"/>
    <xf numFmtId="44" fontId="3" fillId="0" borderId="9" xfId="2" applyFont="1" applyFill="1" applyBorder="1" applyAlignment="1" applyProtection="1"/>
    <xf numFmtId="44" fontId="2" fillId="2" borderId="32" xfId="2" applyFont="1" applyFill="1" applyBorder="1" applyAlignment="1" applyProtection="1"/>
    <xf numFmtId="181" fontId="2" fillId="2" borderId="32" xfId="2" applyNumberFormat="1" applyFont="1" applyFill="1" applyBorder="1" applyAlignment="1" applyProtection="1"/>
    <xf numFmtId="181" fontId="2" fillId="2" borderId="34" xfId="2" applyNumberFormat="1" applyFont="1" applyFill="1" applyBorder="1" applyAlignment="1" applyProtection="1"/>
    <xf numFmtId="3" fontId="2" fillId="4" borderId="32" xfId="0" applyNumberFormat="1" applyFont="1" applyFill="1" applyBorder="1" applyAlignment="1" applyProtection="1">
      <alignment horizontal="right"/>
      <protection locked="0"/>
    </xf>
    <xf numFmtId="44" fontId="2" fillId="4" borderId="32" xfId="2" applyFont="1" applyFill="1" applyBorder="1" applyAlignment="1" applyProtection="1">
      <alignment horizontal="right"/>
      <protection locked="0"/>
    </xf>
    <xf numFmtId="181" fontId="2" fillId="4" borderId="32" xfId="2" applyNumberFormat="1" applyFont="1" applyFill="1" applyBorder="1" applyAlignment="1" applyProtection="1">
      <alignment horizontal="right"/>
      <protection locked="0"/>
    </xf>
    <xf numFmtId="181" fontId="2" fillId="4" borderId="34" xfId="2" applyNumberFormat="1" applyFont="1" applyFill="1" applyBorder="1" applyAlignment="1" applyProtection="1">
      <alignment horizontal="right"/>
      <protection locked="0"/>
    </xf>
    <xf numFmtId="181" fontId="2" fillId="2" borderId="33" xfId="2" applyNumberFormat="1" applyFont="1" applyFill="1" applyBorder="1" applyAlignment="1" applyProtection="1"/>
    <xf numFmtId="181" fontId="3" fillId="0" borderId="3" xfId="2" applyNumberFormat="1" applyFont="1" applyFill="1" applyBorder="1" applyAlignment="1" applyProtection="1"/>
    <xf numFmtId="181" fontId="3" fillId="0" borderId="4" xfId="2" applyNumberFormat="1" applyFont="1" applyFill="1" applyBorder="1" applyAlignment="1" applyProtection="1"/>
    <xf numFmtId="166" fontId="4" fillId="2" borderId="32" xfId="1" applyNumberFormat="1" applyFont="1" applyFill="1" applyBorder="1"/>
    <xf numFmtId="44" fontId="2" fillId="2" borderId="32" xfId="2" applyNumberFormat="1" applyFont="1" applyFill="1" applyBorder="1" applyAlignment="1" applyProtection="1"/>
    <xf numFmtId="44" fontId="0" fillId="0" borderId="1" xfId="2" applyFont="1" applyBorder="1"/>
    <xf numFmtId="0" fontId="4" fillId="2" borderId="32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7" xfId="0" applyFont="1" applyBorder="1"/>
    <xf numFmtId="181" fontId="3" fillId="2" borderId="32" xfId="2" applyNumberFormat="1" applyFont="1" applyFill="1" applyBorder="1" applyAlignment="1" applyProtection="1"/>
    <xf numFmtId="181" fontId="3" fillId="2" borderId="34" xfId="2" applyNumberFormat="1" applyFont="1" applyFill="1" applyBorder="1" applyAlignment="1" applyProtection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4" fontId="0" fillId="0" borderId="4" xfId="2" applyFont="1" applyBorder="1"/>
    <xf numFmtId="181" fontId="0" fillId="0" borderId="0" xfId="2" applyNumberFormat="1" applyFont="1"/>
    <xf numFmtId="44" fontId="3" fillId="0" borderId="1" xfId="2" applyFont="1" applyFill="1" applyBorder="1" applyAlignment="1" applyProtection="1"/>
    <xf numFmtId="0" fontId="8" fillId="0" borderId="2" xfId="0" applyFont="1" applyBorder="1"/>
    <xf numFmtId="0" fontId="8" fillId="0" borderId="3" xfId="0" applyFont="1" applyBorder="1"/>
    <xf numFmtId="3" fontId="2" fillId="2" borderId="12" xfId="0" applyNumberFormat="1" applyFont="1" applyFill="1" applyBorder="1" applyAlignment="1" applyProtection="1"/>
    <xf numFmtId="181" fontId="0" fillId="0" borderId="31" xfId="2" applyNumberFormat="1" applyFont="1" applyFill="1" applyBorder="1"/>
    <xf numFmtId="181" fontId="0" fillId="0" borderId="21" xfId="2" applyNumberFormat="1" applyFont="1" applyFill="1" applyBorder="1"/>
    <xf numFmtId="181" fontId="0" fillId="0" borderId="25" xfId="2" applyNumberFormat="1" applyFont="1" applyFill="1" applyBorder="1"/>
    <xf numFmtId="3" fontId="2" fillId="0" borderId="2" xfId="0" applyNumberFormat="1" applyFont="1" applyFill="1" applyBorder="1" applyAlignment="1" applyProtection="1"/>
    <xf numFmtId="3" fontId="2" fillId="0" borderId="6" xfId="0" applyNumberFormat="1" applyFont="1" applyFill="1" applyBorder="1" applyAlignment="1" applyProtection="1"/>
    <xf numFmtId="181" fontId="2" fillId="2" borderId="40" xfId="2" applyNumberFormat="1" applyFont="1" applyFill="1" applyBorder="1" applyAlignment="1" applyProtection="1"/>
    <xf numFmtId="181" fontId="2" fillId="2" borderId="41" xfId="2" applyNumberFormat="1" applyFont="1" applyFill="1" applyBorder="1" applyAlignment="1" applyProtection="1"/>
    <xf numFmtId="181" fontId="2" fillId="2" borderId="42" xfId="2" applyNumberFormat="1" applyFont="1" applyFill="1" applyBorder="1" applyAlignment="1" applyProtection="1"/>
    <xf numFmtId="3" fontId="2" fillId="0" borderId="4" xfId="0" applyNumberFormat="1" applyFont="1" applyFill="1" applyBorder="1" applyAlignment="1" applyProtection="1"/>
    <xf numFmtId="44" fontId="3" fillId="0" borderId="7" xfId="2" applyFont="1" applyFill="1" applyBorder="1" applyAlignment="1" applyProtection="1"/>
    <xf numFmtId="181" fontId="2" fillId="2" borderId="43" xfId="2" applyNumberFormat="1" applyFont="1" applyFill="1" applyBorder="1" applyAlignment="1" applyProtection="1"/>
    <xf numFmtId="181" fontId="2" fillId="2" borderId="44" xfId="2" applyNumberFormat="1" applyFont="1" applyFill="1" applyBorder="1" applyAlignment="1" applyProtection="1"/>
    <xf numFmtId="181" fontId="2" fillId="2" borderId="45" xfId="2" applyNumberFormat="1" applyFont="1" applyFill="1" applyBorder="1" applyAlignment="1" applyProtection="1"/>
    <xf numFmtId="181" fontId="3" fillId="0" borderId="2" xfId="2" applyNumberFormat="1" applyFont="1" applyFill="1" applyBorder="1" applyAlignment="1" applyProtection="1"/>
    <xf numFmtId="181" fontId="3" fillId="0" borderId="7" xfId="2" applyNumberFormat="1" applyFont="1" applyFill="1" applyBorder="1" applyAlignment="1" applyProtection="1"/>
    <xf numFmtId="0" fontId="4" fillId="2" borderId="2" xfId="0" applyFont="1" applyFill="1" applyBorder="1" applyAlignment="1">
      <alignment horizontal="center" vertical="center" wrapText="1"/>
    </xf>
    <xf numFmtId="181" fontId="4" fillId="2" borderId="46" xfId="2" applyNumberFormat="1" applyFont="1" applyFill="1" applyBorder="1"/>
    <xf numFmtId="181" fontId="4" fillId="2" borderId="42" xfId="2" applyNumberFormat="1" applyFont="1" applyFill="1" applyBorder="1"/>
    <xf numFmtId="43" fontId="0" fillId="0" borderId="4" xfId="1" applyFont="1" applyBorder="1"/>
    <xf numFmtId="44" fontId="0" fillId="0" borderId="31" xfId="2" applyFont="1" applyBorder="1" applyAlignment="1">
      <alignment horizontal="center"/>
    </xf>
    <xf numFmtId="44" fontId="0" fillId="0" borderId="21" xfId="2" applyFont="1" applyBorder="1" applyAlignment="1">
      <alignment horizontal="center"/>
    </xf>
    <xf numFmtId="44" fontId="0" fillId="0" borderId="25" xfId="2" applyFont="1" applyBorder="1" applyAlignment="1">
      <alignment horizontal="center"/>
    </xf>
    <xf numFmtId="166" fontId="0" fillId="3" borderId="31" xfId="1" applyNumberFormat="1" applyFont="1" applyFill="1" applyBorder="1" applyAlignment="1">
      <alignment horizontal="center"/>
    </xf>
    <xf numFmtId="166" fontId="0" fillId="3" borderId="21" xfId="1" applyNumberFormat="1" applyFont="1" applyFill="1" applyBorder="1" applyAlignment="1">
      <alignment horizontal="center"/>
    </xf>
    <xf numFmtId="166" fontId="0" fillId="3" borderId="25" xfId="1" applyNumberFormat="1" applyFont="1" applyFill="1" applyBorder="1" applyAlignment="1">
      <alignment horizontal="center"/>
    </xf>
    <xf numFmtId="9" fontId="0" fillId="0" borderId="0" xfId="4" applyFont="1" applyFill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166" fontId="1" fillId="0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/>
    <xf numFmtId="0" fontId="0" fillId="0" borderId="47" xfId="0" applyBorder="1"/>
    <xf numFmtId="181" fontId="7" fillId="0" borderId="10" xfId="2" applyNumberFormat="1" applyFont="1" applyBorder="1"/>
    <xf numFmtId="181" fontId="7" fillId="0" borderId="11" xfId="2" applyNumberFormat="1" applyFont="1" applyBorder="1"/>
    <xf numFmtId="179" fontId="0" fillId="0" borderId="31" xfId="4" applyNumberFormat="1" applyFont="1" applyBorder="1" applyAlignment="1">
      <alignment horizontal="center"/>
    </xf>
    <xf numFmtId="179" fontId="0" fillId="0" borderId="21" xfId="4" applyNumberFormat="1" applyFont="1" applyBorder="1" applyAlignment="1">
      <alignment horizontal="center"/>
    </xf>
    <xf numFmtId="179" fontId="0" fillId="0" borderId="25" xfId="4" applyNumberFormat="1" applyFont="1" applyBorder="1" applyAlignment="1">
      <alignment horizontal="center"/>
    </xf>
    <xf numFmtId="0" fontId="22" fillId="5" borderId="0" xfId="0" applyFont="1" applyFill="1"/>
    <xf numFmtId="0" fontId="0" fillId="5" borderId="0" xfId="0" applyFill="1"/>
    <xf numFmtId="179" fontId="0" fillId="3" borderId="2" xfId="4" applyNumberFormat="1" applyFont="1" applyFill="1" applyBorder="1"/>
    <xf numFmtId="179" fontId="0" fillId="3" borderId="3" xfId="4" applyNumberFormat="1" applyFont="1" applyFill="1" applyBorder="1"/>
    <xf numFmtId="179" fontId="0" fillId="3" borderId="4" xfId="4" applyNumberFormat="1" applyFont="1" applyFill="1" applyBorder="1"/>
    <xf numFmtId="179" fontId="0" fillId="3" borderId="5" xfId="4" applyNumberFormat="1" applyFont="1" applyFill="1" applyBorder="1"/>
    <xf numFmtId="179" fontId="0" fillId="3" borderId="0" xfId="4" applyNumberFormat="1" applyFont="1" applyFill="1" applyBorder="1"/>
    <xf numFmtId="179" fontId="0" fillId="3" borderId="6" xfId="4" applyNumberFormat="1" applyFont="1" applyFill="1" applyBorder="1"/>
    <xf numFmtId="179" fontId="0" fillId="3" borderId="7" xfId="4" applyNumberFormat="1" applyFont="1" applyFill="1" applyBorder="1"/>
    <xf numFmtId="179" fontId="0" fillId="3" borderId="10" xfId="4" applyNumberFormat="1" applyFont="1" applyFill="1" applyBorder="1"/>
    <xf numFmtId="179" fontId="0" fillId="3" borderId="11" xfId="4" applyNumberFormat="1" applyFont="1" applyFill="1" applyBorder="1"/>
    <xf numFmtId="179" fontId="0" fillId="0" borderId="4" xfId="4" applyNumberFormat="1" applyFont="1" applyBorder="1" applyAlignment="1">
      <alignment horizontal="center"/>
    </xf>
    <xf numFmtId="179" fontId="0" fillId="0" borderId="6" xfId="4" applyNumberFormat="1" applyFont="1" applyBorder="1" applyAlignment="1">
      <alignment horizontal="center"/>
    </xf>
    <xf numFmtId="179" fontId="0" fillId="0" borderId="11" xfId="4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9" fontId="0" fillId="3" borderId="3" xfId="4" applyFont="1" applyFill="1" applyBorder="1" applyAlignment="1">
      <alignment horizontal="center"/>
    </xf>
    <xf numFmtId="9" fontId="0" fillId="3" borderId="4" xfId="4" applyFont="1" applyFill="1" applyBorder="1" applyAlignment="1">
      <alignment horizontal="center"/>
    </xf>
    <xf numFmtId="9" fontId="0" fillId="3" borderId="5" xfId="4" applyFont="1" applyFill="1" applyBorder="1" applyAlignment="1">
      <alignment horizontal="center"/>
    </xf>
    <xf numFmtId="9" fontId="0" fillId="3" borderId="0" xfId="4" applyFont="1" applyFill="1" applyBorder="1" applyAlignment="1">
      <alignment horizontal="center"/>
    </xf>
    <xf numFmtId="9" fontId="0" fillId="3" borderId="6" xfId="4" applyFont="1" applyFill="1" applyBorder="1" applyAlignment="1">
      <alignment horizontal="center"/>
    </xf>
    <xf numFmtId="9" fontId="0" fillId="3" borderId="7" xfId="4" applyFont="1" applyFill="1" applyBorder="1" applyAlignment="1">
      <alignment horizontal="center"/>
    </xf>
    <xf numFmtId="9" fontId="0" fillId="3" borderId="10" xfId="4" applyFont="1" applyFill="1" applyBorder="1" applyAlignment="1">
      <alignment horizontal="center"/>
    </xf>
    <xf numFmtId="9" fontId="0" fillId="3" borderId="11" xfId="4" applyFont="1" applyFill="1" applyBorder="1" applyAlignment="1">
      <alignment horizontal="center"/>
    </xf>
    <xf numFmtId="181" fontId="0" fillId="6" borderId="2" xfId="2" applyNumberFormat="1" applyFont="1" applyFill="1" applyBorder="1"/>
    <xf numFmtId="43" fontId="1" fillId="0" borderId="21" xfId="1" applyNumberFormat="1" applyBorder="1" applyAlignment="1">
      <alignment horizontal="center"/>
    </xf>
    <xf numFmtId="43" fontId="1" fillId="0" borderId="25" xfId="1" applyNumberFormat="1" applyBorder="1" applyAlignment="1">
      <alignment horizontal="center"/>
    </xf>
    <xf numFmtId="44" fontId="1" fillId="0" borderId="21" xfId="2" applyBorder="1" applyAlignment="1">
      <alignment horizontal="center"/>
    </xf>
    <xf numFmtId="44" fontId="1" fillId="0" borderId="25" xfId="2" applyBorder="1" applyAlignment="1">
      <alignment horizontal="center"/>
    </xf>
    <xf numFmtId="177" fontId="1" fillId="0" borderId="25" xfId="2" applyNumberFormat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166" fontId="0" fillId="0" borderId="8" xfId="0" applyNumberFormat="1" applyFill="1" applyBorder="1"/>
    <xf numFmtId="0" fontId="0" fillId="0" borderId="9" xfId="0" applyFill="1" applyBorder="1"/>
    <xf numFmtId="181" fontId="0" fillId="0" borderId="8" xfId="0" applyNumberFormat="1" applyFill="1" applyBorder="1"/>
    <xf numFmtId="166" fontId="1" fillId="0" borderId="31" xfId="1" applyNumberFormat="1" applyFill="1" applyBorder="1"/>
    <xf numFmtId="166" fontId="1" fillId="0" borderId="21" xfId="1" applyNumberFormat="1" applyFill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10" xfId="1" applyNumberFormat="1" applyFont="1" applyBorder="1"/>
    <xf numFmtId="165" fontId="0" fillId="3" borderId="16" xfId="0" applyNumberFormat="1" applyFill="1" applyBorder="1"/>
    <xf numFmtId="165" fontId="0" fillId="3" borderId="17" xfId="0" applyNumberForma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181" fontId="3" fillId="8" borderId="0" xfId="2" applyNumberFormat="1" applyFont="1" applyFill="1" applyBorder="1" applyAlignment="1" applyProtection="1">
      <alignment horizontal="right"/>
      <protection locked="0"/>
    </xf>
    <xf numFmtId="181" fontId="0" fillId="7" borderId="0" xfId="0" applyNumberFormat="1" applyFill="1" applyBorder="1"/>
    <xf numFmtId="5" fontId="3" fillId="8" borderId="0" xfId="2" applyNumberFormat="1" applyFont="1" applyFill="1" applyBorder="1" applyAlignment="1" applyProtection="1">
      <alignment horizontal="center"/>
      <protection locked="0"/>
    </xf>
    <xf numFmtId="0" fontId="0" fillId="7" borderId="0" xfId="0" applyFill="1" applyBorder="1" applyAlignment="1">
      <alignment horizontal="center" vertical="center" textRotation="180"/>
    </xf>
    <xf numFmtId="0" fontId="28" fillId="0" borderId="0" xfId="0" applyFont="1"/>
    <xf numFmtId="5" fontId="25" fillId="8" borderId="0" xfId="2" applyNumberFormat="1" applyFont="1" applyFill="1" applyBorder="1" applyAlignment="1" applyProtection="1">
      <alignment horizontal="center"/>
      <protection locked="0"/>
    </xf>
    <xf numFmtId="0" fontId="30" fillId="7" borderId="0" xfId="0" applyFont="1" applyFill="1" applyBorder="1"/>
    <xf numFmtId="9" fontId="0" fillId="6" borderId="48" xfId="0" applyNumberFormat="1" applyFill="1" applyBorder="1"/>
    <xf numFmtId="9" fontId="0" fillId="6" borderId="49" xfId="0" applyNumberFormat="1" applyFill="1" applyBorder="1"/>
    <xf numFmtId="9" fontId="0" fillId="6" borderId="46" xfId="0" applyNumberFormat="1" applyFill="1" applyBorder="1" applyAlignment="1">
      <alignment horizontal="center"/>
    </xf>
    <xf numFmtId="165" fontId="0" fillId="6" borderId="15" xfId="0" applyNumberFormat="1" applyFill="1" applyBorder="1"/>
    <xf numFmtId="9" fontId="0" fillId="6" borderId="2" xfId="4" applyFont="1" applyFill="1" applyBorder="1" applyAlignment="1">
      <alignment horizontal="center"/>
    </xf>
    <xf numFmtId="9" fontId="0" fillId="6" borderId="2" xfId="4" applyFont="1" applyFill="1" applyBorder="1"/>
    <xf numFmtId="9" fontId="0" fillId="6" borderId="31" xfId="0" applyNumberFormat="1" applyFill="1" applyBorder="1"/>
    <xf numFmtId="166" fontId="0" fillId="0" borderId="9" xfId="1" applyNumberFormat="1" applyFont="1" applyBorder="1"/>
    <xf numFmtId="181" fontId="0" fillId="0" borderId="3" xfId="2" applyNumberFormat="1" applyFont="1" applyFill="1" applyBorder="1"/>
    <xf numFmtId="181" fontId="0" fillId="0" borderId="4" xfId="2" applyNumberFormat="1" applyFont="1" applyFill="1" applyBorder="1"/>
    <xf numFmtId="181" fontId="0" fillId="0" borderId="5" xfId="2" applyNumberFormat="1" applyFont="1" applyFill="1" applyBorder="1"/>
    <xf numFmtId="181" fontId="0" fillId="0" borderId="0" xfId="2" applyNumberFormat="1" applyFont="1" applyFill="1" applyBorder="1"/>
    <xf numFmtId="181" fontId="0" fillId="0" borderId="6" xfId="2" applyNumberFormat="1" applyFont="1" applyFill="1" applyBorder="1"/>
    <xf numFmtId="181" fontId="0" fillId="0" borderId="7" xfId="2" applyNumberFormat="1" applyFont="1" applyFill="1" applyBorder="1"/>
    <xf numFmtId="181" fontId="0" fillId="0" borderId="10" xfId="2" applyNumberFormat="1" applyFont="1" applyFill="1" applyBorder="1"/>
    <xf numFmtId="181" fontId="0" fillId="0" borderId="11" xfId="2" applyNumberFormat="1" applyFont="1" applyFill="1" applyBorder="1"/>
    <xf numFmtId="166" fontId="0" fillId="0" borderId="49" xfId="1" applyNumberFormat="1" applyFont="1" applyBorder="1"/>
    <xf numFmtId="166" fontId="0" fillId="0" borderId="46" xfId="1" applyNumberFormat="1" applyFont="1" applyBorder="1"/>
    <xf numFmtId="166" fontId="0" fillId="0" borderId="13" xfId="1" applyNumberFormat="1" applyFont="1" applyBorder="1"/>
    <xf numFmtId="166" fontId="0" fillId="0" borderId="35" xfId="1" applyNumberFormat="1" applyFont="1" applyBorder="1"/>
    <xf numFmtId="0" fontId="0" fillId="0" borderId="31" xfId="0" applyBorder="1"/>
    <xf numFmtId="0" fontId="0" fillId="0" borderId="21" xfId="0" applyBorder="1"/>
    <xf numFmtId="0" fontId="4" fillId="0" borderId="31" xfId="0" applyFont="1" applyBorder="1"/>
    <xf numFmtId="0" fontId="4" fillId="0" borderId="21" xfId="0" applyFont="1" applyBorder="1"/>
    <xf numFmtId="0" fontId="4" fillId="0" borderId="25" xfId="0" applyFont="1" applyBorder="1"/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6" fontId="0" fillId="3" borderId="50" xfId="1" applyNumberFormat="1" applyFont="1" applyFill="1" applyBorder="1"/>
    <xf numFmtId="166" fontId="0" fillId="3" borderId="36" xfId="1" applyNumberFormat="1" applyFont="1" applyFill="1" applyBorder="1"/>
    <xf numFmtId="166" fontId="0" fillId="3" borderId="49" xfId="1" applyNumberFormat="1" applyFont="1" applyFill="1" applyBorder="1"/>
    <xf numFmtId="166" fontId="0" fillId="3" borderId="13" xfId="1" applyNumberFormat="1" applyFont="1" applyFill="1" applyBorder="1"/>
    <xf numFmtId="166" fontId="0" fillId="6" borderId="49" xfId="1" applyNumberFormat="1" applyFont="1" applyFill="1" applyBorder="1"/>
    <xf numFmtId="166" fontId="0" fillId="6" borderId="13" xfId="1" applyNumberFormat="1" applyFont="1" applyFill="1" applyBorder="1"/>
    <xf numFmtId="166" fontId="0" fillId="6" borderId="46" xfId="1" applyNumberFormat="1" applyFont="1" applyFill="1" applyBorder="1"/>
    <xf numFmtId="166" fontId="0" fillId="6" borderId="35" xfId="1" applyNumberFormat="1" applyFont="1" applyFill="1" applyBorder="1"/>
    <xf numFmtId="166" fontId="0" fillId="3" borderId="51" xfId="1" applyNumberFormat="1" applyFont="1" applyFill="1" applyBorder="1"/>
    <xf numFmtId="166" fontId="0" fillId="0" borderId="52" xfId="1" applyNumberFormat="1" applyFont="1" applyBorder="1"/>
    <xf numFmtId="166" fontId="0" fillId="6" borderId="52" xfId="1" applyNumberFormat="1" applyFont="1" applyFill="1" applyBorder="1"/>
    <xf numFmtId="166" fontId="0" fillId="3" borderId="52" xfId="1" applyNumberFormat="1" applyFont="1" applyFill="1" applyBorder="1"/>
    <xf numFmtId="166" fontId="0" fillId="0" borderId="53" xfId="1" applyNumberFormat="1" applyFont="1" applyBorder="1"/>
    <xf numFmtId="166" fontId="0" fillId="6" borderId="53" xfId="1" applyNumberFormat="1" applyFont="1" applyFill="1" applyBorder="1"/>
    <xf numFmtId="0" fontId="4" fillId="9" borderId="0" xfId="0" applyFont="1" applyFill="1" applyBorder="1"/>
    <xf numFmtId="0" fontId="31" fillId="9" borderId="0" xfId="0" applyFont="1" applyFill="1" applyBorder="1"/>
    <xf numFmtId="0" fontId="4" fillId="9" borderId="21" xfId="0" applyFont="1" applyFill="1" applyBorder="1"/>
    <xf numFmtId="166" fontId="0" fillId="9" borderId="51" xfId="1" applyNumberFormat="1" applyFont="1" applyFill="1" applyBorder="1"/>
    <xf numFmtId="166" fontId="0" fillId="9" borderId="52" xfId="1" applyNumberFormat="1" applyFont="1" applyFill="1" applyBorder="1"/>
    <xf numFmtId="166" fontId="0" fillId="9" borderId="53" xfId="1" applyNumberFormat="1" applyFont="1" applyFill="1" applyBorder="1"/>
    <xf numFmtId="166" fontId="0" fillId="9" borderId="36" xfId="1" applyNumberFormat="1" applyFont="1" applyFill="1" applyBorder="1"/>
    <xf numFmtId="166" fontId="0" fillId="9" borderId="13" xfId="1" applyNumberFormat="1" applyFont="1" applyFill="1" applyBorder="1"/>
    <xf numFmtId="166" fontId="0" fillId="9" borderId="35" xfId="1" applyNumberFormat="1" applyFont="1" applyFill="1" applyBorder="1"/>
    <xf numFmtId="0" fontId="31" fillId="9" borderId="5" xfId="0" applyNumberFormat="1" applyFont="1" applyFill="1" applyBorder="1"/>
    <xf numFmtId="0" fontId="4" fillId="9" borderId="5" xfId="0" applyFont="1" applyFill="1" applyBorder="1"/>
    <xf numFmtId="0" fontId="31" fillId="9" borderId="5" xfId="0" applyFont="1" applyFill="1" applyBorder="1"/>
    <xf numFmtId="166" fontId="0" fillId="9" borderId="50" xfId="1" applyNumberFormat="1" applyFont="1" applyFill="1" applyBorder="1"/>
    <xf numFmtId="166" fontId="0" fillId="9" borderId="49" xfId="1" applyNumberFormat="1" applyFont="1" applyFill="1" applyBorder="1"/>
    <xf numFmtId="166" fontId="0" fillId="9" borderId="46" xfId="1" applyNumberFormat="1" applyFont="1" applyFill="1" applyBorder="1"/>
    <xf numFmtId="0" fontId="4" fillId="0" borderId="33" xfId="0" applyFont="1" applyFill="1" applyBorder="1" applyAlignment="1">
      <alignment horizontal="center"/>
    </xf>
    <xf numFmtId="166" fontId="4" fillId="0" borderId="1" xfId="1" applyNumberFormat="1" applyFont="1" applyBorder="1"/>
    <xf numFmtId="166" fontId="4" fillId="0" borderId="8" xfId="1" applyNumberFormat="1" applyFont="1" applyBorder="1"/>
    <xf numFmtId="166" fontId="4" fillId="0" borderId="9" xfId="1" applyNumberFormat="1" applyFont="1" applyBorder="1"/>
    <xf numFmtId="43" fontId="0" fillId="0" borderId="50" xfId="1" applyFont="1" applyBorder="1"/>
    <xf numFmtId="43" fontId="0" fillId="0" borderId="36" xfId="1" applyFont="1" applyBorder="1"/>
    <xf numFmtId="0" fontId="0" fillId="0" borderId="35" xfId="0" applyBorder="1"/>
    <xf numFmtId="43" fontId="0" fillId="0" borderId="54" xfId="1" applyFont="1" applyBorder="1"/>
    <xf numFmtId="43" fontId="0" fillId="0" borderId="0" xfId="0" applyNumberFormat="1"/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55" xfId="0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33" fillId="0" borderId="0" xfId="0" applyFont="1"/>
    <xf numFmtId="166" fontId="0" fillId="6" borderId="2" xfId="2" applyNumberFormat="1" applyFont="1" applyFill="1" applyBorder="1"/>
    <xf numFmtId="166" fontId="0" fillId="0" borderId="3" xfId="2" applyNumberFormat="1" applyFont="1" applyFill="1" applyBorder="1"/>
    <xf numFmtId="166" fontId="0" fillId="0" borderId="4" xfId="2" applyNumberFormat="1" applyFont="1" applyFill="1" applyBorder="1"/>
    <xf numFmtId="166" fontId="0" fillId="0" borderId="5" xfId="2" applyNumberFormat="1" applyFont="1" applyFill="1" applyBorder="1"/>
    <xf numFmtId="166" fontId="0" fillId="0" borderId="0" xfId="2" applyNumberFormat="1" applyFont="1" applyFill="1" applyBorder="1"/>
    <xf numFmtId="166" fontId="0" fillId="0" borderId="6" xfId="2" applyNumberFormat="1" applyFont="1" applyFill="1" applyBorder="1"/>
    <xf numFmtId="166" fontId="0" fillId="0" borderId="7" xfId="2" applyNumberFormat="1" applyFont="1" applyFill="1" applyBorder="1"/>
    <xf numFmtId="166" fontId="0" fillId="0" borderId="10" xfId="2" applyNumberFormat="1" applyFont="1" applyFill="1" applyBorder="1"/>
    <xf numFmtId="166" fontId="0" fillId="0" borderId="11" xfId="2" applyNumberFormat="1" applyFont="1" applyFill="1" applyBorder="1"/>
    <xf numFmtId="0" fontId="0" fillId="0" borderId="8" xfId="0" applyBorder="1"/>
    <xf numFmtId="0" fontId="34" fillId="0" borderId="0" xfId="0" applyFont="1" applyFill="1" applyBorder="1" applyAlignment="1">
      <alignment horizontal="center" wrapText="1"/>
    </xf>
    <xf numFmtId="43" fontId="35" fillId="0" borderId="0" xfId="0" applyNumberFormat="1" applyFont="1" applyFill="1" applyBorder="1"/>
    <xf numFmtId="0" fontId="35" fillId="0" borderId="0" xfId="0" applyFont="1"/>
    <xf numFmtId="0" fontId="38" fillId="0" borderId="0" xfId="0" applyFont="1" applyFill="1" applyBorder="1" applyAlignment="1">
      <alignment horizontal="left"/>
    </xf>
    <xf numFmtId="0" fontId="36" fillId="0" borderId="0" xfId="0" applyFont="1" applyFill="1" applyBorder="1"/>
    <xf numFmtId="0" fontId="38" fillId="0" borderId="0" xfId="0" applyFont="1" applyFill="1" applyBorder="1" applyAlignment="1"/>
    <xf numFmtId="166" fontId="37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 applyAlignment="1"/>
    <xf numFmtId="166" fontId="37" fillId="0" borderId="2" xfId="1" applyNumberFormat="1" applyFont="1" applyFill="1" applyBorder="1"/>
    <xf numFmtId="166" fontId="37" fillId="0" borderId="58" xfId="1" applyNumberFormat="1" applyFont="1" applyFill="1" applyBorder="1"/>
    <xf numFmtId="166" fontId="37" fillId="0" borderId="5" xfId="1" applyNumberFormat="1" applyFont="1" applyFill="1" applyBorder="1"/>
    <xf numFmtId="166" fontId="37" fillId="0" borderId="30" xfId="1" applyNumberFormat="1" applyFont="1" applyFill="1" applyBorder="1"/>
    <xf numFmtId="166" fontId="37" fillId="0" borderId="31" xfId="1" applyNumberFormat="1" applyFont="1" applyFill="1" applyBorder="1"/>
    <xf numFmtId="166" fontId="37" fillId="0" borderId="55" xfId="1" applyNumberFormat="1" applyFont="1" applyFill="1" applyBorder="1"/>
    <xf numFmtId="166" fontId="37" fillId="0" borderId="21" xfId="1" applyNumberFormat="1" applyFont="1" applyFill="1" applyBorder="1"/>
    <xf numFmtId="166" fontId="37" fillId="0" borderId="29" xfId="1" applyNumberFormat="1" applyFont="1" applyFill="1" applyBorder="1"/>
    <xf numFmtId="0" fontId="38" fillId="10" borderId="1" xfId="0" applyFont="1" applyFill="1" applyBorder="1" applyAlignment="1"/>
    <xf numFmtId="166" fontId="37" fillId="10" borderId="1" xfId="1" applyNumberFormat="1" applyFont="1" applyFill="1" applyBorder="1"/>
    <xf numFmtId="166" fontId="37" fillId="10" borderId="12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2" borderId="27" xfId="0" applyFill="1" applyBorder="1" applyAlignment="1">
      <alignment horizontal="center" wrapText="1"/>
    </xf>
    <xf numFmtId="0" fontId="0" fillId="2" borderId="28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66" fontId="0" fillId="3" borderId="46" xfId="1" applyNumberFormat="1" applyFont="1" applyFill="1" applyBorder="1"/>
    <xf numFmtId="166" fontId="0" fillId="3" borderId="35" xfId="1" applyNumberFormat="1" applyFont="1" applyFill="1" applyBorder="1"/>
    <xf numFmtId="166" fontId="0" fillId="3" borderId="54" xfId="1" applyNumberFormat="1" applyFont="1" applyFill="1" applyBorder="1"/>
    <xf numFmtId="166" fontId="0" fillId="3" borderId="24" xfId="1" applyNumberFormat="1" applyFont="1" applyFill="1" applyBorder="1"/>
    <xf numFmtId="166" fontId="0" fillId="3" borderId="47" xfId="1" applyNumberFormat="1" applyFont="1" applyFill="1" applyBorder="1"/>
    <xf numFmtId="166" fontId="0" fillId="0" borderId="12" xfId="1" applyNumberFormat="1" applyFont="1" applyBorder="1"/>
    <xf numFmtId="9" fontId="0" fillId="0" borderId="49" xfId="4" applyFont="1" applyBorder="1" applyAlignment="1">
      <alignment horizontal="center"/>
    </xf>
    <xf numFmtId="9" fontId="0" fillId="0" borderId="46" xfId="4" applyFont="1" applyBorder="1" applyAlignment="1">
      <alignment horizontal="center"/>
    </xf>
    <xf numFmtId="9" fontId="0" fillId="0" borderId="13" xfId="4" applyFont="1" applyBorder="1" applyAlignment="1">
      <alignment horizontal="center"/>
    </xf>
    <xf numFmtId="9" fontId="0" fillId="0" borderId="35" xfId="4" applyFont="1" applyBorder="1" applyAlignment="1">
      <alignment horizontal="center"/>
    </xf>
    <xf numFmtId="9" fontId="0" fillId="0" borderId="24" xfId="4" applyFont="1" applyBorder="1" applyAlignment="1">
      <alignment horizontal="center"/>
    </xf>
    <xf numFmtId="9" fontId="0" fillId="0" borderId="47" xfId="4" applyFont="1" applyBorder="1" applyAlignment="1">
      <alignment horizontal="center"/>
    </xf>
    <xf numFmtId="44" fontId="0" fillId="0" borderId="50" xfId="2" applyNumberFormat="1" applyFont="1" applyBorder="1" applyAlignment="1">
      <alignment horizontal="center"/>
    </xf>
    <xf numFmtId="44" fontId="0" fillId="0" borderId="49" xfId="2" applyNumberFormat="1" applyFont="1" applyBorder="1" applyAlignment="1">
      <alignment horizontal="center"/>
    </xf>
    <xf numFmtId="44" fontId="0" fillId="0" borderId="46" xfId="2" applyNumberFormat="1" applyFont="1" applyBorder="1" applyAlignment="1">
      <alignment horizontal="center"/>
    </xf>
    <xf numFmtId="44" fontId="0" fillId="0" borderId="36" xfId="2" applyNumberFormat="1" applyFont="1" applyBorder="1" applyAlignment="1">
      <alignment horizontal="center"/>
    </xf>
    <xf numFmtId="44" fontId="0" fillId="0" borderId="13" xfId="2" applyNumberFormat="1" applyFont="1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44" fontId="0" fillId="0" borderId="54" xfId="2" applyNumberFormat="1" applyFont="1" applyBorder="1" applyAlignment="1">
      <alignment horizontal="center"/>
    </xf>
    <xf numFmtId="44" fontId="0" fillId="0" borderId="24" xfId="2" applyNumberFormat="1" applyFont="1" applyBorder="1" applyAlignment="1">
      <alignment horizontal="center"/>
    </xf>
    <xf numFmtId="44" fontId="0" fillId="0" borderId="47" xfId="2" applyNumberFormat="1" applyFont="1" applyBorder="1" applyAlignment="1">
      <alignment horizontal="center"/>
    </xf>
    <xf numFmtId="181" fontId="0" fillId="0" borderId="50" xfId="2" applyNumberFormat="1" applyFont="1" applyBorder="1" applyAlignment="1">
      <alignment horizontal="center"/>
    </xf>
    <xf numFmtId="181" fontId="0" fillId="0" borderId="49" xfId="2" applyNumberFormat="1" applyFont="1" applyBorder="1" applyAlignment="1">
      <alignment horizontal="center"/>
    </xf>
    <xf numFmtId="181" fontId="0" fillId="0" borderId="46" xfId="2" applyNumberFormat="1" applyFont="1" applyBorder="1" applyAlignment="1">
      <alignment horizontal="center"/>
    </xf>
    <xf numFmtId="181" fontId="0" fillId="0" borderId="36" xfId="2" applyNumberFormat="1" applyFont="1" applyBorder="1" applyAlignment="1">
      <alignment horizontal="center"/>
    </xf>
    <xf numFmtId="181" fontId="0" fillId="0" borderId="13" xfId="2" applyNumberFormat="1" applyFont="1" applyBorder="1" applyAlignment="1">
      <alignment horizontal="center"/>
    </xf>
    <xf numFmtId="181" fontId="0" fillId="0" borderId="35" xfId="2" applyNumberFormat="1" applyFont="1" applyBorder="1" applyAlignment="1">
      <alignment horizontal="center"/>
    </xf>
    <xf numFmtId="181" fontId="0" fillId="0" borderId="54" xfId="2" applyNumberFormat="1" applyFont="1" applyBorder="1" applyAlignment="1">
      <alignment horizontal="center"/>
    </xf>
    <xf numFmtId="181" fontId="0" fillId="0" borderId="24" xfId="2" applyNumberFormat="1" applyFont="1" applyBorder="1" applyAlignment="1">
      <alignment horizontal="center"/>
    </xf>
    <xf numFmtId="181" fontId="0" fillId="0" borderId="47" xfId="2" applyNumberFormat="1" applyFont="1" applyBorder="1" applyAlignment="1">
      <alignment horizontal="center"/>
    </xf>
    <xf numFmtId="9" fontId="0" fillId="0" borderId="50" xfId="0" applyNumberForma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54" xfId="0" applyNumberFormat="1" applyBorder="1" applyAlignment="1">
      <alignment horizontal="center"/>
    </xf>
    <xf numFmtId="0" fontId="32" fillId="0" borderId="0" xfId="0" applyFont="1"/>
    <xf numFmtId="0" fontId="32" fillId="0" borderId="12" xfId="0" applyFont="1" applyBorder="1" applyAlignment="1">
      <alignment horizontal="center"/>
    </xf>
    <xf numFmtId="181" fontId="0" fillId="0" borderId="50" xfId="2" applyNumberFormat="1" applyFont="1" applyBorder="1"/>
    <xf numFmtId="181" fontId="0" fillId="0" borderId="49" xfId="2" applyNumberFormat="1" applyFont="1" applyBorder="1"/>
    <xf numFmtId="181" fontId="0" fillId="0" borderId="46" xfId="2" applyNumberFormat="1" applyFont="1" applyBorder="1"/>
    <xf numFmtId="181" fontId="0" fillId="0" borderId="36" xfId="2" applyNumberFormat="1" applyFont="1" applyBorder="1"/>
    <xf numFmtId="181" fontId="0" fillId="0" borderId="13" xfId="2" applyNumberFormat="1" applyFont="1" applyBorder="1"/>
    <xf numFmtId="181" fontId="0" fillId="0" borderId="35" xfId="2" applyNumberFormat="1" applyFont="1" applyBorder="1"/>
    <xf numFmtId="181" fontId="0" fillId="0" borderId="54" xfId="2" applyNumberFormat="1" applyFont="1" applyBorder="1"/>
    <xf numFmtId="181" fontId="0" fillId="0" borderId="24" xfId="2" applyNumberFormat="1" applyFont="1" applyBorder="1"/>
    <xf numFmtId="181" fontId="0" fillId="0" borderId="47" xfId="2" applyNumberFormat="1" applyFont="1" applyBorder="1"/>
    <xf numFmtId="181" fontId="4" fillId="0" borderId="1" xfId="2" applyNumberFormat="1" applyFont="1" applyBorder="1"/>
    <xf numFmtId="181" fontId="4" fillId="0" borderId="8" xfId="2" applyNumberFormat="1" applyFont="1" applyBorder="1"/>
    <xf numFmtId="181" fontId="4" fillId="0" borderId="9" xfId="2" applyNumberFormat="1" applyFont="1" applyBorder="1"/>
    <xf numFmtId="8" fontId="0" fillId="0" borderId="0" xfId="0" applyNumberFormat="1"/>
    <xf numFmtId="172" fontId="0" fillId="0" borderId="8" xfId="0" applyNumberFormat="1" applyBorder="1"/>
    <xf numFmtId="172" fontId="0" fillId="0" borderId="9" xfId="0" applyNumberFormat="1" applyBorder="1"/>
    <xf numFmtId="1" fontId="0" fillId="0" borderId="50" xfId="1" applyNumberFormat="1" applyFont="1" applyBorder="1" applyAlignment="1">
      <alignment horizontal="center"/>
    </xf>
    <xf numFmtId="1" fontId="0" fillId="0" borderId="49" xfId="1" applyNumberFormat="1" applyFont="1" applyBorder="1" applyAlignment="1">
      <alignment horizontal="center"/>
    </xf>
    <xf numFmtId="1" fontId="0" fillId="0" borderId="46" xfId="1" applyNumberFormat="1" applyFont="1" applyBorder="1" applyAlignment="1">
      <alignment horizontal="center"/>
    </xf>
    <xf numFmtId="1" fontId="0" fillId="0" borderId="36" xfId="1" applyNumberFormat="1" applyFont="1" applyBorder="1" applyAlignment="1">
      <alignment horizontal="center"/>
    </xf>
    <xf numFmtId="1" fontId="0" fillId="0" borderId="13" xfId="1" applyNumberFormat="1" applyFont="1" applyBorder="1" applyAlignment="1">
      <alignment horizontal="center"/>
    </xf>
    <xf numFmtId="1" fontId="0" fillId="0" borderId="35" xfId="1" applyNumberFormat="1" applyFont="1" applyBorder="1" applyAlignment="1">
      <alignment horizontal="center"/>
    </xf>
    <xf numFmtId="1" fontId="0" fillId="0" borderId="54" xfId="1" applyNumberFormat="1" applyFont="1" applyBorder="1" applyAlignment="1">
      <alignment horizontal="center"/>
    </xf>
    <xf numFmtId="1" fontId="0" fillId="0" borderId="24" xfId="1" applyNumberFormat="1" applyFont="1" applyBorder="1" applyAlignment="1">
      <alignment horizontal="center"/>
    </xf>
    <xf numFmtId="1" fontId="0" fillId="0" borderId="47" xfId="1" applyNumberFormat="1" applyFont="1" applyBorder="1" applyAlignment="1">
      <alignment horizontal="center"/>
    </xf>
    <xf numFmtId="181" fontId="0" fillId="0" borderId="51" xfId="2" applyNumberFormat="1" applyFont="1" applyBorder="1"/>
    <xf numFmtId="181" fontId="0" fillId="0" borderId="52" xfId="2" applyNumberFormat="1" applyFont="1" applyBorder="1"/>
    <xf numFmtId="181" fontId="0" fillId="0" borderId="53" xfId="2" applyNumberFormat="1" applyFont="1" applyBorder="1"/>
    <xf numFmtId="178" fontId="0" fillId="0" borderId="50" xfId="0" applyNumberFormat="1" applyBorder="1" applyAlignment="1">
      <alignment horizontal="center"/>
    </xf>
    <xf numFmtId="178" fontId="0" fillId="0" borderId="49" xfId="0" applyNumberFormat="1" applyBorder="1" applyAlignment="1">
      <alignment horizontal="center"/>
    </xf>
    <xf numFmtId="178" fontId="0" fillId="0" borderId="46" xfId="0" applyNumberFormat="1" applyBorder="1" applyAlignment="1">
      <alignment horizontal="center"/>
    </xf>
    <xf numFmtId="178" fontId="0" fillId="0" borderId="36" xfId="0" applyNumberForma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35" xfId="0" applyNumberFormat="1" applyBorder="1" applyAlignment="1">
      <alignment horizontal="center"/>
    </xf>
    <xf numFmtId="178" fontId="0" fillId="0" borderId="54" xfId="0" applyNumberFormat="1" applyBorder="1" applyAlignment="1">
      <alignment horizontal="center"/>
    </xf>
    <xf numFmtId="178" fontId="0" fillId="0" borderId="24" xfId="0" applyNumberFormat="1" applyBorder="1" applyAlignment="1">
      <alignment horizontal="center"/>
    </xf>
    <xf numFmtId="178" fontId="0" fillId="0" borderId="47" xfId="0" applyNumberFormat="1" applyBorder="1" applyAlignment="1">
      <alignment horizontal="center"/>
    </xf>
    <xf numFmtId="178" fontId="0" fillId="0" borderId="46" xfId="4" applyNumberFormat="1" applyFont="1" applyBorder="1" applyAlignment="1">
      <alignment horizontal="center"/>
    </xf>
    <xf numFmtId="178" fontId="0" fillId="0" borderId="35" xfId="4" applyNumberFormat="1" applyFont="1" applyBorder="1" applyAlignment="1">
      <alignment horizontal="center"/>
    </xf>
    <xf numFmtId="178" fontId="0" fillId="0" borderId="47" xfId="4" applyNumberFormat="1" applyFont="1" applyBorder="1" applyAlignment="1">
      <alignment horizontal="center"/>
    </xf>
    <xf numFmtId="0" fontId="6" fillId="0" borderId="0" xfId="0" applyFont="1" applyBorder="1"/>
    <xf numFmtId="10" fontId="0" fillId="0" borderId="8" xfId="4" applyNumberFormat="1" applyFont="1" applyBorder="1" applyAlignment="1">
      <alignment horizontal="center"/>
    </xf>
    <xf numFmtId="10" fontId="0" fillId="0" borderId="9" xfId="4" applyNumberFormat="1" applyFon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0" fillId="0" borderId="9" xfId="0" applyNumberFormat="1" applyBorder="1" applyAlignment="1">
      <alignment horizontal="center"/>
    </xf>
    <xf numFmtId="0" fontId="38" fillId="10" borderId="2" xfId="0" applyFont="1" applyFill="1" applyBorder="1" applyAlignment="1"/>
    <xf numFmtId="166" fontId="37" fillId="10" borderId="2" xfId="1" applyNumberFormat="1" applyFont="1" applyFill="1" applyBorder="1"/>
    <xf numFmtId="166" fontId="37" fillId="10" borderId="31" xfId="1" applyNumberFormat="1" applyFont="1" applyFill="1" applyBorder="1"/>
    <xf numFmtId="0" fontId="38" fillId="0" borderId="50" xfId="0" applyFont="1" applyFill="1" applyBorder="1" applyAlignment="1"/>
    <xf numFmtId="166" fontId="37" fillId="0" borderId="49" xfId="1" applyNumberFormat="1" applyFont="1" applyFill="1" applyBorder="1"/>
    <xf numFmtId="166" fontId="37" fillId="0" borderId="46" xfId="1" applyNumberFormat="1" applyFont="1" applyFill="1" applyBorder="1"/>
    <xf numFmtId="0" fontId="38" fillId="0" borderId="54" xfId="0" applyFont="1" applyFill="1" applyBorder="1" applyAlignment="1"/>
    <xf numFmtId="166" fontId="37" fillId="0" borderId="24" xfId="1" applyNumberFormat="1" applyFont="1" applyFill="1" applyBorder="1"/>
    <xf numFmtId="166" fontId="37" fillId="0" borderId="47" xfId="1" applyNumberFormat="1" applyFont="1" applyFill="1" applyBorder="1"/>
    <xf numFmtId="0" fontId="7" fillId="0" borderId="0" xfId="0" applyFont="1"/>
    <xf numFmtId="0" fontId="39" fillId="0" borderId="0" xfId="0" applyFont="1" applyFill="1" applyAlignment="1">
      <alignment horizontal="left"/>
    </xf>
    <xf numFmtId="0" fontId="40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right"/>
    </xf>
    <xf numFmtId="0" fontId="42" fillId="0" borderId="0" xfId="0" applyFont="1" applyFill="1" applyAlignment="1">
      <alignment vertical="center"/>
    </xf>
    <xf numFmtId="0" fontId="39" fillId="0" borderId="0" xfId="0" applyFont="1" applyFill="1" applyAlignment="1">
      <alignment horizontal="right"/>
    </xf>
    <xf numFmtId="0" fontId="36" fillId="0" borderId="0" xfId="0" applyNumberFormat="1" applyFont="1"/>
    <xf numFmtId="0" fontId="43" fillId="0" borderId="0" xfId="0" applyNumberFormat="1" applyFont="1" applyAlignment="1">
      <alignment horizontal="right"/>
    </xf>
    <xf numFmtId="0" fontId="36" fillId="2" borderId="0" xfId="0" applyFont="1" applyFill="1" applyBorder="1"/>
    <xf numFmtId="0" fontId="38" fillId="0" borderId="59" xfId="0" applyFont="1" applyFill="1" applyBorder="1" applyAlignment="1"/>
    <xf numFmtId="0" fontId="38" fillId="10" borderId="59" xfId="0" applyFont="1" applyFill="1" applyBorder="1" applyAlignment="1"/>
    <xf numFmtId="0" fontId="43" fillId="0" borderId="0" xfId="0" applyNumberFormat="1" applyFont="1" applyFill="1" applyAlignment="1">
      <alignment horizontal="right"/>
    </xf>
    <xf numFmtId="0" fontId="36" fillId="0" borderId="0" xfId="0" applyNumberFormat="1" applyFont="1" applyFill="1"/>
    <xf numFmtId="2" fontId="36" fillId="0" borderId="0" xfId="0" applyNumberFormat="1" applyFont="1" applyFill="1" applyBorder="1"/>
    <xf numFmtId="0" fontId="44" fillId="0" borderId="0" xfId="0" applyNumberFormat="1" applyFont="1" applyFill="1" applyAlignment="1">
      <alignment horizontal="right"/>
    </xf>
    <xf numFmtId="0" fontId="43" fillId="0" borderId="0" xfId="0" applyNumberFormat="1" applyFont="1" applyFill="1" applyAlignment="1">
      <alignment horizontal="left"/>
    </xf>
    <xf numFmtId="49" fontId="36" fillId="0" borderId="0" xfId="0" applyNumberFormat="1" applyFont="1" applyFill="1"/>
    <xf numFmtId="14" fontId="36" fillId="0" borderId="0" xfId="0" applyNumberFormat="1" applyFont="1" applyFill="1" applyBorder="1"/>
    <xf numFmtId="0" fontId="36" fillId="0" borderId="0" xfId="0" applyNumberFormat="1" applyFont="1" applyFill="1" applyBorder="1"/>
    <xf numFmtId="0" fontId="44" fillId="0" borderId="0" xfId="0" applyNumberFormat="1" applyFont="1" applyFill="1" applyBorder="1" applyAlignment="1">
      <alignment horizontal="right"/>
    </xf>
    <xf numFmtId="0" fontId="36" fillId="0" borderId="0" xfId="0" applyNumberFormat="1" applyFont="1" applyFill="1" applyBorder="1" applyAlignment="1">
      <alignment horizontal="left"/>
    </xf>
    <xf numFmtId="0" fontId="46" fillId="0" borderId="0" xfId="0" applyNumberFormat="1" applyFont="1" applyFill="1" applyBorder="1" applyAlignment="1">
      <alignment horizontal="right"/>
    </xf>
    <xf numFmtId="0" fontId="38" fillId="10" borderId="31" xfId="3" applyFont="1" applyFill="1" applyBorder="1" applyAlignment="1">
      <alignment horizontal="right"/>
    </xf>
    <xf numFmtId="166" fontId="37" fillId="10" borderId="17" xfId="1" applyNumberFormat="1" applyFont="1" applyFill="1" applyBorder="1"/>
    <xf numFmtId="0" fontId="38" fillId="10" borderId="2" xfId="3" applyFont="1" applyFill="1" applyBorder="1"/>
    <xf numFmtId="0" fontId="38" fillId="10" borderId="7" xfId="0" applyFont="1" applyFill="1" applyBorder="1"/>
    <xf numFmtId="0" fontId="38" fillId="10" borderId="25" xfId="3" applyFont="1" applyFill="1" applyBorder="1" applyAlignment="1">
      <alignment horizontal="right"/>
    </xf>
    <xf numFmtId="0" fontId="7" fillId="0" borderId="31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81" fontId="4" fillId="0" borderId="19" xfId="0" applyNumberFormat="1" applyFont="1" applyBorder="1"/>
    <xf numFmtId="181" fontId="4" fillId="0" borderId="60" xfId="0" applyNumberFormat="1" applyFont="1" applyBorder="1"/>
    <xf numFmtId="181" fontId="4" fillId="0" borderId="37" xfId="0" applyNumberFormat="1" applyFont="1" applyBorder="1"/>
    <xf numFmtId="0" fontId="0" fillId="0" borderId="60" xfId="0" applyBorder="1"/>
    <xf numFmtId="0" fontId="0" fillId="0" borderId="61" xfId="0" applyBorder="1"/>
    <xf numFmtId="181" fontId="0" fillId="0" borderId="60" xfId="2" applyNumberFormat="1" applyFont="1" applyBorder="1"/>
    <xf numFmtId="181" fontId="0" fillId="0" borderId="61" xfId="2" applyNumberFormat="1" applyFont="1" applyBorder="1"/>
    <xf numFmtId="0" fontId="0" fillId="0" borderId="62" xfId="0" applyBorder="1"/>
    <xf numFmtId="0" fontId="6" fillId="0" borderId="2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5" xfId="0" applyFont="1" applyBorder="1"/>
    <xf numFmtId="0" fontId="6" fillId="0" borderId="2" xfId="0" applyFont="1" applyBorder="1"/>
    <xf numFmtId="181" fontId="4" fillId="0" borderId="20" xfId="0" applyNumberFormat="1" applyFont="1" applyBorder="1"/>
    <xf numFmtId="181" fontId="4" fillId="0" borderId="62" xfId="0" applyNumberFormat="1" applyFont="1" applyBorder="1"/>
    <xf numFmtId="181" fontId="4" fillId="0" borderId="63" xfId="0" applyNumberFormat="1" applyFont="1" applyBorder="1"/>
    <xf numFmtId="0" fontId="4" fillId="2" borderId="8" xfId="0" applyFont="1" applyFill="1" applyBorder="1"/>
    <xf numFmtId="0" fontId="4" fillId="2" borderId="9" xfId="0" applyFont="1" applyFill="1" applyBorder="1"/>
    <xf numFmtId="9" fontId="0" fillId="0" borderId="16" xfId="0" applyNumberFormat="1" applyBorder="1"/>
    <xf numFmtId="10" fontId="0" fillId="0" borderId="16" xfId="0" applyNumberFormat="1" applyBorder="1"/>
    <xf numFmtId="43" fontId="0" fillId="0" borderId="17" xfId="1" applyFont="1" applyBorder="1"/>
    <xf numFmtId="0" fontId="7" fillId="0" borderId="19" xfId="0" applyFont="1" applyBorder="1"/>
    <xf numFmtId="0" fontId="7" fillId="0" borderId="20" xfId="0" applyFont="1" applyBorder="1"/>
    <xf numFmtId="181" fontId="0" fillId="0" borderId="16" xfId="2" applyNumberFormat="1" applyFont="1" applyBorder="1"/>
    <xf numFmtId="9" fontId="0" fillId="0" borderId="50" xfId="4" applyFont="1" applyBorder="1" applyAlignment="1">
      <alignment horizontal="center"/>
    </xf>
    <xf numFmtId="9" fontId="0" fillId="0" borderId="36" xfId="4" applyFont="1" applyBorder="1" applyAlignment="1">
      <alignment horizontal="center"/>
    </xf>
    <xf numFmtId="9" fontId="0" fillId="0" borderId="54" xfId="4" applyFont="1" applyBorder="1" applyAlignment="1">
      <alignment horizontal="center"/>
    </xf>
    <xf numFmtId="0" fontId="47" fillId="0" borderId="21" xfId="0" applyFont="1" applyFill="1" applyBorder="1" applyAlignment="1">
      <alignment horizontal="center"/>
    </xf>
    <xf numFmtId="0" fontId="47" fillId="0" borderId="25" xfId="0" applyFont="1" applyFill="1" applyBorder="1" applyAlignment="1">
      <alignment horizontal="center"/>
    </xf>
    <xf numFmtId="0" fontId="33" fillId="2" borderId="12" xfId="0" applyFont="1" applyFill="1" applyBorder="1" applyAlignment="1">
      <alignment horizontal="center"/>
    </xf>
    <xf numFmtId="0" fontId="21" fillId="11" borderId="0" xfId="0" applyFont="1" applyFill="1" applyBorder="1"/>
    <xf numFmtId="0" fontId="0" fillId="11" borderId="0" xfId="0" applyFill="1"/>
    <xf numFmtId="3" fontId="2" fillId="11" borderId="1" xfId="0" applyNumberFormat="1" applyFont="1" applyFill="1" applyBorder="1" applyAlignment="1" applyProtection="1"/>
    <xf numFmtId="3" fontId="2" fillId="11" borderId="8" xfId="0" applyNumberFormat="1" applyFont="1" applyFill="1" applyBorder="1" applyAlignment="1" applyProtection="1"/>
    <xf numFmtId="3" fontId="2" fillId="11" borderId="9" xfId="0" applyNumberFormat="1" applyFont="1" applyFill="1" applyBorder="1" applyAlignment="1" applyProtection="1"/>
    <xf numFmtId="3" fontId="3" fillId="11" borderId="2" xfId="0" applyNumberFormat="1" applyFont="1" applyFill="1" applyBorder="1" applyAlignment="1" applyProtection="1"/>
    <xf numFmtId="3" fontId="3" fillId="11" borderId="3" xfId="0" applyNumberFormat="1" applyFont="1" applyFill="1" applyBorder="1" applyAlignment="1" applyProtection="1"/>
    <xf numFmtId="3" fontId="3" fillId="11" borderId="4" xfId="0" applyNumberFormat="1" applyFont="1" applyFill="1" applyBorder="1" applyAlignment="1" applyProtection="1"/>
    <xf numFmtId="3" fontId="3" fillId="11" borderId="5" xfId="0" applyNumberFormat="1" applyFont="1" applyFill="1" applyBorder="1" applyAlignment="1" applyProtection="1"/>
    <xf numFmtId="3" fontId="3" fillId="11" borderId="0" xfId="0" applyNumberFormat="1" applyFont="1" applyFill="1" applyBorder="1" applyAlignment="1" applyProtection="1"/>
    <xf numFmtId="3" fontId="3" fillId="11" borderId="6" xfId="0" applyNumberFormat="1" applyFont="1" applyFill="1" applyBorder="1" applyAlignment="1" applyProtection="1"/>
    <xf numFmtId="3" fontId="3" fillId="11" borderId="7" xfId="0" applyNumberFormat="1" applyFont="1" applyFill="1" applyBorder="1" applyAlignment="1" applyProtection="1"/>
    <xf numFmtId="3" fontId="3" fillId="11" borderId="10" xfId="0" applyNumberFormat="1" applyFont="1" applyFill="1" applyBorder="1" applyAlignment="1" applyProtection="1"/>
    <xf numFmtId="3" fontId="3" fillId="11" borderId="11" xfId="0" applyNumberFormat="1" applyFont="1" applyFill="1" applyBorder="1" applyAlignment="1" applyProtection="1"/>
    <xf numFmtId="3" fontId="2" fillId="11" borderId="8" xfId="0" applyNumberFormat="1" applyFont="1" applyFill="1" applyBorder="1" applyAlignment="1" applyProtection="1">
      <alignment horizontal="right"/>
    </xf>
    <xf numFmtId="3" fontId="2" fillId="11" borderId="9" xfId="0" applyNumberFormat="1" applyFont="1" applyFill="1" applyBorder="1" applyAlignment="1" applyProtection="1">
      <alignment horizontal="right"/>
    </xf>
    <xf numFmtId="0" fontId="11" fillId="11" borderId="0" xfId="0" applyFont="1" applyFill="1"/>
    <xf numFmtId="166" fontId="0" fillId="11" borderId="0" xfId="1" applyNumberFormat="1" applyFont="1" applyFill="1"/>
    <xf numFmtId="0" fontId="4" fillId="11" borderId="0" xfId="0" applyFont="1" applyFill="1"/>
    <xf numFmtId="0" fontId="20" fillId="11" borderId="0" xfId="0" applyFont="1" applyFill="1" applyBorder="1"/>
    <xf numFmtId="0" fontId="4" fillId="11" borderId="26" xfId="1" applyNumberFormat="1" applyFont="1" applyFill="1" applyBorder="1"/>
    <xf numFmtId="0" fontId="4" fillId="11" borderId="27" xfId="1" applyNumberFormat="1" applyFont="1" applyFill="1" applyBorder="1"/>
    <xf numFmtId="0" fontId="4" fillId="11" borderId="28" xfId="1" applyNumberFormat="1" applyFont="1" applyFill="1" applyBorder="1"/>
    <xf numFmtId="0" fontId="4" fillId="11" borderId="2" xfId="0" applyFont="1" applyFill="1" applyBorder="1"/>
    <xf numFmtId="181" fontId="0" fillId="11" borderId="2" xfId="2" applyNumberFormat="1" applyFont="1" applyFill="1" applyBorder="1"/>
    <xf numFmtId="181" fontId="0" fillId="11" borderId="3" xfId="2" applyNumberFormat="1" applyFont="1" applyFill="1" applyBorder="1"/>
    <xf numFmtId="181" fontId="0" fillId="11" borderId="4" xfId="2" applyNumberFormat="1" applyFont="1" applyFill="1" applyBorder="1"/>
    <xf numFmtId="0" fontId="0" fillId="11" borderId="5" xfId="0" applyFill="1" applyBorder="1"/>
    <xf numFmtId="181" fontId="7" fillId="11" borderId="5" xfId="2" applyNumberFormat="1" applyFont="1" applyFill="1" applyBorder="1"/>
    <xf numFmtId="181" fontId="7" fillId="11" borderId="0" xfId="2" applyNumberFormat="1" applyFont="1" applyFill="1" applyBorder="1"/>
    <xf numFmtId="181" fontId="7" fillId="11" borderId="6" xfId="2" applyNumberFormat="1" applyFont="1" applyFill="1" applyBorder="1"/>
    <xf numFmtId="181" fontId="0" fillId="11" borderId="5" xfId="2" applyNumberFormat="1" applyFont="1" applyFill="1" applyBorder="1"/>
    <xf numFmtId="181" fontId="0" fillId="11" borderId="0" xfId="2" applyNumberFormat="1" applyFont="1" applyFill="1" applyBorder="1"/>
    <xf numFmtId="181" fontId="0" fillId="11" borderId="6" xfId="2" applyNumberFormat="1" applyFont="1" applyFill="1" applyBorder="1"/>
    <xf numFmtId="0" fontId="0" fillId="11" borderId="7" xfId="0" applyFill="1" applyBorder="1"/>
    <xf numFmtId="181" fontId="0" fillId="11" borderId="7" xfId="2" applyNumberFormat="1" applyFont="1" applyFill="1" applyBorder="1"/>
    <xf numFmtId="181" fontId="0" fillId="11" borderId="10" xfId="2" applyNumberFormat="1" applyFont="1" applyFill="1" applyBorder="1"/>
    <xf numFmtId="181" fontId="0" fillId="11" borderId="11" xfId="2" applyNumberFormat="1" applyFont="1" applyFill="1" applyBorder="1"/>
    <xf numFmtId="0" fontId="20" fillId="11" borderId="0" xfId="0" applyFont="1" applyFill="1"/>
    <xf numFmtId="0" fontId="0" fillId="11" borderId="2" xfId="0" applyFill="1" applyBorder="1"/>
    <xf numFmtId="166" fontId="0" fillId="11" borderId="2" xfId="1" applyNumberFormat="1" applyFont="1" applyFill="1" applyBorder="1"/>
    <xf numFmtId="166" fontId="0" fillId="11" borderId="3" xfId="1" applyNumberFormat="1" applyFont="1" applyFill="1" applyBorder="1"/>
    <xf numFmtId="166" fontId="0" fillId="11" borderId="4" xfId="1" applyNumberFormat="1" applyFont="1" applyFill="1" applyBorder="1"/>
    <xf numFmtId="0" fontId="0" fillId="11" borderId="4" xfId="0" applyFill="1" applyBorder="1"/>
    <xf numFmtId="0" fontId="4" fillId="11" borderId="1" xfId="0" applyFont="1" applyFill="1" applyBorder="1"/>
    <xf numFmtId="181" fontId="4" fillId="11" borderId="12" xfId="2" applyNumberFormat="1" applyFont="1" applyFill="1" applyBorder="1"/>
    <xf numFmtId="0" fontId="22" fillId="11" borderId="0" xfId="0" applyFont="1" applyFill="1"/>
    <xf numFmtId="166" fontId="4" fillId="11" borderId="0" xfId="1" applyNumberFormat="1" applyFont="1" applyFill="1"/>
    <xf numFmtId="181" fontId="32" fillId="11" borderId="12" xfId="2" applyNumberFormat="1" applyFont="1" applyFill="1" applyBorder="1"/>
    <xf numFmtId="166" fontId="16" fillId="11" borderId="9" xfId="1" applyNumberFormat="1" applyFont="1" applyFill="1" applyBorder="1"/>
    <xf numFmtId="166" fontId="0" fillId="11" borderId="9" xfId="1" applyNumberFormat="1" applyFont="1" applyFill="1" applyBorder="1"/>
    <xf numFmtId="181" fontId="32" fillId="11" borderId="1" xfId="2" applyNumberFormat="1" applyFont="1" applyFill="1" applyBorder="1"/>
    <xf numFmtId="166" fontId="16" fillId="11" borderId="8" xfId="1" applyNumberFormat="1" applyFont="1" applyFill="1" applyBorder="1"/>
    <xf numFmtId="181" fontId="32" fillId="11" borderId="9" xfId="2" applyNumberFormat="1" applyFont="1" applyFill="1" applyBorder="1"/>
    <xf numFmtId="0" fontId="18" fillId="11" borderId="0" xfId="0" applyFont="1" applyFill="1"/>
    <xf numFmtId="0" fontId="19" fillId="11" borderId="0" xfId="0" applyFont="1" applyFill="1"/>
    <xf numFmtId="0" fontId="7" fillId="0" borderId="0" xfId="0" applyFont="1" applyBorder="1"/>
    <xf numFmtId="9" fontId="0" fillId="0" borderId="12" xfId="0" applyNumberFormat="1" applyBorder="1"/>
    <xf numFmtId="0" fontId="27" fillId="7" borderId="0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16" fillId="7" borderId="64" xfId="0" applyFont="1" applyFill="1" applyBorder="1" applyAlignment="1">
      <alignment horizontal="center" vertical="center"/>
    </xf>
    <xf numFmtId="0" fontId="16" fillId="7" borderId="65" xfId="0" applyFont="1" applyFill="1" applyBorder="1" applyAlignment="1">
      <alignment horizontal="center" vertical="center"/>
    </xf>
    <xf numFmtId="0" fontId="16" fillId="7" borderId="6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" fontId="26" fillId="8" borderId="7" xfId="2" applyNumberFormat="1" applyFont="1" applyFill="1" applyBorder="1" applyAlignment="1" applyProtection="1">
      <alignment horizontal="center"/>
      <protection locked="0"/>
    </xf>
    <xf numFmtId="5" fontId="26" fillId="8" borderId="10" xfId="2" applyNumberFormat="1" applyFont="1" applyFill="1" applyBorder="1" applyAlignment="1" applyProtection="1">
      <alignment horizontal="center"/>
      <protection locked="0"/>
    </xf>
    <xf numFmtId="5" fontId="26" fillId="8" borderId="11" xfId="2" applyNumberFormat="1" applyFont="1" applyFill="1" applyBorder="1" applyAlignment="1" applyProtection="1">
      <alignment horizontal="center"/>
      <protection locked="0"/>
    </xf>
    <xf numFmtId="0" fontId="24" fillId="7" borderId="7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9" fontId="24" fillId="7" borderId="7" xfId="0" applyNumberFormat="1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7" xfId="0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6" fontId="4" fillId="11" borderId="1" xfId="1" applyNumberFormat="1" applyFont="1" applyFill="1" applyBorder="1" applyAlignment="1">
      <alignment horizontal="center" vertical="center"/>
    </xf>
    <xf numFmtId="166" fontId="4" fillId="11" borderId="8" xfId="1" applyNumberFormat="1" applyFont="1" applyFill="1" applyBorder="1" applyAlignment="1">
      <alignment horizontal="center" vertical="center"/>
    </xf>
    <xf numFmtId="166" fontId="4" fillId="11" borderId="9" xfId="1" applyNumberFormat="1" applyFont="1" applyFill="1" applyBorder="1" applyAlignment="1">
      <alignment horizontal="center" vertical="center"/>
    </xf>
    <xf numFmtId="166" fontId="4" fillId="11" borderId="2" xfId="1" applyNumberFormat="1" applyFont="1" applyFill="1" applyBorder="1" applyAlignment="1">
      <alignment horizontal="center" vertical="center"/>
    </xf>
    <xf numFmtId="166" fontId="4" fillId="11" borderId="3" xfId="1" applyNumberFormat="1" applyFont="1" applyFill="1" applyBorder="1" applyAlignment="1">
      <alignment horizontal="center" vertical="center"/>
    </xf>
    <xf numFmtId="166" fontId="4" fillId="11" borderId="4" xfId="1" applyNumberFormat="1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wrapText="1"/>
    </xf>
    <xf numFmtId="0" fontId="4" fillId="11" borderId="25" xfId="0" applyFont="1" applyFill="1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Hyp-SAP COA" xfId="3"/>
    <cellStyle name="Percent" xfId="4" builtinId="5"/>
  </cellStyles>
  <dxfs count="1">
    <dxf>
      <font>
        <strike val="0"/>
        <condense val="0"/>
        <extend val="0"/>
        <color indexed="12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Drop" dropStyle="combo" dx="22" fmlaLink="D7" fmlaRange="$D$2:$D$4" noThreeD="1" sel="2" val="0"/>
</file>

<file path=xl/ctrlProps/ctrlProp10.xml><?xml version="1.0" encoding="utf-8"?>
<formControlPr xmlns="http://schemas.microsoft.com/office/spreadsheetml/2009/9/main" objectType="Drop" dropStyle="combo" dx="22" fmlaLink="D16" fmlaRange="$D$2:$D$4" noThreeD="1" sel="2" val="0"/>
</file>

<file path=xl/ctrlProps/ctrlProp11.xml><?xml version="1.0" encoding="utf-8"?>
<formControlPr xmlns="http://schemas.microsoft.com/office/spreadsheetml/2009/9/main" objectType="Drop" dropStyle="combo" dx="22" fmlaLink="D17" fmlaRange="$D$2:$D$4" noThreeD="1" sel="2" val="0"/>
</file>

<file path=xl/ctrlProps/ctrlProp12.xml><?xml version="1.0" encoding="utf-8"?>
<formControlPr xmlns="http://schemas.microsoft.com/office/spreadsheetml/2009/9/main" objectType="Drop" dropStyle="combo" dx="22" fmlaLink="D18" fmlaRange="$D$2:$D$4" noThreeD="1" sel="2" val="0"/>
</file>

<file path=xl/ctrlProps/ctrlProp13.xml><?xml version="1.0" encoding="utf-8"?>
<formControlPr xmlns="http://schemas.microsoft.com/office/spreadsheetml/2009/9/main" objectType="Drop" dropStyle="combo" dx="22" fmlaLink="$S$10" fmlaRange="$S$7:$S$9" sel="1" val="0"/>
</file>

<file path=xl/ctrlProps/ctrlProp2.xml><?xml version="1.0" encoding="utf-8"?>
<formControlPr xmlns="http://schemas.microsoft.com/office/spreadsheetml/2009/9/main" objectType="Drop" dropStyle="combo" dx="22" fmlaLink="D8" fmlaRange="$D$2:$D$4" noThreeD="1" sel="2" val="0"/>
</file>

<file path=xl/ctrlProps/ctrlProp3.xml><?xml version="1.0" encoding="utf-8"?>
<formControlPr xmlns="http://schemas.microsoft.com/office/spreadsheetml/2009/9/main" objectType="Drop" dropStyle="combo" dx="22" fmlaLink="D9" fmlaRange="$D$2:$D$4" noThreeD="1" sel="1" val="0"/>
</file>

<file path=xl/ctrlProps/ctrlProp4.xml><?xml version="1.0" encoding="utf-8"?>
<formControlPr xmlns="http://schemas.microsoft.com/office/spreadsheetml/2009/9/main" objectType="Drop" dropStyle="combo" dx="22" fmlaLink="D10" fmlaRange="$D$2:$D$4" noThreeD="1" sel="1" val="0"/>
</file>

<file path=xl/ctrlProps/ctrlProp5.xml><?xml version="1.0" encoding="utf-8"?>
<formControlPr xmlns="http://schemas.microsoft.com/office/spreadsheetml/2009/9/main" objectType="Drop" dropStyle="combo" dx="22" fmlaLink="D11" fmlaRange="$D$2:$D$4" noThreeD="1" sel="1" val="0"/>
</file>

<file path=xl/ctrlProps/ctrlProp6.xml><?xml version="1.0" encoding="utf-8"?>
<formControlPr xmlns="http://schemas.microsoft.com/office/spreadsheetml/2009/9/main" objectType="Drop" dropStyle="combo" dx="22" fmlaLink="D12" fmlaRange="$D$2:$D$4" noThreeD="1" sel="2" val="0"/>
</file>

<file path=xl/ctrlProps/ctrlProp7.xml><?xml version="1.0" encoding="utf-8"?>
<formControlPr xmlns="http://schemas.microsoft.com/office/spreadsheetml/2009/9/main" objectType="Drop" dropStyle="combo" dx="22" fmlaLink="D13" fmlaRange="$D$2:$D$4" noThreeD="1" sel="2" val="0"/>
</file>

<file path=xl/ctrlProps/ctrlProp8.xml><?xml version="1.0" encoding="utf-8"?>
<formControlPr xmlns="http://schemas.microsoft.com/office/spreadsheetml/2009/9/main" objectType="Drop" dropStyle="combo" dx="22" fmlaLink="D14" fmlaRange="$D$2:$D$4" noThreeD="1" sel="2" val="0"/>
</file>

<file path=xl/ctrlProps/ctrlProp9.xml><?xml version="1.0" encoding="utf-8"?>
<formControlPr xmlns="http://schemas.microsoft.com/office/spreadsheetml/2009/9/main" objectType="Drop" dropStyle="combo" dx="22" fmlaLink="D15" fmlaRange="$D$2:$D$4" noThreeD="1" sel="2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0</xdr:rowOff>
    </xdr:from>
    <xdr:to>
      <xdr:col>1</xdr:col>
      <xdr:colOff>438150</xdr:colOff>
      <xdr:row>9</xdr:row>
      <xdr:rowOff>533400</xdr:rowOff>
    </xdr:to>
    <xdr:sp macro="" textlink="">
      <xdr:nvSpPr>
        <xdr:cNvPr id="8193" name="AutoShape 1"/>
        <xdr:cNvSpPr>
          <a:spLocks noChangeArrowheads="1"/>
        </xdr:cNvSpPr>
      </xdr:nvSpPr>
      <xdr:spPr bwMode="auto">
        <a:xfrm>
          <a:off x="219075" y="1543050"/>
          <a:ext cx="1066800" cy="1323975"/>
        </a:xfrm>
        <a:prstGeom prst="downArrow">
          <a:avLst>
            <a:gd name="adj1" fmla="val 50000"/>
            <a:gd name="adj2" fmla="val 3102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409575</xdr:colOff>
      <xdr:row>6</xdr:row>
      <xdr:rowOff>9525</xdr:rowOff>
    </xdr:from>
    <xdr:to>
      <xdr:col>7</xdr:col>
      <xdr:colOff>628650</xdr:colOff>
      <xdr:row>9</xdr:row>
      <xdr:rowOff>542925</xdr:rowOff>
    </xdr:to>
    <xdr:sp macro="" textlink="">
      <xdr:nvSpPr>
        <xdr:cNvPr id="8194" name="AutoShape 2"/>
        <xdr:cNvSpPr>
          <a:spLocks noChangeArrowheads="1"/>
        </xdr:cNvSpPr>
      </xdr:nvSpPr>
      <xdr:spPr bwMode="auto">
        <a:xfrm>
          <a:off x="5495925" y="1552575"/>
          <a:ext cx="1066800" cy="1323975"/>
        </a:xfrm>
        <a:prstGeom prst="downArrow">
          <a:avLst>
            <a:gd name="adj1" fmla="val 50000"/>
            <a:gd name="adj2" fmla="val 3102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657225</xdr:colOff>
      <xdr:row>18</xdr:row>
      <xdr:rowOff>0</xdr:rowOff>
    </xdr:from>
    <xdr:to>
      <xdr:col>2</xdr:col>
      <xdr:colOff>314325</xdr:colOff>
      <xdr:row>22</xdr:row>
      <xdr:rowOff>0</xdr:rowOff>
    </xdr:to>
    <xdr:sp macro="" textlink="">
      <xdr:nvSpPr>
        <xdr:cNvPr id="8197" name="AutoShape 5"/>
        <xdr:cNvSpPr>
          <a:spLocks noChangeArrowheads="1"/>
        </xdr:cNvSpPr>
      </xdr:nvSpPr>
      <xdr:spPr bwMode="auto">
        <a:xfrm>
          <a:off x="1504950" y="5324475"/>
          <a:ext cx="504825" cy="1276350"/>
        </a:xfrm>
        <a:prstGeom prst="downArrow">
          <a:avLst>
            <a:gd name="adj1" fmla="val 50000"/>
            <a:gd name="adj2" fmla="val 6320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457200</xdr:colOff>
      <xdr:row>18</xdr:row>
      <xdr:rowOff>0</xdr:rowOff>
    </xdr:from>
    <xdr:to>
      <xdr:col>6</xdr:col>
      <xdr:colOff>114300</xdr:colOff>
      <xdr:row>21</xdr:row>
      <xdr:rowOff>495300</xdr:rowOff>
    </xdr:to>
    <xdr:sp macro="" textlink="">
      <xdr:nvSpPr>
        <xdr:cNvPr id="8198" name="AutoShape 6"/>
        <xdr:cNvSpPr>
          <a:spLocks noChangeArrowheads="1"/>
        </xdr:cNvSpPr>
      </xdr:nvSpPr>
      <xdr:spPr bwMode="auto">
        <a:xfrm>
          <a:off x="4695825" y="5324475"/>
          <a:ext cx="504825" cy="1266825"/>
        </a:xfrm>
        <a:prstGeom prst="downArrow">
          <a:avLst>
            <a:gd name="adj1" fmla="val 50000"/>
            <a:gd name="adj2" fmla="val 62736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199" name="AutoShape 7"/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0" name="AutoShape 8"/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201" name="AutoShape 9"/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2" name="AutoShape 10"/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203" name="AutoShape 11"/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4" name="AutoShape 12"/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2</xdr:col>
      <xdr:colOff>19050</xdr:colOff>
      <xdr:row>15</xdr:row>
      <xdr:rowOff>504825</xdr:rowOff>
    </xdr:to>
    <xdr:sp macro="" textlink="">
      <xdr:nvSpPr>
        <xdr:cNvPr id="8205" name="AutoShape 13"/>
        <xdr:cNvSpPr>
          <a:spLocks noChangeArrowheads="1"/>
        </xdr:cNvSpPr>
      </xdr:nvSpPr>
      <xdr:spPr bwMode="auto">
        <a:xfrm>
          <a:off x="857250" y="3400425"/>
          <a:ext cx="857250" cy="1390650"/>
        </a:xfrm>
        <a:prstGeom prst="downArrow">
          <a:avLst>
            <a:gd name="adj1" fmla="val 50000"/>
            <a:gd name="adj2" fmla="val 40556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809625</xdr:colOff>
      <xdr:row>12</xdr:row>
      <xdr:rowOff>9525</xdr:rowOff>
    </xdr:from>
    <xdr:to>
      <xdr:col>6</xdr:col>
      <xdr:colOff>838200</xdr:colOff>
      <xdr:row>15</xdr:row>
      <xdr:rowOff>504825</xdr:rowOff>
    </xdr:to>
    <xdr:sp macro="" textlink="">
      <xdr:nvSpPr>
        <xdr:cNvPr id="8206" name="AutoShape 14"/>
        <xdr:cNvSpPr>
          <a:spLocks noChangeArrowheads="1"/>
        </xdr:cNvSpPr>
      </xdr:nvSpPr>
      <xdr:spPr bwMode="auto">
        <a:xfrm>
          <a:off x="5048250" y="3400425"/>
          <a:ext cx="876300" cy="1390650"/>
        </a:xfrm>
        <a:prstGeom prst="downArrow">
          <a:avLst>
            <a:gd name="adj1" fmla="val 50000"/>
            <a:gd name="adj2" fmla="val 39674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657225</xdr:colOff>
      <xdr:row>24</xdr:row>
      <xdr:rowOff>0</xdr:rowOff>
    </xdr:from>
    <xdr:to>
      <xdr:col>2</xdr:col>
      <xdr:colOff>314325</xdr:colOff>
      <xdr:row>28</xdr:row>
      <xdr:rowOff>0</xdr:rowOff>
    </xdr:to>
    <xdr:sp macro="" textlink="">
      <xdr:nvSpPr>
        <xdr:cNvPr id="8207" name="AutoShape 15"/>
        <xdr:cNvSpPr>
          <a:spLocks noChangeArrowheads="1"/>
        </xdr:cNvSpPr>
      </xdr:nvSpPr>
      <xdr:spPr bwMode="auto">
        <a:xfrm>
          <a:off x="1504950" y="7105650"/>
          <a:ext cx="504825" cy="1495425"/>
        </a:xfrm>
        <a:prstGeom prst="downArrow">
          <a:avLst>
            <a:gd name="adj1" fmla="val 50000"/>
            <a:gd name="adj2" fmla="val 7405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457200</xdr:colOff>
      <xdr:row>24</xdr:row>
      <xdr:rowOff>0</xdr:rowOff>
    </xdr:from>
    <xdr:to>
      <xdr:col>6</xdr:col>
      <xdr:colOff>114300</xdr:colOff>
      <xdr:row>27</xdr:row>
      <xdr:rowOff>495300</xdr:rowOff>
    </xdr:to>
    <xdr:sp macro="" textlink="">
      <xdr:nvSpPr>
        <xdr:cNvPr id="8208" name="AutoShape 16"/>
        <xdr:cNvSpPr>
          <a:spLocks noChangeArrowheads="1"/>
        </xdr:cNvSpPr>
      </xdr:nvSpPr>
      <xdr:spPr bwMode="auto">
        <a:xfrm>
          <a:off x="4695825" y="7105650"/>
          <a:ext cx="504825" cy="1400175"/>
        </a:xfrm>
        <a:prstGeom prst="downArrow">
          <a:avLst>
            <a:gd name="adj1" fmla="val 50000"/>
            <a:gd name="adj2" fmla="val 6934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19050</xdr:rowOff>
        </xdr:from>
        <xdr:to>
          <xdr:col>2</xdr:col>
          <xdr:colOff>1114425</xdr:colOff>
          <xdr:row>6</xdr:row>
          <xdr:rowOff>219075</xdr:rowOff>
        </xdr:to>
        <xdr:sp macro="" textlink="">
          <xdr:nvSpPr>
            <xdr:cNvPr id="9221" name="Drop Dow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19050</xdr:rowOff>
        </xdr:from>
        <xdr:to>
          <xdr:col>2</xdr:col>
          <xdr:colOff>1114425</xdr:colOff>
          <xdr:row>7</xdr:row>
          <xdr:rowOff>219075</xdr:rowOff>
        </xdr:to>
        <xdr:sp macro="" textlink="">
          <xdr:nvSpPr>
            <xdr:cNvPr id="9233" name="Drop Down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1114425</xdr:colOff>
          <xdr:row>8</xdr:row>
          <xdr:rowOff>219075</xdr:rowOff>
        </xdr:to>
        <xdr:sp macro="" textlink="">
          <xdr:nvSpPr>
            <xdr:cNvPr id="9234" name="Drop Down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1114425</xdr:colOff>
          <xdr:row>9</xdr:row>
          <xdr:rowOff>219075</xdr:rowOff>
        </xdr:to>
        <xdr:sp macro="" textlink="">
          <xdr:nvSpPr>
            <xdr:cNvPr id="9235" name="Drop Down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1114425</xdr:colOff>
          <xdr:row>10</xdr:row>
          <xdr:rowOff>219075</xdr:rowOff>
        </xdr:to>
        <xdr:sp macro="" textlink="">
          <xdr:nvSpPr>
            <xdr:cNvPr id="9236" name="Drop Down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2</xdr:col>
          <xdr:colOff>1114425</xdr:colOff>
          <xdr:row>11</xdr:row>
          <xdr:rowOff>219075</xdr:rowOff>
        </xdr:to>
        <xdr:sp macro="" textlink="">
          <xdr:nvSpPr>
            <xdr:cNvPr id="9237" name="Drop Down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1114425</xdr:colOff>
          <xdr:row>12</xdr:row>
          <xdr:rowOff>219075</xdr:rowOff>
        </xdr:to>
        <xdr:sp macro="" textlink="">
          <xdr:nvSpPr>
            <xdr:cNvPr id="9238" name="Drop Down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2</xdr:col>
          <xdr:colOff>1114425</xdr:colOff>
          <xdr:row>13</xdr:row>
          <xdr:rowOff>219075</xdr:rowOff>
        </xdr:to>
        <xdr:sp macro="" textlink="">
          <xdr:nvSpPr>
            <xdr:cNvPr id="9239" name="Drop Down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</xdr:rowOff>
        </xdr:from>
        <xdr:to>
          <xdr:col>2</xdr:col>
          <xdr:colOff>1114425</xdr:colOff>
          <xdr:row>14</xdr:row>
          <xdr:rowOff>219075</xdr:rowOff>
        </xdr:to>
        <xdr:sp macro="" textlink="">
          <xdr:nvSpPr>
            <xdr:cNvPr id="9240" name="Drop Down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</xdr:rowOff>
        </xdr:from>
        <xdr:to>
          <xdr:col>2</xdr:col>
          <xdr:colOff>1114425</xdr:colOff>
          <xdr:row>15</xdr:row>
          <xdr:rowOff>219075</xdr:rowOff>
        </xdr:to>
        <xdr:sp macro="" textlink="">
          <xdr:nvSpPr>
            <xdr:cNvPr id="9241" name="Drop Down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19050</xdr:rowOff>
        </xdr:from>
        <xdr:to>
          <xdr:col>2</xdr:col>
          <xdr:colOff>1114425</xdr:colOff>
          <xdr:row>16</xdr:row>
          <xdr:rowOff>219075</xdr:rowOff>
        </xdr:to>
        <xdr:sp macro="" textlink="">
          <xdr:nvSpPr>
            <xdr:cNvPr id="9242" name="Drop Down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19050</xdr:rowOff>
        </xdr:from>
        <xdr:to>
          <xdr:col>2</xdr:col>
          <xdr:colOff>1114425</xdr:colOff>
          <xdr:row>17</xdr:row>
          <xdr:rowOff>219075</xdr:rowOff>
        </xdr:to>
        <xdr:sp macro="" textlink="">
          <xdr:nvSpPr>
            <xdr:cNvPr id="9243" name="Drop Down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</xdr:row>
          <xdr:rowOff>47625</xdr:rowOff>
        </xdr:from>
        <xdr:to>
          <xdr:col>4</xdr:col>
          <xdr:colOff>257175</xdr:colOff>
          <xdr:row>2</xdr:row>
          <xdr:rowOff>247650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123825</xdr:rowOff>
    </xdr:from>
    <xdr:to>
      <xdr:col>4</xdr:col>
      <xdr:colOff>495300</xdr:colOff>
      <xdr:row>40</xdr:row>
      <xdr:rowOff>123825</xdr:rowOff>
    </xdr:to>
    <xdr:sp macro="" textlink="">
      <xdr:nvSpPr>
        <xdr:cNvPr id="6157" name="Text Box 13"/>
        <xdr:cNvSpPr txBox="1">
          <a:spLocks noChangeArrowheads="1"/>
        </xdr:cNvSpPr>
      </xdr:nvSpPr>
      <xdr:spPr bwMode="auto">
        <a:xfrm>
          <a:off x="2438400" y="933450"/>
          <a:ext cx="495300" cy="566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Market Multiplier (Volume Assumptions Tab)</a:t>
          </a:r>
        </a:p>
      </xdr:txBody>
    </xdr:sp>
    <xdr:clientData/>
  </xdr:twoCellAnchor>
  <xdr:twoCellAnchor>
    <xdr:from>
      <xdr:col>2</xdr:col>
      <xdr:colOff>504825</xdr:colOff>
      <xdr:row>0</xdr:row>
      <xdr:rowOff>57150</xdr:rowOff>
    </xdr:from>
    <xdr:to>
      <xdr:col>5</xdr:col>
      <xdr:colOff>542925</xdr:colOff>
      <xdr:row>4</xdr:row>
      <xdr:rowOff>47625</xdr:rowOff>
    </xdr:to>
    <xdr:sp macro="" textlink="">
      <xdr:nvSpPr>
        <xdr:cNvPr id="6170" name="AutoShape 26"/>
        <xdr:cNvSpPr>
          <a:spLocks noChangeArrowheads="1"/>
        </xdr:cNvSpPr>
      </xdr:nvSpPr>
      <xdr:spPr bwMode="auto">
        <a:xfrm>
          <a:off x="1724025" y="57150"/>
          <a:ext cx="1866900" cy="638175"/>
        </a:xfrm>
        <a:prstGeom prst="rightArrow">
          <a:avLst>
            <a:gd name="adj1" fmla="val 50000"/>
            <a:gd name="adj2" fmla="val 7313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6</xdr:col>
      <xdr:colOff>476250</xdr:colOff>
      <xdr:row>0</xdr:row>
      <xdr:rowOff>47625</xdr:rowOff>
    </xdr:from>
    <xdr:to>
      <xdr:col>8</xdr:col>
      <xdr:colOff>342900</xdr:colOff>
      <xdr:row>4</xdr:row>
      <xdr:rowOff>66675</xdr:rowOff>
    </xdr:to>
    <xdr:sp macro="" textlink="">
      <xdr:nvSpPr>
        <xdr:cNvPr id="6171" name="AutoShape 27"/>
        <xdr:cNvSpPr>
          <a:spLocks noChangeArrowheads="1"/>
        </xdr:cNvSpPr>
      </xdr:nvSpPr>
      <xdr:spPr bwMode="auto">
        <a:xfrm>
          <a:off x="4133850" y="47625"/>
          <a:ext cx="1085850" cy="666750"/>
        </a:xfrm>
        <a:prstGeom prst="rightArrow">
          <a:avLst>
            <a:gd name="adj1" fmla="val 50000"/>
            <a:gd name="adj2" fmla="val 4071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7</xdr:col>
      <xdr:colOff>542925</xdr:colOff>
      <xdr:row>6</xdr:row>
      <xdr:rowOff>114300</xdr:rowOff>
    </xdr:from>
    <xdr:to>
      <xdr:col>8</xdr:col>
      <xdr:colOff>428625</xdr:colOff>
      <xdr:row>20</xdr:row>
      <xdr:rowOff>0</xdr:rowOff>
    </xdr:to>
    <xdr:sp macro="" textlink="">
      <xdr:nvSpPr>
        <xdr:cNvPr id="6172" name="Text Box 28"/>
        <xdr:cNvSpPr txBox="1">
          <a:spLocks noChangeArrowheads="1"/>
        </xdr:cNvSpPr>
      </xdr:nvSpPr>
      <xdr:spPr bwMode="auto">
        <a:xfrm>
          <a:off x="4810125" y="108585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Physical Tums Multiplier (Volume Assumptions Tab)</a:t>
          </a:r>
        </a:p>
      </xdr:txBody>
    </xdr:sp>
    <xdr:clientData/>
  </xdr:twoCellAnchor>
  <xdr:twoCellAnchor>
    <xdr:from>
      <xdr:col>7</xdr:col>
      <xdr:colOff>542925</xdr:colOff>
      <xdr:row>25</xdr:row>
      <xdr:rowOff>142875</xdr:rowOff>
    </xdr:from>
    <xdr:to>
      <xdr:col>8</xdr:col>
      <xdr:colOff>428625</xdr:colOff>
      <xdr:row>39</xdr:row>
      <xdr:rowOff>28575</xdr:rowOff>
    </xdr:to>
    <xdr:sp macro="" textlink="">
      <xdr:nvSpPr>
        <xdr:cNvPr id="6173" name="Text Box 29"/>
        <xdr:cNvSpPr txBox="1">
          <a:spLocks noChangeArrowheads="1"/>
        </xdr:cNvSpPr>
      </xdr:nvSpPr>
      <xdr:spPr bwMode="auto">
        <a:xfrm>
          <a:off x="4810125" y="419100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Financial Tums Multiplier (Volume Assumptions Tab)</a:t>
          </a:r>
        </a:p>
      </xdr:txBody>
    </xdr:sp>
    <xdr:clientData/>
  </xdr:twoCellAnchor>
  <xdr:twoCellAnchor>
    <xdr:from>
      <xdr:col>9</xdr:col>
      <xdr:colOff>28575</xdr:colOff>
      <xdr:row>9</xdr:row>
      <xdr:rowOff>76200</xdr:rowOff>
    </xdr:from>
    <xdr:to>
      <xdr:col>9</xdr:col>
      <xdr:colOff>400050</xdr:colOff>
      <xdr:row>38</xdr:row>
      <xdr:rowOff>76200</xdr:rowOff>
    </xdr:to>
    <xdr:sp macro="" textlink="">
      <xdr:nvSpPr>
        <xdr:cNvPr id="6174" name="Text Box 30"/>
        <xdr:cNvSpPr txBox="1">
          <a:spLocks noChangeArrowheads="1"/>
        </xdr:cNvSpPr>
      </xdr:nvSpPr>
      <xdr:spPr bwMode="auto">
        <a:xfrm>
          <a:off x="5514975" y="1533525"/>
          <a:ext cx="371475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Commoditization Percentage Multiplier (Volume Assumptions Tab)</a:t>
          </a:r>
        </a:p>
      </xdr:txBody>
    </xdr:sp>
    <xdr:clientData/>
  </xdr:twoCellAnchor>
  <xdr:twoCellAnchor>
    <xdr:from>
      <xdr:col>8</xdr:col>
      <xdr:colOff>361950</xdr:colOff>
      <xdr:row>0</xdr:row>
      <xdr:rowOff>19050</xdr:rowOff>
    </xdr:from>
    <xdr:to>
      <xdr:col>10</xdr:col>
      <xdr:colOff>447675</xdr:colOff>
      <xdr:row>4</xdr:row>
      <xdr:rowOff>57150</xdr:rowOff>
    </xdr:to>
    <xdr:sp macro="" textlink="">
      <xdr:nvSpPr>
        <xdr:cNvPr id="6175" name="AutoShape 31"/>
        <xdr:cNvSpPr>
          <a:spLocks noChangeArrowheads="1"/>
        </xdr:cNvSpPr>
      </xdr:nvSpPr>
      <xdr:spPr bwMode="auto">
        <a:xfrm>
          <a:off x="5238750" y="19050"/>
          <a:ext cx="1304925" cy="685800"/>
        </a:xfrm>
        <a:prstGeom prst="rightArrow">
          <a:avLst>
            <a:gd name="adj1" fmla="val 50000"/>
            <a:gd name="adj2" fmla="val 47569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10</xdr:col>
      <xdr:colOff>28575</xdr:colOff>
      <xdr:row>9</xdr:row>
      <xdr:rowOff>57150</xdr:rowOff>
    </xdr:from>
    <xdr:to>
      <xdr:col>11</xdr:col>
      <xdr:colOff>219075</xdr:colOff>
      <xdr:row>23</xdr:row>
      <xdr:rowOff>85725</xdr:rowOff>
    </xdr:to>
    <xdr:sp macro="" textlink="">
      <xdr:nvSpPr>
        <xdr:cNvPr id="6176" name="Text Box 32"/>
        <xdr:cNvSpPr txBox="1">
          <a:spLocks noChangeArrowheads="1"/>
        </xdr:cNvSpPr>
      </xdr:nvSpPr>
      <xdr:spPr bwMode="auto">
        <a:xfrm>
          <a:off x="6124575" y="1514475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Physical Traded Market (Total Market Size Tab)</a:t>
          </a:r>
        </a:p>
      </xdr:txBody>
    </xdr:sp>
    <xdr:clientData/>
  </xdr:twoCellAnchor>
  <xdr:twoCellAnchor>
    <xdr:from>
      <xdr:col>10</xdr:col>
      <xdr:colOff>28575</xdr:colOff>
      <xdr:row>24</xdr:row>
      <xdr:rowOff>57150</xdr:rowOff>
    </xdr:from>
    <xdr:to>
      <xdr:col>11</xdr:col>
      <xdr:colOff>219075</xdr:colOff>
      <xdr:row>38</xdr:row>
      <xdr:rowOff>85725</xdr:rowOff>
    </xdr:to>
    <xdr:sp macro="" textlink="">
      <xdr:nvSpPr>
        <xdr:cNvPr id="6177" name="Text Box 33"/>
        <xdr:cNvSpPr txBox="1">
          <a:spLocks noChangeArrowheads="1"/>
        </xdr:cNvSpPr>
      </xdr:nvSpPr>
      <xdr:spPr bwMode="auto">
        <a:xfrm>
          <a:off x="6124575" y="3943350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Financial Traded Market (Total Market Size Tab)</a:t>
          </a:r>
        </a:p>
      </xdr:txBody>
    </xdr:sp>
    <xdr:clientData/>
  </xdr:twoCellAnchor>
  <xdr:twoCellAnchor>
    <xdr:from>
      <xdr:col>11</xdr:col>
      <xdr:colOff>476250</xdr:colOff>
      <xdr:row>9</xdr:row>
      <xdr:rowOff>104775</xdr:rowOff>
    </xdr:from>
    <xdr:to>
      <xdr:col>12</xdr:col>
      <xdr:colOff>247650</xdr:colOff>
      <xdr:row>38</xdr:row>
      <xdr:rowOff>104775</xdr:rowOff>
    </xdr:to>
    <xdr:sp macro="" textlink="">
      <xdr:nvSpPr>
        <xdr:cNvPr id="6178" name="Text Box 34"/>
        <xdr:cNvSpPr txBox="1">
          <a:spLocks noChangeArrowheads="1"/>
        </xdr:cNvSpPr>
      </xdr:nvSpPr>
      <xdr:spPr bwMode="auto">
        <a:xfrm>
          <a:off x="7181850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EOL Share Multiplier (Volume Assumptions Tab)</a:t>
          </a:r>
        </a:p>
      </xdr:txBody>
    </xdr:sp>
    <xdr:clientData/>
  </xdr:twoCellAnchor>
  <xdr:twoCellAnchor>
    <xdr:from>
      <xdr:col>11</xdr:col>
      <xdr:colOff>66675</xdr:colOff>
      <xdr:row>0</xdr:row>
      <xdr:rowOff>19050</xdr:rowOff>
    </xdr:from>
    <xdr:to>
      <xdr:col>13</xdr:col>
      <xdr:colOff>152400</xdr:colOff>
      <xdr:row>4</xdr:row>
      <xdr:rowOff>66675</xdr:rowOff>
    </xdr:to>
    <xdr:sp macro="" textlink="">
      <xdr:nvSpPr>
        <xdr:cNvPr id="6179" name="AutoShape 35"/>
        <xdr:cNvSpPr>
          <a:spLocks noChangeArrowheads="1"/>
        </xdr:cNvSpPr>
      </xdr:nvSpPr>
      <xdr:spPr bwMode="auto">
        <a:xfrm>
          <a:off x="6772275" y="19050"/>
          <a:ext cx="1304925" cy="695325"/>
        </a:xfrm>
        <a:prstGeom prst="rightArrow">
          <a:avLst>
            <a:gd name="adj1" fmla="val 50000"/>
            <a:gd name="adj2" fmla="val 46918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12</xdr:col>
      <xdr:colOff>476250</xdr:colOff>
      <xdr:row>11</xdr:row>
      <xdr:rowOff>47625</xdr:rowOff>
    </xdr:from>
    <xdr:to>
      <xdr:col>13</xdr:col>
      <xdr:colOff>285750</xdr:colOff>
      <xdr:row>36</xdr:row>
      <xdr:rowOff>133350</xdr:rowOff>
    </xdr:to>
    <xdr:sp macro="" textlink="">
      <xdr:nvSpPr>
        <xdr:cNvPr id="6180" name="Text Box 36"/>
        <xdr:cNvSpPr txBox="1">
          <a:spLocks noChangeArrowheads="1"/>
        </xdr:cNvSpPr>
      </xdr:nvSpPr>
      <xdr:spPr bwMode="auto">
        <a:xfrm>
          <a:off x="7791450" y="1828800"/>
          <a:ext cx="419100" cy="413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Enron Online Shareof the Market (Total Market Size Tab)</a:t>
          </a:r>
        </a:p>
      </xdr:txBody>
    </xdr:sp>
    <xdr:clientData/>
  </xdr:twoCellAnchor>
  <xdr:twoCellAnchor>
    <xdr:from>
      <xdr:col>13</xdr:col>
      <xdr:colOff>476250</xdr:colOff>
      <xdr:row>9</xdr:row>
      <xdr:rowOff>104775</xdr:rowOff>
    </xdr:from>
    <xdr:to>
      <xdr:col>14</xdr:col>
      <xdr:colOff>247650</xdr:colOff>
      <xdr:row>38</xdr:row>
      <xdr:rowOff>104775</xdr:rowOff>
    </xdr:to>
    <xdr:sp macro="" textlink="">
      <xdr:nvSpPr>
        <xdr:cNvPr id="6181" name="Text Box 37"/>
        <xdr:cNvSpPr txBox="1">
          <a:spLocks noChangeArrowheads="1"/>
        </xdr:cNvSpPr>
      </xdr:nvSpPr>
      <xdr:spPr bwMode="auto">
        <a:xfrm>
          <a:off x="8401050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Commision Multiplier per Transaction, Percentage or Both</a:t>
          </a:r>
        </a:p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(Volume Assumptions Tab)</a:t>
          </a:r>
        </a:p>
      </xdr:txBody>
    </xdr:sp>
    <xdr:clientData/>
  </xdr:twoCellAnchor>
  <xdr:twoCellAnchor>
    <xdr:from>
      <xdr:col>13</xdr:col>
      <xdr:colOff>161925</xdr:colOff>
      <xdr:row>0</xdr:row>
      <xdr:rowOff>0</xdr:rowOff>
    </xdr:from>
    <xdr:to>
      <xdr:col>15</xdr:col>
      <xdr:colOff>57150</xdr:colOff>
      <xdr:row>4</xdr:row>
      <xdr:rowOff>9525</xdr:rowOff>
    </xdr:to>
    <xdr:sp macro="" textlink="">
      <xdr:nvSpPr>
        <xdr:cNvPr id="6182" name="AutoShape 38"/>
        <xdr:cNvSpPr>
          <a:spLocks noChangeArrowheads="1"/>
        </xdr:cNvSpPr>
      </xdr:nvSpPr>
      <xdr:spPr bwMode="auto">
        <a:xfrm>
          <a:off x="8086725" y="0"/>
          <a:ext cx="1114425" cy="657225"/>
        </a:xfrm>
        <a:prstGeom prst="rightArrow">
          <a:avLst>
            <a:gd name="adj1" fmla="val 50000"/>
            <a:gd name="adj2" fmla="val 4239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14</xdr:col>
      <xdr:colOff>504825</xdr:colOff>
      <xdr:row>11</xdr:row>
      <xdr:rowOff>19050</xdr:rowOff>
    </xdr:from>
    <xdr:to>
      <xdr:col>15</xdr:col>
      <xdr:colOff>352425</xdr:colOff>
      <xdr:row>38</xdr:row>
      <xdr:rowOff>28575</xdr:rowOff>
    </xdr:to>
    <xdr:sp macro="" textlink="">
      <xdr:nvSpPr>
        <xdr:cNvPr id="6183" name="Text Box 39"/>
        <xdr:cNvSpPr txBox="1">
          <a:spLocks noChangeArrowheads="1"/>
        </xdr:cNvSpPr>
      </xdr:nvSpPr>
      <xdr:spPr bwMode="auto">
        <a:xfrm>
          <a:off x="9039225" y="1800225"/>
          <a:ext cx="457200" cy="438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Cash Flow Model (Cash Flow Model tab)</a:t>
          </a:r>
        </a:p>
        <a:p>
          <a:pPr algn="ctr" rtl="0">
            <a:lnSpc>
              <a:spcPts val="14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28575</xdr:colOff>
      <xdr:row>11</xdr:row>
      <xdr:rowOff>57150</xdr:rowOff>
    </xdr:from>
    <xdr:to>
      <xdr:col>17</xdr:col>
      <xdr:colOff>19050</xdr:colOff>
      <xdr:row>19</xdr:row>
      <xdr:rowOff>142875</xdr:rowOff>
    </xdr:to>
    <xdr:sp macro="" textlink="">
      <xdr:nvSpPr>
        <xdr:cNvPr id="6184" name="Text Box 40"/>
        <xdr:cNvSpPr txBox="1">
          <a:spLocks noChangeArrowheads="1"/>
        </xdr:cNvSpPr>
      </xdr:nvSpPr>
      <xdr:spPr bwMode="auto">
        <a:xfrm>
          <a:off x="9782175" y="1838325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Discount Rate (Cash Flow Assumptions Tab)</a:t>
          </a:r>
        </a:p>
      </xdr:txBody>
    </xdr:sp>
    <xdr:clientData/>
  </xdr:twoCellAnchor>
  <xdr:twoCellAnchor>
    <xdr:from>
      <xdr:col>15</xdr:col>
      <xdr:colOff>504825</xdr:colOff>
      <xdr:row>0</xdr:row>
      <xdr:rowOff>47625</xdr:rowOff>
    </xdr:from>
    <xdr:to>
      <xdr:col>17</xdr:col>
      <xdr:colOff>400050</xdr:colOff>
      <xdr:row>4</xdr:row>
      <xdr:rowOff>9525</xdr:rowOff>
    </xdr:to>
    <xdr:sp macro="" textlink="">
      <xdr:nvSpPr>
        <xdr:cNvPr id="6185" name="AutoShape 41"/>
        <xdr:cNvSpPr>
          <a:spLocks noChangeArrowheads="1"/>
        </xdr:cNvSpPr>
      </xdr:nvSpPr>
      <xdr:spPr bwMode="auto">
        <a:xfrm>
          <a:off x="9648825" y="47625"/>
          <a:ext cx="1114425" cy="609600"/>
        </a:xfrm>
        <a:prstGeom prst="rightArrow">
          <a:avLst>
            <a:gd name="adj1" fmla="val 50000"/>
            <a:gd name="adj2" fmla="val 4570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28575</xdr:colOff>
      <xdr:row>20</xdr:row>
      <xdr:rowOff>57150</xdr:rowOff>
    </xdr:from>
    <xdr:to>
      <xdr:col>17</xdr:col>
      <xdr:colOff>19050</xdr:colOff>
      <xdr:row>28</xdr:row>
      <xdr:rowOff>142875</xdr:rowOff>
    </xdr:to>
    <xdr:sp macro="" textlink="">
      <xdr:nvSpPr>
        <xdr:cNvPr id="6186" name="Text Box 42"/>
        <xdr:cNvSpPr txBox="1">
          <a:spLocks noChangeArrowheads="1"/>
        </xdr:cNvSpPr>
      </xdr:nvSpPr>
      <xdr:spPr bwMode="auto">
        <a:xfrm>
          <a:off x="9782175" y="3295650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Fixed Expenses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16</xdr:col>
      <xdr:colOff>28575</xdr:colOff>
      <xdr:row>29</xdr:row>
      <xdr:rowOff>76200</xdr:rowOff>
    </xdr:from>
    <xdr:to>
      <xdr:col>17</xdr:col>
      <xdr:colOff>28575</xdr:colOff>
      <xdr:row>38</xdr:row>
      <xdr:rowOff>9525</xdr:rowOff>
    </xdr:to>
    <xdr:sp macro="" textlink="">
      <xdr:nvSpPr>
        <xdr:cNvPr id="6187" name="Text Box 43"/>
        <xdr:cNvSpPr txBox="1">
          <a:spLocks noChangeArrowheads="1"/>
        </xdr:cNvSpPr>
      </xdr:nvSpPr>
      <xdr:spPr bwMode="auto">
        <a:xfrm>
          <a:off x="9782175" y="4772025"/>
          <a:ext cx="609600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 Term Growth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17</xdr:col>
      <xdr:colOff>285750</xdr:colOff>
      <xdr:row>11</xdr:row>
      <xdr:rowOff>0</xdr:rowOff>
    </xdr:from>
    <xdr:to>
      <xdr:col>18</xdr:col>
      <xdr:colOff>419100</xdr:colOff>
      <xdr:row>39</xdr:row>
      <xdr:rowOff>133350</xdr:rowOff>
    </xdr:to>
    <xdr:sp macro="" textlink="">
      <xdr:nvSpPr>
        <xdr:cNvPr id="6188" name="Text Box 44"/>
        <xdr:cNvSpPr txBox="1">
          <a:spLocks noChangeArrowheads="1"/>
        </xdr:cNvSpPr>
      </xdr:nvSpPr>
      <xdr:spPr bwMode="auto">
        <a:xfrm>
          <a:off x="10648950" y="1781175"/>
          <a:ext cx="742950" cy="466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 Value of Commission Revenues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Model tab)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42</xdr:row>
      <xdr:rowOff>19050</xdr:rowOff>
    </xdr:from>
    <xdr:to>
      <xdr:col>6</xdr:col>
      <xdr:colOff>38100</xdr:colOff>
      <xdr:row>45</xdr:row>
      <xdr:rowOff>142875</xdr:rowOff>
    </xdr:to>
    <xdr:sp macro="" textlink="">
      <xdr:nvSpPr>
        <xdr:cNvPr id="6189" name="AutoShape 45"/>
        <xdr:cNvSpPr>
          <a:spLocks noChangeArrowheads="1"/>
        </xdr:cNvSpPr>
      </xdr:nvSpPr>
      <xdr:spPr bwMode="auto">
        <a:xfrm>
          <a:off x="1828800" y="6762750"/>
          <a:ext cx="1866900" cy="733425"/>
        </a:xfrm>
        <a:prstGeom prst="rightArrow">
          <a:avLst>
            <a:gd name="adj1" fmla="val 50000"/>
            <a:gd name="adj2" fmla="val 6363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6</xdr:col>
      <xdr:colOff>571500</xdr:colOff>
      <xdr:row>42</xdr:row>
      <xdr:rowOff>0</xdr:rowOff>
    </xdr:from>
    <xdr:to>
      <xdr:col>8</xdr:col>
      <xdr:colOff>438150</xdr:colOff>
      <xdr:row>45</xdr:row>
      <xdr:rowOff>123825</xdr:rowOff>
    </xdr:to>
    <xdr:sp macro="" textlink="">
      <xdr:nvSpPr>
        <xdr:cNvPr id="6190" name="AutoShape 46"/>
        <xdr:cNvSpPr>
          <a:spLocks noChangeArrowheads="1"/>
        </xdr:cNvSpPr>
      </xdr:nvSpPr>
      <xdr:spPr bwMode="auto">
        <a:xfrm>
          <a:off x="4229100" y="6743700"/>
          <a:ext cx="1085850" cy="733425"/>
        </a:xfrm>
        <a:prstGeom prst="rightArrow">
          <a:avLst>
            <a:gd name="adj1" fmla="val 50000"/>
            <a:gd name="adj2" fmla="val 3701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8</xdr:col>
      <xdr:colOff>457200</xdr:colOff>
      <xdr:row>42</xdr:row>
      <xdr:rowOff>0</xdr:rowOff>
    </xdr:from>
    <xdr:to>
      <xdr:col>10</xdr:col>
      <xdr:colOff>542925</xdr:colOff>
      <xdr:row>45</xdr:row>
      <xdr:rowOff>123825</xdr:rowOff>
    </xdr:to>
    <xdr:sp macro="" textlink="">
      <xdr:nvSpPr>
        <xdr:cNvPr id="6191" name="AutoShape 47"/>
        <xdr:cNvSpPr>
          <a:spLocks noChangeArrowheads="1"/>
        </xdr:cNvSpPr>
      </xdr:nvSpPr>
      <xdr:spPr bwMode="auto">
        <a:xfrm>
          <a:off x="5334000" y="6743700"/>
          <a:ext cx="1304925" cy="733425"/>
        </a:xfrm>
        <a:prstGeom prst="rightArrow">
          <a:avLst>
            <a:gd name="adj1" fmla="val 50000"/>
            <a:gd name="adj2" fmla="val 4448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11</xdr:col>
      <xdr:colOff>161925</xdr:colOff>
      <xdr:row>42</xdr:row>
      <xdr:rowOff>0</xdr:rowOff>
    </xdr:from>
    <xdr:to>
      <xdr:col>13</xdr:col>
      <xdr:colOff>247650</xdr:colOff>
      <xdr:row>45</xdr:row>
      <xdr:rowOff>123825</xdr:rowOff>
    </xdr:to>
    <xdr:sp macro="" textlink="">
      <xdr:nvSpPr>
        <xdr:cNvPr id="6192" name="AutoShape 48"/>
        <xdr:cNvSpPr>
          <a:spLocks noChangeArrowheads="1"/>
        </xdr:cNvSpPr>
      </xdr:nvSpPr>
      <xdr:spPr bwMode="auto">
        <a:xfrm>
          <a:off x="6867525" y="6743700"/>
          <a:ext cx="1304925" cy="733425"/>
        </a:xfrm>
        <a:prstGeom prst="rightArrow">
          <a:avLst>
            <a:gd name="adj1" fmla="val 50000"/>
            <a:gd name="adj2" fmla="val 4448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13</xdr:col>
      <xdr:colOff>257175</xdr:colOff>
      <xdr:row>41</xdr:row>
      <xdr:rowOff>95250</xdr:rowOff>
    </xdr:from>
    <xdr:to>
      <xdr:col>15</xdr:col>
      <xdr:colOff>152400</xdr:colOff>
      <xdr:row>45</xdr:row>
      <xdr:rowOff>95250</xdr:rowOff>
    </xdr:to>
    <xdr:sp macro="" textlink="">
      <xdr:nvSpPr>
        <xdr:cNvPr id="6193" name="AutoShape 49"/>
        <xdr:cNvSpPr>
          <a:spLocks noChangeArrowheads="1"/>
        </xdr:cNvSpPr>
      </xdr:nvSpPr>
      <xdr:spPr bwMode="auto">
        <a:xfrm>
          <a:off x="8181975" y="6734175"/>
          <a:ext cx="1114425" cy="714375"/>
        </a:xfrm>
        <a:prstGeom prst="rightArrow">
          <a:avLst>
            <a:gd name="adj1" fmla="val 50000"/>
            <a:gd name="adj2" fmla="val 39000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17</xdr:col>
      <xdr:colOff>504825</xdr:colOff>
      <xdr:row>45</xdr:row>
      <xdr:rowOff>76200</xdr:rowOff>
    </xdr:to>
    <xdr:sp macro="" textlink="">
      <xdr:nvSpPr>
        <xdr:cNvPr id="6194" name="AutoShape 50"/>
        <xdr:cNvSpPr>
          <a:spLocks noChangeArrowheads="1"/>
        </xdr:cNvSpPr>
      </xdr:nvSpPr>
      <xdr:spPr bwMode="auto">
        <a:xfrm>
          <a:off x="9753600" y="6743700"/>
          <a:ext cx="1114425" cy="685800"/>
        </a:xfrm>
        <a:prstGeom prst="rightArrow">
          <a:avLst>
            <a:gd name="adj1" fmla="val 50000"/>
            <a:gd name="adj2" fmla="val 40625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6</xdr:row>
      <xdr:rowOff>19050</xdr:rowOff>
    </xdr:from>
    <xdr:to>
      <xdr:col>2</xdr:col>
      <xdr:colOff>542925</xdr:colOff>
      <xdr:row>40</xdr:row>
      <xdr:rowOff>95250</xdr:rowOff>
    </xdr:to>
    <xdr:sp macro="" textlink="">
      <xdr:nvSpPr>
        <xdr:cNvPr id="6196" name="Text Box 52"/>
        <xdr:cNvSpPr txBox="1">
          <a:spLocks noChangeArrowheads="1"/>
        </xdr:cNvSpPr>
      </xdr:nvSpPr>
      <xdr:spPr bwMode="auto">
        <a:xfrm>
          <a:off x="828675" y="990600"/>
          <a:ext cx="933450" cy="5581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Numbers (Individual Commodity Tabs)</a:t>
          </a:r>
        </a:p>
        <a:p>
          <a:pPr algn="ctr" rtl="0">
            <a:lnSpc>
              <a:spcPts val="15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361950</xdr:colOff>
      <xdr:row>5</xdr:row>
      <xdr:rowOff>152400</xdr:rowOff>
    </xdr:from>
    <xdr:to>
      <xdr:col>7</xdr:col>
      <xdr:colOff>85725</xdr:colOff>
      <xdr:row>40</xdr:row>
      <xdr:rowOff>38100</xdr:rowOff>
    </xdr:to>
    <xdr:sp macro="" textlink="">
      <xdr:nvSpPr>
        <xdr:cNvPr id="6197" name="Text Box 53"/>
        <xdr:cNvSpPr txBox="1">
          <a:spLocks noChangeArrowheads="1"/>
        </xdr:cNvSpPr>
      </xdr:nvSpPr>
      <xdr:spPr bwMode="auto">
        <a:xfrm>
          <a:off x="3409950" y="962025"/>
          <a:ext cx="942975" cy="5553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Numbers (Individual Commodity Tabs)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</xdr:row>
      <xdr:rowOff>28575</xdr:rowOff>
    </xdr:from>
    <xdr:to>
      <xdr:col>3</xdr:col>
      <xdr:colOff>590550</xdr:colOff>
      <xdr:row>7</xdr:row>
      <xdr:rowOff>104775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447675" y="838200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Oil World Consumption (Oil Tab)</a:t>
          </a:r>
        </a:p>
      </xdr:txBody>
    </xdr:sp>
    <xdr:clientData/>
  </xdr:twoCellAnchor>
  <xdr:twoCellAnchor>
    <xdr:from>
      <xdr:col>0</xdr:col>
      <xdr:colOff>447675</xdr:colOff>
      <xdr:row>8</xdr:row>
      <xdr:rowOff>28575</xdr:rowOff>
    </xdr:from>
    <xdr:to>
      <xdr:col>3</xdr:col>
      <xdr:colOff>581025</xdr:colOff>
      <xdr:row>10</xdr:row>
      <xdr:rowOff>104775</xdr:rowOff>
    </xdr:to>
    <xdr:sp macro="" textlink="">
      <xdr:nvSpPr>
        <xdr:cNvPr id="5130" name="Text Box 10"/>
        <xdr:cNvSpPr txBox="1">
          <a:spLocks noChangeArrowheads="1"/>
        </xdr:cNvSpPr>
      </xdr:nvSpPr>
      <xdr:spPr bwMode="auto">
        <a:xfrm>
          <a:off x="447675" y="1323975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Liquids World Consumption Numbers (Liquids Tab)</a:t>
          </a:r>
        </a:p>
      </xdr:txBody>
    </xdr:sp>
    <xdr:clientData/>
  </xdr:twoCellAnchor>
  <xdr:twoCellAnchor>
    <xdr:from>
      <xdr:col>0</xdr:col>
      <xdr:colOff>447675</xdr:colOff>
      <xdr:row>11</xdr:row>
      <xdr:rowOff>28575</xdr:rowOff>
    </xdr:from>
    <xdr:to>
      <xdr:col>3</xdr:col>
      <xdr:colOff>581025</xdr:colOff>
      <xdr:row>13</xdr:row>
      <xdr:rowOff>104775</xdr:rowOff>
    </xdr:to>
    <xdr:sp macro="" textlink="">
      <xdr:nvSpPr>
        <xdr:cNvPr id="5132" name="Text Box 12"/>
        <xdr:cNvSpPr txBox="1">
          <a:spLocks noChangeArrowheads="1"/>
        </xdr:cNvSpPr>
      </xdr:nvSpPr>
      <xdr:spPr bwMode="auto">
        <a:xfrm>
          <a:off x="447675" y="1809750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Gas World Consumption Numbers (GasTab)</a:t>
          </a:r>
        </a:p>
      </xdr:txBody>
    </xdr:sp>
    <xdr:clientData/>
  </xdr:twoCellAnchor>
  <xdr:twoCellAnchor>
    <xdr:from>
      <xdr:col>0</xdr:col>
      <xdr:colOff>447675</xdr:colOff>
      <xdr:row>14</xdr:row>
      <xdr:rowOff>28575</xdr:rowOff>
    </xdr:from>
    <xdr:to>
      <xdr:col>3</xdr:col>
      <xdr:colOff>600075</xdr:colOff>
      <xdr:row>16</xdr:row>
      <xdr:rowOff>104775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447675" y="2295525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LNG World Consumption Numbers (LNG Tab)</a:t>
          </a:r>
        </a:p>
      </xdr:txBody>
    </xdr:sp>
    <xdr:clientData/>
  </xdr:twoCellAnchor>
  <xdr:twoCellAnchor>
    <xdr:from>
      <xdr:col>0</xdr:col>
      <xdr:colOff>447675</xdr:colOff>
      <xdr:row>17</xdr:row>
      <xdr:rowOff>28575</xdr:rowOff>
    </xdr:from>
    <xdr:to>
      <xdr:col>3</xdr:col>
      <xdr:colOff>590550</xdr:colOff>
      <xdr:row>19</xdr:row>
      <xdr:rowOff>104775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447675" y="2781300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 World Consumption Numbers (Power Tab)</a:t>
          </a:r>
        </a:p>
      </xdr:txBody>
    </xdr:sp>
    <xdr:clientData/>
  </xdr:twoCellAnchor>
  <xdr:twoCellAnchor>
    <xdr:from>
      <xdr:col>0</xdr:col>
      <xdr:colOff>447675</xdr:colOff>
      <xdr:row>20</xdr:row>
      <xdr:rowOff>28575</xdr:rowOff>
    </xdr:from>
    <xdr:to>
      <xdr:col>3</xdr:col>
      <xdr:colOff>600075</xdr:colOff>
      <xdr:row>22</xdr:row>
      <xdr:rowOff>104775</xdr:rowOff>
    </xdr:to>
    <xdr:sp macro="" textlink="">
      <xdr:nvSpPr>
        <xdr:cNvPr id="5135" name="Text Box 15"/>
        <xdr:cNvSpPr txBox="1">
          <a:spLocks noChangeArrowheads="1"/>
        </xdr:cNvSpPr>
      </xdr:nvSpPr>
      <xdr:spPr bwMode="auto">
        <a:xfrm>
          <a:off x="447675" y="3267075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Coal World Consumption Numbers (Oil Tab)</a:t>
          </a:r>
        </a:p>
      </xdr:txBody>
    </xdr:sp>
    <xdr:clientData/>
  </xdr:twoCellAnchor>
  <xdr:twoCellAnchor>
    <xdr:from>
      <xdr:col>0</xdr:col>
      <xdr:colOff>447675</xdr:colOff>
      <xdr:row>23</xdr:row>
      <xdr:rowOff>28575</xdr:rowOff>
    </xdr:from>
    <xdr:to>
      <xdr:col>3</xdr:col>
      <xdr:colOff>600075</xdr:colOff>
      <xdr:row>25</xdr:row>
      <xdr:rowOff>104775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447675" y="3752850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Emmission Credits World Consumption Numbers (EC Tab)</a:t>
          </a:r>
        </a:p>
      </xdr:txBody>
    </xdr:sp>
    <xdr:clientData/>
  </xdr:twoCellAnchor>
  <xdr:twoCellAnchor>
    <xdr:from>
      <xdr:col>0</xdr:col>
      <xdr:colOff>447675</xdr:colOff>
      <xdr:row>26</xdr:row>
      <xdr:rowOff>28575</xdr:rowOff>
    </xdr:from>
    <xdr:to>
      <xdr:col>3</xdr:col>
      <xdr:colOff>590550</xdr:colOff>
      <xdr:row>28</xdr:row>
      <xdr:rowOff>104775</xdr:rowOff>
    </xdr:to>
    <xdr:sp macro="" textlink="">
      <xdr:nvSpPr>
        <xdr:cNvPr id="5137" name="Text Box 17"/>
        <xdr:cNvSpPr txBox="1">
          <a:spLocks noChangeArrowheads="1"/>
        </xdr:cNvSpPr>
      </xdr:nvSpPr>
      <xdr:spPr bwMode="auto">
        <a:xfrm>
          <a:off x="447675" y="4238625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Metals World Consumption Numbers (Metals Tab)</a:t>
          </a:r>
        </a:p>
      </xdr:txBody>
    </xdr:sp>
    <xdr:clientData/>
  </xdr:twoCellAnchor>
  <xdr:twoCellAnchor>
    <xdr:from>
      <xdr:col>0</xdr:col>
      <xdr:colOff>447675</xdr:colOff>
      <xdr:row>29</xdr:row>
      <xdr:rowOff>28575</xdr:rowOff>
    </xdr:from>
    <xdr:to>
      <xdr:col>3</xdr:col>
      <xdr:colOff>581025</xdr:colOff>
      <xdr:row>31</xdr:row>
      <xdr:rowOff>104775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447675" y="4724400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Logistics World Consumption Numbers (Logistics Tab)</a:t>
          </a:r>
        </a:p>
      </xdr:txBody>
    </xdr:sp>
    <xdr:clientData/>
  </xdr:twoCellAnchor>
  <xdr:twoCellAnchor>
    <xdr:from>
      <xdr:col>0</xdr:col>
      <xdr:colOff>447675</xdr:colOff>
      <xdr:row>32</xdr:row>
      <xdr:rowOff>28575</xdr:rowOff>
    </xdr:from>
    <xdr:to>
      <xdr:col>4</xdr:col>
      <xdr:colOff>0</xdr:colOff>
      <xdr:row>35</xdr:row>
      <xdr:rowOff>47625</xdr:rowOff>
    </xdr:to>
    <xdr:sp macro="" textlink="">
      <xdr:nvSpPr>
        <xdr:cNvPr id="5139" name="Text Box 19"/>
        <xdr:cNvSpPr txBox="1">
          <a:spLocks noChangeArrowheads="1"/>
        </xdr:cNvSpPr>
      </xdr:nvSpPr>
      <xdr:spPr bwMode="auto">
        <a:xfrm>
          <a:off x="447675" y="5210175"/>
          <a:ext cx="19907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Forest Products World Consumption Numbers (Forest Product Tab)</a:t>
          </a:r>
        </a:p>
      </xdr:txBody>
    </xdr:sp>
    <xdr:clientData/>
  </xdr:twoCellAnchor>
  <xdr:twoCellAnchor>
    <xdr:from>
      <xdr:col>0</xdr:col>
      <xdr:colOff>457200</xdr:colOff>
      <xdr:row>35</xdr:row>
      <xdr:rowOff>114300</xdr:rowOff>
    </xdr:from>
    <xdr:to>
      <xdr:col>3</xdr:col>
      <xdr:colOff>590550</xdr:colOff>
      <xdr:row>37</xdr:row>
      <xdr:rowOff>152400</xdr:rowOff>
    </xdr:to>
    <xdr:sp macro="" textlink="">
      <xdr:nvSpPr>
        <xdr:cNvPr id="5140" name="Text Box 20"/>
        <xdr:cNvSpPr txBox="1">
          <a:spLocks noChangeArrowheads="1"/>
        </xdr:cNvSpPr>
      </xdr:nvSpPr>
      <xdr:spPr bwMode="auto">
        <a:xfrm>
          <a:off x="457200" y="5781675"/>
          <a:ext cx="19621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Agricultural Products World Consumption Numbers (Grains Tab)</a:t>
          </a:r>
        </a:p>
      </xdr:txBody>
    </xdr:sp>
    <xdr:clientData/>
  </xdr:twoCellAnchor>
  <xdr:twoCellAnchor>
    <xdr:from>
      <xdr:col>0</xdr:col>
      <xdr:colOff>466725</xdr:colOff>
      <xdr:row>38</xdr:row>
      <xdr:rowOff>47625</xdr:rowOff>
    </xdr:from>
    <xdr:to>
      <xdr:col>4</xdr:col>
      <xdr:colOff>0</xdr:colOff>
      <xdr:row>41</xdr:row>
      <xdr:rowOff>76200</xdr:rowOff>
    </xdr:to>
    <xdr:sp macro="" textlink="">
      <xdr:nvSpPr>
        <xdr:cNvPr id="5141" name="Text Box 21"/>
        <xdr:cNvSpPr txBox="1">
          <a:spLocks noChangeArrowheads="1"/>
        </xdr:cNvSpPr>
      </xdr:nvSpPr>
      <xdr:spPr bwMode="auto">
        <a:xfrm>
          <a:off x="466725" y="6200775"/>
          <a:ext cx="197167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Petrochemical and Plastics World Consumption Numbers (Pet Chems and Plastics tab)</a:t>
          </a:r>
        </a:p>
      </xdr:txBody>
    </xdr:sp>
    <xdr:clientData/>
  </xdr:twoCellAnchor>
  <xdr:twoCellAnchor>
    <xdr:from>
      <xdr:col>4</xdr:col>
      <xdr:colOff>295275</xdr:colOff>
      <xdr:row>5</xdr:row>
      <xdr:rowOff>114300</xdr:rowOff>
    </xdr:from>
    <xdr:to>
      <xdr:col>5</xdr:col>
      <xdr:colOff>180975</xdr:colOff>
      <xdr:row>40</xdr:row>
      <xdr:rowOff>114300</xdr:rowOff>
    </xdr:to>
    <xdr:sp macro="" textlink="">
      <xdr:nvSpPr>
        <xdr:cNvPr id="5143" name="Text Box 23"/>
        <xdr:cNvSpPr txBox="1">
          <a:spLocks noChangeArrowheads="1"/>
        </xdr:cNvSpPr>
      </xdr:nvSpPr>
      <xdr:spPr bwMode="auto">
        <a:xfrm>
          <a:off x="2733675" y="923925"/>
          <a:ext cx="495300" cy="566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Market Multiplier (Volume Assumptions Tab)</a:t>
          </a:r>
        </a:p>
      </xdr:txBody>
    </xdr:sp>
    <xdr:clientData/>
  </xdr:twoCellAnchor>
  <xdr:twoCellAnchor>
    <xdr:from>
      <xdr:col>5</xdr:col>
      <xdr:colOff>428625</xdr:colOff>
      <xdr:row>5</xdr:row>
      <xdr:rowOff>28575</xdr:rowOff>
    </xdr:from>
    <xdr:to>
      <xdr:col>9</xdr:col>
      <xdr:colOff>581025</xdr:colOff>
      <xdr:row>7</xdr:row>
      <xdr:rowOff>104775</xdr:rowOff>
    </xdr:to>
    <xdr:sp macro="" textlink="">
      <xdr:nvSpPr>
        <xdr:cNvPr id="5144" name="Text Box 24"/>
        <xdr:cNvSpPr txBox="1">
          <a:spLocks noChangeArrowheads="1"/>
        </xdr:cNvSpPr>
      </xdr:nvSpPr>
      <xdr:spPr bwMode="auto">
        <a:xfrm>
          <a:off x="3476625" y="8382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Oil World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(Oil Tab)</a:t>
          </a:r>
        </a:p>
      </xdr:txBody>
    </xdr:sp>
    <xdr:clientData/>
  </xdr:twoCellAnchor>
  <xdr:twoCellAnchor>
    <xdr:from>
      <xdr:col>5</xdr:col>
      <xdr:colOff>428625</xdr:colOff>
      <xdr:row>8</xdr:row>
      <xdr:rowOff>28575</xdr:rowOff>
    </xdr:from>
    <xdr:to>
      <xdr:col>9</xdr:col>
      <xdr:colOff>581025</xdr:colOff>
      <xdr:row>10</xdr:row>
      <xdr:rowOff>104775</xdr:rowOff>
    </xdr:to>
    <xdr:sp macro="" textlink="">
      <xdr:nvSpPr>
        <xdr:cNvPr id="5145" name="Text Box 25"/>
        <xdr:cNvSpPr txBox="1">
          <a:spLocks noChangeArrowheads="1"/>
        </xdr:cNvSpPr>
      </xdr:nvSpPr>
      <xdr:spPr bwMode="auto">
        <a:xfrm>
          <a:off x="3476625" y="132397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Liquids World  Consumption Numbers (Liquids Tab)</a:t>
          </a:r>
        </a:p>
      </xdr:txBody>
    </xdr:sp>
    <xdr:clientData/>
  </xdr:twoCellAnchor>
  <xdr:twoCellAnchor>
    <xdr:from>
      <xdr:col>5</xdr:col>
      <xdr:colOff>428625</xdr:colOff>
      <xdr:row>11</xdr:row>
      <xdr:rowOff>28575</xdr:rowOff>
    </xdr:from>
    <xdr:to>
      <xdr:col>9</xdr:col>
      <xdr:colOff>552450</xdr:colOff>
      <xdr:row>13</xdr:row>
      <xdr:rowOff>104775</xdr:rowOff>
    </xdr:to>
    <xdr:sp macro="" textlink="">
      <xdr:nvSpPr>
        <xdr:cNvPr id="5146" name="Text Box 26"/>
        <xdr:cNvSpPr txBox="1">
          <a:spLocks noChangeArrowheads="1"/>
        </xdr:cNvSpPr>
      </xdr:nvSpPr>
      <xdr:spPr bwMode="auto">
        <a:xfrm>
          <a:off x="3476625" y="1809750"/>
          <a:ext cx="256222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Gas World Consumption Numbers (GasTab)</a:t>
          </a:r>
        </a:p>
      </xdr:txBody>
    </xdr:sp>
    <xdr:clientData/>
  </xdr:twoCellAnchor>
  <xdr:twoCellAnchor>
    <xdr:from>
      <xdr:col>5</xdr:col>
      <xdr:colOff>428625</xdr:colOff>
      <xdr:row>14</xdr:row>
      <xdr:rowOff>28575</xdr:rowOff>
    </xdr:from>
    <xdr:to>
      <xdr:col>9</xdr:col>
      <xdr:colOff>581025</xdr:colOff>
      <xdr:row>16</xdr:row>
      <xdr:rowOff>104775</xdr:rowOff>
    </xdr:to>
    <xdr:sp macro="" textlink="">
      <xdr:nvSpPr>
        <xdr:cNvPr id="5147" name="Text Box 27"/>
        <xdr:cNvSpPr txBox="1">
          <a:spLocks noChangeArrowheads="1"/>
        </xdr:cNvSpPr>
      </xdr:nvSpPr>
      <xdr:spPr bwMode="auto">
        <a:xfrm>
          <a:off x="3476625" y="229552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LNG World Consumption Numbers (LNG Tab)</a:t>
          </a:r>
        </a:p>
      </xdr:txBody>
    </xdr:sp>
    <xdr:clientData/>
  </xdr:twoCellAnchor>
  <xdr:twoCellAnchor>
    <xdr:from>
      <xdr:col>5</xdr:col>
      <xdr:colOff>428625</xdr:colOff>
      <xdr:row>17</xdr:row>
      <xdr:rowOff>28575</xdr:rowOff>
    </xdr:from>
    <xdr:to>
      <xdr:col>9</xdr:col>
      <xdr:colOff>581025</xdr:colOff>
      <xdr:row>19</xdr:row>
      <xdr:rowOff>104775</xdr:rowOff>
    </xdr:to>
    <xdr:sp macro="" textlink="">
      <xdr:nvSpPr>
        <xdr:cNvPr id="5148" name="Text Box 28"/>
        <xdr:cNvSpPr txBox="1">
          <a:spLocks noChangeArrowheads="1"/>
        </xdr:cNvSpPr>
      </xdr:nvSpPr>
      <xdr:spPr bwMode="auto">
        <a:xfrm>
          <a:off x="3476625" y="27813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Power World Consumption Numbers (Power Tab)</a:t>
          </a:r>
        </a:p>
      </xdr:txBody>
    </xdr:sp>
    <xdr:clientData/>
  </xdr:twoCellAnchor>
  <xdr:twoCellAnchor>
    <xdr:from>
      <xdr:col>5</xdr:col>
      <xdr:colOff>428625</xdr:colOff>
      <xdr:row>20</xdr:row>
      <xdr:rowOff>28575</xdr:rowOff>
    </xdr:from>
    <xdr:to>
      <xdr:col>9</xdr:col>
      <xdr:colOff>581025</xdr:colOff>
      <xdr:row>22</xdr:row>
      <xdr:rowOff>104775</xdr:rowOff>
    </xdr:to>
    <xdr:sp macro="" textlink="">
      <xdr:nvSpPr>
        <xdr:cNvPr id="5149" name="Text Box 29"/>
        <xdr:cNvSpPr txBox="1">
          <a:spLocks noChangeArrowheads="1"/>
        </xdr:cNvSpPr>
      </xdr:nvSpPr>
      <xdr:spPr bwMode="auto">
        <a:xfrm>
          <a:off x="3476625" y="326707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Coal World Consumption Numbers (Oil Tab)</a:t>
          </a:r>
        </a:p>
      </xdr:txBody>
    </xdr:sp>
    <xdr:clientData/>
  </xdr:twoCellAnchor>
  <xdr:twoCellAnchor>
    <xdr:from>
      <xdr:col>5</xdr:col>
      <xdr:colOff>428625</xdr:colOff>
      <xdr:row>23</xdr:row>
      <xdr:rowOff>28575</xdr:rowOff>
    </xdr:from>
    <xdr:to>
      <xdr:col>9</xdr:col>
      <xdr:colOff>581025</xdr:colOff>
      <xdr:row>25</xdr:row>
      <xdr:rowOff>104775</xdr:rowOff>
    </xdr:to>
    <xdr:sp macro="" textlink="">
      <xdr:nvSpPr>
        <xdr:cNvPr id="5150" name="Text Box 30"/>
        <xdr:cNvSpPr txBox="1">
          <a:spLocks noChangeArrowheads="1"/>
        </xdr:cNvSpPr>
      </xdr:nvSpPr>
      <xdr:spPr bwMode="auto">
        <a:xfrm>
          <a:off x="3476625" y="375285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Emmission Credits World Consumption Numbers (EC Tab)</a:t>
          </a:r>
        </a:p>
      </xdr:txBody>
    </xdr:sp>
    <xdr:clientData/>
  </xdr:twoCellAnchor>
  <xdr:twoCellAnchor>
    <xdr:from>
      <xdr:col>5</xdr:col>
      <xdr:colOff>428625</xdr:colOff>
      <xdr:row>26</xdr:row>
      <xdr:rowOff>28575</xdr:rowOff>
    </xdr:from>
    <xdr:to>
      <xdr:col>9</xdr:col>
      <xdr:colOff>581025</xdr:colOff>
      <xdr:row>28</xdr:row>
      <xdr:rowOff>104775</xdr:rowOff>
    </xdr:to>
    <xdr:sp macro="" textlink="">
      <xdr:nvSpPr>
        <xdr:cNvPr id="5151" name="Text Box 31"/>
        <xdr:cNvSpPr txBox="1">
          <a:spLocks noChangeArrowheads="1"/>
        </xdr:cNvSpPr>
      </xdr:nvSpPr>
      <xdr:spPr bwMode="auto">
        <a:xfrm>
          <a:off x="3476625" y="423862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Metals World Consumption Numbers (Metals Tab)</a:t>
          </a:r>
        </a:p>
      </xdr:txBody>
    </xdr:sp>
    <xdr:clientData/>
  </xdr:twoCellAnchor>
  <xdr:twoCellAnchor>
    <xdr:from>
      <xdr:col>5</xdr:col>
      <xdr:colOff>428625</xdr:colOff>
      <xdr:row>29</xdr:row>
      <xdr:rowOff>28575</xdr:rowOff>
    </xdr:from>
    <xdr:to>
      <xdr:col>9</xdr:col>
      <xdr:colOff>581025</xdr:colOff>
      <xdr:row>31</xdr:row>
      <xdr:rowOff>104775</xdr:rowOff>
    </xdr:to>
    <xdr:sp macro="" textlink="">
      <xdr:nvSpPr>
        <xdr:cNvPr id="5152" name="Text Box 32"/>
        <xdr:cNvSpPr txBox="1">
          <a:spLocks noChangeArrowheads="1"/>
        </xdr:cNvSpPr>
      </xdr:nvSpPr>
      <xdr:spPr bwMode="auto">
        <a:xfrm>
          <a:off x="3476625" y="47244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Logistics World Consumption Numbers (Logistics Tab)</a:t>
          </a:r>
        </a:p>
      </xdr:txBody>
    </xdr:sp>
    <xdr:clientData/>
  </xdr:twoCellAnchor>
  <xdr:twoCellAnchor>
    <xdr:from>
      <xdr:col>5</xdr:col>
      <xdr:colOff>428625</xdr:colOff>
      <xdr:row>32</xdr:row>
      <xdr:rowOff>28575</xdr:rowOff>
    </xdr:from>
    <xdr:to>
      <xdr:col>9</xdr:col>
      <xdr:colOff>590550</xdr:colOff>
      <xdr:row>35</xdr:row>
      <xdr:rowOff>47625</xdr:rowOff>
    </xdr:to>
    <xdr:sp macro="" textlink="">
      <xdr:nvSpPr>
        <xdr:cNvPr id="5153" name="Text Box 33"/>
        <xdr:cNvSpPr txBox="1">
          <a:spLocks noChangeArrowheads="1"/>
        </xdr:cNvSpPr>
      </xdr:nvSpPr>
      <xdr:spPr bwMode="auto">
        <a:xfrm>
          <a:off x="3476625" y="5210175"/>
          <a:ext cx="26003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Forest Products World Consumption Numbers (Forest Product Tab)</a:t>
          </a:r>
        </a:p>
      </xdr:txBody>
    </xdr:sp>
    <xdr:clientData/>
  </xdr:twoCellAnchor>
  <xdr:twoCellAnchor>
    <xdr:from>
      <xdr:col>5</xdr:col>
      <xdr:colOff>438150</xdr:colOff>
      <xdr:row>35</xdr:row>
      <xdr:rowOff>114300</xdr:rowOff>
    </xdr:from>
    <xdr:to>
      <xdr:col>9</xdr:col>
      <xdr:colOff>581025</xdr:colOff>
      <xdr:row>37</xdr:row>
      <xdr:rowOff>152400</xdr:rowOff>
    </xdr:to>
    <xdr:sp macro="" textlink="">
      <xdr:nvSpPr>
        <xdr:cNvPr id="5154" name="Text Box 34"/>
        <xdr:cNvSpPr txBox="1">
          <a:spLocks noChangeArrowheads="1"/>
        </xdr:cNvSpPr>
      </xdr:nvSpPr>
      <xdr:spPr bwMode="auto">
        <a:xfrm>
          <a:off x="3486150" y="5781675"/>
          <a:ext cx="25812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Agricultural Products World Consumption Numbers (Grains Tab)</a:t>
          </a:r>
        </a:p>
      </xdr:txBody>
    </xdr:sp>
    <xdr:clientData/>
  </xdr:twoCellAnchor>
  <xdr:twoCellAnchor>
    <xdr:from>
      <xdr:col>5</xdr:col>
      <xdr:colOff>457200</xdr:colOff>
      <xdr:row>38</xdr:row>
      <xdr:rowOff>47625</xdr:rowOff>
    </xdr:from>
    <xdr:to>
      <xdr:col>9</xdr:col>
      <xdr:colOff>590550</xdr:colOff>
      <xdr:row>41</xdr:row>
      <xdr:rowOff>76200</xdr:rowOff>
    </xdr:to>
    <xdr:sp macro="" textlink="">
      <xdr:nvSpPr>
        <xdr:cNvPr id="5155" name="Text Box 35"/>
        <xdr:cNvSpPr txBox="1">
          <a:spLocks noChangeArrowheads="1"/>
        </xdr:cNvSpPr>
      </xdr:nvSpPr>
      <xdr:spPr bwMode="auto">
        <a:xfrm>
          <a:off x="3505200" y="6200775"/>
          <a:ext cx="257175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Petrochemical and Plastics World Consumption Numbers (Pet Chems and Plastics tab)</a:t>
          </a:r>
        </a:p>
      </xdr:txBody>
    </xdr:sp>
    <xdr:clientData/>
  </xdr:twoCellAnchor>
  <xdr:twoCellAnchor>
    <xdr:from>
      <xdr:col>3</xdr:col>
      <xdr:colOff>209550</xdr:colOff>
      <xdr:row>0</xdr:row>
      <xdr:rowOff>47625</xdr:rowOff>
    </xdr:from>
    <xdr:to>
      <xdr:col>6</xdr:col>
      <xdr:colOff>247650</xdr:colOff>
      <xdr:row>4</xdr:row>
      <xdr:rowOff>38100</xdr:rowOff>
    </xdr:to>
    <xdr:sp macro="" textlink="">
      <xdr:nvSpPr>
        <xdr:cNvPr id="5157" name="AutoShape 37"/>
        <xdr:cNvSpPr>
          <a:spLocks noChangeArrowheads="1"/>
        </xdr:cNvSpPr>
      </xdr:nvSpPr>
      <xdr:spPr bwMode="auto">
        <a:xfrm>
          <a:off x="2038350" y="47625"/>
          <a:ext cx="1866900" cy="638175"/>
        </a:xfrm>
        <a:prstGeom prst="rightArrow">
          <a:avLst>
            <a:gd name="adj1" fmla="val 50000"/>
            <a:gd name="adj2" fmla="val 7313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9</xdr:col>
      <xdr:colOff>104775</xdr:colOff>
      <xdr:row>0</xdr:row>
      <xdr:rowOff>47625</xdr:rowOff>
    </xdr:from>
    <xdr:to>
      <xdr:col>10</xdr:col>
      <xdr:colOff>581025</xdr:colOff>
      <xdr:row>4</xdr:row>
      <xdr:rowOff>66675</xdr:rowOff>
    </xdr:to>
    <xdr:sp macro="" textlink="">
      <xdr:nvSpPr>
        <xdr:cNvPr id="5159" name="AutoShape 39"/>
        <xdr:cNvSpPr>
          <a:spLocks noChangeArrowheads="1"/>
        </xdr:cNvSpPr>
      </xdr:nvSpPr>
      <xdr:spPr bwMode="auto">
        <a:xfrm>
          <a:off x="5591175" y="47625"/>
          <a:ext cx="1085850" cy="666750"/>
        </a:xfrm>
        <a:prstGeom prst="rightArrow">
          <a:avLst>
            <a:gd name="adj1" fmla="val 50000"/>
            <a:gd name="adj2" fmla="val 4071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10</xdr:col>
      <xdr:colOff>161925</xdr:colOff>
      <xdr:row>6</xdr:row>
      <xdr:rowOff>114300</xdr:rowOff>
    </xdr:from>
    <xdr:to>
      <xdr:col>11</xdr:col>
      <xdr:colOff>47625</xdr:colOff>
      <xdr:row>20</xdr:row>
      <xdr:rowOff>0</xdr:rowOff>
    </xdr:to>
    <xdr:sp macro="" textlink="">
      <xdr:nvSpPr>
        <xdr:cNvPr id="5160" name="Text Box 40"/>
        <xdr:cNvSpPr txBox="1">
          <a:spLocks noChangeArrowheads="1"/>
        </xdr:cNvSpPr>
      </xdr:nvSpPr>
      <xdr:spPr bwMode="auto">
        <a:xfrm>
          <a:off x="6257925" y="108585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Physical Tums Multiplier (Volume Assumptions Tab)</a:t>
          </a:r>
        </a:p>
      </xdr:txBody>
    </xdr:sp>
    <xdr:clientData/>
  </xdr:twoCellAnchor>
  <xdr:twoCellAnchor>
    <xdr:from>
      <xdr:col>10</xdr:col>
      <xdr:colOff>171450</xdr:colOff>
      <xdr:row>25</xdr:row>
      <xdr:rowOff>142875</xdr:rowOff>
    </xdr:from>
    <xdr:to>
      <xdr:col>11</xdr:col>
      <xdr:colOff>57150</xdr:colOff>
      <xdr:row>39</xdr:row>
      <xdr:rowOff>28575</xdr:rowOff>
    </xdr:to>
    <xdr:sp macro="" textlink="">
      <xdr:nvSpPr>
        <xdr:cNvPr id="5161" name="Text Box 41"/>
        <xdr:cNvSpPr txBox="1">
          <a:spLocks noChangeArrowheads="1"/>
        </xdr:cNvSpPr>
      </xdr:nvSpPr>
      <xdr:spPr bwMode="auto">
        <a:xfrm>
          <a:off x="6267450" y="419100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Financial Tums Multiplier (Volume Assumptions Tab)</a:t>
          </a:r>
        </a:p>
      </xdr:txBody>
    </xdr:sp>
    <xdr:clientData/>
  </xdr:twoCellAnchor>
  <xdr:twoCellAnchor>
    <xdr:from>
      <xdr:col>11</xdr:col>
      <xdr:colOff>266700</xdr:colOff>
      <xdr:row>9</xdr:row>
      <xdr:rowOff>76200</xdr:rowOff>
    </xdr:from>
    <xdr:to>
      <xdr:col>12</xdr:col>
      <xdr:colOff>28575</xdr:colOff>
      <xdr:row>38</xdr:row>
      <xdr:rowOff>76200</xdr:rowOff>
    </xdr:to>
    <xdr:sp macro="" textlink="">
      <xdr:nvSpPr>
        <xdr:cNvPr id="5162" name="Text Box 42"/>
        <xdr:cNvSpPr txBox="1">
          <a:spLocks noChangeArrowheads="1"/>
        </xdr:cNvSpPr>
      </xdr:nvSpPr>
      <xdr:spPr bwMode="auto">
        <a:xfrm>
          <a:off x="6972300" y="1533525"/>
          <a:ext cx="371475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Commoditization Percentage Multiplier (Volume Assumptions Tab)</a:t>
          </a:r>
        </a:p>
      </xdr:txBody>
    </xdr:sp>
    <xdr:clientData/>
  </xdr:twoCellAnchor>
  <xdr:twoCellAnchor>
    <xdr:from>
      <xdr:col>11</xdr:col>
      <xdr:colOff>0</xdr:colOff>
      <xdr:row>0</xdr:row>
      <xdr:rowOff>19050</xdr:rowOff>
    </xdr:from>
    <xdr:to>
      <xdr:col>13</xdr:col>
      <xdr:colOff>85725</xdr:colOff>
      <xdr:row>4</xdr:row>
      <xdr:rowOff>57150</xdr:rowOff>
    </xdr:to>
    <xdr:sp macro="" textlink="">
      <xdr:nvSpPr>
        <xdr:cNvPr id="5163" name="AutoShape 43"/>
        <xdr:cNvSpPr>
          <a:spLocks noChangeArrowheads="1"/>
        </xdr:cNvSpPr>
      </xdr:nvSpPr>
      <xdr:spPr bwMode="auto">
        <a:xfrm>
          <a:off x="6705600" y="19050"/>
          <a:ext cx="1304925" cy="685800"/>
        </a:xfrm>
        <a:prstGeom prst="rightArrow">
          <a:avLst>
            <a:gd name="adj1" fmla="val 50000"/>
            <a:gd name="adj2" fmla="val 47569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12</xdr:col>
      <xdr:colOff>266700</xdr:colOff>
      <xdr:row>9</xdr:row>
      <xdr:rowOff>57150</xdr:rowOff>
    </xdr:from>
    <xdr:to>
      <xdr:col>13</xdr:col>
      <xdr:colOff>457200</xdr:colOff>
      <xdr:row>23</xdr:row>
      <xdr:rowOff>85725</xdr:rowOff>
    </xdr:to>
    <xdr:sp macro="" textlink="">
      <xdr:nvSpPr>
        <xdr:cNvPr id="5166" name="Text Box 46"/>
        <xdr:cNvSpPr txBox="1">
          <a:spLocks noChangeArrowheads="1"/>
        </xdr:cNvSpPr>
      </xdr:nvSpPr>
      <xdr:spPr bwMode="auto">
        <a:xfrm>
          <a:off x="7581900" y="1514475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Physical Traded Market (Total Market Size Tab)</a:t>
          </a:r>
        </a:p>
      </xdr:txBody>
    </xdr:sp>
    <xdr:clientData/>
  </xdr:twoCellAnchor>
  <xdr:twoCellAnchor>
    <xdr:from>
      <xdr:col>12</xdr:col>
      <xdr:colOff>266700</xdr:colOff>
      <xdr:row>24</xdr:row>
      <xdr:rowOff>57150</xdr:rowOff>
    </xdr:from>
    <xdr:to>
      <xdr:col>13</xdr:col>
      <xdr:colOff>457200</xdr:colOff>
      <xdr:row>38</xdr:row>
      <xdr:rowOff>85725</xdr:rowOff>
    </xdr:to>
    <xdr:sp macro="" textlink="">
      <xdr:nvSpPr>
        <xdr:cNvPr id="5167" name="Text Box 47"/>
        <xdr:cNvSpPr txBox="1">
          <a:spLocks noChangeArrowheads="1"/>
        </xdr:cNvSpPr>
      </xdr:nvSpPr>
      <xdr:spPr bwMode="auto">
        <a:xfrm>
          <a:off x="7581900" y="3943350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Financial Traded Market (Total Market Size Tab)</a:t>
          </a:r>
        </a:p>
      </xdr:txBody>
    </xdr:sp>
    <xdr:clientData/>
  </xdr:twoCellAnchor>
  <xdr:twoCellAnchor>
    <xdr:from>
      <xdr:col>14</xdr:col>
      <xdr:colOff>104775</xdr:colOff>
      <xdr:row>9</xdr:row>
      <xdr:rowOff>104775</xdr:rowOff>
    </xdr:from>
    <xdr:to>
      <xdr:col>14</xdr:col>
      <xdr:colOff>485775</xdr:colOff>
      <xdr:row>38</xdr:row>
      <xdr:rowOff>104775</xdr:rowOff>
    </xdr:to>
    <xdr:sp macro="" textlink="">
      <xdr:nvSpPr>
        <xdr:cNvPr id="5168" name="Text Box 48"/>
        <xdr:cNvSpPr txBox="1">
          <a:spLocks noChangeArrowheads="1"/>
        </xdr:cNvSpPr>
      </xdr:nvSpPr>
      <xdr:spPr bwMode="auto">
        <a:xfrm>
          <a:off x="8639175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EOL Share Multiplier (Volume Assumptions Tab)</a:t>
          </a:r>
        </a:p>
      </xdr:txBody>
    </xdr:sp>
    <xdr:clientData/>
  </xdr:twoCellAnchor>
  <xdr:twoCellAnchor>
    <xdr:from>
      <xdr:col>13</xdr:col>
      <xdr:colOff>295275</xdr:colOff>
      <xdr:row>0</xdr:row>
      <xdr:rowOff>19050</xdr:rowOff>
    </xdr:from>
    <xdr:to>
      <xdr:col>15</xdr:col>
      <xdr:colOff>381000</xdr:colOff>
      <xdr:row>4</xdr:row>
      <xdr:rowOff>66675</xdr:rowOff>
    </xdr:to>
    <xdr:sp macro="" textlink="">
      <xdr:nvSpPr>
        <xdr:cNvPr id="5169" name="AutoShape 49"/>
        <xdr:cNvSpPr>
          <a:spLocks noChangeArrowheads="1"/>
        </xdr:cNvSpPr>
      </xdr:nvSpPr>
      <xdr:spPr bwMode="auto">
        <a:xfrm>
          <a:off x="8220075" y="19050"/>
          <a:ext cx="1304925" cy="695325"/>
        </a:xfrm>
        <a:prstGeom prst="rightArrow">
          <a:avLst>
            <a:gd name="adj1" fmla="val 50000"/>
            <a:gd name="adj2" fmla="val 46918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15</xdr:col>
      <xdr:colOff>104775</xdr:colOff>
      <xdr:row>11</xdr:row>
      <xdr:rowOff>47625</xdr:rowOff>
    </xdr:from>
    <xdr:to>
      <xdr:col>15</xdr:col>
      <xdr:colOff>523875</xdr:colOff>
      <xdr:row>36</xdr:row>
      <xdr:rowOff>133350</xdr:rowOff>
    </xdr:to>
    <xdr:sp macro="" textlink="">
      <xdr:nvSpPr>
        <xdr:cNvPr id="5171" name="Text Box 51"/>
        <xdr:cNvSpPr txBox="1">
          <a:spLocks noChangeArrowheads="1"/>
        </xdr:cNvSpPr>
      </xdr:nvSpPr>
      <xdr:spPr bwMode="auto">
        <a:xfrm>
          <a:off x="9248775" y="1828800"/>
          <a:ext cx="419100" cy="413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Enron Online Shareof the Market (Total Market Size Tab)</a:t>
          </a:r>
        </a:p>
      </xdr:txBody>
    </xdr:sp>
    <xdr:clientData/>
  </xdr:twoCellAnchor>
  <xdr:twoCellAnchor>
    <xdr:from>
      <xdr:col>16</xdr:col>
      <xdr:colOff>104775</xdr:colOff>
      <xdr:row>9</xdr:row>
      <xdr:rowOff>104775</xdr:rowOff>
    </xdr:from>
    <xdr:to>
      <xdr:col>16</xdr:col>
      <xdr:colOff>485775</xdr:colOff>
      <xdr:row>38</xdr:row>
      <xdr:rowOff>104775</xdr:rowOff>
    </xdr:to>
    <xdr:sp macro="" textlink="">
      <xdr:nvSpPr>
        <xdr:cNvPr id="5172" name="Text Box 52"/>
        <xdr:cNvSpPr txBox="1">
          <a:spLocks noChangeArrowheads="1"/>
        </xdr:cNvSpPr>
      </xdr:nvSpPr>
      <xdr:spPr bwMode="auto">
        <a:xfrm>
          <a:off x="9858375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Commision Multiplier per Transaction, Percentage or Both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(Volume Assumptions Tab)</a:t>
          </a:r>
        </a:p>
      </xdr:txBody>
    </xdr:sp>
    <xdr:clientData/>
  </xdr:twoCellAnchor>
  <xdr:twoCellAnchor>
    <xdr:from>
      <xdr:col>15</xdr:col>
      <xdr:colOff>400050</xdr:colOff>
      <xdr:row>0</xdr:row>
      <xdr:rowOff>0</xdr:rowOff>
    </xdr:from>
    <xdr:to>
      <xdr:col>17</xdr:col>
      <xdr:colOff>295275</xdr:colOff>
      <xdr:row>4</xdr:row>
      <xdr:rowOff>9525</xdr:rowOff>
    </xdr:to>
    <xdr:sp macro="" textlink="">
      <xdr:nvSpPr>
        <xdr:cNvPr id="5173" name="AutoShape 53"/>
        <xdr:cNvSpPr>
          <a:spLocks noChangeArrowheads="1"/>
        </xdr:cNvSpPr>
      </xdr:nvSpPr>
      <xdr:spPr bwMode="auto">
        <a:xfrm>
          <a:off x="9544050" y="0"/>
          <a:ext cx="1114425" cy="657225"/>
        </a:xfrm>
        <a:prstGeom prst="rightArrow">
          <a:avLst>
            <a:gd name="adj1" fmla="val 50000"/>
            <a:gd name="adj2" fmla="val 4239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17</xdr:col>
      <xdr:colOff>142875</xdr:colOff>
      <xdr:row>11</xdr:row>
      <xdr:rowOff>19050</xdr:rowOff>
    </xdr:from>
    <xdr:to>
      <xdr:col>17</xdr:col>
      <xdr:colOff>600075</xdr:colOff>
      <xdr:row>38</xdr:row>
      <xdr:rowOff>28575</xdr:rowOff>
    </xdr:to>
    <xdr:sp macro="" textlink="">
      <xdr:nvSpPr>
        <xdr:cNvPr id="5174" name="Text Box 54"/>
        <xdr:cNvSpPr txBox="1">
          <a:spLocks noChangeArrowheads="1"/>
        </xdr:cNvSpPr>
      </xdr:nvSpPr>
      <xdr:spPr bwMode="auto">
        <a:xfrm>
          <a:off x="10506075" y="1800225"/>
          <a:ext cx="457200" cy="438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Cash Flow Model (Cash Flow Model tab)</a:t>
          </a:r>
        </a:p>
        <a:p>
          <a:pPr algn="ctr" rtl="0">
            <a:lnSpc>
              <a:spcPts val="15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276225</xdr:colOff>
      <xdr:row>11</xdr:row>
      <xdr:rowOff>57150</xdr:rowOff>
    </xdr:from>
    <xdr:to>
      <xdr:col>19</xdr:col>
      <xdr:colOff>266700</xdr:colOff>
      <xdr:row>19</xdr:row>
      <xdr:rowOff>142875</xdr:rowOff>
    </xdr:to>
    <xdr:sp macro="" textlink="">
      <xdr:nvSpPr>
        <xdr:cNvPr id="5175" name="Text Box 55"/>
        <xdr:cNvSpPr txBox="1">
          <a:spLocks noChangeArrowheads="1"/>
        </xdr:cNvSpPr>
      </xdr:nvSpPr>
      <xdr:spPr bwMode="auto">
        <a:xfrm>
          <a:off x="11249025" y="1838325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Discount Rate (Cash Flow Assumptions Tab)</a:t>
          </a:r>
        </a:p>
      </xdr:txBody>
    </xdr:sp>
    <xdr:clientData/>
  </xdr:twoCellAnchor>
  <xdr:twoCellAnchor>
    <xdr:from>
      <xdr:col>18</xdr:col>
      <xdr:colOff>133350</xdr:colOff>
      <xdr:row>0</xdr:row>
      <xdr:rowOff>47625</xdr:rowOff>
    </xdr:from>
    <xdr:to>
      <xdr:col>20</xdr:col>
      <xdr:colOff>28575</xdr:colOff>
      <xdr:row>4</xdr:row>
      <xdr:rowOff>9525</xdr:rowOff>
    </xdr:to>
    <xdr:sp macro="" textlink="">
      <xdr:nvSpPr>
        <xdr:cNvPr id="5176" name="AutoShape 56"/>
        <xdr:cNvSpPr>
          <a:spLocks noChangeArrowheads="1"/>
        </xdr:cNvSpPr>
      </xdr:nvSpPr>
      <xdr:spPr bwMode="auto">
        <a:xfrm>
          <a:off x="11106150" y="47625"/>
          <a:ext cx="1114425" cy="609600"/>
        </a:xfrm>
        <a:prstGeom prst="rightArrow">
          <a:avLst>
            <a:gd name="adj1" fmla="val 50000"/>
            <a:gd name="adj2" fmla="val 4570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266700</xdr:colOff>
      <xdr:row>20</xdr:row>
      <xdr:rowOff>57150</xdr:rowOff>
    </xdr:from>
    <xdr:to>
      <xdr:col>19</xdr:col>
      <xdr:colOff>257175</xdr:colOff>
      <xdr:row>28</xdr:row>
      <xdr:rowOff>142875</xdr:rowOff>
    </xdr:to>
    <xdr:sp macro="" textlink="">
      <xdr:nvSpPr>
        <xdr:cNvPr id="5178" name="Text Box 58"/>
        <xdr:cNvSpPr txBox="1">
          <a:spLocks noChangeArrowheads="1"/>
        </xdr:cNvSpPr>
      </xdr:nvSpPr>
      <xdr:spPr bwMode="auto">
        <a:xfrm>
          <a:off x="11239500" y="3295650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Fixed Expenses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18</xdr:col>
      <xdr:colOff>266700</xdr:colOff>
      <xdr:row>29</xdr:row>
      <xdr:rowOff>76200</xdr:rowOff>
    </xdr:from>
    <xdr:to>
      <xdr:col>19</xdr:col>
      <xdr:colOff>266700</xdr:colOff>
      <xdr:row>38</xdr:row>
      <xdr:rowOff>9525</xdr:rowOff>
    </xdr:to>
    <xdr:sp macro="" textlink="">
      <xdr:nvSpPr>
        <xdr:cNvPr id="5179" name="Text Box 59"/>
        <xdr:cNvSpPr txBox="1">
          <a:spLocks noChangeArrowheads="1"/>
        </xdr:cNvSpPr>
      </xdr:nvSpPr>
      <xdr:spPr bwMode="auto">
        <a:xfrm>
          <a:off x="11239500" y="4772025"/>
          <a:ext cx="609600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 Term Growth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19</xdr:col>
      <xdr:colOff>523875</xdr:colOff>
      <xdr:row>11</xdr:row>
      <xdr:rowOff>0</xdr:rowOff>
    </xdr:from>
    <xdr:to>
      <xdr:col>21</xdr:col>
      <xdr:colOff>38100</xdr:colOff>
      <xdr:row>39</xdr:row>
      <xdr:rowOff>142875</xdr:rowOff>
    </xdr:to>
    <xdr:sp macro="" textlink="">
      <xdr:nvSpPr>
        <xdr:cNvPr id="5181" name="Text Box 61"/>
        <xdr:cNvSpPr txBox="1">
          <a:spLocks noChangeArrowheads="1"/>
        </xdr:cNvSpPr>
      </xdr:nvSpPr>
      <xdr:spPr bwMode="auto">
        <a:xfrm>
          <a:off x="12106275" y="1781175"/>
          <a:ext cx="733425" cy="467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 Value of Commission Revenues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Model tab)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41</xdr:row>
      <xdr:rowOff>142875</xdr:rowOff>
    </xdr:from>
    <xdr:to>
      <xdr:col>6</xdr:col>
      <xdr:colOff>342900</xdr:colOff>
      <xdr:row>45</xdr:row>
      <xdr:rowOff>0</xdr:rowOff>
    </xdr:to>
    <xdr:sp macro="" textlink="">
      <xdr:nvSpPr>
        <xdr:cNvPr id="5182" name="AutoShape 62"/>
        <xdr:cNvSpPr>
          <a:spLocks noChangeArrowheads="1"/>
        </xdr:cNvSpPr>
      </xdr:nvSpPr>
      <xdr:spPr bwMode="auto">
        <a:xfrm>
          <a:off x="2133600" y="6743700"/>
          <a:ext cx="1866900" cy="609600"/>
        </a:xfrm>
        <a:prstGeom prst="rightArrow">
          <a:avLst>
            <a:gd name="adj1" fmla="val 50000"/>
            <a:gd name="adj2" fmla="val 7656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9</xdr:col>
      <xdr:colOff>200025</xdr:colOff>
      <xdr:row>41</xdr:row>
      <xdr:rowOff>142875</xdr:rowOff>
    </xdr:from>
    <xdr:to>
      <xdr:col>11</xdr:col>
      <xdr:colOff>66675</xdr:colOff>
      <xdr:row>45</xdr:row>
      <xdr:rowOff>0</xdr:rowOff>
    </xdr:to>
    <xdr:sp macro="" textlink="">
      <xdr:nvSpPr>
        <xdr:cNvPr id="5183" name="AutoShape 63"/>
        <xdr:cNvSpPr>
          <a:spLocks noChangeArrowheads="1"/>
        </xdr:cNvSpPr>
      </xdr:nvSpPr>
      <xdr:spPr bwMode="auto">
        <a:xfrm>
          <a:off x="5686425" y="6743700"/>
          <a:ext cx="1085850" cy="609600"/>
        </a:xfrm>
        <a:prstGeom prst="rightArrow">
          <a:avLst>
            <a:gd name="adj1" fmla="val 50000"/>
            <a:gd name="adj2" fmla="val 4453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11</xdr:col>
      <xdr:colOff>95250</xdr:colOff>
      <xdr:row>41</xdr:row>
      <xdr:rowOff>114300</xdr:rowOff>
    </xdr:from>
    <xdr:to>
      <xdr:col>13</xdr:col>
      <xdr:colOff>180975</xdr:colOff>
      <xdr:row>45</xdr:row>
      <xdr:rowOff>0</xdr:rowOff>
    </xdr:to>
    <xdr:sp macro="" textlink="">
      <xdr:nvSpPr>
        <xdr:cNvPr id="5184" name="AutoShape 64"/>
        <xdr:cNvSpPr>
          <a:spLocks noChangeArrowheads="1"/>
        </xdr:cNvSpPr>
      </xdr:nvSpPr>
      <xdr:spPr bwMode="auto">
        <a:xfrm>
          <a:off x="6800850" y="6743700"/>
          <a:ext cx="1304925" cy="609600"/>
        </a:xfrm>
        <a:prstGeom prst="rightArrow">
          <a:avLst>
            <a:gd name="adj1" fmla="val 50000"/>
            <a:gd name="adj2" fmla="val 5351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13</xdr:col>
      <xdr:colOff>390525</xdr:colOff>
      <xdr:row>41</xdr:row>
      <xdr:rowOff>114300</xdr:rowOff>
    </xdr:from>
    <xdr:to>
      <xdr:col>15</xdr:col>
      <xdr:colOff>476250</xdr:colOff>
      <xdr:row>45</xdr:row>
      <xdr:rowOff>0</xdr:rowOff>
    </xdr:to>
    <xdr:sp macro="" textlink="">
      <xdr:nvSpPr>
        <xdr:cNvPr id="5185" name="AutoShape 65"/>
        <xdr:cNvSpPr>
          <a:spLocks noChangeArrowheads="1"/>
        </xdr:cNvSpPr>
      </xdr:nvSpPr>
      <xdr:spPr bwMode="auto">
        <a:xfrm>
          <a:off x="8315325" y="6743700"/>
          <a:ext cx="1304925" cy="609600"/>
        </a:xfrm>
        <a:prstGeom prst="rightArrow">
          <a:avLst>
            <a:gd name="adj1" fmla="val 50000"/>
            <a:gd name="adj2" fmla="val 5351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15</xdr:col>
      <xdr:colOff>485775</xdr:colOff>
      <xdr:row>41</xdr:row>
      <xdr:rowOff>95250</xdr:rowOff>
    </xdr:from>
    <xdr:to>
      <xdr:col>17</xdr:col>
      <xdr:colOff>381000</xdr:colOff>
      <xdr:row>44</xdr:row>
      <xdr:rowOff>133350</xdr:rowOff>
    </xdr:to>
    <xdr:sp macro="" textlink="">
      <xdr:nvSpPr>
        <xdr:cNvPr id="5186" name="AutoShape 66"/>
        <xdr:cNvSpPr>
          <a:spLocks noChangeArrowheads="1"/>
        </xdr:cNvSpPr>
      </xdr:nvSpPr>
      <xdr:spPr bwMode="auto">
        <a:xfrm>
          <a:off x="9629775" y="6734175"/>
          <a:ext cx="1114425" cy="590550"/>
        </a:xfrm>
        <a:prstGeom prst="rightArrow">
          <a:avLst>
            <a:gd name="adj1" fmla="val 50000"/>
            <a:gd name="adj2" fmla="val 47177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18</xdr:col>
      <xdr:colOff>228600</xdr:colOff>
      <xdr:row>41</xdr:row>
      <xdr:rowOff>142875</xdr:rowOff>
    </xdr:from>
    <xdr:to>
      <xdr:col>20</xdr:col>
      <xdr:colOff>123825</xdr:colOff>
      <xdr:row>44</xdr:row>
      <xdr:rowOff>133350</xdr:rowOff>
    </xdr:to>
    <xdr:sp macro="" textlink="">
      <xdr:nvSpPr>
        <xdr:cNvPr id="5187" name="AutoShape 67"/>
        <xdr:cNvSpPr>
          <a:spLocks noChangeArrowheads="1"/>
        </xdr:cNvSpPr>
      </xdr:nvSpPr>
      <xdr:spPr bwMode="auto">
        <a:xfrm>
          <a:off x="11201400" y="6743700"/>
          <a:ext cx="1114425" cy="581025"/>
        </a:xfrm>
        <a:prstGeom prst="rightArrow">
          <a:avLst>
            <a:gd name="adj1" fmla="val 50000"/>
            <a:gd name="adj2" fmla="val 4795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50" zoomScaleNormal="50" workbookViewId="0">
      <selection activeCell="M31" sqref="M31"/>
    </sheetView>
  </sheetViews>
  <sheetFormatPr defaultRowHeight="12.75" x14ac:dyDescent="0.2"/>
  <cols>
    <col min="1" max="8" width="12.7109375" style="318" customWidth="1"/>
    <col min="9" max="9" width="8.5703125" style="318" customWidth="1"/>
    <col min="10" max="16384" width="9.140625" style="318"/>
  </cols>
  <sheetData>
    <row r="1" spans="1:9" ht="33.75" x14ac:dyDescent="0.2">
      <c r="A1" s="662" t="s">
        <v>277</v>
      </c>
      <c r="B1" s="667"/>
      <c r="C1" s="667"/>
      <c r="D1" s="667"/>
      <c r="E1" s="667"/>
      <c r="F1" s="667"/>
      <c r="G1" s="667"/>
      <c r="H1" s="667"/>
    </row>
    <row r="2" spans="1:9" ht="8.25" customHeight="1" x14ac:dyDescent="0.2">
      <c r="A2" s="662"/>
      <c r="B2" s="662"/>
      <c r="C2" s="662"/>
      <c r="D2" s="662"/>
      <c r="E2" s="662"/>
      <c r="F2" s="662"/>
      <c r="G2" s="662"/>
      <c r="H2" s="662"/>
    </row>
    <row r="3" spans="1:9" s="326" customFormat="1" ht="26.25" x14ac:dyDescent="0.35">
      <c r="A3" s="663" t="s">
        <v>276</v>
      </c>
      <c r="B3" s="663"/>
      <c r="C3" s="663"/>
      <c r="D3" s="663"/>
      <c r="E3" s="663"/>
      <c r="F3" s="663"/>
      <c r="G3" s="663"/>
      <c r="H3" s="663"/>
    </row>
    <row r="4" spans="1:9" ht="13.5" thickBot="1" x14ac:dyDescent="0.25"/>
    <row r="5" spans="1:9" x14ac:dyDescent="0.2">
      <c r="A5" s="674" t="s">
        <v>263</v>
      </c>
      <c r="B5" s="675"/>
      <c r="C5" s="675"/>
      <c r="D5" s="675"/>
      <c r="E5" s="675"/>
      <c r="F5" s="675"/>
      <c r="G5" s="675"/>
      <c r="H5" s="676"/>
      <c r="I5" s="319"/>
    </row>
    <row r="6" spans="1:9" ht="27" thickBot="1" x14ac:dyDescent="0.45">
      <c r="A6" s="668">
        <f>+'Total Market Size'!B7</f>
        <v>888894.6</v>
      </c>
      <c r="B6" s="669"/>
      <c r="C6" s="669"/>
      <c r="D6" s="669"/>
      <c r="E6" s="669"/>
      <c r="F6" s="669"/>
      <c r="G6" s="669"/>
      <c r="H6" s="670"/>
      <c r="I6" s="320"/>
    </row>
    <row r="7" spans="1:9" ht="30.75" customHeight="1" thickBot="1" x14ac:dyDescent="0.25"/>
    <row r="8" spans="1:9" x14ac:dyDescent="0.2">
      <c r="A8" s="674" t="s">
        <v>264</v>
      </c>
      <c r="B8" s="675"/>
      <c r="C8" s="675"/>
      <c r="D8" s="675"/>
      <c r="E8" s="675"/>
      <c r="F8" s="675"/>
      <c r="G8" s="675"/>
      <c r="H8" s="676"/>
      <c r="I8" s="319"/>
    </row>
    <row r="9" spans="1:9" ht="18.75" thickBot="1" x14ac:dyDescent="0.3">
      <c r="A9" s="671">
        <f>+' Volume Assumptions'!K7</f>
        <v>7</v>
      </c>
      <c r="B9" s="672"/>
      <c r="C9" s="672"/>
      <c r="D9" s="672"/>
      <c r="E9" s="672"/>
      <c r="F9" s="672"/>
      <c r="G9" s="672"/>
      <c r="H9" s="673"/>
      <c r="I9" s="319"/>
    </row>
    <row r="10" spans="1:9" ht="43.5" customHeight="1" thickBot="1" x14ac:dyDescent="0.25"/>
    <row r="11" spans="1:9" x14ac:dyDescent="0.2">
      <c r="A11" s="674" t="s">
        <v>268</v>
      </c>
      <c r="B11" s="675"/>
      <c r="C11" s="675"/>
      <c r="D11" s="675"/>
      <c r="E11" s="675"/>
      <c r="F11" s="675"/>
      <c r="G11" s="675"/>
      <c r="H11" s="676"/>
      <c r="I11" s="319"/>
    </row>
    <row r="12" spans="1:9" ht="27" thickBot="1" x14ac:dyDescent="0.45">
      <c r="A12" s="668">
        <f>+'Total Market Size'!B64</f>
        <v>6222262.2000000002</v>
      </c>
      <c r="B12" s="669"/>
      <c r="C12" s="669"/>
      <c r="D12" s="669"/>
      <c r="E12" s="669"/>
      <c r="F12" s="669"/>
      <c r="G12" s="669"/>
      <c r="H12" s="670"/>
      <c r="I12" s="321"/>
    </row>
    <row r="13" spans="1:9" ht="41.25" customHeight="1" thickBot="1" x14ac:dyDescent="0.25">
      <c r="A13" s="322"/>
      <c r="B13" s="322"/>
      <c r="C13" s="322"/>
      <c r="D13" s="322"/>
      <c r="E13" s="322"/>
      <c r="F13" s="322"/>
      <c r="G13" s="322"/>
      <c r="H13" s="322"/>
      <c r="I13" s="321"/>
    </row>
    <row r="14" spans="1:9" x14ac:dyDescent="0.2">
      <c r="A14" s="674" t="s">
        <v>265</v>
      </c>
      <c r="B14" s="675"/>
      <c r="C14" s="675"/>
      <c r="D14" s="675"/>
      <c r="E14" s="675"/>
      <c r="F14" s="675"/>
      <c r="G14" s="675"/>
      <c r="H14" s="676"/>
      <c r="I14" s="319"/>
    </row>
    <row r="15" spans="1:9" ht="16.5" customHeight="1" thickBot="1" x14ac:dyDescent="0.3">
      <c r="A15" s="677">
        <f>+' Volume Assumptions'!B26</f>
        <v>0.6</v>
      </c>
      <c r="B15" s="672"/>
      <c r="C15" s="672"/>
      <c r="D15" s="672"/>
      <c r="E15" s="672"/>
      <c r="F15" s="672"/>
      <c r="G15" s="672"/>
      <c r="H15" s="673"/>
      <c r="I15" s="319"/>
    </row>
    <row r="16" spans="1:9" ht="42" customHeight="1" thickBot="1" x14ac:dyDescent="0.25"/>
    <row r="17" spans="1:12" x14ac:dyDescent="0.2">
      <c r="A17" s="674" t="s">
        <v>269</v>
      </c>
      <c r="B17" s="675"/>
      <c r="C17" s="675"/>
      <c r="D17" s="675"/>
      <c r="E17" s="675"/>
      <c r="F17" s="675"/>
      <c r="G17" s="675"/>
      <c r="H17" s="676"/>
    </row>
    <row r="18" spans="1:12" ht="27" thickBot="1" x14ac:dyDescent="0.45">
      <c r="A18" s="668">
        <f>+'Total Market Size'!B83</f>
        <v>2844462.72</v>
      </c>
      <c r="B18" s="669"/>
      <c r="C18" s="669"/>
      <c r="D18" s="669"/>
      <c r="E18" s="669"/>
      <c r="F18" s="669"/>
      <c r="G18" s="669"/>
      <c r="H18" s="670"/>
    </row>
    <row r="19" spans="1:12" ht="29.25" customHeight="1" thickBot="1" x14ac:dyDescent="0.25">
      <c r="E19" s="325"/>
      <c r="F19" s="325"/>
      <c r="G19" s="325"/>
      <c r="H19" s="325"/>
      <c r="I19" s="325"/>
      <c r="J19" s="325"/>
      <c r="K19" s="325"/>
      <c r="L19" s="325"/>
    </row>
    <row r="20" spans="1:12" x14ac:dyDescent="0.2">
      <c r="A20" s="674" t="s">
        <v>266</v>
      </c>
      <c r="B20" s="675"/>
      <c r="C20" s="675"/>
      <c r="D20" s="675"/>
      <c r="E20" s="675"/>
      <c r="F20" s="675"/>
      <c r="G20" s="675"/>
      <c r="H20" s="676"/>
      <c r="K20" s="323"/>
    </row>
    <row r="21" spans="1:12" ht="18.75" thickBot="1" x14ac:dyDescent="0.3">
      <c r="A21" s="677">
        <v>0.5</v>
      </c>
      <c r="B21" s="672"/>
      <c r="C21" s="672"/>
      <c r="D21" s="672"/>
      <c r="E21" s="672"/>
      <c r="F21" s="672"/>
      <c r="G21" s="672"/>
      <c r="H21" s="673"/>
      <c r="K21" s="323"/>
    </row>
    <row r="22" spans="1:12" ht="39.75" customHeight="1" thickBot="1" x14ac:dyDescent="0.25">
      <c r="K22" s="323"/>
    </row>
    <row r="23" spans="1:12" x14ac:dyDescent="0.2">
      <c r="A23" s="674" t="s">
        <v>270</v>
      </c>
      <c r="B23" s="675"/>
      <c r="C23" s="675"/>
      <c r="D23" s="675"/>
      <c r="E23" s="675"/>
      <c r="F23" s="675"/>
      <c r="G23" s="675"/>
      <c r="H23" s="676"/>
      <c r="K23" s="323"/>
    </row>
    <row r="24" spans="1:12" ht="27" thickBot="1" x14ac:dyDescent="0.45">
      <c r="A24" s="668">
        <f>+'Total Market Size'!B102</f>
        <v>1706677.632</v>
      </c>
      <c r="B24" s="669"/>
      <c r="C24" s="669"/>
      <c r="D24" s="669"/>
      <c r="E24" s="669"/>
      <c r="F24" s="669"/>
      <c r="G24" s="669"/>
      <c r="H24" s="670"/>
    </row>
    <row r="25" spans="1:12" ht="39.75" customHeight="1" thickBot="1" x14ac:dyDescent="0.25">
      <c r="E25" s="325"/>
      <c r="F25" s="325"/>
      <c r="G25" s="325"/>
      <c r="H25" s="325"/>
      <c r="I25" s="325"/>
      <c r="J25" s="325"/>
      <c r="K25" s="325"/>
      <c r="L25" s="325"/>
    </row>
    <row r="26" spans="1:12" x14ac:dyDescent="0.2">
      <c r="A26" s="674" t="s">
        <v>267</v>
      </c>
      <c r="B26" s="675"/>
      <c r="C26" s="675"/>
      <c r="D26" s="675"/>
      <c r="E26" s="675"/>
      <c r="F26" s="675"/>
      <c r="G26" s="675"/>
      <c r="H26" s="676"/>
      <c r="K26" s="323"/>
    </row>
    <row r="27" spans="1:12" ht="18.75" thickBot="1" x14ac:dyDescent="0.3">
      <c r="A27" s="677">
        <f>+' Volume Assumptions'!B60</f>
        <v>0.02</v>
      </c>
      <c r="B27" s="672"/>
      <c r="C27" s="672"/>
      <c r="D27" s="672"/>
      <c r="E27" s="672"/>
      <c r="F27" s="672"/>
      <c r="G27" s="672"/>
      <c r="H27" s="673"/>
      <c r="K27" s="323"/>
    </row>
    <row r="28" spans="1:12" ht="46.5" customHeight="1" thickBot="1" x14ac:dyDescent="0.25">
      <c r="K28" s="323"/>
    </row>
    <row r="29" spans="1:12" x14ac:dyDescent="0.2">
      <c r="A29" s="674" t="s">
        <v>271</v>
      </c>
      <c r="B29" s="675"/>
      <c r="C29" s="675"/>
      <c r="D29" s="675"/>
      <c r="E29" s="675"/>
      <c r="F29" s="675"/>
      <c r="G29" s="675"/>
      <c r="H29" s="676"/>
      <c r="K29" s="323"/>
    </row>
    <row r="30" spans="1:12" ht="27" thickBot="1" x14ac:dyDescent="0.45">
      <c r="A30" s="668">
        <f>+'Total Market Size'!B121</f>
        <v>34133.552640000002</v>
      </c>
      <c r="B30" s="669"/>
      <c r="C30" s="669"/>
      <c r="D30" s="669"/>
      <c r="E30" s="669"/>
      <c r="F30" s="669"/>
      <c r="G30" s="669"/>
      <c r="H30" s="670"/>
    </row>
    <row r="32" spans="1:12" ht="13.5" thickBot="1" x14ac:dyDescent="0.25"/>
    <row r="33" spans="1:8" ht="21.75" customHeight="1" thickBot="1" x14ac:dyDescent="0.25">
      <c r="A33" s="664" t="s">
        <v>278</v>
      </c>
      <c r="B33" s="665"/>
      <c r="C33" s="665"/>
      <c r="D33" s="665"/>
      <c r="E33" s="665"/>
      <c r="F33" s="665"/>
      <c r="G33" s="665"/>
      <c r="H33" s="666"/>
    </row>
  </sheetData>
  <mergeCells count="22">
    <mergeCell ref="A26:H26"/>
    <mergeCell ref="A27:H27"/>
    <mergeCell ref="A29:H29"/>
    <mergeCell ref="A30:H30"/>
    <mergeCell ref="A21:H21"/>
    <mergeCell ref="A17:H17"/>
    <mergeCell ref="A5:H5"/>
    <mergeCell ref="A8:H8"/>
    <mergeCell ref="A6:H6"/>
    <mergeCell ref="A12:H12"/>
    <mergeCell ref="A14:H14"/>
    <mergeCell ref="A15:H15"/>
    <mergeCell ref="A2:H2"/>
    <mergeCell ref="A3:H3"/>
    <mergeCell ref="A33:H33"/>
    <mergeCell ref="A1:H1"/>
    <mergeCell ref="A24:H24"/>
    <mergeCell ref="A9:H9"/>
    <mergeCell ref="A11:H11"/>
    <mergeCell ref="A18:H18"/>
    <mergeCell ref="A20:H20"/>
    <mergeCell ref="A23:H23"/>
  </mergeCells>
  <printOptions horizontalCentered="1"/>
  <pageMargins left="0.75" right="0.75" top="1" bottom="1" header="0.5" footer="0.5"/>
  <pageSetup scale="85" orientation="portrait" r:id="rId1"/>
  <headerFooter alignWithMargins="0">
    <oddHeader>&amp;LGREEN GIANT&amp;C&amp;D &amp;T&amp;RCONFIDENTIAL</oddHeader>
    <oddFooter>&amp;LGREEN GIANT&amp;C&amp;D &amp;T&amp;RPAGE 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90"/>
  <sheetViews>
    <sheetView zoomScale="75" workbookViewId="0">
      <selection activeCell="A44" sqref="A44"/>
    </sheetView>
  </sheetViews>
  <sheetFormatPr defaultRowHeight="12.75" x14ac:dyDescent="0.2"/>
  <cols>
    <col min="1" max="1" width="17" customWidth="1"/>
    <col min="2" max="2" width="12.42578125" customWidth="1"/>
    <col min="3" max="3" width="10" customWidth="1"/>
    <col min="4" max="4" width="9.28515625" customWidth="1"/>
    <col min="5" max="5" width="9.5703125" customWidth="1"/>
    <col min="6" max="6" width="8.85546875" customWidth="1"/>
    <col min="7" max="7" width="10" customWidth="1"/>
    <col min="8" max="8" width="16.140625" customWidth="1"/>
    <col min="9" max="9" width="11.140625" customWidth="1"/>
    <col min="10" max="10" width="10.5703125" customWidth="1"/>
    <col min="11" max="11" width="9.5703125" customWidth="1"/>
    <col min="12" max="12" width="9.7109375" customWidth="1"/>
    <col min="13" max="13" width="10.28515625" customWidth="1"/>
    <col min="14" max="14" width="16.140625" customWidth="1"/>
    <col min="15" max="15" width="13.140625" customWidth="1"/>
  </cols>
  <sheetData>
    <row r="1" spans="1:256" ht="27" customHeight="1" x14ac:dyDescent="0.4">
      <c r="A1" s="145" t="s">
        <v>125</v>
      </c>
      <c r="B1" s="88"/>
      <c r="IV1" s="145"/>
    </row>
    <row r="3" spans="1:256" ht="14.25" customHeight="1" x14ac:dyDescent="0.2">
      <c r="A3" s="8" t="s">
        <v>163</v>
      </c>
      <c r="H3" s="8" t="s">
        <v>164</v>
      </c>
    </row>
    <row r="4" spans="1:256" ht="14.25" customHeight="1" thickBot="1" x14ac:dyDescent="0.25">
      <c r="A4" s="41"/>
      <c r="H4" s="41"/>
    </row>
    <row r="5" spans="1:256" ht="11.25" customHeight="1" thickBot="1" x14ac:dyDescent="0.25">
      <c r="B5" s="689" t="s">
        <v>110</v>
      </c>
      <c r="C5" s="690"/>
      <c r="D5" s="690"/>
      <c r="E5" s="691"/>
      <c r="I5" s="684" t="s">
        <v>117</v>
      </c>
      <c r="J5" s="684" t="s">
        <v>122</v>
      </c>
      <c r="K5" s="684" t="s">
        <v>186</v>
      </c>
    </row>
    <row r="6" spans="1:256" ht="13.5" customHeight="1" thickBot="1" x14ac:dyDescent="0.25">
      <c r="A6" s="54" t="s">
        <v>109</v>
      </c>
      <c r="B6" s="77" t="s">
        <v>12</v>
      </c>
      <c r="C6" s="76" t="s">
        <v>6</v>
      </c>
      <c r="D6" s="76" t="s">
        <v>111</v>
      </c>
      <c r="E6" s="78" t="s">
        <v>10</v>
      </c>
      <c r="H6" s="82" t="s">
        <v>109</v>
      </c>
      <c r="I6" s="692"/>
      <c r="J6" s="692"/>
      <c r="K6" s="692"/>
    </row>
    <row r="7" spans="1:256" ht="13.5" customHeight="1" x14ac:dyDescent="0.2">
      <c r="A7" s="47" t="s">
        <v>64</v>
      </c>
      <c r="B7" s="327">
        <v>0.6</v>
      </c>
      <c r="C7" s="328">
        <v>0.6</v>
      </c>
      <c r="D7" s="328">
        <v>0.6</v>
      </c>
      <c r="E7" s="329">
        <v>0.6</v>
      </c>
      <c r="H7" s="50" t="s">
        <v>64</v>
      </c>
      <c r="I7" s="311">
        <v>2</v>
      </c>
      <c r="J7" s="312">
        <v>5</v>
      </c>
      <c r="K7" s="330">
        <f>+I7+J7</f>
        <v>7</v>
      </c>
    </row>
    <row r="8" spans="1:256" x14ac:dyDescent="0.2">
      <c r="A8" s="48" t="s">
        <v>65</v>
      </c>
      <c r="B8" s="46">
        <v>0.9</v>
      </c>
      <c r="C8" s="45">
        <v>0.7</v>
      </c>
      <c r="D8" s="55">
        <f>+C8</f>
        <v>0.7</v>
      </c>
      <c r="E8" s="79">
        <f>+D8</f>
        <v>0.7</v>
      </c>
      <c r="H8" s="51" t="s">
        <v>65</v>
      </c>
      <c r="I8" s="313">
        <v>1.5</v>
      </c>
      <c r="J8" s="65">
        <v>2.5</v>
      </c>
      <c r="K8" s="316">
        <f>+I8+J8</f>
        <v>4</v>
      </c>
    </row>
    <row r="9" spans="1:256" x14ac:dyDescent="0.2">
      <c r="A9" s="48" t="s">
        <v>66</v>
      </c>
      <c r="B9" s="46">
        <v>0.9</v>
      </c>
      <c r="C9" s="45">
        <v>0.7</v>
      </c>
      <c r="D9" s="45">
        <v>0.7</v>
      </c>
      <c r="E9" s="80">
        <v>0.4</v>
      </c>
      <c r="H9" s="51" t="s">
        <v>66</v>
      </c>
      <c r="I9" s="313">
        <v>6</v>
      </c>
      <c r="J9" s="65">
        <v>15</v>
      </c>
      <c r="K9" s="316">
        <f t="shared" ref="K9:K17" si="0">+I9+J9</f>
        <v>21</v>
      </c>
    </row>
    <row r="10" spans="1:256" x14ac:dyDescent="0.2">
      <c r="A10" s="48" t="s">
        <v>112</v>
      </c>
      <c r="B10" s="46">
        <v>0.9</v>
      </c>
      <c r="C10" s="45">
        <v>0.9</v>
      </c>
      <c r="D10" s="45">
        <v>0.9</v>
      </c>
      <c r="E10" s="79">
        <f>+D10</f>
        <v>0.9</v>
      </c>
      <c r="H10" s="51" t="s">
        <v>112</v>
      </c>
      <c r="I10" s="313">
        <v>2</v>
      </c>
      <c r="J10" s="65">
        <v>7</v>
      </c>
      <c r="K10" s="316">
        <f t="shared" si="0"/>
        <v>9</v>
      </c>
    </row>
    <row r="11" spans="1:256" x14ac:dyDescent="0.2">
      <c r="A11" s="48" t="s">
        <v>67</v>
      </c>
      <c r="B11" s="46">
        <v>0.95</v>
      </c>
      <c r="C11" s="45">
        <v>0.85</v>
      </c>
      <c r="D11" s="45">
        <v>0.85</v>
      </c>
      <c r="E11" s="80">
        <v>0.5</v>
      </c>
      <c r="H11" s="51" t="s">
        <v>67</v>
      </c>
      <c r="I11" s="313">
        <v>4</v>
      </c>
      <c r="J11" s="65">
        <v>0.8</v>
      </c>
      <c r="K11" s="316">
        <f t="shared" si="0"/>
        <v>4.8</v>
      </c>
    </row>
    <row r="12" spans="1:256" x14ac:dyDescent="0.2">
      <c r="A12" s="48" t="s">
        <v>68</v>
      </c>
      <c r="B12" s="46">
        <v>0.4</v>
      </c>
      <c r="C12" s="45">
        <v>0.4</v>
      </c>
      <c r="D12" s="45">
        <v>0.4</v>
      </c>
      <c r="E12" s="80">
        <v>0.2</v>
      </c>
      <c r="H12" s="51" t="s">
        <v>68</v>
      </c>
      <c r="I12" s="313">
        <v>1.2</v>
      </c>
      <c r="J12" s="65">
        <v>1.8</v>
      </c>
      <c r="K12" s="316">
        <f t="shared" si="0"/>
        <v>3</v>
      </c>
    </row>
    <row r="13" spans="1:256" x14ac:dyDescent="0.2">
      <c r="A13" s="48" t="s">
        <v>69</v>
      </c>
      <c r="B13" s="46">
        <v>0.8</v>
      </c>
      <c r="C13" s="45">
        <v>0.8</v>
      </c>
      <c r="D13" s="45">
        <v>0.8</v>
      </c>
      <c r="E13" s="80">
        <v>0.8</v>
      </c>
      <c r="H13" s="51" t="s">
        <v>69</v>
      </c>
      <c r="I13" s="313">
        <v>1</v>
      </c>
      <c r="J13" s="65">
        <v>6</v>
      </c>
      <c r="K13" s="316">
        <f t="shared" si="0"/>
        <v>7</v>
      </c>
    </row>
    <row r="14" spans="1:256" x14ac:dyDescent="0.2">
      <c r="A14" s="48" t="s">
        <v>70</v>
      </c>
      <c r="B14" s="46">
        <v>0.2</v>
      </c>
      <c r="C14" s="45">
        <v>0.1</v>
      </c>
      <c r="D14" s="45">
        <v>0.08</v>
      </c>
      <c r="E14" s="80">
        <v>0.03</v>
      </c>
      <c r="H14" s="51" t="s">
        <v>70</v>
      </c>
      <c r="I14" s="313">
        <v>2</v>
      </c>
      <c r="J14" s="65">
        <v>4</v>
      </c>
      <c r="K14" s="316">
        <f t="shared" si="0"/>
        <v>6</v>
      </c>
    </row>
    <row r="15" spans="1:256" x14ac:dyDescent="0.2">
      <c r="A15" s="48" t="s">
        <v>71</v>
      </c>
      <c r="B15" s="46">
        <v>0.8</v>
      </c>
      <c r="C15" s="45">
        <v>0.7</v>
      </c>
      <c r="D15" s="55">
        <f>+C15</f>
        <v>0.7</v>
      </c>
      <c r="E15" s="79">
        <f>+D15</f>
        <v>0.7</v>
      </c>
      <c r="H15" s="51" t="s">
        <v>71</v>
      </c>
      <c r="I15" s="313">
        <v>4</v>
      </c>
      <c r="J15" s="65">
        <v>3</v>
      </c>
      <c r="K15" s="316">
        <f t="shared" si="0"/>
        <v>7</v>
      </c>
    </row>
    <row r="16" spans="1:256" x14ac:dyDescent="0.2">
      <c r="A16" s="70" t="s">
        <v>119</v>
      </c>
      <c r="B16" s="83">
        <v>0.6</v>
      </c>
      <c r="C16" s="84">
        <v>0.5</v>
      </c>
      <c r="D16" s="85">
        <f>+C16</f>
        <v>0.5</v>
      </c>
      <c r="E16" s="86">
        <f>+C16</f>
        <v>0.5</v>
      </c>
      <c r="H16" s="71" t="s">
        <v>119</v>
      </c>
      <c r="I16" s="313">
        <v>2</v>
      </c>
      <c r="J16" s="65">
        <v>5</v>
      </c>
      <c r="K16" s="316">
        <f t="shared" si="0"/>
        <v>7</v>
      </c>
    </row>
    <row r="17" spans="1:15" x14ac:dyDescent="0.2">
      <c r="A17" s="70" t="s">
        <v>120</v>
      </c>
      <c r="B17" s="119" t="s">
        <v>35</v>
      </c>
      <c r="C17" s="120" t="s">
        <v>35</v>
      </c>
      <c r="D17" s="120" t="s">
        <v>35</v>
      </c>
      <c r="E17" s="121" t="s">
        <v>35</v>
      </c>
      <c r="H17" s="71" t="s">
        <v>120</v>
      </c>
      <c r="I17" s="313">
        <v>2</v>
      </c>
      <c r="J17" s="65">
        <v>10</v>
      </c>
      <c r="K17" s="316">
        <f t="shared" si="0"/>
        <v>12</v>
      </c>
    </row>
    <row r="18" spans="1:15" ht="13.5" thickBot="1" x14ac:dyDescent="0.25">
      <c r="A18" s="49" t="s">
        <v>113</v>
      </c>
      <c r="B18" s="56">
        <v>0.7</v>
      </c>
      <c r="C18" s="64">
        <f>+B18</f>
        <v>0.7</v>
      </c>
      <c r="D18" s="64">
        <f>+C18</f>
        <v>0.7</v>
      </c>
      <c r="E18" s="81">
        <f>+D18</f>
        <v>0.7</v>
      </c>
      <c r="H18" s="52" t="s">
        <v>113</v>
      </c>
      <c r="I18" s="314">
        <v>1.5</v>
      </c>
      <c r="J18" s="315">
        <v>4</v>
      </c>
      <c r="K18" s="317">
        <f>+I18+J18</f>
        <v>5.5</v>
      </c>
    </row>
    <row r="20" spans="1:15" x14ac:dyDescent="0.2">
      <c r="H20" s="30" t="s">
        <v>178</v>
      </c>
    </row>
    <row r="21" spans="1:15" x14ac:dyDescent="0.2">
      <c r="H21" s="30" t="s">
        <v>179</v>
      </c>
      <c r="I21" s="65"/>
    </row>
    <row r="22" spans="1:15" x14ac:dyDescent="0.2">
      <c r="A22" s="8" t="s">
        <v>242</v>
      </c>
    </row>
    <row r="23" spans="1:15" ht="15" customHeight="1" thickBot="1" x14ac:dyDescent="0.25"/>
    <row r="24" spans="1:15" ht="25.5" customHeight="1" thickBot="1" x14ac:dyDescent="0.25">
      <c r="B24" s="686" t="s">
        <v>115</v>
      </c>
      <c r="C24" s="687"/>
      <c r="D24" s="687"/>
      <c r="E24" s="687"/>
      <c r="F24" s="687"/>
      <c r="G24" s="687"/>
      <c r="H24" s="687"/>
      <c r="I24" s="687"/>
      <c r="J24" s="687"/>
      <c r="K24" s="687"/>
      <c r="L24" s="688"/>
      <c r="M24" s="684" t="s">
        <v>141</v>
      </c>
      <c r="N24" s="684" t="s">
        <v>140</v>
      </c>
      <c r="O24" s="684" t="s">
        <v>139</v>
      </c>
    </row>
    <row r="25" spans="1:15" ht="13.5" thickBot="1" x14ac:dyDescent="0.25">
      <c r="A25" s="9" t="s">
        <v>109</v>
      </c>
      <c r="B25" s="287">
        <v>2001</v>
      </c>
      <c r="C25" s="288">
        <v>2002</v>
      </c>
      <c r="D25" s="288">
        <v>2003</v>
      </c>
      <c r="E25" s="288">
        <v>2004</v>
      </c>
      <c r="F25" s="288">
        <v>2005</v>
      </c>
      <c r="G25" s="288">
        <v>2006</v>
      </c>
      <c r="H25" s="288">
        <v>2007</v>
      </c>
      <c r="I25" s="288">
        <v>2008</v>
      </c>
      <c r="J25" s="288">
        <v>2009</v>
      </c>
      <c r="K25" s="288">
        <v>2010</v>
      </c>
      <c r="L25" s="289">
        <v>2011</v>
      </c>
      <c r="M25" s="685"/>
      <c r="N25" s="685"/>
      <c r="O25" s="685"/>
    </row>
    <row r="26" spans="1:15" x14ac:dyDescent="0.2">
      <c r="A26" s="50" t="s">
        <v>64</v>
      </c>
      <c r="B26" s="331">
        <f>+M26</f>
        <v>0.6</v>
      </c>
      <c r="C26" s="290">
        <f>+(1-(1-$M26)/((C$25-2000)^(LN((1-$M26)/(1-$O26))/LN(($N26-2000)))))</f>
        <v>0.75505102572168215</v>
      </c>
      <c r="D26" s="290">
        <f t="shared" ref="D26:L37" si="1">+(1-(1-$M26)/((D$25-2000)^(LN((1-$M26)/(1-$O26))/LN(($N26-2000)))))</f>
        <v>0.81613978748430172</v>
      </c>
      <c r="E26" s="290">
        <f t="shared" si="1"/>
        <v>0.85</v>
      </c>
      <c r="F26" s="290">
        <f t="shared" si="1"/>
        <v>0.8719069378647013</v>
      </c>
      <c r="G26" s="290">
        <f t="shared" si="1"/>
        <v>0.88740907383421541</v>
      </c>
      <c r="H26" s="290">
        <f t="shared" si="1"/>
        <v>0.89904280334316389</v>
      </c>
      <c r="I26" s="290">
        <f t="shared" si="1"/>
        <v>0.90814413464563082</v>
      </c>
      <c r="J26" s="290">
        <f t="shared" si="1"/>
        <v>0.91548855563420561</v>
      </c>
      <c r="K26" s="290">
        <f t="shared" si="1"/>
        <v>0.92155933954447444</v>
      </c>
      <c r="L26" s="291">
        <f t="shared" si="1"/>
        <v>0.92667448180541634</v>
      </c>
      <c r="M26" s="96">
        <v>0.6</v>
      </c>
      <c r="N26" s="98">
        <v>2004</v>
      </c>
      <c r="O26" s="101">
        <v>0.85</v>
      </c>
    </row>
    <row r="27" spans="1:15" x14ac:dyDescent="0.2">
      <c r="A27" s="51" t="s">
        <v>65</v>
      </c>
      <c r="B27" s="292">
        <f t="shared" ref="B27:B37" si="2">+M27</f>
        <v>0.15</v>
      </c>
      <c r="C27" s="293">
        <f>+(1-(1-$M27)/((C$25-2000)^(LN((1-$M27)/(1-$O27))/LN(($N27-2000)))))</f>
        <v>0.28585715714571502</v>
      </c>
      <c r="D27" s="293">
        <f t="shared" si="1"/>
        <v>0.35502611674289763</v>
      </c>
      <c r="E27" s="293">
        <f t="shared" si="1"/>
        <v>0.4</v>
      </c>
      <c r="F27" s="293">
        <f t="shared" si="1"/>
        <v>0.43271331118519485</v>
      </c>
      <c r="G27" s="293">
        <f t="shared" si="1"/>
        <v>0.4581135499341239</v>
      </c>
      <c r="H27" s="293">
        <f t="shared" si="1"/>
        <v>0.47869979072899538</v>
      </c>
      <c r="I27" s="293">
        <f t="shared" si="1"/>
        <v>0.49589916974991655</v>
      </c>
      <c r="J27" s="293">
        <f t="shared" si="1"/>
        <v>0.51059845872500442</v>
      </c>
      <c r="K27" s="293">
        <f t="shared" si="1"/>
        <v>0.52338384863106002</v>
      </c>
      <c r="L27" s="294">
        <f t="shared" si="1"/>
        <v>0.53466165999606141</v>
      </c>
      <c r="M27" s="96">
        <v>0.15</v>
      </c>
      <c r="N27" s="99">
        <v>2004</v>
      </c>
      <c r="O27" s="102">
        <v>0.4</v>
      </c>
    </row>
    <row r="28" spans="1:15" x14ac:dyDescent="0.2">
      <c r="A28" s="51" t="s">
        <v>66</v>
      </c>
      <c r="B28" s="292">
        <f t="shared" si="2"/>
        <v>0.6</v>
      </c>
      <c r="C28" s="293">
        <f t="shared" ref="C28:C37" si="3">+(1-(1-$M28)/((C$25-2000)^(LN((1-$M28)/(1-$O28))/LN(($N28-2000)))))</f>
        <v>0.69408153430162334</v>
      </c>
      <c r="D28" s="293">
        <f t="shared" si="1"/>
        <v>0.73849241229237605</v>
      </c>
      <c r="E28" s="293">
        <f t="shared" si="1"/>
        <v>0.76603473086187779</v>
      </c>
      <c r="F28" s="293">
        <f t="shared" si="1"/>
        <v>0.78538430306335905</v>
      </c>
      <c r="G28" s="293">
        <f t="shared" si="1"/>
        <v>0.8</v>
      </c>
      <c r="H28" s="293">
        <f t="shared" si="1"/>
        <v>0.81157807251021286</v>
      </c>
      <c r="I28" s="293">
        <f t="shared" si="1"/>
        <v>0.82106425959639473</v>
      </c>
      <c r="J28" s="293">
        <f t="shared" si="1"/>
        <v>0.8290344539283484</v>
      </c>
      <c r="K28" s="293">
        <f t="shared" si="1"/>
        <v>0.83586273819588752</v>
      </c>
      <c r="L28" s="294">
        <f t="shared" si="1"/>
        <v>0.84180443364506874</v>
      </c>
      <c r="M28" s="96">
        <v>0.6</v>
      </c>
      <c r="N28" s="99">
        <v>2006</v>
      </c>
      <c r="O28" s="102">
        <v>0.8</v>
      </c>
    </row>
    <row r="29" spans="1:15" x14ac:dyDescent="0.2">
      <c r="A29" s="51" t="s">
        <v>112</v>
      </c>
      <c r="B29" s="292">
        <f t="shared" si="2"/>
        <v>0.3</v>
      </c>
      <c r="C29" s="293">
        <f t="shared" si="3"/>
        <v>0.74781735704297159</v>
      </c>
      <c r="D29" s="293">
        <f t="shared" si="1"/>
        <v>0.86121170121147483</v>
      </c>
      <c r="E29" s="293">
        <f t="shared" si="1"/>
        <v>0.90914844941601136</v>
      </c>
      <c r="F29" s="293">
        <f t="shared" si="1"/>
        <v>0.9345974098158718</v>
      </c>
      <c r="G29" s="293">
        <f t="shared" si="1"/>
        <v>0.95</v>
      </c>
      <c r="H29" s="293">
        <f t="shared" si="1"/>
        <v>0.96015580846039195</v>
      </c>
      <c r="I29" s="293">
        <f t="shared" si="1"/>
        <v>0.96726973693855078</v>
      </c>
      <c r="J29" s="293">
        <f t="shared" si="1"/>
        <v>0.97248258302769575</v>
      </c>
      <c r="K29" s="293">
        <f t="shared" si="1"/>
        <v>0.97643800278733028</v>
      </c>
      <c r="L29" s="294">
        <f t="shared" si="1"/>
        <v>0.9795239870144572</v>
      </c>
      <c r="M29" s="96">
        <v>0.3</v>
      </c>
      <c r="N29" s="99">
        <v>2006</v>
      </c>
      <c r="O29" s="102">
        <v>0.95</v>
      </c>
    </row>
    <row r="30" spans="1:15" x14ac:dyDescent="0.2">
      <c r="A30" s="51" t="s">
        <v>67</v>
      </c>
      <c r="B30" s="292">
        <f t="shared" si="2"/>
        <v>0.3</v>
      </c>
      <c r="C30" s="293">
        <f t="shared" si="3"/>
        <v>0.48655957436203612</v>
      </c>
      <c r="D30" s="293">
        <f t="shared" si="1"/>
        <v>0.57169865418811017</v>
      </c>
      <c r="E30" s="293">
        <f t="shared" si="1"/>
        <v>0.623398470458152</v>
      </c>
      <c r="F30" s="293">
        <f t="shared" si="1"/>
        <v>0.65916201517915607</v>
      </c>
      <c r="G30" s="293">
        <f t="shared" si="1"/>
        <v>0.68584682100718641</v>
      </c>
      <c r="H30" s="293">
        <f t="shared" si="1"/>
        <v>0.70677184745791233</v>
      </c>
      <c r="I30" s="293">
        <f t="shared" si="1"/>
        <v>0.72376792910875043</v>
      </c>
      <c r="J30" s="293">
        <f t="shared" si="1"/>
        <v>0.73793993882246278</v>
      </c>
      <c r="K30" s="293">
        <f t="shared" si="1"/>
        <v>0.75</v>
      </c>
      <c r="L30" s="294">
        <f t="shared" si="1"/>
        <v>0.76043082513199978</v>
      </c>
      <c r="M30" s="96">
        <v>0.3</v>
      </c>
      <c r="N30" s="99">
        <v>2010</v>
      </c>
      <c r="O30" s="102">
        <v>0.75</v>
      </c>
    </row>
    <row r="31" spans="1:15" x14ac:dyDescent="0.2">
      <c r="A31" s="51" t="s">
        <v>68</v>
      </c>
      <c r="B31" s="292">
        <f t="shared" si="2"/>
        <v>0.1</v>
      </c>
      <c r="C31" s="293">
        <f t="shared" si="3"/>
        <v>0.20341200240838186</v>
      </c>
      <c r="D31" s="293">
        <f t="shared" si="1"/>
        <v>0.2583045292097168</v>
      </c>
      <c r="E31" s="293">
        <f t="shared" si="1"/>
        <v>0.2949417356588625</v>
      </c>
      <c r="F31" s="293">
        <f t="shared" si="1"/>
        <v>0.3221087919569201</v>
      </c>
      <c r="G31" s="293">
        <f t="shared" si="1"/>
        <v>0.34352698900043988</v>
      </c>
      <c r="H31" s="293">
        <f t="shared" si="1"/>
        <v>0.36110699747582953</v>
      </c>
      <c r="I31" s="293">
        <f t="shared" si="1"/>
        <v>0.37595449891452382</v>
      </c>
      <c r="J31" s="293">
        <f t="shared" si="1"/>
        <v>0.38876425401020032</v>
      </c>
      <c r="K31" s="293">
        <f t="shared" si="1"/>
        <v>0.4</v>
      </c>
      <c r="L31" s="294">
        <f t="shared" si="1"/>
        <v>0.40998594086774443</v>
      </c>
      <c r="M31" s="96">
        <v>0.1</v>
      </c>
      <c r="N31" s="99">
        <v>2010</v>
      </c>
      <c r="O31" s="102">
        <v>0.4</v>
      </c>
    </row>
    <row r="32" spans="1:15" x14ac:dyDescent="0.2">
      <c r="A32" s="51" t="s">
        <v>69</v>
      </c>
      <c r="B32" s="292">
        <f t="shared" si="2"/>
        <v>0.2</v>
      </c>
      <c r="C32" s="293">
        <f t="shared" si="3"/>
        <v>0.57220784888401177</v>
      </c>
      <c r="D32" s="293">
        <f t="shared" si="1"/>
        <v>0.70337581410709937</v>
      </c>
      <c r="E32" s="293">
        <f t="shared" si="1"/>
        <v>0.77124234430444438</v>
      </c>
      <c r="F32" s="293">
        <f t="shared" si="1"/>
        <v>0.81299329641438556</v>
      </c>
      <c r="G32" s="293">
        <f t="shared" si="1"/>
        <v>0.84138312680480909</v>
      </c>
      <c r="H32" s="293">
        <f t="shared" si="1"/>
        <v>0.86199640211192352</v>
      </c>
      <c r="I32" s="293">
        <f t="shared" si="1"/>
        <v>0.87767408798218449</v>
      </c>
      <c r="J32" s="293">
        <f t="shared" si="1"/>
        <v>0.89001761542921742</v>
      </c>
      <c r="K32" s="293">
        <f t="shared" si="1"/>
        <v>0.9</v>
      </c>
      <c r="L32" s="294">
        <f t="shared" si="1"/>
        <v>0.90824733645757971</v>
      </c>
      <c r="M32" s="96">
        <v>0.2</v>
      </c>
      <c r="N32" s="99">
        <v>2010</v>
      </c>
      <c r="O32" s="102">
        <v>0.9</v>
      </c>
    </row>
    <row r="33" spans="1:15" x14ac:dyDescent="0.2">
      <c r="A33" s="51" t="s">
        <v>70</v>
      </c>
      <c r="B33" s="292">
        <f t="shared" si="2"/>
        <v>0.01</v>
      </c>
      <c r="C33" s="293">
        <f t="shared" si="3"/>
        <v>6.0000000000000164E-2</v>
      </c>
      <c r="D33" s="293">
        <f t="shared" si="1"/>
        <v>8.8069159908413019E-2</v>
      </c>
      <c r="E33" s="293">
        <f t="shared" si="1"/>
        <v>0.10747474747474772</v>
      </c>
      <c r="F33" s="293">
        <f t="shared" si="1"/>
        <v>0.12224205897223395</v>
      </c>
      <c r="G33" s="293">
        <f t="shared" si="1"/>
        <v>0.13412627304435165</v>
      </c>
      <c r="H33" s="293">
        <f t="shared" si="1"/>
        <v>0.14404861288719228</v>
      </c>
      <c r="I33" s="293">
        <f t="shared" si="1"/>
        <v>0.15255178043056861</v>
      </c>
      <c r="J33" s="293">
        <f t="shared" si="1"/>
        <v>0.1599819625150023</v>
      </c>
      <c r="K33" s="293">
        <f t="shared" si="1"/>
        <v>0.16657326811505058</v>
      </c>
      <c r="L33" s="294">
        <f t="shared" si="1"/>
        <v>0.17249126364857981</v>
      </c>
      <c r="M33" s="96">
        <v>0.01</v>
      </c>
      <c r="N33" s="99">
        <v>2002</v>
      </c>
      <c r="O33" s="102">
        <v>0.06</v>
      </c>
    </row>
    <row r="34" spans="1:15" x14ac:dyDescent="0.2">
      <c r="A34" s="51" t="s">
        <v>71</v>
      </c>
      <c r="B34" s="292">
        <f t="shared" si="2"/>
        <v>0.1</v>
      </c>
      <c r="C34" s="293">
        <f t="shared" si="3"/>
        <v>0.20341200240838186</v>
      </c>
      <c r="D34" s="293">
        <f t="shared" si="1"/>
        <v>0.2583045292097168</v>
      </c>
      <c r="E34" s="293">
        <f t="shared" si="1"/>
        <v>0.2949417356588625</v>
      </c>
      <c r="F34" s="293">
        <f t="shared" si="1"/>
        <v>0.3221087919569201</v>
      </c>
      <c r="G34" s="293">
        <f t="shared" si="1"/>
        <v>0.34352698900043988</v>
      </c>
      <c r="H34" s="293">
        <f t="shared" si="1"/>
        <v>0.36110699747582953</v>
      </c>
      <c r="I34" s="293">
        <f t="shared" si="1"/>
        <v>0.37595449891452382</v>
      </c>
      <c r="J34" s="293">
        <f t="shared" si="1"/>
        <v>0.38876425401020032</v>
      </c>
      <c r="K34" s="293">
        <f t="shared" si="1"/>
        <v>0.4</v>
      </c>
      <c r="L34" s="294">
        <f t="shared" si="1"/>
        <v>0.40998594086774443</v>
      </c>
      <c r="M34" s="96">
        <v>0.1</v>
      </c>
      <c r="N34" s="99">
        <v>2010</v>
      </c>
      <c r="O34" s="102">
        <v>0.4</v>
      </c>
    </row>
    <row r="35" spans="1:15" x14ac:dyDescent="0.2">
      <c r="A35" s="71" t="s">
        <v>119</v>
      </c>
      <c r="B35" s="292">
        <f t="shared" si="2"/>
        <v>0.1</v>
      </c>
      <c r="C35" s="293">
        <f t="shared" si="3"/>
        <v>0.42772345141237611</v>
      </c>
      <c r="D35" s="293">
        <f t="shared" si="1"/>
        <v>0.56088230786054116</v>
      </c>
      <c r="E35" s="293">
        <f t="shared" si="1"/>
        <v>0.63611061326293006</v>
      </c>
      <c r="F35" s="293">
        <f t="shared" si="1"/>
        <v>0.68546675476351537</v>
      </c>
      <c r="G35" s="293">
        <f t="shared" si="1"/>
        <v>0.72078138079851972</v>
      </c>
      <c r="H35" s="293">
        <f t="shared" si="1"/>
        <v>0.74752760821326725</v>
      </c>
      <c r="I35" s="293">
        <f t="shared" si="1"/>
        <v>0.76861626410049166</v>
      </c>
      <c r="J35" s="293">
        <f t="shared" si="1"/>
        <v>0.78575072494457276</v>
      </c>
      <c r="K35" s="293">
        <f t="shared" si="1"/>
        <v>0.8</v>
      </c>
      <c r="L35" s="294">
        <f t="shared" si="1"/>
        <v>0.81207187715927986</v>
      </c>
      <c r="M35" s="96">
        <v>0.1</v>
      </c>
      <c r="N35" s="99">
        <v>2010</v>
      </c>
      <c r="O35" s="102">
        <v>0.8</v>
      </c>
    </row>
    <row r="36" spans="1:15" x14ac:dyDescent="0.2">
      <c r="A36" s="71" t="s">
        <v>120</v>
      </c>
      <c r="B36" s="292">
        <f t="shared" si="2"/>
        <v>1E-3</v>
      </c>
      <c r="C36" s="293">
        <f t="shared" si="3"/>
        <v>0.11268803295843388</v>
      </c>
      <c r="D36" s="293">
        <f t="shared" si="1"/>
        <v>0.17213958428291776</v>
      </c>
      <c r="E36" s="293">
        <f t="shared" si="1"/>
        <v>0.21188936250733414</v>
      </c>
      <c r="F36" s="293">
        <f t="shared" si="1"/>
        <v>0.24140253752766527</v>
      </c>
      <c r="G36" s="293">
        <f t="shared" si="1"/>
        <v>0.26469424033456168</v>
      </c>
      <c r="H36" s="293">
        <f t="shared" si="1"/>
        <v>0.28382827421868362</v>
      </c>
      <c r="I36" s="293">
        <f t="shared" si="1"/>
        <v>0.30000000000000004</v>
      </c>
      <c r="J36" s="293">
        <f t="shared" si="1"/>
        <v>0.31396109318192167</v>
      </c>
      <c r="K36" s="293">
        <f t="shared" si="1"/>
        <v>0.32621360698792012</v>
      </c>
      <c r="L36" s="294">
        <f t="shared" si="1"/>
        <v>0.33710873430076216</v>
      </c>
      <c r="M36" s="96">
        <v>1E-3</v>
      </c>
      <c r="N36" s="99">
        <v>2008</v>
      </c>
      <c r="O36" s="102">
        <v>0.3</v>
      </c>
    </row>
    <row r="37" spans="1:15" ht="13.5" thickBot="1" x14ac:dyDescent="0.25">
      <c r="A37" s="52" t="s">
        <v>113</v>
      </c>
      <c r="B37" s="295">
        <f t="shared" si="2"/>
        <v>0.04</v>
      </c>
      <c r="C37" s="296">
        <f t="shared" si="3"/>
        <v>0.24105336155958901</v>
      </c>
      <c r="D37" s="296">
        <f t="shared" si="1"/>
        <v>0.3385302714470354</v>
      </c>
      <c r="E37" s="296">
        <f t="shared" si="1"/>
        <v>0.4</v>
      </c>
      <c r="F37" s="296">
        <f t="shared" si="1"/>
        <v>0.4437176613221353</v>
      </c>
      <c r="G37" s="296">
        <f t="shared" si="1"/>
        <v>0.47706226362982951</v>
      </c>
      <c r="H37" s="296">
        <f t="shared" si="1"/>
        <v>0.5036904705045675</v>
      </c>
      <c r="I37" s="296">
        <f t="shared" si="1"/>
        <v>0.52565835097474323</v>
      </c>
      <c r="J37" s="296">
        <f t="shared" si="1"/>
        <v>0.54422687313340345</v>
      </c>
      <c r="K37" s="296">
        <f t="shared" si="1"/>
        <v>0.56022019691319214</v>
      </c>
      <c r="L37" s="297">
        <f t="shared" si="1"/>
        <v>0.5742039070977466</v>
      </c>
      <c r="M37" s="97">
        <v>0.04</v>
      </c>
      <c r="N37" s="100">
        <v>2004</v>
      </c>
      <c r="O37" s="103">
        <v>0.4</v>
      </c>
    </row>
    <row r="39" spans="1:15" x14ac:dyDescent="0.2">
      <c r="A39" s="8" t="s">
        <v>243</v>
      </c>
    </row>
    <row r="40" spans="1:15" ht="15" customHeight="1" thickBot="1" x14ac:dyDescent="0.25"/>
    <row r="41" spans="1:15" ht="25.5" customHeight="1" thickBot="1" x14ac:dyDescent="0.25">
      <c r="B41" s="686" t="s">
        <v>115</v>
      </c>
      <c r="C41" s="687"/>
      <c r="D41" s="687"/>
      <c r="E41" s="687"/>
      <c r="F41" s="687"/>
      <c r="G41" s="687"/>
      <c r="H41" s="687"/>
      <c r="I41" s="687"/>
      <c r="J41" s="687"/>
      <c r="K41" s="687"/>
      <c r="L41" s="688"/>
      <c r="M41" s="684" t="s">
        <v>141</v>
      </c>
      <c r="N41" s="684" t="s">
        <v>140</v>
      </c>
      <c r="O41" s="684" t="s">
        <v>139</v>
      </c>
    </row>
    <row r="42" spans="1:15" ht="13.5" thickBot="1" x14ac:dyDescent="0.25">
      <c r="A42" s="9" t="s">
        <v>109</v>
      </c>
      <c r="B42" s="67">
        <v>2001</v>
      </c>
      <c r="C42" s="68">
        <v>2002</v>
      </c>
      <c r="D42" s="68">
        <v>2003</v>
      </c>
      <c r="E42" s="68">
        <v>2004</v>
      </c>
      <c r="F42" s="68">
        <v>2005</v>
      </c>
      <c r="G42" s="68">
        <v>2006</v>
      </c>
      <c r="H42" s="68">
        <v>2007</v>
      </c>
      <c r="I42" s="68">
        <v>2008</v>
      </c>
      <c r="J42" s="68">
        <v>2009</v>
      </c>
      <c r="K42" s="68">
        <v>2010</v>
      </c>
      <c r="L42" s="69">
        <v>2011</v>
      </c>
      <c r="M42" s="685"/>
      <c r="N42" s="685"/>
      <c r="O42" s="685"/>
    </row>
    <row r="43" spans="1:15" x14ac:dyDescent="0.2">
      <c r="A43" s="50" t="s">
        <v>64</v>
      </c>
      <c r="B43" s="332">
        <f>+M43</f>
        <v>0.4</v>
      </c>
      <c r="C43" s="104">
        <f>+(1-(1-$M43)/((C$25-2000)^(LN((1-$M43)/(1-$O43))/LN(($N43-2000)))))</f>
        <v>0.7</v>
      </c>
      <c r="D43" s="104">
        <f t="shared" ref="D43:L54" si="4">+(1-(1-$M43)/((D$25-2000)^(LN((1-$M43)/(1-$O43))/LN(($N43-2000)))))</f>
        <v>0.8</v>
      </c>
      <c r="E43" s="104">
        <f t="shared" si="4"/>
        <v>0.85</v>
      </c>
      <c r="F43" s="104">
        <f t="shared" si="4"/>
        <v>0.88</v>
      </c>
      <c r="G43" s="104">
        <f t="shared" si="4"/>
        <v>0.9</v>
      </c>
      <c r="H43" s="104">
        <f t="shared" si="4"/>
        <v>0.91428571428571426</v>
      </c>
      <c r="I43" s="104">
        <f t="shared" si="4"/>
        <v>0.92499999999999993</v>
      </c>
      <c r="J43" s="104">
        <f t="shared" si="4"/>
        <v>0.93333333333333335</v>
      </c>
      <c r="K43" s="104">
        <f t="shared" si="4"/>
        <v>0.94</v>
      </c>
      <c r="L43" s="105">
        <f t="shared" si="4"/>
        <v>0.94545454545454544</v>
      </c>
      <c r="M43" s="73">
        <v>0.4</v>
      </c>
      <c r="N43" s="98">
        <v>2004</v>
      </c>
      <c r="O43" s="101">
        <v>0.85</v>
      </c>
    </row>
    <row r="44" spans="1:15" x14ac:dyDescent="0.2">
      <c r="A44" s="51" t="s">
        <v>65</v>
      </c>
      <c r="B44" s="106">
        <f t="shared" ref="B44:B54" si="5">+M44</f>
        <v>0.15</v>
      </c>
      <c r="C44" s="107">
        <f>+(1-(1-$M44)/((C$25-2000)^(LN((1-$M44)/(1-$O44))/LN(($N44-2000)))))</f>
        <v>0.28585715714571502</v>
      </c>
      <c r="D44" s="107">
        <f t="shared" si="4"/>
        <v>0.35502611674289763</v>
      </c>
      <c r="E44" s="107">
        <f t="shared" si="4"/>
        <v>0.4</v>
      </c>
      <c r="F44" s="107">
        <f t="shared" si="4"/>
        <v>0.43271331118519485</v>
      </c>
      <c r="G44" s="107">
        <f t="shared" si="4"/>
        <v>0.4581135499341239</v>
      </c>
      <c r="H44" s="107">
        <f t="shared" si="4"/>
        <v>0.47869979072899538</v>
      </c>
      <c r="I44" s="107">
        <f t="shared" si="4"/>
        <v>0.49589916974991655</v>
      </c>
      <c r="J44" s="107">
        <f t="shared" si="4"/>
        <v>0.51059845872500442</v>
      </c>
      <c r="K44" s="107">
        <f t="shared" si="4"/>
        <v>0.52338384863106002</v>
      </c>
      <c r="L44" s="108">
        <f t="shared" si="4"/>
        <v>0.53466165999606141</v>
      </c>
      <c r="M44" s="73">
        <v>0.15</v>
      </c>
      <c r="N44" s="99">
        <v>2004</v>
      </c>
      <c r="O44" s="102">
        <v>0.4</v>
      </c>
    </row>
    <row r="45" spans="1:15" x14ac:dyDescent="0.2">
      <c r="A45" s="51" t="s">
        <v>66</v>
      </c>
      <c r="B45" s="106">
        <f t="shared" si="5"/>
        <v>0.6</v>
      </c>
      <c r="C45" s="107">
        <f t="shared" ref="C45:C54" si="6">+(1-(1-$M45)/((C$25-2000)^(LN((1-$M45)/(1-$O45))/LN(($N45-2000)))))</f>
        <v>0.82106425959639462</v>
      </c>
      <c r="D45" s="107">
        <f t="shared" si="4"/>
        <v>0.88822803116421434</v>
      </c>
      <c r="E45" s="107">
        <f t="shared" si="4"/>
        <v>0.91995500201553393</v>
      </c>
      <c r="F45" s="107">
        <f t="shared" si="4"/>
        <v>0.93821764390477425</v>
      </c>
      <c r="G45" s="107">
        <f t="shared" si="4"/>
        <v>0.95</v>
      </c>
      <c r="H45" s="107">
        <f t="shared" si="4"/>
        <v>0.95819056065267016</v>
      </c>
      <c r="I45" s="107">
        <f t="shared" si="4"/>
        <v>0.96419272255011113</v>
      </c>
      <c r="J45" s="107">
        <f t="shared" si="4"/>
        <v>0.96876756745643033</v>
      </c>
      <c r="K45" s="107">
        <f t="shared" si="4"/>
        <v>0.97236232092055397</v>
      </c>
      <c r="L45" s="108">
        <f t="shared" si="4"/>
        <v>0.97525639692730248</v>
      </c>
      <c r="M45" s="73">
        <v>0.6</v>
      </c>
      <c r="N45" s="99">
        <v>2006</v>
      </c>
      <c r="O45" s="102">
        <v>0.95</v>
      </c>
    </row>
    <row r="46" spans="1:15" x14ac:dyDescent="0.2">
      <c r="A46" s="51" t="s">
        <v>112</v>
      </c>
      <c r="B46" s="106">
        <f t="shared" si="5"/>
        <v>0.2</v>
      </c>
      <c r="C46" s="107">
        <f t="shared" si="6"/>
        <v>0.72630126418563012</v>
      </c>
      <c r="D46" s="107">
        <f t="shared" si="4"/>
        <v>0.85385391028210988</v>
      </c>
      <c r="E46" s="107">
        <f t="shared" si="4"/>
        <v>0.90636125251701971</v>
      </c>
      <c r="F46" s="107">
        <f t="shared" si="4"/>
        <v>0.93370268294117698</v>
      </c>
      <c r="G46" s="107">
        <f t="shared" si="4"/>
        <v>0.95</v>
      </c>
      <c r="H46" s="107">
        <f t="shared" si="4"/>
        <v>0.96061092425454375</v>
      </c>
      <c r="I46" s="107">
        <f t="shared" si="4"/>
        <v>0.96796399148833412</v>
      </c>
      <c r="J46" s="107">
        <f t="shared" si="4"/>
        <v>0.97330165057521301</v>
      </c>
      <c r="K46" s="107">
        <f t="shared" si="4"/>
        <v>0.97731813516639454</v>
      </c>
      <c r="L46" s="108">
        <f t="shared" si="4"/>
        <v>0.98042835849126497</v>
      </c>
      <c r="M46" s="73">
        <v>0.2</v>
      </c>
      <c r="N46" s="99">
        <v>2006</v>
      </c>
      <c r="O46" s="102">
        <v>0.95</v>
      </c>
    </row>
    <row r="47" spans="1:15" x14ac:dyDescent="0.2">
      <c r="A47" s="51" t="s">
        <v>67</v>
      </c>
      <c r="B47" s="106">
        <f t="shared" si="5"/>
        <v>0.55000000000000004</v>
      </c>
      <c r="C47" s="107">
        <f t="shared" si="6"/>
        <v>0.6645898033750316</v>
      </c>
      <c r="D47" s="107">
        <f t="shared" si="4"/>
        <v>0.71756804011370745</v>
      </c>
      <c r="E47" s="107">
        <f t="shared" si="4"/>
        <v>0.75</v>
      </c>
      <c r="F47" s="107">
        <f t="shared" si="4"/>
        <v>0.77256865849794698</v>
      </c>
      <c r="G47" s="107">
        <f t="shared" si="4"/>
        <v>0.78948764622525192</v>
      </c>
      <c r="H47" s="107">
        <f t="shared" si="4"/>
        <v>0.80280665594388601</v>
      </c>
      <c r="I47" s="107">
        <f t="shared" si="4"/>
        <v>0.81366100187501755</v>
      </c>
      <c r="J47" s="107">
        <f t="shared" si="4"/>
        <v>0.82273819563286132</v>
      </c>
      <c r="K47" s="107">
        <f t="shared" si="4"/>
        <v>0.83048268672914682</v>
      </c>
      <c r="L47" s="108">
        <f t="shared" si="4"/>
        <v>0.83719654169923874</v>
      </c>
      <c r="M47" s="73">
        <v>0.55000000000000004</v>
      </c>
      <c r="N47" s="99">
        <v>2004</v>
      </c>
      <c r="O47" s="102">
        <v>0.75</v>
      </c>
    </row>
    <row r="48" spans="1:15" x14ac:dyDescent="0.2">
      <c r="A48" s="51" t="s">
        <v>68</v>
      </c>
      <c r="B48" s="106">
        <f t="shared" si="5"/>
        <v>0.15</v>
      </c>
      <c r="C48" s="107">
        <f t="shared" si="6"/>
        <v>0.27548582312988468</v>
      </c>
      <c r="D48" s="107">
        <f t="shared" si="4"/>
        <v>0.34011714123517356</v>
      </c>
      <c r="E48" s="107">
        <f t="shared" si="4"/>
        <v>0.3824461264873168</v>
      </c>
      <c r="F48" s="107">
        <f t="shared" si="4"/>
        <v>0.41340002229357287</v>
      </c>
      <c r="G48" s="107">
        <f t="shared" si="4"/>
        <v>0.43753589853094499</v>
      </c>
      <c r="H48" s="107">
        <f t="shared" si="4"/>
        <v>0.45716605951411027</v>
      </c>
      <c r="I48" s="107">
        <f t="shared" si="4"/>
        <v>0.4736158395988318</v>
      </c>
      <c r="J48" s="107">
        <f t="shared" si="4"/>
        <v>0.48771130906865912</v>
      </c>
      <c r="K48" s="107">
        <f t="shared" si="4"/>
        <v>0.5</v>
      </c>
      <c r="L48" s="108">
        <f t="shared" si="4"/>
        <v>0.51086233650753654</v>
      </c>
      <c r="M48" s="73">
        <v>0.15</v>
      </c>
      <c r="N48" s="99">
        <v>2010</v>
      </c>
      <c r="O48" s="102">
        <v>0.5</v>
      </c>
    </row>
    <row r="49" spans="1:15" x14ac:dyDescent="0.2">
      <c r="A49" s="51" t="s">
        <v>69</v>
      </c>
      <c r="B49" s="106">
        <f t="shared" si="5"/>
        <v>0.2</v>
      </c>
      <c r="C49" s="107">
        <f t="shared" si="6"/>
        <v>0.57220784888401177</v>
      </c>
      <c r="D49" s="107">
        <f t="shared" si="4"/>
        <v>0.70337581410709937</v>
      </c>
      <c r="E49" s="107">
        <f t="shared" si="4"/>
        <v>0.77124234430444438</v>
      </c>
      <c r="F49" s="107">
        <f t="shared" si="4"/>
        <v>0.81299329641438556</v>
      </c>
      <c r="G49" s="107">
        <f t="shared" si="4"/>
        <v>0.84138312680480909</v>
      </c>
      <c r="H49" s="107">
        <f t="shared" si="4"/>
        <v>0.86199640211192352</v>
      </c>
      <c r="I49" s="107">
        <f t="shared" si="4"/>
        <v>0.87767408798218449</v>
      </c>
      <c r="J49" s="107">
        <f t="shared" si="4"/>
        <v>0.89001761542921742</v>
      </c>
      <c r="K49" s="107">
        <f t="shared" si="4"/>
        <v>0.9</v>
      </c>
      <c r="L49" s="108">
        <f t="shared" si="4"/>
        <v>0.90824733645757971</v>
      </c>
      <c r="M49" s="73">
        <v>0.2</v>
      </c>
      <c r="N49" s="99">
        <v>2010</v>
      </c>
      <c r="O49" s="102">
        <v>0.9</v>
      </c>
    </row>
    <row r="50" spans="1:15" x14ac:dyDescent="0.2">
      <c r="A50" s="51" t="s">
        <v>70</v>
      </c>
      <c r="B50" s="106">
        <f t="shared" si="5"/>
        <v>0.01</v>
      </c>
      <c r="C50" s="107">
        <f t="shared" si="6"/>
        <v>6.0000000000000164E-2</v>
      </c>
      <c r="D50" s="107">
        <f t="shared" si="4"/>
        <v>8.8069159908413019E-2</v>
      </c>
      <c r="E50" s="107">
        <f t="shared" si="4"/>
        <v>0.10747474747474772</v>
      </c>
      <c r="F50" s="107">
        <f t="shared" si="4"/>
        <v>0.12224205897223395</v>
      </c>
      <c r="G50" s="107">
        <f t="shared" si="4"/>
        <v>0.13412627304435165</v>
      </c>
      <c r="H50" s="107">
        <f t="shared" si="4"/>
        <v>0.14404861288719228</v>
      </c>
      <c r="I50" s="107">
        <f t="shared" si="4"/>
        <v>0.15255178043056861</v>
      </c>
      <c r="J50" s="107">
        <f t="shared" si="4"/>
        <v>0.1599819625150023</v>
      </c>
      <c r="K50" s="107">
        <f t="shared" si="4"/>
        <v>0.16657326811505058</v>
      </c>
      <c r="L50" s="108">
        <f t="shared" si="4"/>
        <v>0.17249126364857981</v>
      </c>
      <c r="M50" s="73">
        <v>0.01</v>
      </c>
      <c r="N50" s="99">
        <v>2002</v>
      </c>
      <c r="O50" s="102">
        <v>0.06</v>
      </c>
    </row>
    <row r="51" spans="1:15" x14ac:dyDescent="0.2">
      <c r="A51" s="51" t="s">
        <v>71</v>
      </c>
      <c r="B51" s="106">
        <f t="shared" si="5"/>
        <v>0.1</v>
      </c>
      <c r="C51" s="107">
        <f t="shared" si="6"/>
        <v>0.20341200240838186</v>
      </c>
      <c r="D51" s="107">
        <f t="shared" si="4"/>
        <v>0.2583045292097168</v>
      </c>
      <c r="E51" s="107">
        <f t="shared" si="4"/>
        <v>0.2949417356588625</v>
      </c>
      <c r="F51" s="107">
        <f t="shared" si="4"/>
        <v>0.3221087919569201</v>
      </c>
      <c r="G51" s="107">
        <f t="shared" si="4"/>
        <v>0.34352698900043988</v>
      </c>
      <c r="H51" s="107">
        <f t="shared" si="4"/>
        <v>0.36110699747582953</v>
      </c>
      <c r="I51" s="107">
        <f t="shared" si="4"/>
        <v>0.37595449891452382</v>
      </c>
      <c r="J51" s="107">
        <f t="shared" si="4"/>
        <v>0.38876425401020032</v>
      </c>
      <c r="K51" s="107">
        <f t="shared" si="4"/>
        <v>0.4</v>
      </c>
      <c r="L51" s="108">
        <f t="shared" si="4"/>
        <v>0.40998594086774443</v>
      </c>
      <c r="M51" s="73">
        <v>0.1</v>
      </c>
      <c r="N51" s="99">
        <v>2010</v>
      </c>
      <c r="O51" s="102">
        <v>0.4</v>
      </c>
    </row>
    <row r="52" spans="1:15" x14ac:dyDescent="0.2">
      <c r="A52" s="71" t="s">
        <v>119</v>
      </c>
      <c r="B52" s="106">
        <f t="shared" si="5"/>
        <v>0.2</v>
      </c>
      <c r="C52" s="107">
        <f t="shared" si="6"/>
        <v>0.47294993598987534</v>
      </c>
      <c r="D52" s="107">
        <f t="shared" si="4"/>
        <v>0.58710999627570681</v>
      </c>
      <c r="E52" s="107">
        <f t="shared" si="4"/>
        <v>0.65277278753365442</v>
      </c>
      <c r="F52" s="107">
        <f t="shared" si="4"/>
        <v>0.69642352610182701</v>
      </c>
      <c r="G52" s="107">
        <f t="shared" si="4"/>
        <v>0.72798287138496331</v>
      </c>
      <c r="H52" s="107">
        <f t="shared" si="4"/>
        <v>0.75209215603195712</v>
      </c>
      <c r="I52" s="107">
        <f t="shared" si="4"/>
        <v>0.77124234430444427</v>
      </c>
      <c r="J52" s="107">
        <f t="shared" si="4"/>
        <v>0.78690230603069145</v>
      </c>
      <c r="K52" s="107">
        <f t="shared" si="4"/>
        <v>0.8</v>
      </c>
      <c r="L52" s="108">
        <f t="shared" si="4"/>
        <v>0.8111534235620439</v>
      </c>
      <c r="M52" s="73">
        <v>0.2</v>
      </c>
      <c r="N52" s="99">
        <v>2010</v>
      </c>
      <c r="O52" s="102">
        <v>0.8</v>
      </c>
    </row>
    <row r="53" spans="1:15" x14ac:dyDescent="0.2">
      <c r="A53" s="71" t="s">
        <v>120</v>
      </c>
      <c r="B53" s="106">
        <f t="shared" si="5"/>
        <v>1E-3</v>
      </c>
      <c r="C53" s="107">
        <f t="shared" si="6"/>
        <v>0.11268803295843388</v>
      </c>
      <c r="D53" s="107">
        <f t="shared" si="4"/>
        <v>0.17213958428291776</v>
      </c>
      <c r="E53" s="107">
        <f t="shared" si="4"/>
        <v>0.21188936250733414</v>
      </c>
      <c r="F53" s="107">
        <f t="shared" si="4"/>
        <v>0.24140253752766527</v>
      </c>
      <c r="G53" s="107">
        <f t="shared" si="4"/>
        <v>0.26469424033456168</v>
      </c>
      <c r="H53" s="107">
        <f t="shared" si="4"/>
        <v>0.28382827421868362</v>
      </c>
      <c r="I53" s="107">
        <f t="shared" si="4"/>
        <v>0.30000000000000004</v>
      </c>
      <c r="J53" s="107">
        <f t="shared" si="4"/>
        <v>0.31396109318192167</v>
      </c>
      <c r="K53" s="107">
        <f t="shared" si="4"/>
        <v>0.32621360698792012</v>
      </c>
      <c r="L53" s="108">
        <f t="shared" si="4"/>
        <v>0.33710873430076216</v>
      </c>
      <c r="M53" s="73">
        <v>1E-3</v>
      </c>
      <c r="N53" s="99">
        <v>2008</v>
      </c>
      <c r="O53" s="102">
        <v>0.3</v>
      </c>
    </row>
    <row r="54" spans="1:15" ht="13.5" thickBot="1" x14ac:dyDescent="0.25">
      <c r="A54" s="52" t="s">
        <v>113</v>
      </c>
      <c r="B54" s="109">
        <f t="shared" si="5"/>
        <v>0.04</v>
      </c>
      <c r="C54" s="110">
        <f t="shared" si="6"/>
        <v>0.24105336155958901</v>
      </c>
      <c r="D54" s="110">
        <f t="shared" si="4"/>
        <v>0.3385302714470354</v>
      </c>
      <c r="E54" s="110">
        <f t="shared" si="4"/>
        <v>0.4</v>
      </c>
      <c r="F54" s="110">
        <f t="shared" si="4"/>
        <v>0.4437176613221353</v>
      </c>
      <c r="G54" s="110">
        <f t="shared" si="4"/>
        <v>0.47706226362982951</v>
      </c>
      <c r="H54" s="110">
        <f t="shared" si="4"/>
        <v>0.5036904705045675</v>
      </c>
      <c r="I54" s="110">
        <f t="shared" si="4"/>
        <v>0.52565835097474323</v>
      </c>
      <c r="J54" s="110">
        <f t="shared" si="4"/>
        <v>0.54422687313340345</v>
      </c>
      <c r="K54" s="110">
        <f t="shared" si="4"/>
        <v>0.56022019691319214</v>
      </c>
      <c r="L54" s="111">
        <f t="shared" si="4"/>
        <v>0.5742039070977466</v>
      </c>
      <c r="M54" s="74">
        <v>0.04</v>
      </c>
      <c r="N54" s="100">
        <v>2004</v>
      </c>
      <c r="O54" s="103">
        <v>0.4</v>
      </c>
    </row>
    <row r="55" spans="1:15" s="260" customFormat="1" x14ac:dyDescent="0.2">
      <c r="A55" s="115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7"/>
      <c r="N55" s="258"/>
      <c r="O55" s="259"/>
    </row>
    <row r="56" spans="1:15" x14ac:dyDescent="0.2">
      <c r="A56" s="41" t="s">
        <v>123</v>
      </c>
    </row>
    <row r="57" spans="1:15" ht="13.5" thickBot="1" x14ac:dyDescent="0.25"/>
    <row r="58" spans="1:15" ht="13.5" thickBot="1" x14ac:dyDescent="0.25">
      <c r="B58" s="686" t="s">
        <v>115</v>
      </c>
      <c r="C58" s="687"/>
      <c r="D58" s="687"/>
      <c r="E58" s="687"/>
      <c r="F58" s="687"/>
      <c r="G58" s="687"/>
      <c r="H58" s="687"/>
      <c r="I58" s="687"/>
      <c r="J58" s="687"/>
      <c r="K58" s="687"/>
      <c r="L58" s="688"/>
    </row>
    <row r="59" spans="1:15" ht="13.5" thickBot="1" x14ac:dyDescent="0.25">
      <c r="A59" s="9" t="s">
        <v>109</v>
      </c>
      <c r="B59" s="67">
        <v>2001</v>
      </c>
      <c r="C59" s="68">
        <v>2002</v>
      </c>
      <c r="D59" s="68">
        <v>2003</v>
      </c>
      <c r="E59" s="68">
        <v>2004</v>
      </c>
      <c r="F59" s="68">
        <v>2005</v>
      </c>
      <c r="G59" s="68">
        <v>2006</v>
      </c>
      <c r="H59" s="68">
        <v>2007</v>
      </c>
      <c r="I59" s="68">
        <v>2008</v>
      </c>
      <c r="J59" s="68">
        <v>2009</v>
      </c>
      <c r="K59" s="68">
        <v>2010</v>
      </c>
      <c r="L59" s="69">
        <v>2011</v>
      </c>
      <c r="M59" s="54" t="s">
        <v>116</v>
      </c>
      <c r="N59" s="54" t="s">
        <v>155</v>
      </c>
    </row>
    <row r="60" spans="1:15" x14ac:dyDescent="0.2">
      <c r="A60" s="50" t="s">
        <v>64</v>
      </c>
      <c r="B60" s="333">
        <v>0.02</v>
      </c>
      <c r="C60" s="104">
        <f t="shared" ref="C60:C69" si="7">+MIN($N60,B60*(1+$M60))</f>
        <v>2.2000000000000002E-2</v>
      </c>
      <c r="D60" s="104">
        <f t="shared" ref="D60:L60" si="8">+MIN($N60,C60*(1+$M60))</f>
        <v>2.4200000000000003E-2</v>
      </c>
      <c r="E60" s="104">
        <f t="shared" si="8"/>
        <v>2.6620000000000005E-2</v>
      </c>
      <c r="F60" s="104">
        <f t="shared" si="8"/>
        <v>2.9282000000000006E-2</v>
      </c>
      <c r="G60" s="104">
        <f t="shared" si="8"/>
        <v>3.2210200000000008E-2</v>
      </c>
      <c r="H60" s="104">
        <f t="shared" si="8"/>
        <v>3.5431220000000013E-2</v>
      </c>
      <c r="I60" s="104">
        <f t="shared" si="8"/>
        <v>3.8974342000000016E-2</v>
      </c>
      <c r="J60" s="104">
        <f t="shared" si="8"/>
        <v>4.2871776200000024E-2</v>
      </c>
      <c r="K60" s="104">
        <f t="shared" si="8"/>
        <v>4.715895382000003E-2</v>
      </c>
      <c r="L60" s="105">
        <f t="shared" si="8"/>
        <v>5.1874849202000035E-2</v>
      </c>
      <c r="M60" s="73">
        <v>0.1</v>
      </c>
      <c r="N60" s="102">
        <v>0.2</v>
      </c>
    </row>
    <row r="61" spans="1:15" x14ac:dyDescent="0.2">
      <c r="A61" s="51" t="s">
        <v>65</v>
      </c>
      <c r="B61" s="132">
        <v>0.01</v>
      </c>
      <c r="C61" s="107">
        <f t="shared" si="7"/>
        <v>1.1000000000000001E-2</v>
      </c>
      <c r="D61" s="107">
        <f t="shared" ref="D61:L61" si="9">+MIN($N61,C61*(1+$M61))</f>
        <v>1.2100000000000001E-2</v>
      </c>
      <c r="E61" s="107">
        <f t="shared" si="9"/>
        <v>1.3310000000000002E-2</v>
      </c>
      <c r="F61" s="107">
        <f t="shared" si="9"/>
        <v>1.4641000000000003E-2</v>
      </c>
      <c r="G61" s="107">
        <f t="shared" si="9"/>
        <v>1.6105100000000004E-2</v>
      </c>
      <c r="H61" s="107">
        <f t="shared" si="9"/>
        <v>1.7715610000000007E-2</v>
      </c>
      <c r="I61" s="107">
        <f t="shared" si="9"/>
        <v>1.9487171000000008E-2</v>
      </c>
      <c r="J61" s="107">
        <f t="shared" si="9"/>
        <v>2.1435888100000012E-2</v>
      </c>
      <c r="K61" s="107">
        <f t="shared" si="9"/>
        <v>2.3579476910000015E-2</v>
      </c>
      <c r="L61" s="108">
        <f t="shared" si="9"/>
        <v>2.5937424601000018E-2</v>
      </c>
      <c r="M61" s="73">
        <v>0.1</v>
      </c>
      <c r="N61" s="102">
        <v>0.3</v>
      </c>
    </row>
    <row r="62" spans="1:15" x14ac:dyDescent="0.2">
      <c r="A62" s="51" t="s">
        <v>66</v>
      </c>
      <c r="B62" s="132">
        <v>0.18</v>
      </c>
      <c r="C62" s="107">
        <f t="shared" si="7"/>
        <v>0.18089999999999998</v>
      </c>
      <c r="D62" s="107">
        <f t="shared" ref="D62:L62" si="10">+MIN($N62,C62*(1+$M62))</f>
        <v>0.18180449999999995</v>
      </c>
      <c r="E62" s="107">
        <f t="shared" si="10"/>
        <v>0.18271352249999992</v>
      </c>
      <c r="F62" s="107">
        <f t="shared" si="10"/>
        <v>0.18362709011249989</v>
      </c>
      <c r="G62" s="107">
        <f t="shared" si="10"/>
        <v>0.18454522556306238</v>
      </c>
      <c r="H62" s="107">
        <f t="shared" si="10"/>
        <v>0.18546795169087768</v>
      </c>
      <c r="I62" s="107">
        <f t="shared" si="10"/>
        <v>0.18639529144933206</v>
      </c>
      <c r="J62" s="107">
        <f t="shared" si="10"/>
        <v>0.18732726790657869</v>
      </c>
      <c r="K62" s="107">
        <f t="shared" si="10"/>
        <v>0.18826390424611156</v>
      </c>
      <c r="L62" s="108">
        <f t="shared" si="10"/>
        <v>0.18920522376734208</v>
      </c>
      <c r="M62" s="73">
        <v>5.0000000000000001E-3</v>
      </c>
      <c r="N62" s="102">
        <v>0.3</v>
      </c>
    </row>
    <row r="63" spans="1:15" x14ac:dyDescent="0.2">
      <c r="A63" s="51" t="s">
        <v>112</v>
      </c>
      <c r="B63" s="132">
        <v>0.05</v>
      </c>
      <c r="C63" s="107">
        <f t="shared" si="7"/>
        <v>5.3500000000000006E-2</v>
      </c>
      <c r="D63" s="107">
        <f t="shared" ref="D63:L63" si="11">+MIN($N63,C63*(1+$M63))</f>
        <v>5.7245000000000011E-2</v>
      </c>
      <c r="E63" s="107">
        <f t="shared" si="11"/>
        <v>6.1252150000000012E-2</v>
      </c>
      <c r="F63" s="107">
        <f t="shared" si="11"/>
        <v>6.5539800500000023E-2</v>
      </c>
      <c r="G63" s="107">
        <f t="shared" si="11"/>
        <v>7.0127586535000022E-2</v>
      </c>
      <c r="H63" s="107">
        <f t="shared" si="11"/>
        <v>7.5036517592450031E-2</v>
      </c>
      <c r="I63" s="107">
        <f t="shared" si="11"/>
        <v>8.0289073823921531E-2</v>
      </c>
      <c r="J63" s="107">
        <f t="shared" si="11"/>
        <v>8.5909308991596045E-2</v>
      </c>
      <c r="K63" s="107">
        <f t="shared" si="11"/>
        <v>9.1922960621007771E-2</v>
      </c>
      <c r="L63" s="108">
        <f t="shared" si="11"/>
        <v>9.8357567864478315E-2</v>
      </c>
      <c r="M63" s="73">
        <v>7.0000000000000007E-2</v>
      </c>
      <c r="N63" s="102">
        <v>0.4</v>
      </c>
    </row>
    <row r="64" spans="1:15" x14ac:dyDescent="0.2">
      <c r="A64" s="51" t="s">
        <v>67</v>
      </c>
      <c r="B64" s="132">
        <v>0.18</v>
      </c>
      <c r="C64" s="107">
        <f t="shared" si="7"/>
        <v>0.18179999999999999</v>
      </c>
      <c r="D64" s="107">
        <f t="shared" ref="D64:L64" si="12">+MIN($N64,C64*(1+$M64))</f>
        <v>0.183618</v>
      </c>
      <c r="E64" s="107">
        <f t="shared" si="12"/>
        <v>0.18545418</v>
      </c>
      <c r="F64" s="107">
        <f t="shared" si="12"/>
        <v>0.18730872179999999</v>
      </c>
      <c r="G64" s="107">
        <f t="shared" si="12"/>
        <v>0.189181809018</v>
      </c>
      <c r="H64" s="107">
        <f t="shared" si="12"/>
        <v>0.19107362710817999</v>
      </c>
      <c r="I64" s="107">
        <f t="shared" si="12"/>
        <v>0.19298436337926178</v>
      </c>
      <c r="J64" s="107">
        <f t="shared" si="12"/>
        <v>0.1949142070130544</v>
      </c>
      <c r="K64" s="107">
        <f t="shared" si="12"/>
        <v>0.19686334908318495</v>
      </c>
      <c r="L64" s="108">
        <f t="shared" si="12"/>
        <v>0.1988319825740168</v>
      </c>
      <c r="M64" s="73">
        <v>0.01</v>
      </c>
      <c r="N64" s="102">
        <v>0.3</v>
      </c>
    </row>
    <row r="65" spans="1:14" x14ac:dyDescent="0.2">
      <c r="A65" s="51" t="s">
        <v>68</v>
      </c>
      <c r="B65" s="53">
        <v>0.4</v>
      </c>
      <c r="C65" s="107">
        <f t="shared" si="7"/>
        <v>0.4</v>
      </c>
      <c r="D65" s="107">
        <f t="shared" ref="D65:L65" si="13">+MIN($N65,C65*(1+$M65))</f>
        <v>0.4</v>
      </c>
      <c r="E65" s="107">
        <f t="shared" si="13"/>
        <v>0.4</v>
      </c>
      <c r="F65" s="107">
        <f t="shared" si="13"/>
        <v>0.4</v>
      </c>
      <c r="G65" s="107">
        <f t="shared" si="13"/>
        <v>0.4</v>
      </c>
      <c r="H65" s="107">
        <f t="shared" si="13"/>
        <v>0.4</v>
      </c>
      <c r="I65" s="107">
        <f t="shared" si="13"/>
        <v>0.4</v>
      </c>
      <c r="J65" s="107">
        <f t="shared" si="13"/>
        <v>0.4</v>
      </c>
      <c r="K65" s="107">
        <f t="shared" si="13"/>
        <v>0.4</v>
      </c>
      <c r="L65" s="108">
        <f t="shared" si="13"/>
        <v>0.4</v>
      </c>
      <c r="M65" s="73">
        <v>0</v>
      </c>
      <c r="N65" s="102">
        <v>0.9</v>
      </c>
    </row>
    <row r="66" spans="1:14" x14ac:dyDescent="0.2">
      <c r="A66" s="51" t="s">
        <v>69</v>
      </c>
      <c r="B66" s="53">
        <v>0.03</v>
      </c>
      <c r="C66" s="107">
        <f t="shared" si="7"/>
        <v>3.4499999999999996E-2</v>
      </c>
      <c r="D66" s="107">
        <f t="shared" ref="D66:L66" si="14">+MIN($N66,C66*(1+$M66))</f>
        <v>3.9674999999999995E-2</v>
      </c>
      <c r="E66" s="107">
        <f t="shared" si="14"/>
        <v>4.5626249999999993E-2</v>
      </c>
      <c r="F66" s="107">
        <f t="shared" si="14"/>
        <v>5.2470187499999987E-2</v>
      </c>
      <c r="G66" s="107">
        <f t="shared" si="14"/>
        <v>6.0340715624999978E-2</v>
      </c>
      <c r="H66" s="107">
        <f t="shared" si="14"/>
        <v>6.9391822968749975E-2</v>
      </c>
      <c r="I66" s="107">
        <f t="shared" si="14"/>
        <v>7.9800596414062466E-2</v>
      </c>
      <c r="J66" s="107">
        <f t="shared" si="14"/>
        <v>9.1770685876171834E-2</v>
      </c>
      <c r="K66" s="107">
        <f t="shared" si="14"/>
        <v>0.1055362887575976</v>
      </c>
      <c r="L66" s="108">
        <f t="shared" si="14"/>
        <v>0.12136673207123723</v>
      </c>
      <c r="M66" s="73">
        <v>0.15</v>
      </c>
      <c r="N66" s="102">
        <v>0.5</v>
      </c>
    </row>
    <row r="67" spans="1:14" x14ac:dyDescent="0.2">
      <c r="A67" s="51" t="s">
        <v>70</v>
      </c>
      <c r="B67" s="53">
        <v>0.02</v>
      </c>
      <c r="C67" s="107">
        <f t="shared" si="7"/>
        <v>2.0800000000000003E-2</v>
      </c>
      <c r="D67" s="107">
        <f t="shared" ref="D67:L67" si="15">+MIN($N67,C67*(1+$M67))</f>
        <v>2.1632000000000002E-2</v>
      </c>
      <c r="E67" s="107">
        <f t="shared" si="15"/>
        <v>2.2497280000000001E-2</v>
      </c>
      <c r="F67" s="107">
        <f t="shared" si="15"/>
        <v>2.3397171200000004E-2</v>
      </c>
      <c r="G67" s="107">
        <f t="shared" si="15"/>
        <v>2.4333058048000004E-2</v>
      </c>
      <c r="H67" s="107">
        <f t="shared" si="15"/>
        <v>2.5306380369920004E-2</v>
      </c>
      <c r="I67" s="107">
        <f t="shared" si="15"/>
        <v>2.6318635584716806E-2</v>
      </c>
      <c r="J67" s="107">
        <f t="shared" si="15"/>
        <v>2.7371381008105478E-2</v>
      </c>
      <c r="K67" s="107">
        <f t="shared" si="15"/>
        <v>2.8466236248429699E-2</v>
      </c>
      <c r="L67" s="108">
        <f t="shared" si="15"/>
        <v>2.960488569836689E-2</v>
      </c>
      <c r="M67" s="73">
        <v>0.04</v>
      </c>
      <c r="N67" s="102">
        <v>0.15</v>
      </c>
    </row>
    <row r="68" spans="1:14" x14ac:dyDescent="0.2">
      <c r="A68" s="51" t="s">
        <v>71</v>
      </c>
      <c r="B68" s="53">
        <v>0.05</v>
      </c>
      <c r="C68" s="107">
        <f t="shared" si="7"/>
        <v>5.2500000000000005E-2</v>
      </c>
      <c r="D68" s="107">
        <f t="shared" ref="D68:L68" si="16">+MIN($N68,C68*(1+$M68))</f>
        <v>5.5125000000000007E-2</v>
      </c>
      <c r="E68" s="107">
        <f t="shared" si="16"/>
        <v>5.7881250000000009E-2</v>
      </c>
      <c r="F68" s="107">
        <f t="shared" si="16"/>
        <v>6.0775312500000012E-2</v>
      </c>
      <c r="G68" s="107">
        <f t="shared" si="16"/>
        <v>6.3814078125000021E-2</v>
      </c>
      <c r="H68" s="107">
        <f t="shared" si="16"/>
        <v>6.7004782031250029E-2</v>
      </c>
      <c r="I68" s="107">
        <f t="shared" si="16"/>
        <v>7.0355021132812529E-2</v>
      </c>
      <c r="J68" s="107">
        <f t="shared" si="16"/>
        <v>7.3872772189453165E-2</v>
      </c>
      <c r="K68" s="107">
        <f t="shared" si="16"/>
        <v>7.7566410798925831E-2</v>
      </c>
      <c r="L68" s="108">
        <f t="shared" si="16"/>
        <v>8.1444731338872131E-2</v>
      </c>
      <c r="M68" s="73">
        <v>0.05</v>
      </c>
      <c r="N68" s="102">
        <v>0.3</v>
      </c>
    </row>
    <row r="69" spans="1:14" x14ac:dyDescent="0.2">
      <c r="A69" s="71" t="s">
        <v>119</v>
      </c>
      <c r="B69" s="53">
        <v>0.01</v>
      </c>
      <c r="C69" s="107">
        <f t="shared" si="7"/>
        <v>1.1000000000000001E-2</v>
      </c>
      <c r="D69" s="107">
        <f t="shared" ref="D69:L69" si="17">+MIN($N69,C69*(1+$M69))</f>
        <v>1.2100000000000001E-2</v>
      </c>
      <c r="E69" s="107">
        <f t="shared" si="17"/>
        <v>1.3310000000000002E-2</v>
      </c>
      <c r="F69" s="107">
        <f t="shared" si="17"/>
        <v>1.4641000000000003E-2</v>
      </c>
      <c r="G69" s="107">
        <f t="shared" si="17"/>
        <v>1.6105100000000004E-2</v>
      </c>
      <c r="H69" s="107">
        <f t="shared" si="17"/>
        <v>1.7715610000000007E-2</v>
      </c>
      <c r="I69" s="107">
        <f t="shared" si="17"/>
        <v>1.9487171000000008E-2</v>
      </c>
      <c r="J69" s="107">
        <f t="shared" si="17"/>
        <v>2.1435888100000012E-2</v>
      </c>
      <c r="K69" s="107">
        <f t="shared" si="17"/>
        <v>2.3579476910000015E-2</v>
      </c>
      <c r="L69" s="108">
        <f t="shared" si="17"/>
        <v>2.5937424601000018E-2</v>
      </c>
      <c r="M69" s="73">
        <v>0.1</v>
      </c>
      <c r="N69" s="102">
        <v>0.3</v>
      </c>
    </row>
    <row r="70" spans="1:14" x14ac:dyDescent="0.2">
      <c r="A70" s="71" t="s">
        <v>120</v>
      </c>
      <c r="B70" s="53">
        <v>0.2</v>
      </c>
      <c r="C70" s="107">
        <f t="shared" ref="C70:L70" si="18">+MIN($N70,B70*(1+$M70))</f>
        <v>0.2</v>
      </c>
      <c r="D70" s="107">
        <f t="shared" si="18"/>
        <v>0.2</v>
      </c>
      <c r="E70" s="107">
        <f t="shared" si="18"/>
        <v>0.2</v>
      </c>
      <c r="F70" s="107">
        <f t="shared" si="18"/>
        <v>0.2</v>
      </c>
      <c r="G70" s="107">
        <f t="shared" si="18"/>
        <v>0.2</v>
      </c>
      <c r="H70" s="107">
        <f t="shared" si="18"/>
        <v>0.2</v>
      </c>
      <c r="I70" s="107">
        <f t="shared" si="18"/>
        <v>0.2</v>
      </c>
      <c r="J70" s="107">
        <f t="shared" si="18"/>
        <v>0.2</v>
      </c>
      <c r="K70" s="107">
        <f t="shared" si="18"/>
        <v>0.2</v>
      </c>
      <c r="L70" s="108">
        <f t="shared" si="18"/>
        <v>0.2</v>
      </c>
      <c r="M70" s="73">
        <v>0</v>
      </c>
      <c r="N70" s="102">
        <v>0.7</v>
      </c>
    </row>
    <row r="71" spans="1:14" ht="13.5" thickBot="1" x14ac:dyDescent="0.25">
      <c r="A71" s="52" t="s">
        <v>113</v>
      </c>
      <c r="B71" s="66">
        <v>0.01</v>
      </c>
      <c r="C71" s="110">
        <f t="shared" ref="C71:L71" si="19">+MIN($N71,B71*(1+$M71))</f>
        <v>1.2E-2</v>
      </c>
      <c r="D71" s="110">
        <f t="shared" si="19"/>
        <v>1.44E-2</v>
      </c>
      <c r="E71" s="110">
        <f t="shared" si="19"/>
        <v>1.728E-2</v>
      </c>
      <c r="F71" s="110">
        <f t="shared" si="19"/>
        <v>2.0736000000000001E-2</v>
      </c>
      <c r="G71" s="110">
        <f t="shared" si="19"/>
        <v>2.4883200000000001E-2</v>
      </c>
      <c r="H71" s="110">
        <f t="shared" si="19"/>
        <v>2.9859839999999999E-2</v>
      </c>
      <c r="I71" s="110">
        <f t="shared" si="19"/>
        <v>3.5831808E-2</v>
      </c>
      <c r="J71" s="110">
        <f t="shared" si="19"/>
        <v>4.2998169599999997E-2</v>
      </c>
      <c r="K71" s="110">
        <f t="shared" si="19"/>
        <v>5.1597803519999992E-2</v>
      </c>
      <c r="L71" s="111">
        <f t="shared" si="19"/>
        <v>6.1917364223999988E-2</v>
      </c>
      <c r="M71" s="74">
        <v>0.2</v>
      </c>
      <c r="N71" s="103">
        <v>0.2</v>
      </c>
    </row>
    <row r="74" spans="1:14" x14ac:dyDescent="0.2">
      <c r="A74" s="8" t="s">
        <v>460</v>
      </c>
    </row>
    <row r="75" spans="1:14" ht="13.5" thickBot="1" x14ac:dyDescent="0.25"/>
    <row r="76" spans="1:14" ht="13.5" thickBot="1" x14ac:dyDescent="0.25">
      <c r="A76" s="54" t="s">
        <v>109</v>
      </c>
      <c r="B76" s="689" t="s">
        <v>115</v>
      </c>
      <c r="C76" s="690"/>
      <c r="D76" s="690"/>
      <c r="E76" s="690"/>
      <c r="F76" s="690"/>
      <c r="G76" s="690"/>
      <c r="H76" s="690"/>
      <c r="I76" s="690"/>
      <c r="J76" s="690"/>
      <c r="K76" s="690"/>
      <c r="L76" s="691"/>
    </row>
    <row r="77" spans="1:14" ht="13.5" thickBot="1" x14ac:dyDescent="0.25">
      <c r="A77" s="9"/>
      <c r="B77" s="287">
        <v>2001</v>
      </c>
      <c r="C77" s="288">
        <v>2002</v>
      </c>
      <c r="D77" s="288">
        <v>2003</v>
      </c>
      <c r="E77" s="288">
        <v>2004</v>
      </c>
      <c r="F77" s="288">
        <v>2005</v>
      </c>
      <c r="G77" s="288">
        <v>2006</v>
      </c>
      <c r="H77" s="288">
        <v>2007</v>
      </c>
      <c r="I77" s="288">
        <v>2008</v>
      </c>
      <c r="J77" s="288">
        <v>2009</v>
      </c>
      <c r="K77" s="288">
        <v>2010</v>
      </c>
      <c r="L77" s="289">
        <v>2011</v>
      </c>
    </row>
    <row r="78" spans="1:14" x14ac:dyDescent="0.2">
      <c r="A78" s="50" t="s">
        <v>64</v>
      </c>
      <c r="B78" s="354">
        <f>+'Total Market Size'!B121/'Many to Many Ass.'!$B23*1000</f>
        <v>14315.853836147884</v>
      </c>
      <c r="C78" s="356">
        <f>+'Total Market Size'!C121/'Many to Many Ass.'!$B23*1000</f>
        <v>25222.153726040822</v>
      </c>
      <c r="D78" s="356">
        <f>+'Total Market Size'!D121/'Many to Many Ass.'!$B23*1000</f>
        <v>31813.588351291757</v>
      </c>
      <c r="E78" s="356">
        <f>+'Total Market Size'!E121/'Many to Many Ass.'!$B23*1000</f>
        <v>37782.352866795198</v>
      </c>
      <c r="F78" s="356">
        <f>+'Total Market Size'!F121/'Many to Many Ass.'!$B23*1000</f>
        <v>43901.403377975003</v>
      </c>
      <c r="G78" s="356">
        <f>+'Total Market Size'!G121/'Many to Many Ass.'!$B23*1000</f>
        <v>50554.293723936178</v>
      </c>
      <c r="H78" s="356">
        <f>+'Total Market Size'!H121/'Many to Many Ass.'!$B23*1000</f>
        <v>57831.953165157742</v>
      </c>
      <c r="I78" s="356">
        <f>+'Total Market Size'!I121/'Many to Many Ass.'!$B23*1000</f>
        <v>65875.955710699069</v>
      </c>
      <c r="J78" s="356">
        <f>+'Total Market Size'!J121/'Many to Many Ass.'!$B23*1000</f>
        <v>74837.264026408287</v>
      </c>
      <c r="K78" s="356">
        <f>+'Total Market Size'!K121/'Many to Many Ass.'!$B23*1000</f>
        <v>84803.76229029712</v>
      </c>
      <c r="L78" s="453">
        <f>+'Total Market Size'!L121/'Many to Many Ass.'!$B23*1000</f>
        <v>95957.88155583333</v>
      </c>
    </row>
    <row r="79" spans="1:14" x14ac:dyDescent="0.2">
      <c r="A79" s="51" t="s">
        <v>65</v>
      </c>
      <c r="B79" s="355">
        <f>+'Total Market Size'!B122/'Many to Many Ass.'!$B24*1000</f>
        <v>4845.4618183456923</v>
      </c>
      <c r="C79" s="357">
        <f>+'Total Market Size'!C122/'Many to Many Ass.'!$B24*1000</f>
        <v>10391.094773258952</v>
      </c>
      <c r="D79" s="357">
        <f>+'Total Market Size'!D122/'Many to Many Ass.'!$B24*1000</f>
        <v>14479.894400987936</v>
      </c>
      <c r="E79" s="357">
        <f>+'Total Market Size'!E122/'Many to Many Ass.'!$B24*1000</f>
        <v>18340.394148951051</v>
      </c>
      <c r="F79" s="357">
        <f>+'Total Market Size'!F122/'Many to Many Ass.'!$B24*1000</f>
        <v>22326.325263794122</v>
      </c>
      <c r="G79" s="357">
        <f>+'Total Market Size'!G122/'Many to Many Ass.'!$B24*1000</f>
        <v>26650.580930249267</v>
      </c>
      <c r="H79" s="357">
        <f>+'Total Market Size'!H122/'Many to Many Ass.'!$B24*1000</f>
        <v>31383.503782197651</v>
      </c>
      <c r="I79" s="357">
        <f>+'Total Market Size'!I122/'Many to Many Ass.'!$B24*1000</f>
        <v>36620.49528218012</v>
      </c>
      <c r="J79" s="357">
        <f>+'Total Market Size'!J122/'Many to Many Ass.'!$B24*1000</f>
        <v>42463.73025855235</v>
      </c>
      <c r="K79" s="357">
        <f>+'Total Market Size'!K122/'Many to Many Ass.'!$B24*1000</f>
        <v>48980.958349968103</v>
      </c>
      <c r="L79" s="454">
        <f>+'Total Market Size'!L122/'Many to Many Ass.'!$B24*1000</f>
        <v>56294.946239447869</v>
      </c>
    </row>
    <row r="80" spans="1:14" x14ac:dyDescent="0.2">
      <c r="A80" s="51" t="s">
        <v>66</v>
      </c>
      <c r="B80" s="355">
        <f>+'Total Market Size'!B123/'Many to Many Ass.'!$B25*1000</f>
        <v>376052.60805907118</v>
      </c>
      <c r="C80" s="357">
        <f>+'Total Market Size'!C123/'Many to Many Ass.'!$B25*1000</f>
        <v>505695.28341431101</v>
      </c>
      <c r="D80" s="357">
        <f>+'Total Market Size'!D123/'Many to Many Ass.'!$B25*1000</f>
        <v>558459.10510431975</v>
      </c>
      <c r="E80" s="357">
        <f>+'Total Market Size'!E123/'Many to Many Ass.'!$B25*1000</f>
        <v>594313.13945706107</v>
      </c>
      <c r="F80" s="357">
        <f>+'Total Market Size'!F123/'Many to Many Ass.'!$B25*1000</f>
        <v>623977.64416608319</v>
      </c>
      <c r="G80" s="357">
        <f>+'Total Market Size'!G123/'Many to Many Ass.'!$B25*1000</f>
        <v>651822.80233615113</v>
      </c>
      <c r="H80" s="357">
        <f>+'Total Market Size'!H123/'Many to Many Ass.'!$B25*1000</f>
        <v>677907.09726809419</v>
      </c>
      <c r="I80" s="357">
        <f>+'Total Market Size'!I123/'Many to Many Ass.'!$B25*1000</f>
        <v>702975.53920429375</v>
      </c>
      <c r="J80" s="357">
        <f>+'Total Market Size'!J123/'Many to Many Ass.'!$B25*1000</f>
        <v>727648.75378824642</v>
      </c>
      <c r="K80" s="357">
        <f>+'Total Market Size'!K123/'Many to Many Ass.'!$B25*1000</f>
        <v>751745.97136406938</v>
      </c>
      <c r="L80" s="454">
        <f>+'Total Market Size'!L123/'Many to Many Ass.'!$B25*1000</f>
        <v>775847.10430328816</v>
      </c>
    </row>
    <row r="81" spans="1:12" x14ac:dyDescent="0.2">
      <c r="A81" s="51" t="s">
        <v>112</v>
      </c>
      <c r="B81" s="355">
        <f>+'Total Market Size'!B124/'Many to Many Ass.'!$B26*1000</f>
        <v>2145.2750000000001</v>
      </c>
      <c r="C81" s="357">
        <f>+'Total Market Size'!C124/'Many to Many Ass.'!$B26*1000</f>
        <v>7725.4067616077573</v>
      </c>
      <c r="D81" s="357">
        <f>+'Total Market Size'!D124/'Many to Many Ass.'!$B26*1000</f>
        <v>9866.276068917301</v>
      </c>
      <c r="E81" s="357">
        <f>+'Total Market Size'!E124/'Many to Many Ass.'!$B26*1000</f>
        <v>11438.564666746641</v>
      </c>
      <c r="F81" s="357">
        <f>+'Total Market Size'!F124/'Many to Many Ass.'!$B26*1000</f>
        <v>12892.40706164756</v>
      </c>
      <c r="G81" s="357">
        <f>+'Total Market Size'!G124/'Many to Many Ass.'!$B26*1000</f>
        <v>14383.486815741029</v>
      </c>
      <c r="H81" s="357">
        <f>+'Total Market Size'!H124/'Many to Many Ass.'!$B26*1000</f>
        <v>15941.82764073734</v>
      </c>
      <c r="I81" s="357">
        <f>+'Total Market Size'!I124/'Many to Many Ass.'!$B26*1000</f>
        <v>17599.892912093947</v>
      </c>
      <c r="J81" s="357">
        <f>+'Total Market Size'!J124/'Many to Many Ass.'!$B26*1000</f>
        <v>19385.865166076583</v>
      </c>
      <c r="K81" s="357">
        <f>+'Total Market Size'!K124/'Many to Many Ass.'!$B26*1000</f>
        <v>21307.249899277838</v>
      </c>
      <c r="L81" s="454">
        <f>+'Total Market Size'!L124/'Many to Many Ass.'!$B26*1000</f>
        <v>23392.664528833742</v>
      </c>
    </row>
    <row r="82" spans="1:12" x14ac:dyDescent="0.2">
      <c r="A82" s="51" t="s">
        <v>67</v>
      </c>
      <c r="B82" s="355">
        <f>+'Total Market Size'!B125/'Many to Many Ass.'!$B27*1000</f>
        <v>191598.7631026122</v>
      </c>
      <c r="C82" s="357">
        <f>+'Total Market Size'!C125/'Many to Many Ass.'!$B27*1000</f>
        <v>299110.33101383148</v>
      </c>
      <c r="D82" s="357">
        <f>+'Total Market Size'!D125/'Many to Many Ass.'!$B27*1000</f>
        <v>355764.28651607345</v>
      </c>
      <c r="E82" s="357">
        <f>+'Total Market Size'!E125/'Many to Many Ass.'!$B27*1000</f>
        <v>397102.82424474187</v>
      </c>
      <c r="F82" s="357">
        <f>+'Total Market Size'!F125/'Many to Many Ass.'!$B27*1000</f>
        <v>431666.20152122871</v>
      </c>
      <c r="G82" s="357">
        <f>+'Total Market Size'!G125/'Many to Many Ass.'!$B27*1000</f>
        <v>463396.54501186032</v>
      </c>
      <c r="H82" s="357">
        <f>+'Total Market Size'!H125/'Many to Many Ass.'!$B27*1000</f>
        <v>492902.71488240099</v>
      </c>
      <c r="I82" s="357">
        <f>+'Total Market Size'!I125/'Many to Many Ass.'!$B27*1000</f>
        <v>521045.18146932061</v>
      </c>
      <c r="J82" s="357">
        <f>+'Total Market Size'!J125/'Many to Many Ass.'!$B27*1000</f>
        <v>548497.07065249991</v>
      </c>
      <c r="K82" s="357">
        <f>+'Total Market Size'!K125/'Many to Many Ass.'!$B27*1000</f>
        <v>575269.47318983835</v>
      </c>
      <c r="L82" s="454">
        <f>+'Total Market Size'!L125/'Many to Many Ass.'!$B27*1000</f>
        <v>601906.97494982323</v>
      </c>
    </row>
    <row r="83" spans="1:12" x14ac:dyDescent="0.2">
      <c r="A83" s="51" t="s">
        <v>68</v>
      </c>
      <c r="B83" s="355">
        <f>+'Total Market Size'!B126/'Many to Many Ass.'!$B28*1000</f>
        <v>6273.288630815463</v>
      </c>
      <c r="C83" s="357">
        <f>+'Total Market Size'!C126/'Many to Many Ass.'!$B28*1000</f>
        <v>12176.423778002072</v>
      </c>
      <c r="D83" s="357">
        <f>+'Total Market Size'!D126/'Many to Many Ass.'!$B28*1000</f>
        <v>15478.198775252797</v>
      </c>
      <c r="E83" s="357">
        <f>+'Total Market Size'!E126/'Many to Many Ass.'!$B28*1000</f>
        <v>17879.851092719226</v>
      </c>
      <c r="F83" s="357">
        <f>+'Total Market Size'!F126/'Many to Many Ass.'!$B28*1000</f>
        <v>19840.901976947327</v>
      </c>
      <c r="G83" s="357">
        <f>+'Total Market Size'!G126/'Many to Many Ass.'!$B28*1000</f>
        <v>21580.655709208102</v>
      </c>
      <c r="H83" s="357">
        <f>+'Total Market Size'!H126/'Many to Many Ass.'!$B28*1000</f>
        <v>23149.256886857951</v>
      </c>
      <c r="I83" s="357">
        <f>+'Total Market Size'!I126/'Many to Many Ass.'!$B28*1000</f>
        <v>24599.772680382808</v>
      </c>
      <c r="J83" s="357">
        <f>+'Total Market Size'!J126/'Many to Many Ass.'!$B28*1000</f>
        <v>25972.370603132975</v>
      </c>
      <c r="K83" s="357">
        <f>+'Total Market Size'!K126/'Many to Many Ass.'!$B28*1000</f>
        <v>27273.358910012481</v>
      </c>
      <c r="L83" s="454">
        <f>+'Total Market Size'!L126/'Many to Many Ass.'!$B28*1000</f>
        <v>28532.643813296778</v>
      </c>
    </row>
    <row r="84" spans="1:12" x14ac:dyDescent="0.2">
      <c r="A84" s="51" t="s">
        <v>69</v>
      </c>
      <c r="B84" s="355">
        <f>+'Total Market Size'!B127/'Many to Many Ass.'!$B29*1000</f>
        <v>15121.319576703618</v>
      </c>
      <c r="C84" s="357">
        <f>+'Total Market Size'!C127/'Many to Many Ass.'!$B29*1000</f>
        <v>50896.390163898206</v>
      </c>
      <c r="D84" s="357">
        <f>+'Total Market Size'!D127/'Many to Many Ass.'!$B29*1000</f>
        <v>73386.911933264957</v>
      </c>
      <c r="E84" s="357">
        <f>+'Total Market Size'!E127/'Many to Many Ass.'!$B29*1000</f>
        <v>94573.788072935655</v>
      </c>
      <c r="F84" s="357">
        <f>+'Total Market Size'!F127/'Many to Many Ass.'!$B29*1000</f>
        <v>117284.42885634091</v>
      </c>
      <c r="G84" s="357">
        <f>+'Total Market Size'!G127/'Many to Many Ass.'!$B29*1000</f>
        <v>143076.69407747377</v>
      </c>
      <c r="H84" s="357">
        <f>+'Total Market Size'!H127/'Many to Many Ass.'!$B29*1000</f>
        <v>172699.21148120152</v>
      </c>
      <c r="I84" s="357">
        <f>+'Total Market Size'!I127/'Many to Many Ass.'!$B29*1000</f>
        <v>207069.42387162571</v>
      </c>
      <c r="J84" s="357">
        <f>+'Total Market Size'!J127/'Many to Many Ass.'!$B29*1000</f>
        <v>247226.07071942737</v>
      </c>
      <c r="K84" s="357">
        <f>+'Total Market Size'!K127/'Many to Many Ass.'!$B29*1000</f>
        <v>294111.25720455043</v>
      </c>
      <c r="L84" s="454">
        <f>+'Total Market Size'!L127/'Many to Many Ass.'!$B29*1000</f>
        <v>349109.63162100618</v>
      </c>
    </row>
    <row r="85" spans="1:12" x14ac:dyDescent="0.2">
      <c r="A85" s="51" t="s">
        <v>70</v>
      </c>
      <c r="B85" s="355">
        <f>+'Total Market Size'!B128/'Many to Many Ass.'!$B30*1000</f>
        <v>477.86399999999998</v>
      </c>
      <c r="C85" s="357">
        <f>+'Total Market Size'!C128/'Many to Many Ass.'!$B30*1000</f>
        <v>3050.4544012800079</v>
      </c>
      <c r="D85" s="357">
        <f>+'Total Market Size'!D128/'Many to Many Ass.'!$B30*1000</f>
        <v>4749.7489102066229</v>
      </c>
      <c r="E85" s="357">
        <f>+'Total Market Size'!E128/'Many to Many Ass.'!$B30*1000</f>
        <v>6160.8050532678517</v>
      </c>
      <c r="F85" s="357">
        <f>+'Total Market Size'!F128/'Many to Many Ass.'!$B30*1000</f>
        <v>7455.2234116533127</v>
      </c>
      <c r="G85" s="357">
        <f>+'Total Market Size'!G128/'Many to Many Ass.'!$B30*1000</f>
        <v>8719.8912364586704</v>
      </c>
      <c r="H85" s="357">
        <f>+'Total Market Size'!H128/'Many to Many Ass.'!$B30*1000</f>
        <v>9978.1859625993766</v>
      </c>
      <c r="I85" s="357">
        <f>+'Total Market Size'!I128/'Many to Many Ass.'!$B30*1000</f>
        <v>11253.641851754568</v>
      </c>
      <c r="J85" s="357">
        <f>+'Total Market Size'!J128/'Many to Many Ass.'!$B30*1000</f>
        <v>12565.949019958054</v>
      </c>
      <c r="K85" s="357">
        <f>+'Total Market Size'!K128/'Many to Many Ass.'!$B30*1000</f>
        <v>13919.978131355016</v>
      </c>
      <c r="L85" s="454">
        <f>+'Total Market Size'!L128/'Many to Many Ass.'!$B30*1000</f>
        <v>15332.903729340655</v>
      </c>
    </row>
    <row r="86" spans="1:12" x14ac:dyDescent="0.2">
      <c r="A86" s="51" t="s">
        <v>71</v>
      </c>
      <c r="B86" s="355">
        <f>+'Total Market Size'!B129/'Many to Many Ass.'!$B31*1000</f>
        <v>32428.151116666668</v>
      </c>
      <c r="C86" s="357">
        <f>+'Total Market Size'!C129/'Many to Many Ass.'!$B31*1000</f>
        <v>70853.889556408933</v>
      </c>
      <c r="D86" s="357">
        <f>+'Total Market Size'!D129/'Many to Many Ass.'!$B31*1000</f>
        <v>96362.623021110921</v>
      </c>
      <c r="E86" s="357">
        <f>+'Total Market Size'!E129/'Many to Many Ass.'!$B31*1000</f>
        <v>118073.65803317874</v>
      </c>
      <c r="F86" s="357">
        <f>+'Total Market Size'!F129/'Many to Many Ass.'!$B31*1000</f>
        <v>138511.01076698676</v>
      </c>
      <c r="G86" s="357">
        <f>+'Total Market Size'!G129/'Many to Many Ass.'!$B31*1000</f>
        <v>158984.85193333082</v>
      </c>
      <c r="H86" s="357">
        <f>+'Total Market Size'!H129/'Many to Many Ass.'!$B31*1000</f>
        <v>179776.13938935779</v>
      </c>
      <c r="I86" s="357">
        <f>+'Total Market Size'!I129/'Many to Many Ass.'!$B31*1000</f>
        <v>201242.95587909903</v>
      </c>
      <c r="J86" s="357">
        <f>+'Total Market Size'!J129/'Many to Many Ass.'!$B31*1000</f>
        <v>223705.23712465755</v>
      </c>
      <c r="K86" s="357">
        <f>+'Total Market Size'!K129/'Many to Many Ass.'!$B31*1000</f>
        <v>247237.73132819578</v>
      </c>
      <c r="L86" s="454">
        <f>+'Total Market Size'!L129/'Many to Many Ass.'!$B31*1000</f>
        <v>272147.11901327834</v>
      </c>
    </row>
    <row r="87" spans="1:12" x14ac:dyDescent="0.2">
      <c r="A87" s="71" t="s">
        <v>119</v>
      </c>
      <c r="B87" s="355">
        <f>+'Total Market Size'!B130/'Many to Many Ass.'!$B32*1000</f>
        <v>971.54501072040068</v>
      </c>
      <c r="C87" s="357">
        <f>+'Total Market Size'!C130/'Many to Many Ass.'!$B32*1000</f>
        <v>2933.8126947931537</v>
      </c>
      <c r="D87" s="357">
        <f>+'Total Market Size'!D130/'Many to Many Ass.'!$B32*1000</f>
        <v>4147.4536287431192</v>
      </c>
      <c r="E87" s="357">
        <f>+'Total Market Size'!E130/'Many to Many Ass.'!$B32*1000</f>
        <v>5212.7588742218222</v>
      </c>
      <c r="F87" s="357">
        <f>+'Total Market Size'!F130/'Many to Many Ass.'!$B32*1000</f>
        <v>6275.8076352413436</v>
      </c>
      <c r="G87" s="357">
        <f>+'Total Market Size'!G130/'Many to Many Ass.'!$B32*1000</f>
        <v>7409.0287544431176</v>
      </c>
      <c r="H87" s="357">
        <f>+'Total Market Size'!H130/'Many to Many Ass.'!$B32*1000</f>
        <v>8635.5761094120226</v>
      </c>
      <c r="I87" s="357">
        <f>+'Total Market Size'!I130/'Many to Many Ass.'!$B32*1000</f>
        <v>9982.3958924035214</v>
      </c>
      <c r="J87" s="357">
        <f>+'Total Market Size'!J130/'Many to Many Ass.'!$B32*1000</f>
        <v>11476.610350744078</v>
      </c>
      <c r="K87" s="357">
        <f>+'Total Market Size'!K130/'Many to Many Ass.'!$B32*1000</f>
        <v>13135.080897415059</v>
      </c>
      <c r="L87" s="454">
        <f>+'Total Market Size'!L130/'Many to Many Ass.'!$B32*1000</f>
        <v>14988.896139653989</v>
      </c>
    </row>
    <row r="88" spans="1:12" x14ac:dyDescent="0.2">
      <c r="A88" s="71" t="s">
        <v>120</v>
      </c>
      <c r="B88" s="355">
        <f>+'Total Market Size'!B131/'Many to Many Ass.'!$B33*1000</f>
        <v>91.2</v>
      </c>
      <c r="C88" s="357">
        <f>+'Total Market Size'!C131/'Many to Many Ass.'!$B33*1000</f>
        <v>13874.150617842381</v>
      </c>
      <c r="D88" s="357">
        <f>+'Total Market Size'!D131/'Many to Many Ass.'!$B33*1000</f>
        <v>28611.664582832327</v>
      </c>
      <c r="E88" s="357">
        <f>+'Total Market Size'!E131/'Many to Many Ass.'!$B33*1000</f>
        <v>47545.048873443186</v>
      </c>
      <c r="F88" s="357">
        <f>+'Total Market Size'!F131/'Many to Many Ass.'!$B33*1000</f>
        <v>73125.987389356786</v>
      </c>
      <c r="G88" s="357">
        <f>+'Total Market Size'!G131/'Many to Many Ass.'!$B33*1000</f>
        <v>108245.08158289384</v>
      </c>
      <c r="H88" s="357">
        <f>+'Total Market Size'!H131/'Many to Many Ass.'!$B33*1000</f>
        <v>156694.26652550563</v>
      </c>
      <c r="I88" s="357">
        <f>+'Total Market Size'!I131/'Many to Many Ass.'!$B33*1000</f>
        <v>223590.04971412511</v>
      </c>
      <c r="J88" s="357">
        <f>+'Total Market Size'!J131/'Many to Many Ass.'!$B33*1000</f>
        <v>315893.59394781117</v>
      </c>
      <c r="K88" s="357">
        <f>+'Total Market Size'!K131/'Many to Many Ass.'!$B33*1000</f>
        <v>443099.05836840777</v>
      </c>
      <c r="L88" s="454">
        <f>+'Total Market Size'!L131/'Many to Many Ass.'!$B33*1000</f>
        <v>618162.31872158707</v>
      </c>
    </row>
    <row r="89" spans="1:12" ht="13.5" thickBot="1" x14ac:dyDescent="0.25">
      <c r="A89" s="52" t="s">
        <v>113</v>
      </c>
      <c r="B89" s="455">
        <f>+'Total Market Size'!B132/'Many to Many Ass.'!$B34*1000</f>
        <v>241.20809602852174</v>
      </c>
      <c r="C89" s="456">
        <f>+'Total Market Size'!C132/'Many to Many Ass.'!$B34*1000</f>
        <v>1784.4400469362126</v>
      </c>
      <c r="D89" s="456">
        <f>+'Total Market Size'!D132/'Many to Many Ass.'!$B34*1000</f>
        <v>3067.3808103888914</v>
      </c>
      <c r="E89" s="456">
        <f>+'Total Market Size'!E132/'Many to Many Ass.'!$B34*1000</f>
        <v>4444.9033284747111</v>
      </c>
      <c r="F89" s="456">
        <f>+'Total Market Size'!F132/'Many to Many Ass.'!$B34*1000</f>
        <v>6052.933794711571</v>
      </c>
      <c r="G89" s="456">
        <f>+'Total Market Size'!G132/'Many to Many Ass.'!$B34*1000</f>
        <v>8004.5953897709496</v>
      </c>
      <c r="H89" s="456">
        <f>+'Total Market Size'!H132/'Many to Many Ass.'!$B34*1000</f>
        <v>10390.136737003279</v>
      </c>
      <c r="I89" s="456">
        <f>+'Total Market Size'!I132/'Many to Many Ass.'!$B34*1000</f>
        <v>13324.23548792234</v>
      </c>
      <c r="J89" s="456">
        <f>+'Total Market Size'!J132/'Many to Many Ass.'!$B34*1000</f>
        <v>16947.868492249992</v>
      </c>
      <c r="K89" s="456">
        <f>+'Total Market Size'!K132/'Many to Many Ass.'!$B34*1000</f>
        <v>21416.610790753071</v>
      </c>
      <c r="L89" s="457">
        <f>+'Total Market Size'!L132/'Many to Many Ass.'!$B34*1000</f>
        <v>26942.016082525399</v>
      </c>
    </row>
    <row r="90" spans="1:12" ht="13.5" thickBot="1" x14ac:dyDescent="0.25">
      <c r="A90" s="36" t="s">
        <v>11</v>
      </c>
      <c r="B90" s="458">
        <f t="shared" ref="B90:L90" si="20">SUM(B77:B89)</f>
        <v>646563.53824711149</v>
      </c>
      <c r="C90" s="458">
        <f t="shared" si="20"/>
        <v>1005715.8309482109</v>
      </c>
      <c r="D90" s="458">
        <f t="shared" si="20"/>
        <v>1198190.1321033896</v>
      </c>
      <c r="E90" s="458">
        <f t="shared" si="20"/>
        <v>1354872.0887125367</v>
      </c>
      <c r="F90" s="458">
        <f t="shared" si="20"/>
        <v>1505315.2752219669</v>
      </c>
      <c r="G90" s="458">
        <f t="shared" si="20"/>
        <v>1664834.5075015172</v>
      </c>
      <c r="H90" s="458">
        <f t="shared" si="20"/>
        <v>1839296.8698305255</v>
      </c>
      <c r="I90" s="458">
        <f t="shared" si="20"/>
        <v>2037187.5399559003</v>
      </c>
      <c r="J90" s="458">
        <f t="shared" si="20"/>
        <v>2268629.3841497647</v>
      </c>
      <c r="K90" s="458">
        <f t="shared" si="20"/>
        <v>2544310.4907241403</v>
      </c>
      <c r="L90" s="458">
        <f t="shared" si="20"/>
        <v>2880626.1006979141</v>
      </c>
    </row>
  </sheetData>
  <mergeCells count="14">
    <mergeCell ref="B76:L76"/>
    <mergeCell ref="I5:I6"/>
    <mergeCell ref="B5:E5"/>
    <mergeCell ref="J5:J6"/>
    <mergeCell ref="K5:K6"/>
    <mergeCell ref="N24:N25"/>
    <mergeCell ref="M24:M25"/>
    <mergeCell ref="O24:O25"/>
    <mergeCell ref="B58:L58"/>
    <mergeCell ref="B24:L24"/>
    <mergeCell ref="B41:L41"/>
    <mergeCell ref="M41:M42"/>
    <mergeCell ref="N41:N42"/>
    <mergeCell ref="O41:O42"/>
  </mergeCells>
  <printOptions horizontalCentered="1"/>
  <pageMargins left="0.75" right="0.75" top="1" bottom="1" header="0.5" footer="0.5"/>
  <pageSetup scale="50" orientation="landscape" r:id="rId1"/>
  <headerFooter alignWithMargins="0">
    <oddHeader>&amp;LGREEN GIANT&amp;C&amp;D &amp;T&amp;RCONFIDENTIAL</oddHeader>
    <oddFooter>&amp;LGREEN GIANT&amp;C&amp;D &amp;T&amp;RPAGE 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1"/>
  <sheetViews>
    <sheetView topLeftCell="A172" zoomScale="67" workbookViewId="0">
      <selection activeCell="J3" sqref="J3"/>
    </sheetView>
  </sheetViews>
  <sheetFormatPr defaultRowHeight="12.75" x14ac:dyDescent="0.2"/>
  <cols>
    <col min="1" max="1" width="44" customWidth="1"/>
    <col min="2" max="2" width="13.85546875" bestFit="1" customWidth="1"/>
    <col min="3" max="12" width="13.85546875" customWidth="1"/>
    <col min="13" max="14" width="12.42578125" customWidth="1"/>
    <col min="15" max="15" width="13.85546875" bestFit="1" customWidth="1"/>
  </cols>
  <sheetData>
    <row r="1" spans="1:256" ht="26.25" x14ac:dyDescent="0.4">
      <c r="A1" s="145" t="s">
        <v>445</v>
      </c>
    </row>
    <row r="3" spans="1:256" ht="13.5" customHeight="1" x14ac:dyDescent="0.2">
      <c r="A3" s="122" t="s">
        <v>360</v>
      </c>
      <c r="F3" s="122" t="s">
        <v>361</v>
      </c>
    </row>
    <row r="5" spans="1:256" x14ac:dyDescent="0.2">
      <c r="A5" t="s">
        <v>366</v>
      </c>
      <c r="F5" t="s">
        <v>363</v>
      </c>
    </row>
    <row r="6" spans="1:256" x14ac:dyDescent="0.2">
      <c r="A6" t="s">
        <v>371</v>
      </c>
      <c r="F6" t="s">
        <v>362</v>
      </c>
    </row>
    <row r="7" spans="1:256" x14ac:dyDescent="0.2">
      <c r="A7" t="s">
        <v>372</v>
      </c>
      <c r="F7" t="s">
        <v>365</v>
      </c>
    </row>
    <row r="8" spans="1:256" x14ac:dyDescent="0.2">
      <c r="A8" t="s">
        <v>373</v>
      </c>
      <c r="F8" t="s">
        <v>364</v>
      </c>
    </row>
    <row r="9" spans="1:256" x14ac:dyDescent="0.2">
      <c r="A9" t="s">
        <v>374</v>
      </c>
      <c r="F9" t="s">
        <v>367</v>
      </c>
    </row>
    <row r="10" spans="1:256" x14ac:dyDescent="0.2">
      <c r="A10" t="s">
        <v>375</v>
      </c>
      <c r="F10" t="s">
        <v>368</v>
      </c>
    </row>
    <row r="11" spans="1:256" x14ac:dyDescent="0.2">
      <c r="F11" t="s">
        <v>369</v>
      </c>
    </row>
    <row r="12" spans="1:256" x14ac:dyDescent="0.2">
      <c r="F12" t="s">
        <v>370</v>
      </c>
    </row>
    <row r="13" spans="1:256" ht="13.5" thickBot="1" x14ac:dyDescent="0.25"/>
    <row r="14" spans="1:256" s="392" customFormat="1" ht="13.5" thickBot="1" x14ac:dyDescent="0.25">
      <c r="B14" s="193">
        <v>2001</v>
      </c>
      <c r="C14" s="193">
        <v>2002</v>
      </c>
      <c r="D14" s="193">
        <v>2003</v>
      </c>
      <c r="E14" s="193">
        <v>2004</v>
      </c>
      <c r="F14" s="193">
        <v>2005</v>
      </c>
      <c r="G14" s="193">
        <v>2006</v>
      </c>
      <c r="H14" s="193">
        <v>2007</v>
      </c>
      <c r="I14" s="193">
        <v>2008</v>
      </c>
      <c r="J14" s="193">
        <v>2009</v>
      </c>
      <c r="K14" s="193">
        <v>2010</v>
      </c>
      <c r="L14" s="75">
        <v>2011</v>
      </c>
      <c r="M14" s="603" t="s">
        <v>598</v>
      </c>
    </row>
    <row r="15" spans="1:256" s="418" customFormat="1" ht="13.5" x14ac:dyDescent="0.25">
      <c r="A15" s="415" t="s">
        <v>392</v>
      </c>
      <c r="B15" s="420">
        <f>510035*1.5</f>
        <v>765052.5</v>
      </c>
      <c r="C15" s="420">
        <f>+B15*(1+'Total Market Size'!C$136)</f>
        <v>782648.7074999999</v>
      </c>
      <c r="D15" s="420">
        <f>+C15*(1+'Total Market Size'!D$136)</f>
        <v>798301.68164999993</v>
      </c>
      <c r="E15" s="420">
        <f>+D15*(1+'Total Market Size'!E$136)</f>
        <v>815864.31864629989</v>
      </c>
      <c r="F15" s="420">
        <f>+E15*(1+'Total Market Size'!F$136)</f>
        <v>834629.19797516475</v>
      </c>
      <c r="G15" s="420">
        <f>+F15*(1+'Total Market Size'!G$136)</f>
        <v>855494.92792454374</v>
      </c>
      <c r="H15" s="420">
        <f>+G15*(1+'Total Market Size'!H$136)</f>
        <v>876454.55365869508</v>
      </c>
      <c r="I15" s="420">
        <f>+H15*(1+'Total Market Size'!I$136)</f>
        <v>897489.46294650377</v>
      </c>
      <c r="J15" s="420">
        <f>+I15*(1+'Total Market Size'!J$136)</f>
        <v>918849.71216463065</v>
      </c>
      <c r="K15" s="420">
        <f>+J15*(1+'Total Market Size'!K$136)</f>
        <v>939983.25554441707</v>
      </c>
      <c r="L15" s="424">
        <f>+K15*(1+'Total Market Size'!L$136)</f>
        <v>961414.87377082976</v>
      </c>
      <c r="M15" s="601" t="s">
        <v>506</v>
      </c>
      <c r="N15" s="417">
        <f>IF(M15="Fixed",1,0)</f>
        <v>1</v>
      </c>
      <c r="O15" s="415"/>
      <c r="P15" s="417"/>
      <c r="Q15" s="415"/>
      <c r="R15" s="417"/>
      <c r="S15" s="415"/>
      <c r="T15" s="417"/>
      <c r="U15" s="415"/>
      <c r="V15" s="417"/>
      <c r="W15" s="415"/>
      <c r="X15" s="417"/>
      <c r="Y15" s="415"/>
      <c r="Z15" s="417"/>
      <c r="AA15" s="415"/>
      <c r="AB15" s="417"/>
      <c r="AC15" s="415"/>
      <c r="AD15" s="417"/>
      <c r="AE15" s="415"/>
      <c r="AF15" s="417"/>
      <c r="AG15" s="415"/>
      <c r="AH15" s="417"/>
      <c r="AI15" s="415"/>
      <c r="AJ15" s="417"/>
      <c r="AK15" s="415"/>
      <c r="AL15" s="417"/>
      <c r="AM15" s="415"/>
      <c r="AN15" s="417"/>
      <c r="AO15" s="415"/>
      <c r="AP15" s="417"/>
      <c r="AQ15" s="415"/>
      <c r="AR15" s="417"/>
      <c r="AS15" s="415"/>
      <c r="AT15" s="417"/>
      <c r="AU15" s="415"/>
      <c r="AV15" s="417"/>
      <c r="AW15" s="415"/>
      <c r="AX15" s="417"/>
      <c r="AY15" s="415"/>
      <c r="AZ15" s="417"/>
      <c r="BA15" s="415"/>
      <c r="BB15" s="417"/>
      <c r="BC15" s="415"/>
      <c r="BD15" s="417"/>
      <c r="BE15" s="415"/>
      <c r="BF15" s="417"/>
      <c r="BG15" s="415"/>
      <c r="BH15" s="417"/>
      <c r="BI15" s="415"/>
      <c r="BJ15" s="417"/>
      <c r="BK15" s="415"/>
      <c r="BL15" s="417"/>
      <c r="BM15" s="415"/>
      <c r="BN15" s="417"/>
      <c r="BO15" s="415"/>
      <c r="BP15" s="417"/>
      <c r="BQ15" s="415"/>
      <c r="BR15" s="417"/>
      <c r="BS15" s="415"/>
      <c r="BT15" s="417"/>
      <c r="BU15" s="415"/>
      <c r="BV15" s="417"/>
      <c r="BW15" s="415"/>
      <c r="BX15" s="417"/>
      <c r="BY15" s="415"/>
      <c r="BZ15" s="417"/>
      <c r="CA15" s="415"/>
      <c r="CB15" s="417"/>
      <c r="CC15" s="415"/>
      <c r="CD15" s="417"/>
      <c r="CE15" s="415"/>
      <c r="CF15" s="417"/>
      <c r="CG15" s="415"/>
      <c r="CH15" s="417"/>
      <c r="CI15" s="415"/>
      <c r="CJ15" s="417"/>
      <c r="CK15" s="415"/>
      <c r="CL15" s="417"/>
      <c r="CM15" s="415"/>
      <c r="CN15" s="417"/>
      <c r="CO15" s="415"/>
      <c r="CP15" s="417"/>
      <c r="CQ15" s="415"/>
      <c r="CR15" s="417"/>
      <c r="CS15" s="415"/>
      <c r="CT15" s="417"/>
      <c r="CU15" s="415"/>
      <c r="CV15" s="417"/>
      <c r="CW15" s="415"/>
      <c r="CX15" s="417"/>
      <c r="CY15" s="415"/>
      <c r="CZ15" s="417"/>
      <c r="DA15" s="415"/>
      <c r="DB15" s="417"/>
      <c r="DC15" s="415"/>
      <c r="DD15" s="417"/>
      <c r="DE15" s="415"/>
      <c r="DF15" s="417"/>
      <c r="DG15" s="415"/>
      <c r="DH15" s="417"/>
      <c r="DI15" s="415"/>
      <c r="DJ15" s="417"/>
      <c r="DK15" s="415"/>
      <c r="DL15" s="417"/>
      <c r="DM15" s="415"/>
      <c r="DN15" s="417"/>
      <c r="DO15" s="415"/>
      <c r="DP15" s="417"/>
      <c r="DQ15" s="415"/>
      <c r="DR15" s="417"/>
      <c r="DS15" s="415"/>
      <c r="DT15" s="417"/>
      <c r="DU15" s="415"/>
      <c r="DV15" s="417"/>
      <c r="DW15" s="415"/>
      <c r="DX15" s="417"/>
      <c r="DY15" s="415"/>
      <c r="DZ15" s="417"/>
      <c r="EA15" s="415"/>
      <c r="EB15" s="417"/>
      <c r="EC15" s="415"/>
      <c r="ED15" s="417"/>
      <c r="EE15" s="415"/>
      <c r="EF15" s="417"/>
      <c r="EG15" s="415"/>
      <c r="EH15" s="417"/>
      <c r="EI15" s="415"/>
      <c r="EJ15" s="417"/>
      <c r="EK15" s="415"/>
      <c r="EL15" s="417"/>
      <c r="EM15" s="415"/>
      <c r="EN15" s="417"/>
      <c r="EO15" s="415"/>
      <c r="EP15" s="417"/>
      <c r="EQ15" s="415"/>
      <c r="ER15" s="417"/>
      <c r="ES15" s="415"/>
      <c r="ET15" s="417"/>
      <c r="EU15" s="415"/>
      <c r="EV15" s="417"/>
      <c r="EW15" s="415"/>
      <c r="EX15" s="417"/>
      <c r="EY15" s="415"/>
      <c r="EZ15" s="417"/>
      <c r="FA15" s="415"/>
      <c r="FB15" s="417"/>
      <c r="FC15" s="415"/>
      <c r="FD15" s="417"/>
      <c r="FE15" s="415"/>
      <c r="FF15" s="417"/>
      <c r="FG15" s="415"/>
      <c r="FH15" s="417"/>
      <c r="FI15" s="415"/>
      <c r="FJ15" s="417"/>
      <c r="FK15" s="415"/>
      <c r="FL15" s="417"/>
      <c r="FM15" s="415"/>
      <c r="FN15" s="417"/>
      <c r="FO15" s="415"/>
      <c r="FP15" s="417"/>
      <c r="FQ15" s="415"/>
      <c r="FR15" s="417"/>
      <c r="FS15" s="415"/>
      <c r="FT15" s="417"/>
      <c r="FU15" s="415"/>
      <c r="FV15" s="417"/>
      <c r="FW15" s="415"/>
      <c r="FX15" s="417"/>
      <c r="FY15" s="415"/>
      <c r="FZ15" s="417"/>
      <c r="GA15" s="415"/>
      <c r="GB15" s="417"/>
      <c r="GC15" s="415"/>
      <c r="GD15" s="417"/>
      <c r="GE15" s="415"/>
      <c r="GF15" s="417"/>
      <c r="GG15" s="415"/>
      <c r="GH15" s="417"/>
      <c r="GI15" s="415"/>
      <c r="GJ15" s="417"/>
      <c r="GK15" s="415"/>
      <c r="GL15" s="417"/>
      <c r="GM15" s="415"/>
      <c r="GN15" s="417"/>
      <c r="GO15" s="415"/>
      <c r="GP15" s="417"/>
      <c r="GQ15" s="415"/>
      <c r="GR15" s="417"/>
      <c r="GS15" s="415"/>
      <c r="GT15" s="417"/>
      <c r="GU15" s="415"/>
      <c r="GV15" s="417"/>
      <c r="GW15" s="415"/>
      <c r="GX15" s="417"/>
      <c r="GY15" s="415"/>
      <c r="GZ15" s="417"/>
      <c r="HA15" s="415"/>
      <c r="HB15" s="417"/>
      <c r="HC15" s="415"/>
      <c r="HD15" s="417"/>
      <c r="HE15" s="415"/>
      <c r="HF15" s="417"/>
      <c r="HG15" s="415"/>
      <c r="HH15" s="417"/>
      <c r="HI15" s="415"/>
      <c r="HJ15" s="417"/>
      <c r="HK15" s="415"/>
      <c r="HL15" s="417"/>
      <c r="HM15" s="415"/>
      <c r="HN15" s="417"/>
      <c r="HO15" s="415"/>
      <c r="HP15" s="417"/>
      <c r="HQ15" s="415"/>
      <c r="HR15" s="417"/>
      <c r="HS15" s="415"/>
      <c r="HT15" s="417"/>
      <c r="HU15" s="415"/>
      <c r="HV15" s="417"/>
      <c r="HW15" s="415"/>
      <c r="HX15" s="417"/>
      <c r="HY15" s="415"/>
      <c r="HZ15" s="417"/>
      <c r="IA15" s="415"/>
      <c r="IB15" s="417"/>
      <c r="IC15" s="415"/>
      <c r="ID15" s="417"/>
      <c r="IE15" s="415"/>
      <c r="IF15" s="417"/>
      <c r="IG15" s="415"/>
      <c r="IH15" s="417"/>
      <c r="II15" s="415"/>
      <c r="IJ15" s="417"/>
      <c r="IK15" s="415"/>
      <c r="IL15" s="417"/>
      <c r="IM15" s="415"/>
      <c r="IN15" s="417"/>
      <c r="IO15" s="415"/>
      <c r="IP15" s="417"/>
      <c r="IQ15" s="415"/>
      <c r="IR15" s="417"/>
      <c r="IS15" s="415"/>
      <c r="IT15" s="417"/>
      <c r="IU15" s="415"/>
      <c r="IV15" s="417"/>
    </row>
    <row r="16" spans="1:256" s="418" customFormat="1" ht="13.5" x14ac:dyDescent="0.25">
      <c r="A16" s="415" t="s">
        <v>393</v>
      </c>
      <c r="B16" s="421">
        <v>30000</v>
      </c>
      <c r="C16" s="421">
        <f>+B16*(1+'Total Market Size'!C$136)</f>
        <v>30689.999999999996</v>
      </c>
      <c r="D16" s="421">
        <f>+C16*(1+'Total Market Size'!D$136)</f>
        <v>31303.799999999996</v>
      </c>
      <c r="E16" s="421">
        <f>+D16*(1+'Total Market Size'!E$136)</f>
        <v>31992.483599999996</v>
      </c>
      <c r="F16" s="421">
        <f>+E16*(1+'Total Market Size'!F$136)</f>
        <v>32728.310722799994</v>
      </c>
      <c r="G16" s="421">
        <f>+F16*(1+'Total Market Size'!G$136)</f>
        <v>33546.518490869988</v>
      </c>
      <c r="H16" s="421">
        <f>+G16*(1+'Total Market Size'!H$136)</f>
        <v>34368.408193896299</v>
      </c>
      <c r="I16" s="421">
        <f>+H16*(1+'Total Market Size'!I$136)</f>
        <v>35193.249990549812</v>
      </c>
      <c r="J16" s="421">
        <f>+I16*(1+'Total Market Size'!J$136)</f>
        <v>36030.849340324901</v>
      </c>
      <c r="K16" s="421">
        <f>+J16*(1+'Total Market Size'!K$136)</f>
        <v>36859.558875152368</v>
      </c>
      <c r="L16" s="425">
        <f>+K16*(1+'Total Market Size'!L$136)</f>
        <v>37699.956817505838</v>
      </c>
      <c r="M16" s="601" t="s">
        <v>506</v>
      </c>
      <c r="N16" s="417">
        <f>IF(M16="Fixed",1,0)</f>
        <v>1</v>
      </c>
      <c r="O16" s="415"/>
      <c r="P16" s="417"/>
      <c r="Q16" s="415"/>
      <c r="R16" s="417"/>
      <c r="S16" s="415"/>
      <c r="T16" s="417"/>
      <c r="U16" s="415"/>
      <c r="V16" s="417"/>
      <c r="W16" s="415"/>
      <c r="X16" s="417"/>
      <c r="Y16" s="415"/>
      <c r="Z16" s="417"/>
      <c r="AA16" s="415"/>
      <c r="AB16" s="417"/>
      <c r="AC16" s="415"/>
      <c r="AD16" s="417"/>
      <c r="AE16" s="415"/>
      <c r="AF16" s="417"/>
      <c r="AG16" s="415"/>
      <c r="AH16" s="417"/>
      <c r="AI16" s="415"/>
      <c r="AJ16" s="417"/>
      <c r="AK16" s="415"/>
      <c r="AL16" s="417"/>
      <c r="AM16" s="415"/>
      <c r="AN16" s="417"/>
      <c r="AO16" s="415"/>
      <c r="AP16" s="417"/>
      <c r="AQ16" s="415"/>
      <c r="AR16" s="417"/>
      <c r="AS16" s="415"/>
      <c r="AT16" s="417"/>
      <c r="AU16" s="415"/>
      <c r="AV16" s="417"/>
      <c r="AW16" s="415"/>
      <c r="AX16" s="417"/>
      <c r="AY16" s="415"/>
      <c r="AZ16" s="417"/>
      <c r="BA16" s="415"/>
      <c r="BB16" s="417"/>
      <c r="BC16" s="415"/>
      <c r="BD16" s="417"/>
      <c r="BE16" s="415"/>
      <c r="BF16" s="417"/>
      <c r="BG16" s="415"/>
      <c r="BH16" s="417"/>
      <c r="BI16" s="415"/>
      <c r="BJ16" s="417"/>
      <c r="BK16" s="415"/>
      <c r="BL16" s="417"/>
      <c r="BM16" s="415"/>
      <c r="BN16" s="417"/>
      <c r="BO16" s="415"/>
      <c r="BP16" s="417"/>
      <c r="BQ16" s="415"/>
      <c r="BR16" s="417"/>
      <c r="BS16" s="415"/>
      <c r="BT16" s="417"/>
      <c r="BU16" s="415"/>
      <c r="BV16" s="417"/>
      <c r="BW16" s="415"/>
      <c r="BX16" s="417"/>
      <c r="BY16" s="415"/>
      <c r="BZ16" s="417"/>
      <c r="CA16" s="415"/>
      <c r="CB16" s="417"/>
      <c r="CC16" s="415"/>
      <c r="CD16" s="417"/>
      <c r="CE16" s="415"/>
      <c r="CF16" s="417"/>
      <c r="CG16" s="415"/>
      <c r="CH16" s="417"/>
      <c r="CI16" s="415"/>
      <c r="CJ16" s="417"/>
      <c r="CK16" s="415"/>
      <c r="CL16" s="417"/>
      <c r="CM16" s="415"/>
      <c r="CN16" s="417"/>
      <c r="CO16" s="415"/>
      <c r="CP16" s="417"/>
      <c r="CQ16" s="415"/>
      <c r="CR16" s="417"/>
      <c r="CS16" s="415"/>
      <c r="CT16" s="417"/>
      <c r="CU16" s="415"/>
      <c r="CV16" s="417"/>
      <c r="CW16" s="415"/>
      <c r="CX16" s="417"/>
      <c r="CY16" s="415"/>
      <c r="CZ16" s="417"/>
      <c r="DA16" s="415"/>
      <c r="DB16" s="417"/>
      <c r="DC16" s="415"/>
      <c r="DD16" s="417"/>
      <c r="DE16" s="415"/>
      <c r="DF16" s="417"/>
      <c r="DG16" s="415"/>
      <c r="DH16" s="417"/>
      <c r="DI16" s="415"/>
      <c r="DJ16" s="417"/>
      <c r="DK16" s="415"/>
      <c r="DL16" s="417"/>
      <c r="DM16" s="415"/>
      <c r="DN16" s="417"/>
      <c r="DO16" s="415"/>
      <c r="DP16" s="417"/>
      <c r="DQ16" s="415"/>
      <c r="DR16" s="417"/>
      <c r="DS16" s="415"/>
      <c r="DT16" s="417"/>
      <c r="DU16" s="415"/>
      <c r="DV16" s="417"/>
      <c r="DW16" s="415"/>
      <c r="DX16" s="417"/>
      <c r="DY16" s="415"/>
      <c r="DZ16" s="417"/>
      <c r="EA16" s="415"/>
      <c r="EB16" s="417"/>
      <c r="EC16" s="415"/>
      <c r="ED16" s="417"/>
      <c r="EE16" s="415"/>
      <c r="EF16" s="417"/>
      <c r="EG16" s="415"/>
      <c r="EH16" s="417"/>
      <c r="EI16" s="415"/>
      <c r="EJ16" s="417"/>
      <c r="EK16" s="415"/>
      <c r="EL16" s="417"/>
      <c r="EM16" s="415"/>
      <c r="EN16" s="417"/>
      <c r="EO16" s="415"/>
      <c r="EP16" s="417"/>
      <c r="EQ16" s="415"/>
      <c r="ER16" s="417"/>
      <c r="ES16" s="415"/>
      <c r="ET16" s="417"/>
      <c r="EU16" s="415"/>
      <c r="EV16" s="417"/>
      <c r="EW16" s="415"/>
      <c r="EX16" s="417"/>
      <c r="EY16" s="415"/>
      <c r="EZ16" s="417"/>
      <c r="FA16" s="415"/>
      <c r="FB16" s="417"/>
      <c r="FC16" s="415"/>
      <c r="FD16" s="417"/>
      <c r="FE16" s="415"/>
      <c r="FF16" s="417"/>
      <c r="FG16" s="415"/>
      <c r="FH16" s="417"/>
      <c r="FI16" s="415"/>
      <c r="FJ16" s="417"/>
      <c r="FK16" s="415"/>
      <c r="FL16" s="417"/>
      <c r="FM16" s="415"/>
      <c r="FN16" s="417"/>
      <c r="FO16" s="415"/>
      <c r="FP16" s="417"/>
      <c r="FQ16" s="415"/>
      <c r="FR16" s="417"/>
      <c r="FS16" s="415"/>
      <c r="FT16" s="417"/>
      <c r="FU16" s="415"/>
      <c r="FV16" s="417"/>
      <c r="FW16" s="415"/>
      <c r="FX16" s="417"/>
      <c r="FY16" s="415"/>
      <c r="FZ16" s="417"/>
      <c r="GA16" s="415"/>
      <c r="GB16" s="417"/>
      <c r="GC16" s="415"/>
      <c r="GD16" s="417"/>
      <c r="GE16" s="415"/>
      <c r="GF16" s="417"/>
      <c r="GG16" s="415"/>
      <c r="GH16" s="417"/>
      <c r="GI16" s="415"/>
      <c r="GJ16" s="417"/>
      <c r="GK16" s="415"/>
      <c r="GL16" s="417"/>
      <c r="GM16" s="415"/>
      <c r="GN16" s="417"/>
      <c r="GO16" s="415"/>
      <c r="GP16" s="417"/>
      <c r="GQ16" s="415"/>
      <c r="GR16" s="417"/>
      <c r="GS16" s="415"/>
      <c r="GT16" s="417"/>
      <c r="GU16" s="415"/>
      <c r="GV16" s="417"/>
      <c r="GW16" s="415"/>
      <c r="GX16" s="417"/>
      <c r="GY16" s="415"/>
      <c r="GZ16" s="417"/>
      <c r="HA16" s="415"/>
      <c r="HB16" s="417"/>
      <c r="HC16" s="415"/>
      <c r="HD16" s="417"/>
      <c r="HE16" s="415"/>
      <c r="HF16" s="417"/>
      <c r="HG16" s="415"/>
      <c r="HH16" s="417"/>
      <c r="HI16" s="415"/>
      <c r="HJ16" s="417"/>
      <c r="HK16" s="415"/>
      <c r="HL16" s="417"/>
      <c r="HM16" s="415"/>
      <c r="HN16" s="417"/>
      <c r="HO16" s="415"/>
      <c r="HP16" s="417"/>
      <c r="HQ16" s="415"/>
      <c r="HR16" s="417"/>
      <c r="HS16" s="415"/>
      <c r="HT16" s="417"/>
      <c r="HU16" s="415"/>
      <c r="HV16" s="417"/>
      <c r="HW16" s="415"/>
      <c r="HX16" s="417"/>
      <c r="HY16" s="415"/>
      <c r="HZ16" s="417"/>
      <c r="IA16" s="415"/>
      <c r="IB16" s="417"/>
      <c r="IC16" s="415"/>
      <c r="ID16" s="417"/>
      <c r="IE16" s="415"/>
      <c r="IF16" s="417"/>
      <c r="IG16" s="415"/>
      <c r="IH16" s="417"/>
      <c r="II16" s="415"/>
      <c r="IJ16" s="417"/>
      <c r="IK16" s="415"/>
      <c r="IL16" s="417"/>
      <c r="IM16" s="415"/>
      <c r="IN16" s="417"/>
      <c r="IO16" s="415"/>
      <c r="IP16" s="417"/>
      <c r="IQ16" s="415"/>
      <c r="IR16" s="417"/>
      <c r="IS16" s="415"/>
      <c r="IT16" s="417"/>
      <c r="IU16" s="415"/>
      <c r="IV16" s="417"/>
    </row>
    <row r="17" spans="1:256" s="418" customFormat="1" ht="13.5" x14ac:dyDescent="0.25">
      <c r="A17" s="414" t="s">
        <v>394</v>
      </c>
      <c r="B17" s="422">
        <f>SUM(B15:B16)</f>
        <v>795052.5</v>
      </c>
      <c r="C17" s="422">
        <f>+B17*(1+'Total Market Size'!C$136)</f>
        <v>813338.7074999999</v>
      </c>
      <c r="D17" s="422">
        <f>+C17*(1+'Total Market Size'!D$136)</f>
        <v>829605.48164999997</v>
      </c>
      <c r="E17" s="422">
        <f>+D17*(1+'Total Market Size'!E$136)</f>
        <v>847856.80224630004</v>
      </c>
      <c r="F17" s="422">
        <f>+E17*(1+'Total Market Size'!F$136)</f>
        <v>867357.50869796483</v>
      </c>
      <c r="G17" s="422">
        <f>+F17*(1+'Total Market Size'!G$136)</f>
        <v>889041.44641541387</v>
      </c>
      <c r="H17" s="422">
        <f>+G17*(1+'Total Market Size'!H$136)</f>
        <v>910822.96185259148</v>
      </c>
      <c r="I17" s="422">
        <f>+H17*(1+'Total Market Size'!I$136)</f>
        <v>932682.71293705364</v>
      </c>
      <c r="J17" s="422">
        <f>+I17*(1+'Total Market Size'!J$136)</f>
        <v>954880.56150495552</v>
      </c>
      <c r="K17" s="422">
        <f>+J17*(1+'Total Market Size'!K$136)</f>
        <v>976842.81441956945</v>
      </c>
      <c r="L17" s="426">
        <f>+K17*(1+'Total Market Size'!L$136)</f>
        <v>999114.83058833552</v>
      </c>
      <c r="M17" s="601"/>
      <c r="N17" s="417">
        <f t="shared" ref="N17:N66" si="0">IF(M17="Fixed",1,0)</f>
        <v>0</v>
      </c>
      <c r="O17" s="414"/>
      <c r="P17" s="417"/>
      <c r="Q17" s="414"/>
      <c r="R17" s="417"/>
      <c r="S17" s="414"/>
      <c r="T17" s="417"/>
      <c r="U17" s="414"/>
      <c r="V17" s="417"/>
      <c r="W17" s="414"/>
      <c r="X17" s="417"/>
      <c r="Y17" s="414"/>
      <c r="Z17" s="417"/>
      <c r="AA17" s="414"/>
      <c r="AB17" s="417"/>
      <c r="AC17" s="414"/>
      <c r="AD17" s="417"/>
      <c r="AE17" s="414"/>
      <c r="AF17" s="417"/>
      <c r="AG17" s="414"/>
      <c r="AH17" s="417"/>
      <c r="AI17" s="414"/>
      <c r="AJ17" s="417"/>
      <c r="AK17" s="414"/>
      <c r="AL17" s="417"/>
      <c r="AM17" s="414"/>
      <c r="AN17" s="417"/>
      <c r="AO17" s="414"/>
      <c r="AP17" s="417"/>
      <c r="AQ17" s="414"/>
      <c r="AR17" s="417"/>
      <c r="AS17" s="414"/>
      <c r="AT17" s="417"/>
      <c r="AU17" s="414"/>
      <c r="AV17" s="417"/>
      <c r="AW17" s="414"/>
      <c r="AX17" s="417"/>
      <c r="AY17" s="414"/>
      <c r="AZ17" s="417"/>
      <c r="BA17" s="414"/>
      <c r="BB17" s="417"/>
      <c r="BC17" s="414"/>
      <c r="BD17" s="417"/>
      <c r="BE17" s="414"/>
      <c r="BF17" s="417"/>
      <c r="BG17" s="414"/>
      <c r="BH17" s="417"/>
      <c r="BI17" s="414"/>
      <c r="BJ17" s="417"/>
      <c r="BK17" s="414"/>
      <c r="BL17" s="417"/>
      <c r="BM17" s="414"/>
      <c r="BN17" s="417"/>
      <c r="BO17" s="414"/>
      <c r="BP17" s="417"/>
      <c r="BQ17" s="414"/>
      <c r="BR17" s="417"/>
      <c r="BS17" s="414"/>
      <c r="BT17" s="417"/>
      <c r="BU17" s="414"/>
      <c r="BV17" s="417"/>
      <c r="BW17" s="414"/>
      <c r="BX17" s="417"/>
      <c r="BY17" s="414"/>
      <c r="BZ17" s="417"/>
      <c r="CA17" s="414"/>
      <c r="CB17" s="417"/>
      <c r="CC17" s="414"/>
      <c r="CD17" s="417"/>
      <c r="CE17" s="414"/>
      <c r="CF17" s="417"/>
      <c r="CG17" s="414"/>
      <c r="CH17" s="417"/>
      <c r="CI17" s="414"/>
      <c r="CJ17" s="417"/>
      <c r="CK17" s="414"/>
      <c r="CL17" s="417"/>
      <c r="CM17" s="414"/>
      <c r="CN17" s="417"/>
      <c r="CO17" s="414"/>
      <c r="CP17" s="417"/>
      <c r="CQ17" s="414"/>
      <c r="CR17" s="417"/>
      <c r="CS17" s="414"/>
      <c r="CT17" s="417"/>
      <c r="CU17" s="414"/>
      <c r="CV17" s="417"/>
      <c r="CW17" s="414"/>
      <c r="CX17" s="417"/>
      <c r="CY17" s="414"/>
      <c r="CZ17" s="417"/>
      <c r="DA17" s="414"/>
      <c r="DB17" s="417"/>
      <c r="DC17" s="414"/>
      <c r="DD17" s="417"/>
      <c r="DE17" s="414"/>
      <c r="DF17" s="417"/>
      <c r="DG17" s="414"/>
      <c r="DH17" s="417"/>
      <c r="DI17" s="414"/>
      <c r="DJ17" s="417"/>
      <c r="DK17" s="414"/>
      <c r="DL17" s="417"/>
      <c r="DM17" s="414"/>
      <c r="DN17" s="417"/>
      <c r="DO17" s="414"/>
      <c r="DP17" s="417"/>
      <c r="DQ17" s="414"/>
      <c r="DR17" s="417"/>
      <c r="DS17" s="414"/>
      <c r="DT17" s="417"/>
      <c r="DU17" s="414"/>
      <c r="DV17" s="417"/>
      <c r="DW17" s="414"/>
      <c r="DX17" s="417"/>
      <c r="DY17" s="414"/>
      <c r="DZ17" s="417"/>
      <c r="EA17" s="414"/>
      <c r="EB17" s="417"/>
      <c r="EC17" s="414"/>
      <c r="ED17" s="417"/>
      <c r="EE17" s="414"/>
      <c r="EF17" s="417"/>
      <c r="EG17" s="414"/>
      <c r="EH17" s="417"/>
      <c r="EI17" s="414"/>
      <c r="EJ17" s="417"/>
      <c r="EK17" s="414"/>
      <c r="EL17" s="417"/>
      <c r="EM17" s="414"/>
      <c r="EN17" s="417"/>
      <c r="EO17" s="414"/>
      <c r="EP17" s="417"/>
      <c r="EQ17" s="414"/>
      <c r="ER17" s="417"/>
      <c r="ES17" s="414"/>
      <c r="ET17" s="417"/>
      <c r="EU17" s="414"/>
      <c r="EV17" s="417"/>
      <c r="EW17" s="414"/>
      <c r="EX17" s="417"/>
      <c r="EY17" s="414"/>
      <c r="EZ17" s="417"/>
      <c r="FA17" s="414"/>
      <c r="FB17" s="417"/>
      <c r="FC17" s="414"/>
      <c r="FD17" s="417"/>
      <c r="FE17" s="414"/>
      <c r="FF17" s="417"/>
      <c r="FG17" s="414"/>
      <c r="FH17" s="417"/>
      <c r="FI17" s="414"/>
      <c r="FJ17" s="417"/>
      <c r="FK17" s="414"/>
      <c r="FL17" s="417"/>
      <c r="FM17" s="414"/>
      <c r="FN17" s="417"/>
      <c r="FO17" s="414"/>
      <c r="FP17" s="417"/>
      <c r="FQ17" s="414"/>
      <c r="FR17" s="417"/>
      <c r="FS17" s="414"/>
      <c r="FT17" s="417"/>
      <c r="FU17" s="414"/>
      <c r="FV17" s="417"/>
      <c r="FW17" s="414"/>
      <c r="FX17" s="417"/>
      <c r="FY17" s="414"/>
      <c r="FZ17" s="417"/>
      <c r="GA17" s="414"/>
      <c r="GB17" s="417"/>
      <c r="GC17" s="414"/>
      <c r="GD17" s="417"/>
      <c r="GE17" s="414"/>
      <c r="GF17" s="417"/>
      <c r="GG17" s="414"/>
      <c r="GH17" s="417"/>
      <c r="GI17" s="414"/>
      <c r="GJ17" s="417"/>
      <c r="GK17" s="414"/>
      <c r="GL17" s="417"/>
      <c r="GM17" s="414"/>
      <c r="GN17" s="417"/>
      <c r="GO17" s="414"/>
      <c r="GP17" s="417"/>
      <c r="GQ17" s="414"/>
      <c r="GR17" s="417"/>
      <c r="GS17" s="414"/>
      <c r="GT17" s="417"/>
      <c r="GU17" s="414"/>
      <c r="GV17" s="417"/>
      <c r="GW17" s="414"/>
      <c r="GX17" s="417"/>
      <c r="GY17" s="414"/>
      <c r="GZ17" s="417"/>
      <c r="HA17" s="414"/>
      <c r="HB17" s="417"/>
      <c r="HC17" s="414"/>
      <c r="HD17" s="417"/>
      <c r="HE17" s="414"/>
      <c r="HF17" s="417"/>
      <c r="HG17" s="414"/>
      <c r="HH17" s="417"/>
      <c r="HI17" s="414"/>
      <c r="HJ17" s="417"/>
      <c r="HK17" s="414"/>
      <c r="HL17" s="417"/>
      <c r="HM17" s="414"/>
      <c r="HN17" s="417"/>
      <c r="HO17" s="414"/>
      <c r="HP17" s="417"/>
      <c r="HQ17" s="414"/>
      <c r="HR17" s="417"/>
      <c r="HS17" s="414"/>
      <c r="HT17" s="417"/>
      <c r="HU17" s="414"/>
      <c r="HV17" s="417"/>
      <c r="HW17" s="414"/>
      <c r="HX17" s="417"/>
      <c r="HY17" s="414"/>
      <c r="HZ17" s="417"/>
      <c r="IA17" s="414"/>
      <c r="IB17" s="417"/>
      <c r="IC17" s="414"/>
      <c r="ID17" s="417"/>
      <c r="IE17" s="414"/>
      <c r="IF17" s="417"/>
      <c r="IG17" s="414"/>
      <c r="IH17" s="417"/>
      <c r="II17" s="414"/>
      <c r="IJ17" s="417"/>
      <c r="IK17" s="414"/>
      <c r="IL17" s="417"/>
      <c r="IM17" s="414"/>
      <c r="IN17" s="417"/>
      <c r="IO17" s="414"/>
      <c r="IP17" s="417"/>
      <c r="IQ17" s="414"/>
      <c r="IR17" s="417"/>
      <c r="IS17" s="414"/>
      <c r="IT17" s="417"/>
      <c r="IU17" s="414"/>
      <c r="IV17" s="417"/>
    </row>
    <row r="18" spans="1:256" s="418" customFormat="1" ht="13.5" x14ac:dyDescent="0.25">
      <c r="A18" s="419" t="s">
        <v>395</v>
      </c>
      <c r="B18" s="422">
        <f>208269.836979167/2</f>
        <v>104134.91848958351</v>
      </c>
      <c r="C18" s="422">
        <f>+B18*(1+'Total Market Size'!C$136)</f>
        <v>106530.02161484392</v>
      </c>
      <c r="D18" s="422">
        <f>+C18*(1+'Total Market Size'!D$136)</f>
        <v>108660.6220471408</v>
      </c>
      <c r="E18" s="422">
        <f>+D18*(1+'Total Market Size'!E$136)</f>
        <v>111051.1557321779</v>
      </c>
      <c r="F18" s="422">
        <f>+E18*(1+'Total Market Size'!F$136)</f>
        <v>113605.33231401797</v>
      </c>
      <c r="G18" s="422">
        <f>+F18*(1+'Total Market Size'!G$136)</f>
        <v>116445.46562186841</v>
      </c>
      <c r="H18" s="422">
        <f>+G18*(1+'Total Market Size'!H$136)</f>
        <v>119298.37952960418</v>
      </c>
      <c r="I18" s="422">
        <f>+H18*(1+'Total Market Size'!I$136)</f>
        <v>122161.54063831468</v>
      </c>
      <c r="J18" s="422">
        <f>+I18*(1+'Total Market Size'!J$136)</f>
        <v>125068.98530550658</v>
      </c>
      <c r="K18" s="422">
        <f>+J18*(1+'Total Market Size'!K$136)</f>
        <v>127945.57196753322</v>
      </c>
      <c r="L18" s="426">
        <f>+K18*(1+'Total Market Size'!L$136)</f>
        <v>130862.73100839298</v>
      </c>
      <c r="M18" s="601" t="s">
        <v>506</v>
      </c>
      <c r="N18" s="417">
        <f t="shared" si="0"/>
        <v>1</v>
      </c>
      <c r="O18" s="419"/>
      <c r="P18" s="417"/>
      <c r="Q18" s="419"/>
      <c r="R18" s="417"/>
      <c r="S18" s="419"/>
      <c r="T18" s="417"/>
      <c r="U18" s="419"/>
      <c r="V18" s="417"/>
      <c r="W18" s="419"/>
      <c r="X18" s="417"/>
      <c r="Y18" s="419"/>
      <c r="Z18" s="417"/>
      <c r="AA18" s="419"/>
      <c r="AB18" s="417"/>
      <c r="AC18" s="419"/>
      <c r="AD18" s="417"/>
      <c r="AE18" s="419"/>
      <c r="AF18" s="417"/>
      <c r="AG18" s="419"/>
      <c r="AH18" s="417"/>
      <c r="AI18" s="419"/>
      <c r="AJ18" s="417"/>
      <c r="AK18" s="419"/>
      <c r="AL18" s="417"/>
      <c r="AM18" s="419"/>
      <c r="AN18" s="417"/>
      <c r="AO18" s="419"/>
      <c r="AP18" s="417"/>
      <c r="AQ18" s="419"/>
      <c r="AR18" s="417"/>
      <c r="AS18" s="419"/>
      <c r="AT18" s="417"/>
      <c r="AU18" s="419"/>
      <c r="AV18" s="417"/>
      <c r="AW18" s="419"/>
      <c r="AX18" s="417"/>
      <c r="AY18" s="419"/>
      <c r="AZ18" s="417"/>
      <c r="BA18" s="419"/>
      <c r="BB18" s="417"/>
      <c r="BC18" s="419"/>
      <c r="BD18" s="417"/>
      <c r="BE18" s="419"/>
      <c r="BF18" s="417"/>
      <c r="BG18" s="419"/>
      <c r="BH18" s="417"/>
      <c r="BI18" s="419"/>
      <c r="BJ18" s="417"/>
      <c r="BK18" s="419"/>
      <c r="BL18" s="417"/>
      <c r="BM18" s="419"/>
      <c r="BN18" s="417"/>
      <c r="BO18" s="419"/>
      <c r="BP18" s="417"/>
      <c r="BQ18" s="419"/>
      <c r="BR18" s="417"/>
      <c r="BS18" s="419"/>
      <c r="BT18" s="417"/>
      <c r="BU18" s="419"/>
      <c r="BV18" s="417"/>
      <c r="BW18" s="419"/>
      <c r="BX18" s="417"/>
      <c r="BY18" s="419"/>
      <c r="BZ18" s="417"/>
      <c r="CA18" s="419"/>
      <c r="CB18" s="417"/>
      <c r="CC18" s="419"/>
      <c r="CD18" s="417"/>
      <c r="CE18" s="419"/>
      <c r="CF18" s="417"/>
      <c r="CG18" s="419"/>
      <c r="CH18" s="417"/>
      <c r="CI18" s="419"/>
      <c r="CJ18" s="417"/>
      <c r="CK18" s="419"/>
      <c r="CL18" s="417"/>
      <c r="CM18" s="419"/>
      <c r="CN18" s="417"/>
      <c r="CO18" s="419"/>
      <c r="CP18" s="417"/>
      <c r="CQ18" s="419"/>
      <c r="CR18" s="417"/>
      <c r="CS18" s="419"/>
      <c r="CT18" s="417"/>
      <c r="CU18" s="419"/>
      <c r="CV18" s="417"/>
      <c r="CW18" s="419"/>
      <c r="CX18" s="417"/>
      <c r="CY18" s="419"/>
      <c r="CZ18" s="417"/>
      <c r="DA18" s="419"/>
      <c r="DB18" s="417"/>
      <c r="DC18" s="419"/>
      <c r="DD18" s="417"/>
      <c r="DE18" s="419"/>
      <c r="DF18" s="417"/>
      <c r="DG18" s="419"/>
      <c r="DH18" s="417"/>
      <c r="DI18" s="419"/>
      <c r="DJ18" s="417"/>
      <c r="DK18" s="419"/>
      <c r="DL18" s="417"/>
      <c r="DM18" s="419"/>
      <c r="DN18" s="417"/>
      <c r="DO18" s="419"/>
      <c r="DP18" s="417"/>
      <c r="DQ18" s="419"/>
      <c r="DR18" s="417"/>
      <c r="DS18" s="419"/>
      <c r="DT18" s="417"/>
      <c r="DU18" s="419"/>
      <c r="DV18" s="417"/>
      <c r="DW18" s="419"/>
      <c r="DX18" s="417"/>
      <c r="DY18" s="419"/>
      <c r="DZ18" s="417"/>
      <c r="EA18" s="419"/>
      <c r="EB18" s="417"/>
      <c r="EC18" s="419"/>
      <c r="ED18" s="417"/>
      <c r="EE18" s="419"/>
      <c r="EF18" s="417"/>
      <c r="EG18" s="419"/>
      <c r="EH18" s="417"/>
      <c r="EI18" s="419"/>
      <c r="EJ18" s="417"/>
      <c r="EK18" s="419"/>
      <c r="EL18" s="417"/>
      <c r="EM18" s="419"/>
      <c r="EN18" s="417"/>
      <c r="EO18" s="419"/>
      <c r="EP18" s="417"/>
      <c r="EQ18" s="419"/>
      <c r="ER18" s="417"/>
      <c r="ES18" s="419"/>
      <c r="ET18" s="417"/>
      <c r="EU18" s="419"/>
      <c r="EV18" s="417"/>
      <c r="EW18" s="419"/>
      <c r="EX18" s="417"/>
      <c r="EY18" s="419"/>
      <c r="EZ18" s="417"/>
      <c r="FA18" s="419"/>
      <c r="FB18" s="417"/>
      <c r="FC18" s="419"/>
      <c r="FD18" s="417"/>
      <c r="FE18" s="419"/>
      <c r="FF18" s="417"/>
      <c r="FG18" s="419"/>
      <c r="FH18" s="417"/>
      <c r="FI18" s="419"/>
      <c r="FJ18" s="417"/>
      <c r="FK18" s="419"/>
      <c r="FL18" s="417"/>
      <c r="FM18" s="419"/>
      <c r="FN18" s="417"/>
      <c r="FO18" s="419"/>
      <c r="FP18" s="417"/>
      <c r="FQ18" s="419"/>
      <c r="FR18" s="417"/>
      <c r="FS18" s="419"/>
      <c r="FT18" s="417"/>
      <c r="FU18" s="419"/>
      <c r="FV18" s="417"/>
      <c r="FW18" s="419"/>
      <c r="FX18" s="417"/>
      <c r="FY18" s="419"/>
      <c r="FZ18" s="417"/>
      <c r="GA18" s="419"/>
      <c r="GB18" s="417"/>
      <c r="GC18" s="419"/>
      <c r="GD18" s="417"/>
      <c r="GE18" s="419"/>
      <c r="GF18" s="417"/>
      <c r="GG18" s="419"/>
      <c r="GH18" s="417"/>
      <c r="GI18" s="419"/>
      <c r="GJ18" s="417"/>
      <c r="GK18" s="419"/>
      <c r="GL18" s="417"/>
      <c r="GM18" s="419"/>
      <c r="GN18" s="417"/>
      <c r="GO18" s="419"/>
      <c r="GP18" s="417"/>
      <c r="GQ18" s="419"/>
      <c r="GR18" s="417"/>
      <c r="GS18" s="419"/>
      <c r="GT18" s="417"/>
      <c r="GU18" s="419"/>
      <c r="GV18" s="417"/>
      <c r="GW18" s="419"/>
      <c r="GX18" s="417"/>
      <c r="GY18" s="419"/>
      <c r="GZ18" s="417"/>
      <c r="HA18" s="419"/>
      <c r="HB18" s="417"/>
      <c r="HC18" s="419"/>
      <c r="HD18" s="417"/>
      <c r="HE18" s="419"/>
      <c r="HF18" s="417"/>
      <c r="HG18" s="419"/>
      <c r="HH18" s="417"/>
      <c r="HI18" s="419"/>
      <c r="HJ18" s="417"/>
      <c r="HK18" s="419"/>
      <c r="HL18" s="417"/>
      <c r="HM18" s="419"/>
      <c r="HN18" s="417"/>
      <c r="HO18" s="419"/>
      <c r="HP18" s="417"/>
      <c r="HQ18" s="419"/>
      <c r="HR18" s="417"/>
      <c r="HS18" s="419"/>
      <c r="HT18" s="417"/>
      <c r="HU18" s="419"/>
      <c r="HV18" s="417"/>
      <c r="HW18" s="419"/>
      <c r="HX18" s="417"/>
      <c r="HY18" s="419"/>
      <c r="HZ18" s="417"/>
      <c r="IA18" s="419"/>
      <c r="IB18" s="417"/>
      <c r="IC18" s="419"/>
      <c r="ID18" s="417"/>
      <c r="IE18" s="419"/>
      <c r="IF18" s="417"/>
      <c r="IG18" s="419"/>
      <c r="IH18" s="417"/>
      <c r="II18" s="419"/>
      <c r="IJ18" s="417"/>
      <c r="IK18" s="419"/>
      <c r="IL18" s="417"/>
      <c r="IM18" s="419"/>
      <c r="IN18" s="417"/>
      <c r="IO18" s="419"/>
      <c r="IP18" s="417"/>
      <c r="IQ18" s="419"/>
      <c r="IR18" s="417"/>
      <c r="IS18" s="419"/>
      <c r="IT18" s="417"/>
      <c r="IU18" s="419"/>
      <c r="IV18" s="417"/>
    </row>
    <row r="19" spans="1:256" s="418" customFormat="1" ht="13.5" x14ac:dyDescent="0.25">
      <c r="A19" s="415" t="s">
        <v>396</v>
      </c>
      <c r="B19" s="421">
        <f>95812.1041666667/2</f>
        <v>47906.05208333335</v>
      </c>
      <c r="C19" s="421">
        <f>+B19*(1+'Total Market Size'!C$136)</f>
        <v>49007.891281250013</v>
      </c>
      <c r="D19" s="421">
        <f>+C19*(1+'Total Market Size'!D$136)</f>
        <v>49988.049106875013</v>
      </c>
      <c r="E19" s="421">
        <f>+D19*(1+'Total Market Size'!E$136)</f>
        <v>51087.786187226266</v>
      </c>
      <c r="F19" s="421">
        <f>+E19*(1+'Total Market Size'!F$136)</f>
        <v>52262.805269532466</v>
      </c>
      <c r="G19" s="421">
        <f>+F19*(1+'Total Market Size'!G$136)</f>
        <v>53569.375401270772</v>
      </c>
      <c r="H19" s="421">
        <f>+G19*(1+'Total Market Size'!H$136)</f>
        <v>54881.825098601905</v>
      </c>
      <c r="I19" s="421">
        <f>+H19*(1+'Total Market Size'!I$136)</f>
        <v>56198.988900968354</v>
      </c>
      <c r="J19" s="421">
        <f>+I19*(1+'Total Market Size'!J$136)</f>
        <v>57536.524836811404</v>
      </c>
      <c r="K19" s="421">
        <f>+J19*(1+'Total Market Size'!K$136)</f>
        <v>58859.864908058058</v>
      </c>
      <c r="L19" s="425">
        <f>+K19*(1+'Total Market Size'!L$136)</f>
        <v>60201.869827961775</v>
      </c>
      <c r="M19" s="601" t="s">
        <v>506</v>
      </c>
      <c r="N19" s="417">
        <f t="shared" si="0"/>
        <v>1</v>
      </c>
      <c r="O19" s="415"/>
      <c r="P19" s="417"/>
      <c r="Q19" s="415"/>
      <c r="R19" s="417"/>
      <c r="S19" s="415"/>
      <c r="T19" s="417"/>
      <c r="U19" s="415"/>
      <c r="V19" s="417"/>
      <c r="W19" s="415"/>
      <c r="X19" s="417"/>
      <c r="Y19" s="415"/>
      <c r="Z19" s="417"/>
      <c r="AA19" s="415"/>
      <c r="AB19" s="417"/>
      <c r="AC19" s="415"/>
      <c r="AD19" s="417"/>
      <c r="AE19" s="415"/>
      <c r="AF19" s="417"/>
      <c r="AG19" s="415"/>
      <c r="AH19" s="417"/>
      <c r="AI19" s="415"/>
      <c r="AJ19" s="417"/>
      <c r="AK19" s="415"/>
      <c r="AL19" s="417"/>
      <c r="AM19" s="415"/>
      <c r="AN19" s="417"/>
      <c r="AO19" s="415"/>
      <c r="AP19" s="417"/>
      <c r="AQ19" s="415"/>
      <c r="AR19" s="417"/>
      <c r="AS19" s="415"/>
      <c r="AT19" s="417"/>
      <c r="AU19" s="415"/>
      <c r="AV19" s="417"/>
      <c r="AW19" s="415"/>
      <c r="AX19" s="417"/>
      <c r="AY19" s="415"/>
      <c r="AZ19" s="417"/>
      <c r="BA19" s="415"/>
      <c r="BB19" s="417"/>
      <c r="BC19" s="415"/>
      <c r="BD19" s="417"/>
      <c r="BE19" s="415"/>
      <c r="BF19" s="417"/>
      <c r="BG19" s="415"/>
      <c r="BH19" s="417"/>
      <c r="BI19" s="415"/>
      <c r="BJ19" s="417"/>
      <c r="BK19" s="415"/>
      <c r="BL19" s="417"/>
      <c r="BM19" s="415"/>
      <c r="BN19" s="417"/>
      <c r="BO19" s="415"/>
      <c r="BP19" s="417"/>
      <c r="BQ19" s="415"/>
      <c r="BR19" s="417"/>
      <c r="BS19" s="415"/>
      <c r="BT19" s="417"/>
      <c r="BU19" s="415"/>
      <c r="BV19" s="417"/>
      <c r="BW19" s="415"/>
      <c r="BX19" s="417"/>
      <c r="BY19" s="415"/>
      <c r="BZ19" s="417"/>
      <c r="CA19" s="415"/>
      <c r="CB19" s="417"/>
      <c r="CC19" s="415"/>
      <c r="CD19" s="417"/>
      <c r="CE19" s="415"/>
      <c r="CF19" s="417"/>
      <c r="CG19" s="415"/>
      <c r="CH19" s="417"/>
      <c r="CI19" s="415"/>
      <c r="CJ19" s="417"/>
      <c r="CK19" s="415"/>
      <c r="CL19" s="417"/>
      <c r="CM19" s="415"/>
      <c r="CN19" s="417"/>
      <c r="CO19" s="415"/>
      <c r="CP19" s="417"/>
      <c r="CQ19" s="415"/>
      <c r="CR19" s="417"/>
      <c r="CS19" s="415"/>
      <c r="CT19" s="417"/>
      <c r="CU19" s="415"/>
      <c r="CV19" s="417"/>
      <c r="CW19" s="415"/>
      <c r="CX19" s="417"/>
      <c r="CY19" s="415"/>
      <c r="CZ19" s="417"/>
      <c r="DA19" s="415"/>
      <c r="DB19" s="417"/>
      <c r="DC19" s="415"/>
      <c r="DD19" s="417"/>
      <c r="DE19" s="415"/>
      <c r="DF19" s="417"/>
      <c r="DG19" s="415"/>
      <c r="DH19" s="417"/>
      <c r="DI19" s="415"/>
      <c r="DJ19" s="417"/>
      <c r="DK19" s="415"/>
      <c r="DL19" s="417"/>
      <c r="DM19" s="415"/>
      <c r="DN19" s="417"/>
      <c r="DO19" s="415"/>
      <c r="DP19" s="417"/>
      <c r="DQ19" s="415"/>
      <c r="DR19" s="417"/>
      <c r="DS19" s="415"/>
      <c r="DT19" s="417"/>
      <c r="DU19" s="415"/>
      <c r="DV19" s="417"/>
      <c r="DW19" s="415"/>
      <c r="DX19" s="417"/>
      <c r="DY19" s="415"/>
      <c r="DZ19" s="417"/>
      <c r="EA19" s="415"/>
      <c r="EB19" s="417"/>
      <c r="EC19" s="415"/>
      <c r="ED19" s="417"/>
      <c r="EE19" s="415"/>
      <c r="EF19" s="417"/>
      <c r="EG19" s="415"/>
      <c r="EH19" s="417"/>
      <c r="EI19" s="415"/>
      <c r="EJ19" s="417"/>
      <c r="EK19" s="415"/>
      <c r="EL19" s="417"/>
      <c r="EM19" s="415"/>
      <c r="EN19" s="417"/>
      <c r="EO19" s="415"/>
      <c r="EP19" s="417"/>
      <c r="EQ19" s="415"/>
      <c r="ER19" s="417"/>
      <c r="ES19" s="415"/>
      <c r="ET19" s="417"/>
      <c r="EU19" s="415"/>
      <c r="EV19" s="417"/>
      <c r="EW19" s="415"/>
      <c r="EX19" s="417"/>
      <c r="EY19" s="415"/>
      <c r="EZ19" s="417"/>
      <c r="FA19" s="415"/>
      <c r="FB19" s="417"/>
      <c r="FC19" s="415"/>
      <c r="FD19" s="417"/>
      <c r="FE19" s="415"/>
      <c r="FF19" s="417"/>
      <c r="FG19" s="415"/>
      <c r="FH19" s="417"/>
      <c r="FI19" s="415"/>
      <c r="FJ19" s="417"/>
      <c r="FK19" s="415"/>
      <c r="FL19" s="417"/>
      <c r="FM19" s="415"/>
      <c r="FN19" s="417"/>
      <c r="FO19" s="415"/>
      <c r="FP19" s="417"/>
      <c r="FQ19" s="415"/>
      <c r="FR19" s="417"/>
      <c r="FS19" s="415"/>
      <c r="FT19" s="417"/>
      <c r="FU19" s="415"/>
      <c r="FV19" s="417"/>
      <c r="FW19" s="415"/>
      <c r="FX19" s="417"/>
      <c r="FY19" s="415"/>
      <c r="FZ19" s="417"/>
      <c r="GA19" s="415"/>
      <c r="GB19" s="417"/>
      <c r="GC19" s="415"/>
      <c r="GD19" s="417"/>
      <c r="GE19" s="415"/>
      <c r="GF19" s="417"/>
      <c r="GG19" s="415"/>
      <c r="GH19" s="417"/>
      <c r="GI19" s="415"/>
      <c r="GJ19" s="417"/>
      <c r="GK19" s="415"/>
      <c r="GL19" s="417"/>
      <c r="GM19" s="415"/>
      <c r="GN19" s="417"/>
      <c r="GO19" s="415"/>
      <c r="GP19" s="417"/>
      <c r="GQ19" s="415"/>
      <c r="GR19" s="417"/>
      <c r="GS19" s="415"/>
      <c r="GT19" s="417"/>
      <c r="GU19" s="415"/>
      <c r="GV19" s="417"/>
      <c r="GW19" s="415"/>
      <c r="GX19" s="417"/>
      <c r="GY19" s="415"/>
      <c r="GZ19" s="417"/>
      <c r="HA19" s="415"/>
      <c r="HB19" s="417"/>
      <c r="HC19" s="415"/>
      <c r="HD19" s="417"/>
      <c r="HE19" s="415"/>
      <c r="HF19" s="417"/>
      <c r="HG19" s="415"/>
      <c r="HH19" s="417"/>
      <c r="HI19" s="415"/>
      <c r="HJ19" s="417"/>
      <c r="HK19" s="415"/>
      <c r="HL19" s="417"/>
      <c r="HM19" s="415"/>
      <c r="HN19" s="417"/>
      <c r="HO19" s="415"/>
      <c r="HP19" s="417"/>
      <c r="HQ19" s="415"/>
      <c r="HR19" s="417"/>
      <c r="HS19" s="415"/>
      <c r="HT19" s="417"/>
      <c r="HU19" s="415"/>
      <c r="HV19" s="417"/>
      <c r="HW19" s="415"/>
      <c r="HX19" s="417"/>
      <c r="HY19" s="415"/>
      <c r="HZ19" s="417"/>
      <c r="IA19" s="415"/>
      <c r="IB19" s="417"/>
      <c r="IC19" s="415"/>
      <c r="ID19" s="417"/>
      <c r="IE19" s="415"/>
      <c r="IF19" s="417"/>
      <c r="IG19" s="415"/>
      <c r="IH19" s="417"/>
      <c r="II19" s="415"/>
      <c r="IJ19" s="417"/>
      <c r="IK19" s="415"/>
      <c r="IL19" s="417"/>
      <c r="IM19" s="415"/>
      <c r="IN19" s="417"/>
      <c r="IO19" s="415"/>
      <c r="IP19" s="417"/>
      <c r="IQ19" s="415"/>
      <c r="IR19" s="417"/>
      <c r="IS19" s="415"/>
      <c r="IT19" s="417"/>
      <c r="IU19" s="415"/>
      <c r="IV19" s="417"/>
    </row>
    <row r="20" spans="1:256" s="418" customFormat="1" ht="13.5" x14ac:dyDescent="0.25">
      <c r="A20" s="416" t="s">
        <v>397</v>
      </c>
      <c r="B20" s="422">
        <f>SUM(B18:B19)</f>
        <v>152040.97057291685</v>
      </c>
      <c r="C20" s="422">
        <f>+B20*(1+'Total Market Size'!C$136)</f>
        <v>155537.91289609391</v>
      </c>
      <c r="D20" s="422">
        <f>+C20*(1+'Total Market Size'!D$136)</f>
        <v>158648.67115401578</v>
      </c>
      <c r="E20" s="422">
        <f>+D20*(1+'Total Market Size'!E$136)</f>
        <v>162138.94191940414</v>
      </c>
      <c r="F20" s="422">
        <f>+E20*(1+'Total Market Size'!F$136)</f>
        <v>165868.13758355042</v>
      </c>
      <c r="G20" s="422">
        <f>+F20*(1+'Total Market Size'!G$136)</f>
        <v>170014.84102313916</v>
      </c>
      <c r="H20" s="422">
        <f>+G20*(1+'Total Market Size'!H$136)</f>
        <v>174180.20462820606</v>
      </c>
      <c r="I20" s="422">
        <f>+H20*(1+'Total Market Size'!I$136)</f>
        <v>178360.52953928302</v>
      </c>
      <c r="J20" s="422">
        <f>+I20*(1+'Total Market Size'!J$136)</f>
        <v>182605.51014231797</v>
      </c>
      <c r="K20" s="422">
        <f>+J20*(1+'Total Market Size'!K$136)</f>
        <v>186805.43687559126</v>
      </c>
      <c r="L20" s="426">
        <f>+K20*(1+'Total Market Size'!L$136)</f>
        <v>191064.60083635472</v>
      </c>
      <c r="M20" s="601"/>
      <c r="N20" s="417">
        <f t="shared" si="0"/>
        <v>0</v>
      </c>
      <c r="O20" s="416"/>
      <c r="P20" s="417"/>
      <c r="Q20" s="416"/>
      <c r="R20" s="417"/>
      <c r="S20" s="416"/>
      <c r="T20" s="417"/>
      <c r="U20" s="416"/>
      <c r="V20" s="417"/>
      <c r="W20" s="416"/>
      <c r="X20" s="417"/>
      <c r="Y20" s="416"/>
      <c r="Z20" s="417"/>
      <c r="AA20" s="416"/>
      <c r="AB20" s="417"/>
      <c r="AC20" s="416"/>
      <c r="AD20" s="417"/>
      <c r="AE20" s="416"/>
      <c r="AF20" s="417"/>
      <c r="AG20" s="416"/>
      <c r="AH20" s="417"/>
      <c r="AI20" s="416"/>
      <c r="AJ20" s="417"/>
      <c r="AK20" s="416"/>
      <c r="AL20" s="417"/>
      <c r="AM20" s="416"/>
      <c r="AN20" s="417"/>
      <c r="AO20" s="416"/>
      <c r="AP20" s="417"/>
      <c r="AQ20" s="416"/>
      <c r="AR20" s="417"/>
      <c r="AS20" s="416"/>
      <c r="AT20" s="417"/>
      <c r="AU20" s="416"/>
      <c r="AV20" s="417"/>
      <c r="AW20" s="416"/>
      <c r="AX20" s="417"/>
      <c r="AY20" s="416"/>
      <c r="AZ20" s="417"/>
      <c r="BA20" s="416"/>
      <c r="BB20" s="417"/>
      <c r="BC20" s="416"/>
      <c r="BD20" s="417"/>
      <c r="BE20" s="416"/>
      <c r="BF20" s="417"/>
      <c r="BG20" s="416"/>
      <c r="BH20" s="417"/>
      <c r="BI20" s="416"/>
      <c r="BJ20" s="417"/>
      <c r="BK20" s="416"/>
      <c r="BL20" s="417"/>
      <c r="BM20" s="416"/>
      <c r="BN20" s="417"/>
      <c r="BO20" s="416"/>
      <c r="BP20" s="417"/>
      <c r="BQ20" s="416"/>
      <c r="BR20" s="417"/>
      <c r="BS20" s="416"/>
      <c r="BT20" s="417"/>
      <c r="BU20" s="416"/>
      <c r="BV20" s="417"/>
      <c r="BW20" s="416"/>
      <c r="BX20" s="417"/>
      <c r="BY20" s="416"/>
      <c r="BZ20" s="417"/>
      <c r="CA20" s="416"/>
      <c r="CB20" s="417"/>
      <c r="CC20" s="416"/>
      <c r="CD20" s="417"/>
      <c r="CE20" s="416"/>
      <c r="CF20" s="417"/>
      <c r="CG20" s="416"/>
      <c r="CH20" s="417"/>
      <c r="CI20" s="416"/>
      <c r="CJ20" s="417"/>
      <c r="CK20" s="416"/>
      <c r="CL20" s="417"/>
      <c r="CM20" s="416"/>
      <c r="CN20" s="417"/>
      <c r="CO20" s="416"/>
      <c r="CP20" s="417"/>
      <c r="CQ20" s="416"/>
      <c r="CR20" s="417"/>
      <c r="CS20" s="416"/>
      <c r="CT20" s="417"/>
      <c r="CU20" s="416"/>
      <c r="CV20" s="417"/>
      <c r="CW20" s="416"/>
      <c r="CX20" s="417"/>
      <c r="CY20" s="416"/>
      <c r="CZ20" s="417"/>
      <c r="DA20" s="416"/>
      <c r="DB20" s="417"/>
      <c r="DC20" s="416"/>
      <c r="DD20" s="417"/>
      <c r="DE20" s="416"/>
      <c r="DF20" s="417"/>
      <c r="DG20" s="416"/>
      <c r="DH20" s="417"/>
      <c r="DI20" s="416"/>
      <c r="DJ20" s="417"/>
      <c r="DK20" s="416"/>
      <c r="DL20" s="417"/>
      <c r="DM20" s="416"/>
      <c r="DN20" s="417"/>
      <c r="DO20" s="416"/>
      <c r="DP20" s="417"/>
      <c r="DQ20" s="416"/>
      <c r="DR20" s="417"/>
      <c r="DS20" s="416"/>
      <c r="DT20" s="417"/>
      <c r="DU20" s="416"/>
      <c r="DV20" s="417"/>
      <c r="DW20" s="416"/>
      <c r="DX20" s="417"/>
      <c r="DY20" s="416"/>
      <c r="DZ20" s="417"/>
      <c r="EA20" s="416"/>
      <c r="EB20" s="417"/>
      <c r="EC20" s="416"/>
      <c r="ED20" s="417"/>
      <c r="EE20" s="416"/>
      <c r="EF20" s="417"/>
      <c r="EG20" s="416"/>
      <c r="EH20" s="417"/>
      <c r="EI20" s="416"/>
      <c r="EJ20" s="417"/>
      <c r="EK20" s="416"/>
      <c r="EL20" s="417"/>
      <c r="EM20" s="416"/>
      <c r="EN20" s="417"/>
      <c r="EO20" s="416"/>
      <c r="EP20" s="417"/>
      <c r="EQ20" s="416"/>
      <c r="ER20" s="417"/>
      <c r="ES20" s="416"/>
      <c r="ET20" s="417"/>
      <c r="EU20" s="416"/>
      <c r="EV20" s="417"/>
      <c r="EW20" s="416"/>
      <c r="EX20" s="417"/>
      <c r="EY20" s="416"/>
      <c r="EZ20" s="417"/>
      <c r="FA20" s="416"/>
      <c r="FB20" s="417"/>
      <c r="FC20" s="416"/>
      <c r="FD20" s="417"/>
      <c r="FE20" s="416"/>
      <c r="FF20" s="417"/>
      <c r="FG20" s="416"/>
      <c r="FH20" s="417"/>
      <c r="FI20" s="416"/>
      <c r="FJ20" s="417"/>
      <c r="FK20" s="416"/>
      <c r="FL20" s="417"/>
      <c r="FM20" s="416"/>
      <c r="FN20" s="417"/>
      <c r="FO20" s="416"/>
      <c r="FP20" s="417"/>
      <c r="FQ20" s="416"/>
      <c r="FR20" s="417"/>
      <c r="FS20" s="416"/>
      <c r="FT20" s="417"/>
      <c r="FU20" s="416"/>
      <c r="FV20" s="417"/>
      <c r="FW20" s="416"/>
      <c r="FX20" s="417"/>
      <c r="FY20" s="416"/>
      <c r="FZ20" s="417"/>
      <c r="GA20" s="416"/>
      <c r="GB20" s="417"/>
      <c r="GC20" s="416"/>
      <c r="GD20" s="417"/>
      <c r="GE20" s="416"/>
      <c r="GF20" s="417"/>
      <c r="GG20" s="416"/>
      <c r="GH20" s="417"/>
      <c r="GI20" s="416"/>
      <c r="GJ20" s="417"/>
      <c r="GK20" s="416"/>
      <c r="GL20" s="417"/>
      <c r="GM20" s="416"/>
      <c r="GN20" s="417"/>
      <c r="GO20" s="416"/>
      <c r="GP20" s="417"/>
      <c r="GQ20" s="416"/>
      <c r="GR20" s="417"/>
      <c r="GS20" s="416"/>
      <c r="GT20" s="417"/>
      <c r="GU20" s="416"/>
      <c r="GV20" s="417"/>
      <c r="GW20" s="416"/>
      <c r="GX20" s="417"/>
      <c r="GY20" s="416"/>
      <c r="GZ20" s="417"/>
      <c r="HA20" s="416"/>
      <c r="HB20" s="417"/>
      <c r="HC20" s="416"/>
      <c r="HD20" s="417"/>
      <c r="HE20" s="416"/>
      <c r="HF20" s="417"/>
      <c r="HG20" s="416"/>
      <c r="HH20" s="417"/>
      <c r="HI20" s="416"/>
      <c r="HJ20" s="417"/>
      <c r="HK20" s="416"/>
      <c r="HL20" s="417"/>
      <c r="HM20" s="416"/>
      <c r="HN20" s="417"/>
      <c r="HO20" s="416"/>
      <c r="HP20" s="417"/>
      <c r="HQ20" s="416"/>
      <c r="HR20" s="417"/>
      <c r="HS20" s="416"/>
      <c r="HT20" s="417"/>
      <c r="HU20" s="416"/>
      <c r="HV20" s="417"/>
      <c r="HW20" s="416"/>
      <c r="HX20" s="417"/>
      <c r="HY20" s="416"/>
      <c r="HZ20" s="417"/>
      <c r="IA20" s="416"/>
      <c r="IB20" s="417"/>
      <c r="IC20" s="416"/>
      <c r="ID20" s="417"/>
      <c r="IE20" s="416"/>
      <c r="IF20" s="417"/>
      <c r="IG20" s="416"/>
      <c r="IH20" s="417"/>
      <c r="II20" s="416"/>
      <c r="IJ20" s="417"/>
      <c r="IK20" s="416"/>
      <c r="IL20" s="417"/>
      <c r="IM20" s="416"/>
      <c r="IN20" s="417"/>
      <c r="IO20" s="416"/>
      <c r="IP20" s="417"/>
      <c r="IQ20" s="416"/>
      <c r="IR20" s="417"/>
      <c r="IS20" s="416"/>
      <c r="IT20" s="417"/>
      <c r="IU20" s="416"/>
      <c r="IV20" s="417"/>
    </row>
    <row r="21" spans="1:256" s="418" customFormat="1" ht="13.5" x14ac:dyDescent="0.25">
      <c r="A21" s="415" t="s">
        <v>398</v>
      </c>
      <c r="B21" s="422">
        <v>5000</v>
      </c>
      <c r="C21" s="422">
        <f>+B21*(1+'Total Market Size'!C$136)</f>
        <v>5115</v>
      </c>
      <c r="D21" s="422">
        <f>+C21*(1+'Total Market Size'!D$136)</f>
        <v>5217.3</v>
      </c>
      <c r="E21" s="422">
        <f>+D21*(1+'Total Market Size'!E$136)</f>
        <v>5332.0806000000002</v>
      </c>
      <c r="F21" s="422">
        <f>+E21*(1+'Total Market Size'!F$136)</f>
        <v>5454.7184538000001</v>
      </c>
      <c r="G21" s="422">
        <f>+F21*(1+'Total Market Size'!G$136)</f>
        <v>5591.0864151449996</v>
      </c>
      <c r="H21" s="422">
        <f>+G21*(1+'Total Market Size'!H$136)</f>
        <v>5728.0680323160523</v>
      </c>
      <c r="I21" s="422">
        <f>+H21*(1+'Total Market Size'!I$136)</f>
        <v>5865.5416650916377</v>
      </c>
      <c r="J21" s="422">
        <f>+I21*(1+'Total Market Size'!J$136)</f>
        <v>6005.1415567208187</v>
      </c>
      <c r="K21" s="422">
        <f>+J21*(1+'Total Market Size'!K$136)</f>
        <v>6143.2598125253971</v>
      </c>
      <c r="L21" s="426">
        <f>+K21*(1+'Total Market Size'!L$136)</f>
        <v>6283.3261362509757</v>
      </c>
      <c r="M21" s="601" t="s">
        <v>506</v>
      </c>
      <c r="N21" s="417">
        <f t="shared" si="0"/>
        <v>1</v>
      </c>
      <c r="O21" s="415"/>
      <c r="P21" s="417"/>
      <c r="Q21" s="415"/>
      <c r="R21" s="417"/>
      <c r="S21" s="415"/>
      <c r="T21" s="417"/>
      <c r="U21" s="415"/>
      <c r="V21" s="417"/>
      <c r="W21" s="415"/>
      <c r="X21" s="417"/>
      <c r="Y21" s="415"/>
      <c r="Z21" s="417"/>
      <c r="AA21" s="415"/>
      <c r="AB21" s="417"/>
      <c r="AC21" s="415"/>
      <c r="AD21" s="417"/>
      <c r="AE21" s="415"/>
      <c r="AF21" s="417"/>
      <c r="AG21" s="415"/>
      <c r="AH21" s="417"/>
      <c r="AI21" s="415"/>
      <c r="AJ21" s="417"/>
      <c r="AK21" s="415"/>
      <c r="AL21" s="417"/>
      <c r="AM21" s="415"/>
      <c r="AN21" s="417"/>
      <c r="AO21" s="415"/>
      <c r="AP21" s="417"/>
      <c r="AQ21" s="415"/>
      <c r="AR21" s="417"/>
      <c r="AS21" s="415"/>
      <c r="AT21" s="417"/>
      <c r="AU21" s="415"/>
      <c r="AV21" s="417"/>
      <c r="AW21" s="415"/>
      <c r="AX21" s="417"/>
      <c r="AY21" s="415"/>
      <c r="AZ21" s="417"/>
      <c r="BA21" s="415"/>
      <c r="BB21" s="417"/>
      <c r="BC21" s="415"/>
      <c r="BD21" s="417"/>
      <c r="BE21" s="415"/>
      <c r="BF21" s="417"/>
      <c r="BG21" s="415"/>
      <c r="BH21" s="417"/>
      <c r="BI21" s="415"/>
      <c r="BJ21" s="417"/>
      <c r="BK21" s="415"/>
      <c r="BL21" s="417"/>
      <c r="BM21" s="415"/>
      <c r="BN21" s="417"/>
      <c r="BO21" s="415"/>
      <c r="BP21" s="417"/>
      <c r="BQ21" s="415"/>
      <c r="BR21" s="417"/>
      <c r="BS21" s="415"/>
      <c r="BT21" s="417"/>
      <c r="BU21" s="415"/>
      <c r="BV21" s="417"/>
      <c r="BW21" s="415"/>
      <c r="BX21" s="417"/>
      <c r="BY21" s="415"/>
      <c r="BZ21" s="417"/>
      <c r="CA21" s="415"/>
      <c r="CB21" s="417"/>
      <c r="CC21" s="415"/>
      <c r="CD21" s="417"/>
      <c r="CE21" s="415"/>
      <c r="CF21" s="417"/>
      <c r="CG21" s="415"/>
      <c r="CH21" s="417"/>
      <c r="CI21" s="415"/>
      <c r="CJ21" s="417"/>
      <c r="CK21" s="415"/>
      <c r="CL21" s="417"/>
      <c r="CM21" s="415"/>
      <c r="CN21" s="417"/>
      <c r="CO21" s="415"/>
      <c r="CP21" s="417"/>
      <c r="CQ21" s="415"/>
      <c r="CR21" s="417"/>
      <c r="CS21" s="415"/>
      <c r="CT21" s="417"/>
      <c r="CU21" s="415"/>
      <c r="CV21" s="417"/>
      <c r="CW21" s="415"/>
      <c r="CX21" s="417"/>
      <c r="CY21" s="415"/>
      <c r="CZ21" s="417"/>
      <c r="DA21" s="415"/>
      <c r="DB21" s="417"/>
      <c r="DC21" s="415"/>
      <c r="DD21" s="417"/>
      <c r="DE21" s="415"/>
      <c r="DF21" s="417"/>
      <c r="DG21" s="415"/>
      <c r="DH21" s="417"/>
      <c r="DI21" s="415"/>
      <c r="DJ21" s="417"/>
      <c r="DK21" s="415"/>
      <c r="DL21" s="417"/>
      <c r="DM21" s="415"/>
      <c r="DN21" s="417"/>
      <c r="DO21" s="415"/>
      <c r="DP21" s="417"/>
      <c r="DQ21" s="415"/>
      <c r="DR21" s="417"/>
      <c r="DS21" s="415"/>
      <c r="DT21" s="417"/>
      <c r="DU21" s="415"/>
      <c r="DV21" s="417"/>
      <c r="DW21" s="415"/>
      <c r="DX21" s="417"/>
      <c r="DY21" s="415"/>
      <c r="DZ21" s="417"/>
      <c r="EA21" s="415"/>
      <c r="EB21" s="417"/>
      <c r="EC21" s="415"/>
      <c r="ED21" s="417"/>
      <c r="EE21" s="415"/>
      <c r="EF21" s="417"/>
      <c r="EG21" s="415"/>
      <c r="EH21" s="417"/>
      <c r="EI21" s="415"/>
      <c r="EJ21" s="417"/>
      <c r="EK21" s="415"/>
      <c r="EL21" s="417"/>
      <c r="EM21" s="415"/>
      <c r="EN21" s="417"/>
      <c r="EO21" s="415"/>
      <c r="EP21" s="417"/>
      <c r="EQ21" s="415"/>
      <c r="ER21" s="417"/>
      <c r="ES21" s="415"/>
      <c r="ET21" s="417"/>
      <c r="EU21" s="415"/>
      <c r="EV21" s="417"/>
      <c r="EW21" s="415"/>
      <c r="EX21" s="417"/>
      <c r="EY21" s="415"/>
      <c r="EZ21" s="417"/>
      <c r="FA21" s="415"/>
      <c r="FB21" s="417"/>
      <c r="FC21" s="415"/>
      <c r="FD21" s="417"/>
      <c r="FE21" s="415"/>
      <c r="FF21" s="417"/>
      <c r="FG21" s="415"/>
      <c r="FH21" s="417"/>
      <c r="FI21" s="415"/>
      <c r="FJ21" s="417"/>
      <c r="FK21" s="415"/>
      <c r="FL21" s="417"/>
      <c r="FM21" s="415"/>
      <c r="FN21" s="417"/>
      <c r="FO21" s="415"/>
      <c r="FP21" s="417"/>
      <c r="FQ21" s="415"/>
      <c r="FR21" s="417"/>
      <c r="FS21" s="415"/>
      <c r="FT21" s="417"/>
      <c r="FU21" s="415"/>
      <c r="FV21" s="417"/>
      <c r="FW21" s="415"/>
      <c r="FX21" s="417"/>
      <c r="FY21" s="415"/>
      <c r="FZ21" s="417"/>
      <c r="GA21" s="415"/>
      <c r="GB21" s="417"/>
      <c r="GC21" s="415"/>
      <c r="GD21" s="417"/>
      <c r="GE21" s="415"/>
      <c r="GF21" s="417"/>
      <c r="GG21" s="415"/>
      <c r="GH21" s="417"/>
      <c r="GI21" s="415"/>
      <c r="GJ21" s="417"/>
      <c r="GK21" s="415"/>
      <c r="GL21" s="417"/>
      <c r="GM21" s="415"/>
      <c r="GN21" s="417"/>
      <c r="GO21" s="415"/>
      <c r="GP21" s="417"/>
      <c r="GQ21" s="415"/>
      <c r="GR21" s="417"/>
      <c r="GS21" s="415"/>
      <c r="GT21" s="417"/>
      <c r="GU21" s="415"/>
      <c r="GV21" s="417"/>
      <c r="GW21" s="415"/>
      <c r="GX21" s="417"/>
      <c r="GY21" s="415"/>
      <c r="GZ21" s="417"/>
      <c r="HA21" s="415"/>
      <c r="HB21" s="417"/>
      <c r="HC21" s="415"/>
      <c r="HD21" s="417"/>
      <c r="HE21" s="415"/>
      <c r="HF21" s="417"/>
      <c r="HG21" s="415"/>
      <c r="HH21" s="417"/>
      <c r="HI21" s="415"/>
      <c r="HJ21" s="417"/>
      <c r="HK21" s="415"/>
      <c r="HL21" s="417"/>
      <c r="HM21" s="415"/>
      <c r="HN21" s="417"/>
      <c r="HO21" s="415"/>
      <c r="HP21" s="417"/>
      <c r="HQ21" s="415"/>
      <c r="HR21" s="417"/>
      <c r="HS21" s="415"/>
      <c r="HT21" s="417"/>
      <c r="HU21" s="415"/>
      <c r="HV21" s="417"/>
      <c r="HW21" s="415"/>
      <c r="HX21" s="417"/>
      <c r="HY21" s="415"/>
      <c r="HZ21" s="417"/>
      <c r="IA21" s="415"/>
      <c r="IB21" s="417"/>
      <c r="IC21" s="415"/>
      <c r="ID21" s="417"/>
      <c r="IE21" s="415"/>
      <c r="IF21" s="417"/>
      <c r="IG21" s="415"/>
      <c r="IH21" s="417"/>
      <c r="II21" s="415"/>
      <c r="IJ21" s="417"/>
      <c r="IK21" s="415"/>
      <c r="IL21" s="417"/>
      <c r="IM21" s="415"/>
      <c r="IN21" s="417"/>
      <c r="IO21" s="415"/>
      <c r="IP21" s="417"/>
      <c r="IQ21" s="415"/>
      <c r="IR21" s="417"/>
      <c r="IS21" s="415"/>
      <c r="IT21" s="417"/>
      <c r="IU21" s="415"/>
      <c r="IV21" s="417"/>
    </row>
    <row r="22" spans="1:256" s="418" customFormat="1" ht="13.5" x14ac:dyDescent="0.25">
      <c r="A22" s="415" t="s">
        <v>399</v>
      </c>
      <c r="B22" s="422">
        <v>2400</v>
      </c>
      <c r="C22" s="422">
        <f>+B22*(1+'Total Market Size'!C$136)</f>
        <v>2455.1999999999998</v>
      </c>
      <c r="D22" s="422">
        <f>+C22*(1+'Total Market Size'!D$136)</f>
        <v>2504.3039999999996</v>
      </c>
      <c r="E22" s="422">
        <f>+D22*(1+'Total Market Size'!E$136)</f>
        <v>2559.3986879999998</v>
      </c>
      <c r="F22" s="422">
        <f>+E22*(1+'Total Market Size'!F$136)</f>
        <v>2618.2648578239996</v>
      </c>
      <c r="G22" s="422">
        <f>+F22*(1+'Total Market Size'!G$136)</f>
        <v>2683.7214792695995</v>
      </c>
      <c r="H22" s="422">
        <f>+G22*(1+'Total Market Size'!H$136)</f>
        <v>2749.4726555117045</v>
      </c>
      <c r="I22" s="422">
        <f>+H22*(1+'Total Market Size'!I$136)</f>
        <v>2815.4599992439853</v>
      </c>
      <c r="J22" s="422">
        <f>+I22*(1+'Total Market Size'!J$136)</f>
        <v>2882.4679472259922</v>
      </c>
      <c r="K22" s="422">
        <f>+J22*(1+'Total Market Size'!K$136)</f>
        <v>2948.7647100121899</v>
      </c>
      <c r="L22" s="426">
        <f>+K22*(1+'Total Market Size'!L$136)</f>
        <v>3015.9965454004678</v>
      </c>
      <c r="M22" s="601" t="s">
        <v>506</v>
      </c>
      <c r="N22" s="417">
        <f t="shared" si="0"/>
        <v>1</v>
      </c>
      <c r="O22" s="415"/>
      <c r="P22" s="417"/>
      <c r="Q22" s="415"/>
      <c r="R22" s="417"/>
      <c r="S22" s="415"/>
      <c r="T22" s="417"/>
      <c r="U22" s="415"/>
      <c r="V22" s="417"/>
      <c r="W22" s="415"/>
      <c r="X22" s="417"/>
      <c r="Y22" s="415"/>
      <c r="Z22" s="417"/>
      <c r="AA22" s="415"/>
      <c r="AB22" s="417"/>
      <c r="AC22" s="415"/>
      <c r="AD22" s="417"/>
      <c r="AE22" s="415"/>
      <c r="AF22" s="417"/>
      <c r="AG22" s="415"/>
      <c r="AH22" s="417"/>
      <c r="AI22" s="415"/>
      <c r="AJ22" s="417"/>
      <c r="AK22" s="415"/>
      <c r="AL22" s="417"/>
      <c r="AM22" s="415"/>
      <c r="AN22" s="417"/>
      <c r="AO22" s="415"/>
      <c r="AP22" s="417"/>
      <c r="AQ22" s="415"/>
      <c r="AR22" s="417"/>
      <c r="AS22" s="415"/>
      <c r="AT22" s="417"/>
      <c r="AU22" s="415"/>
      <c r="AV22" s="417"/>
      <c r="AW22" s="415"/>
      <c r="AX22" s="417"/>
      <c r="AY22" s="415"/>
      <c r="AZ22" s="417"/>
      <c r="BA22" s="415"/>
      <c r="BB22" s="417"/>
      <c r="BC22" s="415"/>
      <c r="BD22" s="417"/>
      <c r="BE22" s="415"/>
      <c r="BF22" s="417"/>
      <c r="BG22" s="415"/>
      <c r="BH22" s="417"/>
      <c r="BI22" s="415"/>
      <c r="BJ22" s="417"/>
      <c r="BK22" s="415"/>
      <c r="BL22" s="417"/>
      <c r="BM22" s="415"/>
      <c r="BN22" s="417"/>
      <c r="BO22" s="415"/>
      <c r="BP22" s="417"/>
      <c r="BQ22" s="415"/>
      <c r="BR22" s="417"/>
      <c r="BS22" s="415"/>
      <c r="BT22" s="417"/>
      <c r="BU22" s="415"/>
      <c r="BV22" s="417"/>
      <c r="BW22" s="415"/>
      <c r="BX22" s="417"/>
      <c r="BY22" s="415"/>
      <c r="BZ22" s="417"/>
      <c r="CA22" s="415"/>
      <c r="CB22" s="417"/>
      <c r="CC22" s="415"/>
      <c r="CD22" s="417"/>
      <c r="CE22" s="415"/>
      <c r="CF22" s="417"/>
      <c r="CG22" s="415"/>
      <c r="CH22" s="417"/>
      <c r="CI22" s="415"/>
      <c r="CJ22" s="417"/>
      <c r="CK22" s="415"/>
      <c r="CL22" s="417"/>
      <c r="CM22" s="415"/>
      <c r="CN22" s="417"/>
      <c r="CO22" s="415"/>
      <c r="CP22" s="417"/>
      <c r="CQ22" s="415"/>
      <c r="CR22" s="417"/>
      <c r="CS22" s="415"/>
      <c r="CT22" s="417"/>
      <c r="CU22" s="415"/>
      <c r="CV22" s="417"/>
      <c r="CW22" s="415"/>
      <c r="CX22" s="417"/>
      <c r="CY22" s="415"/>
      <c r="CZ22" s="417"/>
      <c r="DA22" s="415"/>
      <c r="DB22" s="417"/>
      <c r="DC22" s="415"/>
      <c r="DD22" s="417"/>
      <c r="DE22" s="415"/>
      <c r="DF22" s="417"/>
      <c r="DG22" s="415"/>
      <c r="DH22" s="417"/>
      <c r="DI22" s="415"/>
      <c r="DJ22" s="417"/>
      <c r="DK22" s="415"/>
      <c r="DL22" s="417"/>
      <c r="DM22" s="415"/>
      <c r="DN22" s="417"/>
      <c r="DO22" s="415"/>
      <c r="DP22" s="417"/>
      <c r="DQ22" s="415"/>
      <c r="DR22" s="417"/>
      <c r="DS22" s="415"/>
      <c r="DT22" s="417"/>
      <c r="DU22" s="415"/>
      <c r="DV22" s="417"/>
      <c r="DW22" s="415"/>
      <c r="DX22" s="417"/>
      <c r="DY22" s="415"/>
      <c r="DZ22" s="417"/>
      <c r="EA22" s="415"/>
      <c r="EB22" s="417"/>
      <c r="EC22" s="415"/>
      <c r="ED22" s="417"/>
      <c r="EE22" s="415"/>
      <c r="EF22" s="417"/>
      <c r="EG22" s="415"/>
      <c r="EH22" s="417"/>
      <c r="EI22" s="415"/>
      <c r="EJ22" s="417"/>
      <c r="EK22" s="415"/>
      <c r="EL22" s="417"/>
      <c r="EM22" s="415"/>
      <c r="EN22" s="417"/>
      <c r="EO22" s="415"/>
      <c r="EP22" s="417"/>
      <c r="EQ22" s="415"/>
      <c r="ER22" s="417"/>
      <c r="ES22" s="415"/>
      <c r="ET22" s="417"/>
      <c r="EU22" s="415"/>
      <c r="EV22" s="417"/>
      <c r="EW22" s="415"/>
      <c r="EX22" s="417"/>
      <c r="EY22" s="415"/>
      <c r="EZ22" s="417"/>
      <c r="FA22" s="415"/>
      <c r="FB22" s="417"/>
      <c r="FC22" s="415"/>
      <c r="FD22" s="417"/>
      <c r="FE22" s="415"/>
      <c r="FF22" s="417"/>
      <c r="FG22" s="415"/>
      <c r="FH22" s="417"/>
      <c r="FI22" s="415"/>
      <c r="FJ22" s="417"/>
      <c r="FK22" s="415"/>
      <c r="FL22" s="417"/>
      <c r="FM22" s="415"/>
      <c r="FN22" s="417"/>
      <c r="FO22" s="415"/>
      <c r="FP22" s="417"/>
      <c r="FQ22" s="415"/>
      <c r="FR22" s="417"/>
      <c r="FS22" s="415"/>
      <c r="FT22" s="417"/>
      <c r="FU22" s="415"/>
      <c r="FV22" s="417"/>
      <c r="FW22" s="415"/>
      <c r="FX22" s="417"/>
      <c r="FY22" s="415"/>
      <c r="FZ22" s="417"/>
      <c r="GA22" s="415"/>
      <c r="GB22" s="417"/>
      <c r="GC22" s="415"/>
      <c r="GD22" s="417"/>
      <c r="GE22" s="415"/>
      <c r="GF22" s="417"/>
      <c r="GG22" s="415"/>
      <c r="GH22" s="417"/>
      <c r="GI22" s="415"/>
      <c r="GJ22" s="417"/>
      <c r="GK22" s="415"/>
      <c r="GL22" s="417"/>
      <c r="GM22" s="415"/>
      <c r="GN22" s="417"/>
      <c r="GO22" s="415"/>
      <c r="GP22" s="417"/>
      <c r="GQ22" s="415"/>
      <c r="GR22" s="417"/>
      <c r="GS22" s="415"/>
      <c r="GT22" s="417"/>
      <c r="GU22" s="415"/>
      <c r="GV22" s="417"/>
      <c r="GW22" s="415"/>
      <c r="GX22" s="417"/>
      <c r="GY22" s="415"/>
      <c r="GZ22" s="417"/>
      <c r="HA22" s="415"/>
      <c r="HB22" s="417"/>
      <c r="HC22" s="415"/>
      <c r="HD22" s="417"/>
      <c r="HE22" s="415"/>
      <c r="HF22" s="417"/>
      <c r="HG22" s="415"/>
      <c r="HH22" s="417"/>
      <c r="HI22" s="415"/>
      <c r="HJ22" s="417"/>
      <c r="HK22" s="415"/>
      <c r="HL22" s="417"/>
      <c r="HM22" s="415"/>
      <c r="HN22" s="417"/>
      <c r="HO22" s="415"/>
      <c r="HP22" s="417"/>
      <c r="HQ22" s="415"/>
      <c r="HR22" s="417"/>
      <c r="HS22" s="415"/>
      <c r="HT22" s="417"/>
      <c r="HU22" s="415"/>
      <c r="HV22" s="417"/>
      <c r="HW22" s="415"/>
      <c r="HX22" s="417"/>
      <c r="HY22" s="415"/>
      <c r="HZ22" s="417"/>
      <c r="IA22" s="415"/>
      <c r="IB22" s="417"/>
      <c r="IC22" s="415"/>
      <c r="ID22" s="417"/>
      <c r="IE22" s="415"/>
      <c r="IF22" s="417"/>
      <c r="IG22" s="415"/>
      <c r="IH22" s="417"/>
      <c r="II22" s="415"/>
      <c r="IJ22" s="417"/>
      <c r="IK22" s="415"/>
      <c r="IL22" s="417"/>
      <c r="IM22" s="415"/>
      <c r="IN22" s="417"/>
      <c r="IO22" s="415"/>
      <c r="IP22" s="417"/>
      <c r="IQ22" s="415"/>
      <c r="IR22" s="417"/>
      <c r="IS22" s="415"/>
      <c r="IT22" s="417"/>
      <c r="IU22" s="415"/>
      <c r="IV22" s="417"/>
    </row>
    <row r="23" spans="1:256" s="418" customFormat="1" ht="13.5" x14ac:dyDescent="0.25">
      <c r="A23" s="415" t="s">
        <v>400</v>
      </c>
      <c r="B23" s="422">
        <v>20000</v>
      </c>
      <c r="C23" s="422">
        <f>+B23*(1+'Total Market Size'!C$136)</f>
        <v>20460</v>
      </c>
      <c r="D23" s="422">
        <f>+C23*(1+'Total Market Size'!D$136)</f>
        <v>20869.2</v>
      </c>
      <c r="E23" s="422">
        <f>+D23*(1+'Total Market Size'!E$136)</f>
        <v>21328.322400000001</v>
      </c>
      <c r="F23" s="422">
        <f>+E23*(1+'Total Market Size'!F$136)</f>
        <v>21818.873815200001</v>
      </c>
      <c r="G23" s="422">
        <f>+F23*(1+'Total Market Size'!G$136)</f>
        <v>22364.345660579998</v>
      </c>
      <c r="H23" s="422">
        <f>+G23*(1+'Total Market Size'!H$136)</f>
        <v>22912.272129264209</v>
      </c>
      <c r="I23" s="422">
        <f>+H23*(1+'Total Market Size'!I$136)</f>
        <v>23462.166660366551</v>
      </c>
      <c r="J23" s="422">
        <f>+I23*(1+'Total Market Size'!J$136)</f>
        <v>24020.566226883275</v>
      </c>
      <c r="K23" s="422">
        <f>+J23*(1+'Total Market Size'!K$136)</f>
        <v>24573.039250101589</v>
      </c>
      <c r="L23" s="426">
        <f>+K23*(1+'Total Market Size'!L$136)</f>
        <v>25133.304545003903</v>
      </c>
      <c r="M23" s="601" t="s">
        <v>506</v>
      </c>
      <c r="N23" s="417">
        <f t="shared" si="0"/>
        <v>1</v>
      </c>
      <c r="O23" s="415"/>
      <c r="P23" s="417"/>
      <c r="Q23" s="415"/>
      <c r="R23" s="417"/>
      <c r="S23" s="415"/>
      <c r="T23" s="417"/>
      <c r="U23" s="415"/>
      <c r="V23" s="417"/>
      <c r="W23" s="415"/>
      <c r="X23" s="417"/>
      <c r="Y23" s="415"/>
      <c r="Z23" s="417"/>
      <c r="AA23" s="415"/>
      <c r="AB23" s="417"/>
      <c r="AC23" s="415"/>
      <c r="AD23" s="417"/>
      <c r="AE23" s="415"/>
      <c r="AF23" s="417"/>
      <c r="AG23" s="415"/>
      <c r="AH23" s="417"/>
      <c r="AI23" s="415"/>
      <c r="AJ23" s="417"/>
      <c r="AK23" s="415"/>
      <c r="AL23" s="417"/>
      <c r="AM23" s="415"/>
      <c r="AN23" s="417"/>
      <c r="AO23" s="415"/>
      <c r="AP23" s="417"/>
      <c r="AQ23" s="415"/>
      <c r="AR23" s="417"/>
      <c r="AS23" s="415"/>
      <c r="AT23" s="417"/>
      <c r="AU23" s="415"/>
      <c r="AV23" s="417"/>
      <c r="AW23" s="415"/>
      <c r="AX23" s="417"/>
      <c r="AY23" s="415"/>
      <c r="AZ23" s="417"/>
      <c r="BA23" s="415"/>
      <c r="BB23" s="417"/>
      <c r="BC23" s="415"/>
      <c r="BD23" s="417"/>
      <c r="BE23" s="415"/>
      <c r="BF23" s="417"/>
      <c r="BG23" s="415"/>
      <c r="BH23" s="417"/>
      <c r="BI23" s="415"/>
      <c r="BJ23" s="417"/>
      <c r="BK23" s="415"/>
      <c r="BL23" s="417"/>
      <c r="BM23" s="415"/>
      <c r="BN23" s="417"/>
      <c r="BO23" s="415"/>
      <c r="BP23" s="417"/>
      <c r="BQ23" s="415"/>
      <c r="BR23" s="417"/>
      <c r="BS23" s="415"/>
      <c r="BT23" s="417"/>
      <c r="BU23" s="415"/>
      <c r="BV23" s="417"/>
      <c r="BW23" s="415"/>
      <c r="BX23" s="417"/>
      <c r="BY23" s="415"/>
      <c r="BZ23" s="417"/>
      <c r="CA23" s="415"/>
      <c r="CB23" s="417"/>
      <c r="CC23" s="415"/>
      <c r="CD23" s="417"/>
      <c r="CE23" s="415"/>
      <c r="CF23" s="417"/>
      <c r="CG23" s="415"/>
      <c r="CH23" s="417"/>
      <c r="CI23" s="415"/>
      <c r="CJ23" s="417"/>
      <c r="CK23" s="415"/>
      <c r="CL23" s="417"/>
      <c r="CM23" s="415"/>
      <c r="CN23" s="417"/>
      <c r="CO23" s="415"/>
      <c r="CP23" s="417"/>
      <c r="CQ23" s="415"/>
      <c r="CR23" s="417"/>
      <c r="CS23" s="415"/>
      <c r="CT23" s="417"/>
      <c r="CU23" s="415"/>
      <c r="CV23" s="417"/>
      <c r="CW23" s="415"/>
      <c r="CX23" s="417"/>
      <c r="CY23" s="415"/>
      <c r="CZ23" s="417"/>
      <c r="DA23" s="415"/>
      <c r="DB23" s="417"/>
      <c r="DC23" s="415"/>
      <c r="DD23" s="417"/>
      <c r="DE23" s="415"/>
      <c r="DF23" s="417"/>
      <c r="DG23" s="415"/>
      <c r="DH23" s="417"/>
      <c r="DI23" s="415"/>
      <c r="DJ23" s="417"/>
      <c r="DK23" s="415"/>
      <c r="DL23" s="417"/>
      <c r="DM23" s="415"/>
      <c r="DN23" s="417"/>
      <c r="DO23" s="415"/>
      <c r="DP23" s="417"/>
      <c r="DQ23" s="415"/>
      <c r="DR23" s="417"/>
      <c r="DS23" s="415"/>
      <c r="DT23" s="417"/>
      <c r="DU23" s="415"/>
      <c r="DV23" s="417"/>
      <c r="DW23" s="415"/>
      <c r="DX23" s="417"/>
      <c r="DY23" s="415"/>
      <c r="DZ23" s="417"/>
      <c r="EA23" s="415"/>
      <c r="EB23" s="417"/>
      <c r="EC23" s="415"/>
      <c r="ED23" s="417"/>
      <c r="EE23" s="415"/>
      <c r="EF23" s="417"/>
      <c r="EG23" s="415"/>
      <c r="EH23" s="417"/>
      <c r="EI23" s="415"/>
      <c r="EJ23" s="417"/>
      <c r="EK23" s="415"/>
      <c r="EL23" s="417"/>
      <c r="EM23" s="415"/>
      <c r="EN23" s="417"/>
      <c r="EO23" s="415"/>
      <c r="EP23" s="417"/>
      <c r="EQ23" s="415"/>
      <c r="ER23" s="417"/>
      <c r="ES23" s="415"/>
      <c r="ET23" s="417"/>
      <c r="EU23" s="415"/>
      <c r="EV23" s="417"/>
      <c r="EW23" s="415"/>
      <c r="EX23" s="417"/>
      <c r="EY23" s="415"/>
      <c r="EZ23" s="417"/>
      <c r="FA23" s="415"/>
      <c r="FB23" s="417"/>
      <c r="FC23" s="415"/>
      <c r="FD23" s="417"/>
      <c r="FE23" s="415"/>
      <c r="FF23" s="417"/>
      <c r="FG23" s="415"/>
      <c r="FH23" s="417"/>
      <c r="FI23" s="415"/>
      <c r="FJ23" s="417"/>
      <c r="FK23" s="415"/>
      <c r="FL23" s="417"/>
      <c r="FM23" s="415"/>
      <c r="FN23" s="417"/>
      <c r="FO23" s="415"/>
      <c r="FP23" s="417"/>
      <c r="FQ23" s="415"/>
      <c r="FR23" s="417"/>
      <c r="FS23" s="415"/>
      <c r="FT23" s="417"/>
      <c r="FU23" s="415"/>
      <c r="FV23" s="417"/>
      <c r="FW23" s="415"/>
      <c r="FX23" s="417"/>
      <c r="FY23" s="415"/>
      <c r="FZ23" s="417"/>
      <c r="GA23" s="415"/>
      <c r="GB23" s="417"/>
      <c r="GC23" s="415"/>
      <c r="GD23" s="417"/>
      <c r="GE23" s="415"/>
      <c r="GF23" s="417"/>
      <c r="GG23" s="415"/>
      <c r="GH23" s="417"/>
      <c r="GI23" s="415"/>
      <c r="GJ23" s="417"/>
      <c r="GK23" s="415"/>
      <c r="GL23" s="417"/>
      <c r="GM23" s="415"/>
      <c r="GN23" s="417"/>
      <c r="GO23" s="415"/>
      <c r="GP23" s="417"/>
      <c r="GQ23" s="415"/>
      <c r="GR23" s="417"/>
      <c r="GS23" s="415"/>
      <c r="GT23" s="417"/>
      <c r="GU23" s="415"/>
      <c r="GV23" s="417"/>
      <c r="GW23" s="415"/>
      <c r="GX23" s="417"/>
      <c r="GY23" s="415"/>
      <c r="GZ23" s="417"/>
      <c r="HA23" s="415"/>
      <c r="HB23" s="417"/>
      <c r="HC23" s="415"/>
      <c r="HD23" s="417"/>
      <c r="HE23" s="415"/>
      <c r="HF23" s="417"/>
      <c r="HG23" s="415"/>
      <c r="HH23" s="417"/>
      <c r="HI23" s="415"/>
      <c r="HJ23" s="417"/>
      <c r="HK23" s="415"/>
      <c r="HL23" s="417"/>
      <c r="HM23" s="415"/>
      <c r="HN23" s="417"/>
      <c r="HO23" s="415"/>
      <c r="HP23" s="417"/>
      <c r="HQ23" s="415"/>
      <c r="HR23" s="417"/>
      <c r="HS23" s="415"/>
      <c r="HT23" s="417"/>
      <c r="HU23" s="415"/>
      <c r="HV23" s="417"/>
      <c r="HW23" s="415"/>
      <c r="HX23" s="417"/>
      <c r="HY23" s="415"/>
      <c r="HZ23" s="417"/>
      <c r="IA23" s="415"/>
      <c r="IB23" s="417"/>
      <c r="IC23" s="415"/>
      <c r="ID23" s="417"/>
      <c r="IE23" s="415"/>
      <c r="IF23" s="417"/>
      <c r="IG23" s="415"/>
      <c r="IH23" s="417"/>
      <c r="II23" s="415"/>
      <c r="IJ23" s="417"/>
      <c r="IK23" s="415"/>
      <c r="IL23" s="417"/>
      <c r="IM23" s="415"/>
      <c r="IN23" s="417"/>
      <c r="IO23" s="415"/>
      <c r="IP23" s="417"/>
      <c r="IQ23" s="415"/>
      <c r="IR23" s="417"/>
      <c r="IS23" s="415"/>
      <c r="IT23" s="417"/>
      <c r="IU23" s="415"/>
      <c r="IV23" s="417"/>
    </row>
    <row r="24" spans="1:256" s="418" customFormat="1" ht="13.5" x14ac:dyDescent="0.25">
      <c r="A24" s="415" t="s">
        <v>401</v>
      </c>
      <c r="B24" s="422">
        <v>2000</v>
      </c>
      <c r="C24" s="422">
        <f>+B24*(1+'Total Market Size'!C$136)</f>
        <v>2045.9999999999998</v>
      </c>
      <c r="D24" s="422">
        <f>+C24*(1+'Total Market Size'!D$136)</f>
        <v>2086.9199999999996</v>
      </c>
      <c r="E24" s="422">
        <f>+D24*(1+'Total Market Size'!E$136)</f>
        <v>2132.8322399999997</v>
      </c>
      <c r="F24" s="422">
        <f>+E24*(1+'Total Market Size'!F$136)</f>
        <v>2181.8873815199995</v>
      </c>
      <c r="G24" s="422">
        <f>+F24*(1+'Total Market Size'!G$136)</f>
        <v>2236.4345660579993</v>
      </c>
      <c r="H24" s="422">
        <f>+G24*(1+'Total Market Size'!H$136)</f>
        <v>2291.2272129264202</v>
      </c>
      <c r="I24" s="422">
        <f>+H24*(1+'Total Market Size'!I$136)</f>
        <v>2346.2166660366543</v>
      </c>
      <c r="J24" s="422">
        <f>+I24*(1+'Total Market Size'!J$136)</f>
        <v>2402.0566226883266</v>
      </c>
      <c r="K24" s="422">
        <f>+J24*(1+'Total Market Size'!K$136)</f>
        <v>2457.3039250101579</v>
      </c>
      <c r="L24" s="426">
        <f>+K24*(1+'Total Market Size'!L$136)</f>
        <v>2513.3304545003894</v>
      </c>
      <c r="M24" s="601" t="s">
        <v>506</v>
      </c>
      <c r="N24" s="417">
        <f t="shared" si="0"/>
        <v>1</v>
      </c>
      <c r="O24" s="415"/>
      <c r="P24" s="417"/>
      <c r="Q24" s="415"/>
      <c r="R24" s="417"/>
      <c r="S24" s="415"/>
      <c r="T24" s="417"/>
      <c r="U24" s="415"/>
      <c r="V24" s="417"/>
      <c r="W24" s="415"/>
      <c r="X24" s="417"/>
      <c r="Y24" s="415"/>
      <c r="Z24" s="417"/>
      <c r="AA24" s="415"/>
      <c r="AB24" s="417"/>
      <c r="AC24" s="415"/>
      <c r="AD24" s="417"/>
      <c r="AE24" s="415"/>
      <c r="AF24" s="417"/>
      <c r="AG24" s="415"/>
      <c r="AH24" s="417"/>
      <c r="AI24" s="415"/>
      <c r="AJ24" s="417"/>
      <c r="AK24" s="415"/>
      <c r="AL24" s="417"/>
      <c r="AM24" s="415"/>
      <c r="AN24" s="417"/>
      <c r="AO24" s="415"/>
      <c r="AP24" s="417"/>
      <c r="AQ24" s="415"/>
      <c r="AR24" s="417"/>
      <c r="AS24" s="415"/>
      <c r="AT24" s="417"/>
      <c r="AU24" s="415"/>
      <c r="AV24" s="417"/>
      <c r="AW24" s="415"/>
      <c r="AX24" s="417"/>
      <c r="AY24" s="415"/>
      <c r="AZ24" s="417"/>
      <c r="BA24" s="415"/>
      <c r="BB24" s="417"/>
      <c r="BC24" s="415"/>
      <c r="BD24" s="417"/>
      <c r="BE24" s="415"/>
      <c r="BF24" s="417"/>
      <c r="BG24" s="415"/>
      <c r="BH24" s="417"/>
      <c r="BI24" s="415"/>
      <c r="BJ24" s="417"/>
      <c r="BK24" s="415"/>
      <c r="BL24" s="417"/>
      <c r="BM24" s="415"/>
      <c r="BN24" s="417"/>
      <c r="BO24" s="415"/>
      <c r="BP24" s="417"/>
      <c r="BQ24" s="415"/>
      <c r="BR24" s="417"/>
      <c r="BS24" s="415"/>
      <c r="BT24" s="417"/>
      <c r="BU24" s="415"/>
      <c r="BV24" s="417"/>
      <c r="BW24" s="415"/>
      <c r="BX24" s="417"/>
      <c r="BY24" s="415"/>
      <c r="BZ24" s="417"/>
      <c r="CA24" s="415"/>
      <c r="CB24" s="417"/>
      <c r="CC24" s="415"/>
      <c r="CD24" s="417"/>
      <c r="CE24" s="415"/>
      <c r="CF24" s="417"/>
      <c r="CG24" s="415"/>
      <c r="CH24" s="417"/>
      <c r="CI24" s="415"/>
      <c r="CJ24" s="417"/>
      <c r="CK24" s="415"/>
      <c r="CL24" s="417"/>
      <c r="CM24" s="415"/>
      <c r="CN24" s="417"/>
      <c r="CO24" s="415"/>
      <c r="CP24" s="417"/>
      <c r="CQ24" s="415"/>
      <c r="CR24" s="417"/>
      <c r="CS24" s="415"/>
      <c r="CT24" s="417"/>
      <c r="CU24" s="415"/>
      <c r="CV24" s="417"/>
      <c r="CW24" s="415"/>
      <c r="CX24" s="417"/>
      <c r="CY24" s="415"/>
      <c r="CZ24" s="417"/>
      <c r="DA24" s="415"/>
      <c r="DB24" s="417"/>
      <c r="DC24" s="415"/>
      <c r="DD24" s="417"/>
      <c r="DE24" s="415"/>
      <c r="DF24" s="417"/>
      <c r="DG24" s="415"/>
      <c r="DH24" s="417"/>
      <c r="DI24" s="415"/>
      <c r="DJ24" s="417"/>
      <c r="DK24" s="415"/>
      <c r="DL24" s="417"/>
      <c r="DM24" s="415"/>
      <c r="DN24" s="417"/>
      <c r="DO24" s="415"/>
      <c r="DP24" s="417"/>
      <c r="DQ24" s="415"/>
      <c r="DR24" s="417"/>
      <c r="DS24" s="415"/>
      <c r="DT24" s="417"/>
      <c r="DU24" s="415"/>
      <c r="DV24" s="417"/>
      <c r="DW24" s="415"/>
      <c r="DX24" s="417"/>
      <c r="DY24" s="415"/>
      <c r="DZ24" s="417"/>
      <c r="EA24" s="415"/>
      <c r="EB24" s="417"/>
      <c r="EC24" s="415"/>
      <c r="ED24" s="417"/>
      <c r="EE24" s="415"/>
      <c r="EF24" s="417"/>
      <c r="EG24" s="415"/>
      <c r="EH24" s="417"/>
      <c r="EI24" s="415"/>
      <c r="EJ24" s="417"/>
      <c r="EK24" s="415"/>
      <c r="EL24" s="417"/>
      <c r="EM24" s="415"/>
      <c r="EN24" s="417"/>
      <c r="EO24" s="415"/>
      <c r="EP24" s="417"/>
      <c r="EQ24" s="415"/>
      <c r="ER24" s="417"/>
      <c r="ES24" s="415"/>
      <c r="ET24" s="417"/>
      <c r="EU24" s="415"/>
      <c r="EV24" s="417"/>
      <c r="EW24" s="415"/>
      <c r="EX24" s="417"/>
      <c r="EY24" s="415"/>
      <c r="EZ24" s="417"/>
      <c r="FA24" s="415"/>
      <c r="FB24" s="417"/>
      <c r="FC24" s="415"/>
      <c r="FD24" s="417"/>
      <c r="FE24" s="415"/>
      <c r="FF24" s="417"/>
      <c r="FG24" s="415"/>
      <c r="FH24" s="417"/>
      <c r="FI24" s="415"/>
      <c r="FJ24" s="417"/>
      <c r="FK24" s="415"/>
      <c r="FL24" s="417"/>
      <c r="FM24" s="415"/>
      <c r="FN24" s="417"/>
      <c r="FO24" s="415"/>
      <c r="FP24" s="417"/>
      <c r="FQ24" s="415"/>
      <c r="FR24" s="417"/>
      <c r="FS24" s="415"/>
      <c r="FT24" s="417"/>
      <c r="FU24" s="415"/>
      <c r="FV24" s="417"/>
      <c r="FW24" s="415"/>
      <c r="FX24" s="417"/>
      <c r="FY24" s="415"/>
      <c r="FZ24" s="417"/>
      <c r="GA24" s="415"/>
      <c r="GB24" s="417"/>
      <c r="GC24" s="415"/>
      <c r="GD24" s="417"/>
      <c r="GE24" s="415"/>
      <c r="GF24" s="417"/>
      <c r="GG24" s="415"/>
      <c r="GH24" s="417"/>
      <c r="GI24" s="415"/>
      <c r="GJ24" s="417"/>
      <c r="GK24" s="415"/>
      <c r="GL24" s="417"/>
      <c r="GM24" s="415"/>
      <c r="GN24" s="417"/>
      <c r="GO24" s="415"/>
      <c r="GP24" s="417"/>
      <c r="GQ24" s="415"/>
      <c r="GR24" s="417"/>
      <c r="GS24" s="415"/>
      <c r="GT24" s="417"/>
      <c r="GU24" s="415"/>
      <c r="GV24" s="417"/>
      <c r="GW24" s="415"/>
      <c r="GX24" s="417"/>
      <c r="GY24" s="415"/>
      <c r="GZ24" s="417"/>
      <c r="HA24" s="415"/>
      <c r="HB24" s="417"/>
      <c r="HC24" s="415"/>
      <c r="HD24" s="417"/>
      <c r="HE24" s="415"/>
      <c r="HF24" s="417"/>
      <c r="HG24" s="415"/>
      <c r="HH24" s="417"/>
      <c r="HI24" s="415"/>
      <c r="HJ24" s="417"/>
      <c r="HK24" s="415"/>
      <c r="HL24" s="417"/>
      <c r="HM24" s="415"/>
      <c r="HN24" s="417"/>
      <c r="HO24" s="415"/>
      <c r="HP24" s="417"/>
      <c r="HQ24" s="415"/>
      <c r="HR24" s="417"/>
      <c r="HS24" s="415"/>
      <c r="HT24" s="417"/>
      <c r="HU24" s="415"/>
      <c r="HV24" s="417"/>
      <c r="HW24" s="415"/>
      <c r="HX24" s="417"/>
      <c r="HY24" s="415"/>
      <c r="HZ24" s="417"/>
      <c r="IA24" s="415"/>
      <c r="IB24" s="417"/>
      <c r="IC24" s="415"/>
      <c r="ID24" s="417"/>
      <c r="IE24" s="415"/>
      <c r="IF24" s="417"/>
      <c r="IG24" s="415"/>
      <c r="IH24" s="417"/>
      <c r="II24" s="415"/>
      <c r="IJ24" s="417"/>
      <c r="IK24" s="415"/>
      <c r="IL24" s="417"/>
      <c r="IM24" s="415"/>
      <c r="IN24" s="417"/>
      <c r="IO24" s="415"/>
      <c r="IP24" s="417"/>
      <c r="IQ24" s="415"/>
      <c r="IR24" s="417"/>
      <c r="IS24" s="415"/>
      <c r="IT24" s="417"/>
      <c r="IU24" s="415"/>
      <c r="IV24" s="417"/>
    </row>
    <row r="25" spans="1:256" s="418" customFormat="1" ht="13.5" x14ac:dyDescent="0.25">
      <c r="A25" s="415" t="s">
        <v>402</v>
      </c>
      <c r="B25" s="422">
        <f>20000+100*250*3</f>
        <v>95000</v>
      </c>
      <c r="C25" s="422">
        <f>+B25*(1+'Total Market Size'!C$136)</f>
        <v>97184.999999999985</v>
      </c>
      <c r="D25" s="422">
        <f>+C25*(1+'Total Market Size'!D$136)</f>
        <v>99128.699999999983</v>
      </c>
      <c r="E25" s="422">
        <f>+D25*(1+'Total Market Size'!E$136)</f>
        <v>101309.53139999998</v>
      </c>
      <c r="F25" s="422">
        <f>+E25*(1+'Total Market Size'!F$136)</f>
        <v>103639.65062219997</v>
      </c>
      <c r="G25" s="422">
        <f>+F25*(1+'Total Market Size'!G$136)</f>
        <v>106230.64188775496</v>
      </c>
      <c r="H25" s="422">
        <f>+G25*(1+'Total Market Size'!H$136)</f>
        <v>108833.29261400495</v>
      </c>
      <c r="I25" s="422">
        <f>+H25*(1+'Total Market Size'!I$136)</f>
        <v>111445.29163674108</v>
      </c>
      <c r="J25" s="422">
        <f>+I25*(1+'Total Market Size'!J$136)</f>
        <v>114097.68957769552</v>
      </c>
      <c r="K25" s="422">
        <f>+J25*(1+'Total Market Size'!K$136)</f>
        <v>116721.93643798251</v>
      </c>
      <c r="L25" s="426">
        <f>+K25*(1+'Total Market Size'!L$136)</f>
        <v>119383.19658876851</v>
      </c>
      <c r="M25" s="601" t="s">
        <v>507</v>
      </c>
      <c r="N25" s="417">
        <f t="shared" si="0"/>
        <v>0</v>
      </c>
      <c r="O25" s="415"/>
      <c r="P25" s="417"/>
      <c r="Q25" s="415"/>
      <c r="R25" s="417"/>
      <c r="S25" s="415"/>
      <c r="T25" s="417"/>
      <c r="U25" s="415"/>
      <c r="V25" s="417"/>
      <c r="W25" s="415"/>
      <c r="X25" s="417"/>
      <c r="Y25" s="415"/>
      <c r="Z25" s="417"/>
      <c r="AA25" s="415"/>
      <c r="AB25" s="417"/>
      <c r="AC25" s="415"/>
      <c r="AD25" s="417"/>
      <c r="AE25" s="415"/>
      <c r="AF25" s="417"/>
      <c r="AG25" s="415"/>
      <c r="AH25" s="417"/>
      <c r="AI25" s="415"/>
      <c r="AJ25" s="417"/>
      <c r="AK25" s="415"/>
      <c r="AL25" s="417"/>
      <c r="AM25" s="415"/>
      <c r="AN25" s="417"/>
      <c r="AO25" s="415"/>
      <c r="AP25" s="417"/>
      <c r="AQ25" s="415"/>
      <c r="AR25" s="417"/>
      <c r="AS25" s="415"/>
      <c r="AT25" s="417"/>
      <c r="AU25" s="415"/>
      <c r="AV25" s="417"/>
      <c r="AW25" s="415"/>
      <c r="AX25" s="417"/>
      <c r="AY25" s="415"/>
      <c r="AZ25" s="417"/>
      <c r="BA25" s="415"/>
      <c r="BB25" s="417"/>
      <c r="BC25" s="415"/>
      <c r="BD25" s="417"/>
      <c r="BE25" s="415"/>
      <c r="BF25" s="417"/>
      <c r="BG25" s="415"/>
      <c r="BH25" s="417"/>
      <c r="BI25" s="415"/>
      <c r="BJ25" s="417"/>
      <c r="BK25" s="415"/>
      <c r="BL25" s="417"/>
      <c r="BM25" s="415"/>
      <c r="BN25" s="417"/>
      <c r="BO25" s="415"/>
      <c r="BP25" s="417"/>
      <c r="BQ25" s="415"/>
      <c r="BR25" s="417"/>
      <c r="BS25" s="415"/>
      <c r="BT25" s="417"/>
      <c r="BU25" s="415"/>
      <c r="BV25" s="417"/>
      <c r="BW25" s="415"/>
      <c r="BX25" s="417"/>
      <c r="BY25" s="415"/>
      <c r="BZ25" s="417"/>
      <c r="CA25" s="415"/>
      <c r="CB25" s="417"/>
      <c r="CC25" s="415"/>
      <c r="CD25" s="417"/>
      <c r="CE25" s="415"/>
      <c r="CF25" s="417"/>
      <c r="CG25" s="415"/>
      <c r="CH25" s="417"/>
      <c r="CI25" s="415"/>
      <c r="CJ25" s="417"/>
      <c r="CK25" s="415"/>
      <c r="CL25" s="417"/>
      <c r="CM25" s="415"/>
      <c r="CN25" s="417"/>
      <c r="CO25" s="415"/>
      <c r="CP25" s="417"/>
      <c r="CQ25" s="415"/>
      <c r="CR25" s="417"/>
      <c r="CS25" s="415"/>
      <c r="CT25" s="417"/>
      <c r="CU25" s="415"/>
      <c r="CV25" s="417"/>
      <c r="CW25" s="415"/>
      <c r="CX25" s="417"/>
      <c r="CY25" s="415"/>
      <c r="CZ25" s="417"/>
      <c r="DA25" s="415"/>
      <c r="DB25" s="417"/>
      <c r="DC25" s="415"/>
      <c r="DD25" s="417"/>
      <c r="DE25" s="415"/>
      <c r="DF25" s="417"/>
      <c r="DG25" s="415"/>
      <c r="DH25" s="417"/>
      <c r="DI25" s="415"/>
      <c r="DJ25" s="417"/>
      <c r="DK25" s="415"/>
      <c r="DL25" s="417"/>
      <c r="DM25" s="415"/>
      <c r="DN25" s="417"/>
      <c r="DO25" s="415"/>
      <c r="DP25" s="417"/>
      <c r="DQ25" s="415"/>
      <c r="DR25" s="417"/>
      <c r="DS25" s="415"/>
      <c r="DT25" s="417"/>
      <c r="DU25" s="415"/>
      <c r="DV25" s="417"/>
      <c r="DW25" s="415"/>
      <c r="DX25" s="417"/>
      <c r="DY25" s="415"/>
      <c r="DZ25" s="417"/>
      <c r="EA25" s="415"/>
      <c r="EB25" s="417"/>
      <c r="EC25" s="415"/>
      <c r="ED25" s="417"/>
      <c r="EE25" s="415"/>
      <c r="EF25" s="417"/>
      <c r="EG25" s="415"/>
      <c r="EH25" s="417"/>
      <c r="EI25" s="415"/>
      <c r="EJ25" s="417"/>
      <c r="EK25" s="415"/>
      <c r="EL25" s="417"/>
      <c r="EM25" s="415"/>
      <c r="EN25" s="417"/>
      <c r="EO25" s="415"/>
      <c r="EP25" s="417"/>
      <c r="EQ25" s="415"/>
      <c r="ER25" s="417"/>
      <c r="ES25" s="415"/>
      <c r="ET25" s="417"/>
      <c r="EU25" s="415"/>
      <c r="EV25" s="417"/>
      <c r="EW25" s="415"/>
      <c r="EX25" s="417"/>
      <c r="EY25" s="415"/>
      <c r="EZ25" s="417"/>
      <c r="FA25" s="415"/>
      <c r="FB25" s="417"/>
      <c r="FC25" s="415"/>
      <c r="FD25" s="417"/>
      <c r="FE25" s="415"/>
      <c r="FF25" s="417"/>
      <c r="FG25" s="415"/>
      <c r="FH25" s="417"/>
      <c r="FI25" s="415"/>
      <c r="FJ25" s="417"/>
      <c r="FK25" s="415"/>
      <c r="FL25" s="417"/>
      <c r="FM25" s="415"/>
      <c r="FN25" s="417"/>
      <c r="FO25" s="415"/>
      <c r="FP25" s="417"/>
      <c r="FQ25" s="415"/>
      <c r="FR25" s="417"/>
      <c r="FS25" s="415"/>
      <c r="FT25" s="417"/>
      <c r="FU25" s="415"/>
      <c r="FV25" s="417"/>
      <c r="FW25" s="415"/>
      <c r="FX25" s="417"/>
      <c r="FY25" s="415"/>
      <c r="FZ25" s="417"/>
      <c r="GA25" s="415"/>
      <c r="GB25" s="417"/>
      <c r="GC25" s="415"/>
      <c r="GD25" s="417"/>
      <c r="GE25" s="415"/>
      <c r="GF25" s="417"/>
      <c r="GG25" s="415"/>
      <c r="GH25" s="417"/>
      <c r="GI25" s="415"/>
      <c r="GJ25" s="417"/>
      <c r="GK25" s="415"/>
      <c r="GL25" s="417"/>
      <c r="GM25" s="415"/>
      <c r="GN25" s="417"/>
      <c r="GO25" s="415"/>
      <c r="GP25" s="417"/>
      <c r="GQ25" s="415"/>
      <c r="GR25" s="417"/>
      <c r="GS25" s="415"/>
      <c r="GT25" s="417"/>
      <c r="GU25" s="415"/>
      <c r="GV25" s="417"/>
      <c r="GW25" s="415"/>
      <c r="GX25" s="417"/>
      <c r="GY25" s="415"/>
      <c r="GZ25" s="417"/>
      <c r="HA25" s="415"/>
      <c r="HB25" s="417"/>
      <c r="HC25" s="415"/>
      <c r="HD25" s="417"/>
      <c r="HE25" s="415"/>
      <c r="HF25" s="417"/>
      <c r="HG25" s="415"/>
      <c r="HH25" s="417"/>
      <c r="HI25" s="415"/>
      <c r="HJ25" s="417"/>
      <c r="HK25" s="415"/>
      <c r="HL25" s="417"/>
      <c r="HM25" s="415"/>
      <c r="HN25" s="417"/>
      <c r="HO25" s="415"/>
      <c r="HP25" s="417"/>
      <c r="HQ25" s="415"/>
      <c r="HR25" s="417"/>
      <c r="HS25" s="415"/>
      <c r="HT25" s="417"/>
      <c r="HU25" s="415"/>
      <c r="HV25" s="417"/>
      <c r="HW25" s="415"/>
      <c r="HX25" s="417"/>
      <c r="HY25" s="415"/>
      <c r="HZ25" s="417"/>
      <c r="IA25" s="415"/>
      <c r="IB25" s="417"/>
      <c r="IC25" s="415"/>
      <c r="ID25" s="417"/>
      <c r="IE25" s="415"/>
      <c r="IF25" s="417"/>
      <c r="IG25" s="415"/>
      <c r="IH25" s="417"/>
      <c r="II25" s="415"/>
      <c r="IJ25" s="417"/>
      <c r="IK25" s="415"/>
      <c r="IL25" s="417"/>
      <c r="IM25" s="415"/>
      <c r="IN25" s="417"/>
      <c r="IO25" s="415"/>
      <c r="IP25" s="417"/>
      <c r="IQ25" s="415"/>
      <c r="IR25" s="417"/>
      <c r="IS25" s="415"/>
      <c r="IT25" s="417"/>
      <c r="IU25" s="415"/>
      <c r="IV25" s="417"/>
    </row>
    <row r="26" spans="1:256" s="418" customFormat="1" ht="13.5" x14ac:dyDescent="0.25">
      <c r="A26" s="415" t="s">
        <v>403</v>
      </c>
      <c r="B26" s="422">
        <v>0</v>
      </c>
      <c r="C26" s="422">
        <f>+B26*(1+'Total Market Size'!C$136)</f>
        <v>0</v>
      </c>
      <c r="D26" s="422">
        <f>+C26*(1+'Total Market Size'!D$136)</f>
        <v>0</v>
      </c>
      <c r="E26" s="422">
        <f>+D26*(1+'Total Market Size'!E$136)</f>
        <v>0</v>
      </c>
      <c r="F26" s="422">
        <f>+E26*(1+'Total Market Size'!F$136)</f>
        <v>0</v>
      </c>
      <c r="G26" s="422">
        <f>+F26*(1+'Total Market Size'!G$136)</f>
        <v>0</v>
      </c>
      <c r="H26" s="422">
        <f>+G26*(1+'Total Market Size'!H$136)</f>
        <v>0</v>
      </c>
      <c r="I26" s="422">
        <f>+H26*(1+'Total Market Size'!I$136)</f>
        <v>0</v>
      </c>
      <c r="J26" s="422">
        <f>+I26*(1+'Total Market Size'!J$136)</f>
        <v>0</v>
      </c>
      <c r="K26" s="422">
        <f>+J26*(1+'Total Market Size'!K$136)</f>
        <v>0</v>
      </c>
      <c r="L26" s="426">
        <f>+K26*(1+'Total Market Size'!L$136)</f>
        <v>0</v>
      </c>
      <c r="M26" s="601" t="s">
        <v>506</v>
      </c>
      <c r="N26" s="417">
        <f t="shared" si="0"/>
        <v>1</v>
      </c>
      <c r="O26" s="415"/>
      <c r="P26" s="417"/>
      <c r="Q26" s="415"/>
      <c r="R26" s="417"/>
      <c r="S26" s="415"/>
      <c r="T26" s="417"/>
      <c r="U26" s="415"/>
      <c r="V26" s="417"/>
      <c r="W26" s="415"/>
      <c r="X26" s="417"/>
      <c r="Y26" s="415"/>
      <c r="Z26" s="417"/>
      <c r="AA26" s="415"/>
      <c r="AB26" s="417"/>
      <c r="AC26" s="415"/>
      <c r="AD26" s="417"/>
      <c r="AE26" s="415"/>
      <c r="AF26" s="417"/>
      <c r="AG26" s="415"/>
      <c r="AH26" s="417"/>
      <c r="AI26" s="415"/>
      <c r="AJ26" s="417"/>
      <c r="AK26" s="415"/>
      <c r="AL26" s="417"/>
      <c r="AM26" s="415"/>
      <c r="AN26" s="417"/>
      <c r="AO26" s="415"/>
      <c r="AP26" s="417"/>
      <c r="AQ26" s="415"/>
      <c r="AR26" s="417"/>
      <c r="AS26" s="415"/>
      <c r="AT26" s="417"/>
      <c r="AU26" s="415"/>
      <c r="AV26" s="417"/>
      <c r="AW26" s="415"/>
      <c r="AX26" s="417"/>
      <c r="AY26" s="415"/>
      <c r="AZ26" s="417"/>
      <c r="BA26" s="415"/>
      <c r="BB26" s="417"/>
      <c r="BC26" s="415"/>
      <c r="BD26" s="417"/>
      <c r="BE26" s="415"/>
      <c r="BF26" s="417"/>
      <c r="BG26" s="415"/>
      <c r="BH26" s="417"/>
      <c r="BI26" s="415"/>
      <c r="BJ26" s="417"/>
      <c r="BK26" s="415"/>
      <c r="BL26" s="417"/>
      <c r="BM26" s="415"/>
      <c r="BN26" s="417"/>
      <c r="BO26" s="415"/>
      <c r="BP26" s="417"/>
      <c r="BQ26" s="415"/>
      <c r="BR26" s="417"/>
      <c r="BS26" s="415"/>
      <c r="BT26" s="417"/>
      <c r="BU26" s="415"/>
      <c r="BV26" s="417"/>
      <c r="BW26" s="415"/>
      <c r="BX26" s="417"/>
      <c r="BY26" s="415"/>
      <c r="BZ26" s="417"/>
      <c r="CA26" s="415"/>
      <c r="CB26" s="417"/>
      <c r="CC26" s="415"/>
      <c r="CD26" s="417"/>
      <c r="CE26" s="415"/>
      <c r="CF26" s="417"/>
      <c r="CG26" s="415"/>
      <c r="CH26" s="417"/>
      <c r="CI26" s="415"/>
      <c r="CJ26" s="417"/>
      <c r="CK26" s="415"/>
      <c r="CL26" s="417"/>
      <c r="CM26" s="415"/>
      <c r="CN26" s="417"/>
      <c r="CO26" s="415"/>
      <c r="CP26" s="417"/>
      <c r="CQ26" s="415"/>
      <c r="CR26" s="417"/>
      <c r="CS26" s="415"/>
      <c r="CT26" s="417"/>
      <c r="CU26" s="415"/>
      <c r="CV26" s="417"/>
      <c r="CW26" s="415"/>
      <c r="CX26" s="417"/>
      <c r="CY26" s="415"/>
      <c r="CZ26" s="417"/>
      <c r="DA26" s="415"/>
      <c r="DB26" s="417"/>
      <c r="DC26" s="415"/>
      <c r="DD26" s="417"/>
      <c r="DE26" s="415"/>
      <c r="DF26" s="417"/>
      <c r="DG26" s="415"/>
      <c r="DH26" s="417"/>
      <c r="DI26" s="415"/>
      <c r="DJ26" s="417"/>
      <c r="DK26" s="415"/>
      <c r="DL26" s="417"/>
      <c r="DM26" s="415"/>
      <c r="DN26" s="417"/>
      <c r="DO26" s="415"/>
      <c r="DP26" s="417"/>
      <c r="DQ26" s="415"/>
      <c r="DR26" s="417"/>
      <c r="DS26" s="415"/>
      <c r="DT26" s="417"/>
      <c r="DU26" s="415"/>
      <c r="DV26" s="417"/>
      <c r="DW26" s="415"/>
      <c r="DX26" s="417"/>
      <c r="DY26" s="415"/>
      <c r="DZ26" s="417"/>
      <c r="EA26" s="415"/>
      <c r="EB26" s="417"/>
      <c r="EC26" s="415"/>
      <c r="ED26" s="417"/>
      <c r="EE26" s="415"/>
      <c r="EF26" s="417"/>
      <c r="EG26" s="415"/>
      <c r="EH26" s="417"/>
      <c r="EI26" s="415"/>
      <c r="EJ26" s="417"/>
      <c r="EK26" s="415"/>
      <c r="EL26" s="417"/>
      <c r="EM26" s="415"/>
      <c r="EN26" s="417"/>
      <c r="EO26" s="415"/>
      <c r="EP26" s="417"/>
      <c r="EQ26" s="415"/>
      <c r="ER26" s="417"/>
      <c r="ES26" s="415"/>
      <c r="ET26" s="417"/>
      <c r="EU26" s="415"/>
      <c r="EV26" s="417"/>
      <c r="EW26" s="415"/>
      <c r="EX26" s="417"/>
      <c r="EY26" s="415"/>
      <c r="EZ26" s="417"/>
      <c r="FA26" s="415"/>
      <c r="FB26" s="417"/>
      <c r="FC26" s="415"/>
      <c r="FD26" s="417"/>
      <c r="FE26" s="415"/>
      <c r="FF26" s="417"/>
      <c r="FG26" s="415"/>
      <c r="FH26" s="417"/>
      <c r="FI26" s="415"/>
      <c r="FJ26" s="417"/>
      <c r="FK26" s="415"/>
      <c r="FL26" s="417"/>
      <c r="FM26" s="415"/>
      <c r="FN26" s="417"/>
      <c r="FO26" s="415"/>
      <c r="FP26" s="417"/>
      <c r="FQ26" s="415"/>
      <c r="FR26" s="417"/>
      <c r="FS26" s="415"/>
      <c r="FT26" s="417"/>
      <c r="FU26" s="415"/>
      <c r="FV26" s="417"/>
      <c r="FW26" s="415"/>
      <c r="FX26" s="417"/>
      <c r="FY26" s="415"/>
      <c r="FZ26" s="417"/>
      <c r="GA26" s="415"/>
      <c r="GB26" s="417"/>
      <c r="GC26" s="415"/>
      <c r="GD26" s="417"/>
      <c r="GE26" s="415"/>
      <c r="GF26" s="417"/>
      <c r="GG26" s="415"/>
      <c r="GH26" s="417"/>
      <c r="GI26" s="415"/>
      <c r="GJ26" s="417"/>
      <c r="GK26" s="415"/>
      <c r="GL26" s="417"/>
      <c r="GM26" s="415"/>
      <c r="GN26" s="417"/>
      <c r="GO26" s="415"/>
      <c r="GP26" s="417"/>
      <c r="GQ26" s="415"/>
      <c r="GR26" s="417"/>
      <c r="GS26" s="415"/>
      <c r="GT26" s="417"/>
      <c r="GU26" s="415"/>
      <c r="GV26" s="417"/>
      <c r="GW26" s="415"/>
      <c r="GX26" s="417"/>
      <c r="GY26" s="415"/>
      <c r="GZ26" s="417"/>
      <c r="HA26" s="415"/>
      <c r="HB26" s="417"/>
      <c r="HC26" s="415"/>
      <c r="HD26" s="417"/>
      <c r="HE26" s="415"/>
      <c r="HF26" s="417"/>
      <c r="HG26" s="415"/>
      <c r="HH26" s="417"/>
      <c r="HI26" s="415"/>
      <c r="HJ26" s="417"/>
      <c r="HK26" s="415"/>
      <c r="HL26" s="417"/>
      <c r="HM26" s="415"/>
      <c r="HN26" s="417"/>
      <c r="HO26" s="415"/>
      <c r="HP26" s="417"/>
      <c r="HQ26" s="415"/>
      <c r="HR26" s="417"/>
      <c r="HS26" s="415"/>
      <c r="HT26" s="417"/>
      <c r="HU26" s="415"/>
      <c r="HV26" s="417"/>
      <c r="HW26" s="415"/>
      <c r="HX26" s="417"/>
      <c r="HY26" s="415"/>
      <c r="HZ26" s="417"/>
      <c r="IA26" s="415"/>
      <c r="IB26" s="417"/>
      <c r="IC26" s="415"/>
      <c r="ID26" s="417"/>
      <c r="IE26" s="415"/>
      <c r="IF26" s="417"/>
      <c r="IG26" s="415"/>
      <c r="IH26" s="417"/>
      <c r="II26" s="415"/>
      <c r="IJ26" s="417"/>
      <c r="IK26" s="415"/>
      <c r="IL26" s="417"/>
      <c r="IM26" s="415"/>
      <c r="IN26" s="417"/>
      <c r="IO26" s="415"/>
      <c r="IP26" s="417"/>
      <c r="IQ26" s="415"/>
      <c r="IR26" s="417"/>
      <c r="IS26" s="415"/>
      <c r="IT26" s="417"/>
      <c r="IU26" s="415"/>
      <c r="IV26" s="417"/>
    </row>
    <row r="27" spans="1:256" s="418" customFormat="1" ht="13.5" x14ac:dyDescent="0.25">
      <c r="A27" s="415" t="s">
        <v>404</v>
      </c>
      <c r="B27" s="421">
        <v>0</v>
      </c>
      <c r="C27" s="421">
        <f>+B27*(1+'Total Market Size'!C$136)</f>
        <v>0</v>
      </c>
      <c r="D27" s="421">
        <f>+C27*(1+'Total Market Size'!D$136)</f>
        <v>0</v>
      </c>
      <c r="E27" s="421">
        <f>+D27*(1+'Total Market Size'!E$136)</f>
        <v>0</v>
      </c>
      <c r="F27" s="421">
        <f>+E27*(1+'Total Market Size'!F$136)</f>
        <v>0</v>
      </c>
      <c r="G27" s="421">
        <f>+F27*(1+'Total Market Size'!G$136)</f>
        <v>0</v>
      </c>
      <c r="H27" s="421">
        <f>+G27*(1+'Total Market Size'!H$136)</f>
        <v>0</v>
      </c>
      <c r="I27" s="421">
        <f>+H27*(1+'Total Market Size'!I$136)</f>
        <v>0</v>
      </c>
      <c r="J27" s="421">
        <f>+I27*(1+'Total Market Size'!J$136)</f>
        <v>0</v>
      </c>
      <c r="K27" s="421">
        <f>+J27*(1+'Total Market Size'!K$136)</f>
        <v>0</v>
      </c>
      <c r="L27" s="425">
        <f>+K27*(1+'Total Market Size'!L$136)</f>
        <v>0</v>
      </c>
      <c r="M27" s="601" t="s">
        <v>506</v>
      </c>
      <c r="N27" s="417">
        <f t="shared" si="0"/>
        <v>1</v>
      </c>
      <c r="O27" s="415"/>
      <c r="P27" s="417"/>
      <c r="Q27" s="415"/>
      <c r="R27" s="417"/>
      <c r="S27" s="415"/>
      <c r="T27" s="417"/>
      <c r="U27" s="415"/>
      <c r="V27" s="417"/>
      <c r="W27" s="415"/>
      <c r="X27" s="417"/>
      <c r="Y27" s="415"/>
      <c r="Z27" s="417"/>
      <c r="AA27" s="415"/>
      <c r="AB27" s="417"/>
      <c r="AC27" s="415"/>
      <c r="AD27" s="417"/>
      <c r="AE27" s="415"/>
      <c r="AF27" s="417"/>
      <c r="AG27" s="415"/>
      <c r="AH27" s="417"/>
      <c r="AI27" s="415"/>
      <c r="AJ27" s="417"/>
      <c r="AK27" s="415"/>
      <c r="AL27" s="417"/>
      <c r="AM27" s="415"/>
      <c r="AN27" s="417"/>
      <c r="AO27" s="415"/>
      <c r="AP27" s="417"/>
      <c r="AQ27" s="415"/>
      <c r="AR27" s="417"/>
      <c r="AS27" s="415"/>
      <c r="AT27" s="417"/>
      <c r="AU27" s="415"/>
      <c r="AV27" s="417"/>
      <c r="AW27" s="415"/>
      <c r="AX27" s="417"/>
      <c r="AY27" s="415"/>
      <c r="AZ27" s="417"/>
      <c r="BA27" s="415"/>
      <c r="BB27" s="417"/>
      <c r="BC27" s="415"/>
      <c r="BD27" s="417"/>
      <c r="BE27" s="415"/>
      <c r="BF27" s="417"/>
      <c r="BG27" s="415"/>
      <c r="BH27" s="417"/>
      <c r="BI27" s="415"/>
      <c r="BJ27" s="417"/>
      <c r="BK27" s="415"/>
      <c r="BL27" s="417"/>
      <c r="BM27" s="415"/>
      <c r="BN27" s="417"/>
      <c r="BO27" s="415"/>
      <c r="BP27" s="417"/>
      <c r="BQ27" s="415"/>
      <c r="BR27" s="417"/>
      <c r="BS27" s="415"/>
      <c r="BT27" s="417"/>
      <c r="BU27" s="415"/>
      <c r="BV27" s="417"/>
      <c r="BW27" s="415"/>
      <c r="BX27" s="417"/>
      <c r="BY27" s="415"/>
      <c r="BZ27" s="417"/>
      <c r="CA27" s="415"/>
      <c r="CB27" s="417"/>
      <c r="CC27" s="415"/>
      <c r="CD27" s="417"/>
      <c r="CE27" s="415"/>
      <c r="CF27" s="417"/>
      <c r="CG27" s="415"/>
      <c r="CH27" s="417"/>
      <c r="CI27" s="415"/>
      <c r="CJ27" s="417"/>
      <c r="CK27" s="415"/>
      <c r="CL27" s="417"/>
      <c r="CM27" s="415"/>
      <c r="CN27" s="417"/>
      <c r="CO27" s="415"/>
      <c r="CP27" s="417"/>
      <c r="CQ27" s="415"/>
      <c r="CR27" s="417"/>
      <c r="CS27" s="415"/>
      <c r="CT27" s="417"/>
      <c r="CU27" s="415"/>
      <c r="CV27" s="417"/>
      <c r="CW27" s="415"/>
      <c r="CX27" s="417"/>
      <c r="CY27" s="415"/>
      <c r="CZ27" s="417"/>
      <c r="DA27" s="415"/>
      <c r="DB27" s="417"/>
      <c r="DC27" s="415"/>
      <c r="DD27" s="417"/>
      <c r="DE27" s="415"/>
      <c r="DF27" s="417"/>
      <c r="DG27" s="415"/>
      <c r="DH27" s="417"/>
      <c r="DI27" s="415"/>
      <c r="DJ27" s="417"/>
      <c r="DK27" s="415"/>
      <c r="DL27" s="417"/>
      <c r="DM27" s="415"/>
      <c r="DN27" s="417"/>
      <c r="DO27" s="415"/>
      <c r="DP27" s="417"/>
      <c r="DQ27" s="415"/>
      <c r="DR27" s="417"/>
      <c r="DS27" s="415"/>
      <c r="DT27" s="417"/>
      <c r="DU27" s="415"/>
      <c r="DV27" s="417"/>
      <c r="DW27" s="415"/>
      <c r="DX27" s="417"/>
      <c r="DY27" s="415"/>
      <c r="DZ27" s="417"/>
      <c r="EA27" s="415"/>
      <c r="EB27" s="417"/>
      <c r="EC27" s="415"/>
      <c r="ED27" s="417"/>
      <c r="EE27" s="415"/>
      <c r="EF27" s="417"/>
      <c r="EG27" s="415"/>
      <c r="EH27" s="417"/>
      <c r="EI27" s="415"/>
      <c r="EJ27" s="417"/>
      <c r="EK27" s="415"/>
      <c r="EL27" s="417"/>
      <c r="EM27" s="415"/>
      <c r="EN27" s="417"/>
      <c r="EO27" s="415"/>
      <c r="EP27" s="417"/>
      <c r="EQ27" s="415"/>
      <c r="ER27" s="417"/>
      <c r="ES27" s="415"/>
      <c r="ET27" s="417"/>
      <c r="EU27" s="415"/>
      <c r="EV27" s="417"/>
      <c r="EW27" s="415"/>
      <c r="EX27" s="417"/>
      <c r="EY27" s="415"/>
      <c r="EZ27" s="417"/>
      <c r="FA27" s="415"/>
      <c r="FB27" s="417"/>
      <c r="FC27" s="415"/>
      <c r="FD27" s="417"/>
      <c r="FE27" s="415"/>
      <c r="FF27" s="417"/>
      <c r="FG27" s="415"/>
      <c r="FH27" s="417"/>
      <c r="FI27" s="415"/>
      <c r="FJ27" s="417"/>
      <c r="FK27" s="415"/>
      <c r="FL27" s="417"/>
      <c r="FM27" s="415"/>
      <c r="FN27" s="417"/>
      <c r="FO27" s="415"/>
      <c r="FP27" s="417"/>
      <c r="FQ27" s="415"/>
      <c r="FR27" s="417"/>
      <c r="FS27" s="415"/>
      <c r="FT27" s="417"/>
      <c r="FU27" s="415"/>
      <c r="FV27" s="417"/>
      <c r="FW27" s="415"/>
      <c r="FX27" s="417"/>
      <c r="FY27" s="415"/>
      <c r="FZ27" s="417"/>
      <c r="GA27" s="415"/>
      <c r="GB27" s="417"/>
      <c r="GC27" s="415"/>
      <c r="GD27" s="417"/>
      <c r="GE27" s="415"/>
      <c r="GF27" s="417"/>
      <c r="GG27" s="415"/>
      <c r="GH27" s="417"/>
      <c r="GI27" s="415"/>
      <c r="GJ27" s="417"/>
      <c r="GK27" s="415"/>
      <c r="GL27" s="417"/>
      <c r="GM27" s="415"/>
      <c r="GN27" s="417"/>
      <c r="GO27" s="415"/>
      <c r="GP27" s="417"/>
      <c r="GQ27" s="415"/>
      <c r="GR27" s="417"/>
      <c r="GS27" s="415"/>
      <c r="GT27" s="417"/>
      <c r="GU27" s="415"/>
      <c r="GV27" s="417"/>
      <c r="GW27" s="415"/>
      <c r="GX27" s="417"/>
      <c r="GY27" s="415"/>
      <c r="GZ27" s="417"/>
      <c r="HA27" s="415"/>
      <c r="HB27" s="417"/>
      <c r="HC27" s="415"/>
      <c r="HD27" s="417"/>
      <c r="HE27" s="415"/>
      <c r="HF27" s="417"/>
      <c r="HG27" s="415"/>
      <c r="HH27" s="417"/>
      <c r="HI27" s="415"/>
      <c r="HJ27" s="417"/>
      <c r="HK27" s="415"/>
      <c r="HL27" s="417"/>
      <c r="HM27" s="415"/>
      <c r="HN27" s="417"/>
      <c r="HO27" s="415"/>
      <c r="HP27" s="417"/>
      <c r="HQ27" s="415"/>
      <c r="HR27" s="417"/>
      <c r="HS27" s="415"/>
      <c r="HT27" s="417"/>
      <c r="HU27" s="415"/>
      <c r="HV27" s="417"/>
      <c r="HW27" s="415"/>
      <c r="HX27" s="417"/>
      <c r="HY27" s="415"/>
      <c r="HZ27" s="417"/>
      <c r="IA27" s="415"/>
      <c r="IB27" s="417"/>
      <c r="IC27" s="415"/>
      <c r="ID27" s="417"/>
      <c r="IE27" s="415"/>
      <c r="IF27" s="417"/>
      <c r="IG27" s="415"/>
      <c r="IH27" s="417"/>
      <c r="II27" s="415"/>
      <c r="IJ27" s="417"/>
      <c r="IK27" s="415"/>
      <c r="IL27" s="417"/>
      <c r="IM27" s="415"/>
      <c r="IN27" s="417"/>
      <c r="IO27" s="415"/>
      <c r="IP27" s="417"/>
      <c r="IQ27" s="415"/>
      <c r="IR27" s="417"/>
      <c r="IS27" s="415"/>
      <c r="IT27" s="417"/>
      <c r="IU27" s="415"/>
      <c r="IV27" s="417"/>
    </row>
    <row r="28" spans="1:256" s="418" customFormat="1" ht="13.5" x14ac:dyDescent="0.25">
      <c r="A28" s="416" t="s">
        <v>405</v>
      </c>
      <c r="B28" s="422">
        <f>SUM(B20:B27)+B17</f>
        <v>1071493.4705729168</v>
      </c>
      <c r="C28" s="422">
        <f>+B28*(1+'Total Market Size'!C$136)</f>
        <v>1096137.8203960939</v>
      </c>
      <c r="D28" s="422">
        <f>+C28*(1+'Total Market Size'!D$136)</f>
        <v>1118060.5768040158</v>
      </c>
      <c r="E28" s="422">
        <f>+D28*(1+'Total Market Size'!E$136)</f>
        <v>1142657.9094937041</v>
      </c>
      <c r="F28" s="422">
        <f>+E28*(1+'Total Market Size'!F$136)</f>
        <v>1168939.0414120592</v>
      </c>
      <c r="G28" s="422">
        <f>+F28*(1+'Total Market Size'!G$136)</f>
        <v>1198162.5174473606</v>
      </c>
      <c r="H28" s="422">
        <f>+G28*(1+'Total Market Size'!H$136)</f>
        <v>1227517.4991248208</v>
      </c>
      <c r="I28" s="422">
        <f>+H28*(1+'Total Market Size'!I$136)</f>
        <v>1256977.9191038166</v>
      </c>
      <c r="J28" s="422">
        <f>+I28*(1+'Total Market Size'!J$136)</f>
        <v>1286893.9935784875</v>
      </c>
      <c r="K28" s="422">
        <f>+J28*(1+'Total Market Size'!K$136)</f>
        <v>1316492.5554307927</v>
      </c>
      <c r="L28" s="426">
        <f>+K28*(1+'Total Market Size'!L$136)</f>
        <v>1346508.5856946148</v>
      </c>
      <c r="M28" s="601"/>
      <c r="N28" s="417">
        <f t="shared" si="0"/>
        <v>0</v>
      </c>
      <c r="O28" s="416"/>
      <c r="P28" s="417"/>
      <c r="Q28" s="416"/>
      <c r="R28" s="417"/>
      <c r="S28" s="416"/>
      <c r="T28" s="417"/>
      <c r="U28" s="416"/>
      <c r="V28" s="417"/>
      <c r="W28" s="416"/>
      <c r="X28" s="417"/>
      <c r="Y28" s="416"/>
      <c r="Z28" s="417"/>
      <c r="AA28" s="416"/>
      <c r="AB28" s="417"/>
      <c r="AC28" s="416"/>
      <c r="AD28" s="417"/>
      <c r="AE28" s="416"/>
      <c r="AF28" s="417"/>
      <c r="AG28" s="416"/>
      <c r="AH28" s="417"/>
      <c r="AI28" s="416"/>
      <c r="AJ28" s="417"/>
      <c r="AK28" s="416"/>
      <c r="AL28" s="417"/>
      <c r="AM28" s="416"/>
      <c r="AN28" s="417"/>
      <c r="AO28" s="416"/>
      <c r="AP28" s="417"/>
      <c r="AQ28" s="416"/>
      <c r="AR28" s="417"/>
      <c r="AS28" s="416"/>
      <c r="AT28" s="417"/>
      <c r="AU28" s="416"/>
      <c r="AV28" s="417"/>
      <c r="AW28" s="416"/>
      <c r="AX28" s="417"/>
      <c r="AY28" s="416"/>
      <c r="AZ28" s="417"/>
      <c r="BA28" s="416"/>
      <c r="BB28" s="417"/>
      <c r="BC28" s="416"/>
      <c r="BD28" s="417"/>
      <c r="BE28" s="416"/>
      <c r="BF28" s="417"/>
      <c r="BG28" s="416"/>
      <c r="BH28" s="417"/>
      <c r="BI28" s="416"/>
      <c r="BJ28" s="417"/>
      <c r="BK28" s="416"/>
      <c r="BL28" s="417"/>
      <c r="BM28" s="416"/>
      <c r="BN28" s="417"/>
      <c r="BO28" s="416"/>
      <c r="BP28" s="417"/>
      <c r="BQ28" s="416"/>
      <c r="BR28" s="417"/>
      <c r="BS28" s="416"/>
      <c r="BT28" s="417"/>
      <c r="BU28" s="416"/>
      <c r="BV28" s="417"/>
      <c r="BW28" s="416"/>
      <c r="BX28" s="417"/>
      <c r="BY28" s="416"/>
      <c r="BZ28" s="417"/>
      <c r="CA28" s="416"/>
      <c r="CB28" s="417"/>
      <c r="CC28" s="416"/>
      <c r="CD28" s="417"/>
      <c r="CE28" s="416"/>
      <c r="CF28" s="417"/>
      <c r="CG28" s="416"/>
      <c r="CH28" s="417"/>
      <c r="CI28" s="416"/>
      <c r="CJ28" s="417"/>
      <c r="CK28" s="416"/>
      <c r="CL28" s="417"/>
      <c r="CM28" s="416"/>
      <c r="CN28" s="417"/>
      <c r="CO28" s="416"/>
      <c r="CP28" s="417"/>
      <c r="CQ28" s="416"/>
      <c r="CR28" s="417"/>
      <c r="CS28" s="416"/>
      <c r="CT28" s="417"/>
      <c r="CU28" s="416"/>
      <c r="CV28" s="417"/>
      <c r="CW28" s="416"/>
      <c r="CX28" s="417"/>
      <c r="CY28" s="416"/>
      <c r="CZ28" s="417"/>
      <c r="DA28" s="416"/>
      <c r="DB28" s="417"/>
      <c r="DC28" s="416"/>
      <c r="DD28" s="417"/>
      <c r="DE28" s="416"/>
      <c r="DF28" s="417"/>
      <c r="DG28" s="416"/>
      <c r="DH28" s="417"/>
      <c r="DI28" s="416"/>
      <c r="DJ28" s="417"/>
      <c r="DK28" s="416"/>
      <c r="DL28" s="417"/>
      <c r="DM28" s="416"/>
      <c r="DN28" s="417"/>
      <c r="DO28" s="416"/>
      <c r="DP28" s="417"/>
      <c r="DQ28" s="416"/>
      <c r="DR28" s="417"/>
      <c r="DS28" s="416"/>
      <c r="DT28" s="417"/>
      <c r="DU28" s="416"/>
      <c r="DV28" s="417"/>
      <c r="DW28" s="416"/>
      <c r="DX28" s="417"/>
      <c r="DY28" s="416"/>
      <c r="DZ28" s="417"/>
      <c r="EA28" s="416"/>
      <c r="EB28" s="417"/>
      <c r="EC28" s="416"/>
      <c r="ED28" s="417"/>
      <c r="EE28" s="416"/>
      <c r="EF28" s="417"/>
      <c r="EG28" s="416"/>
      <c r="EH28" s="417"/>
      <c r="EI28" s="416"/>
      <c r="EJ28" s="417"/>
      <c r="EK28" s="416"/>
      <c r="EL28" s="417"/>
      <c r="EM28" s="416"/>
      <c r="EN28" s="417"/>
      <c r="EO28" s="416"/>
      <c r="EP28" s="417"/>
      <c r="EQ28" s="416"/>
      <c r="ER28" s="417"/>
      <c r="ES28" s="416"/>
      <c r="ET28" s="417"/>
      <c r="EU28" s="416"/>
      <c r="EV28" s="417"/>
      <c r="EW28" s="416"/>
      <c r="EX28" s="417"/>
      <c r="EY28" s="416"/>
      <c r="EZ28" s="417"/>
      <c r="FA28" s="416"/>
      <c r="FB28" s="417"/>
      <c r="FC28" s="416"/>
      <c r="FD28" s="417"/>
      <c r="FE28" s="416"/>
      <c r="FF28" s="417"/>
      <c r="FG28" s="416"/>
      <c r="FH28" s="417"/>
      <c r="FI28" s="416"/>
      <c r="FJ28" s="417"/>
      <c r="FK28" s="416"/>
      <c r="FL28" s="417"/>
      <c r="FM28" s="416"/>
      <c r="FN28" s="417"/>
      <c r="FO28" s="416"/>
      <c r="FP28" s="417"/>
      <c r="FQ28" s="416"/>
      <c r="FR28" s="417"/>
      <c r="FS28" s="416"/>
      <c r="FT28" s="417"/>
      <c r="FU28" s="416"/>
      <c r="FV28" s="417"/>
      <c r="FW28" s="416"/>
      <c r="FX28" s="417"/>
      <c r="FY28" s="416"/>
      <c r="FZ28" s="417"/>
      <c r="GA28" s="416"/>
      <c r="GB28" s="417"/>
      <c r="GC28" s="416"/>
      <c r="GD28" s="417"/>
      <c r="GE28" s="416"/>
      <c r="GF28" s="417"/>
      <c r="GG28" s="416"/>
      <c r="GH28" s="417"/>
      <c r="GI28" s="416"/>
      <c r="GJ28" s="417"/>
      <c r="GK28" s="416"/>
      <c r="GL28" s="417"/>
      <c r="GM28" s="416"/>
      <c r="GN28" s="417"/>
      <c r="GO28" s="416"/>
      <c r="GP28" s="417"/>
      <c r="GQ28" s="416"/>
      <c r="GR28" s="417"/>
      <c r="GS28" s="416"/>
      <c r="GT28" s="417"/>
      <c r="GU28" s="416"/>
      <c r="GV28" s="417"/>
      <c r="GW28" s="416"/>
      <c r="GX28" s="417"/>
      <c r="GY28" s="416"/>
      <c r="GZ28" s="417"/>
      <c r="HA28" s="416"/>
      <c r="HB28" s="417"/>
      <c r="HC28" s="416"/>
      <c r="HD28" s="417"/>
      <c r="HE28" s="416"/>
      <c r="HF28" s="417"/>
      <c r="HG28" s="416"/>
      <c r="HH28" s="417"/>
      <c r="HI28" s="416"/>
      <c r="HJ28" s="417"/>
      <c r="HK28" s="416"/>
      <c r="HL28" s="417"/>
      <c r="HM28" s="416"/>
      <c r="HN28" s="417"/>
      <c r="HO28" s="416"/>
      <c r="HP28" s="417"/>
      <c r="HQ28" s="416"/>
      <c r="HR28" s="417"/>
      <c r="HS28" s="416"/>
      <c r="HT28" s="417"/>
      <c r="HU28" s="416"/>
      <c r="HV28" s="417"/>
      <c r="HW28" s="416"/>
      <c r="HX28" s="417"/>
      <c r="HY28" s="416"/>
      <c r="HZ28" s="417"/>
      <c r="IA28" s="416"/>
      <c r="IB28" s="417"/>
      <c r="IC28" s="416"/>
      <c r="ID28" s="417"/>
      <c r="IE28" s="416"/>
      <c r="IF28" s="417"/>
      <c r="IG28" s="416"/>
      <c r="IH28" s="417"/>
      <c r="II28" s="416"/>
      <c r="IJ28" s="417"/>
      <c r="IK28" s="416"/>
      <c r="IL28" s="417"/>
      <c r="IM28" s="416"/>
      <c r="IN28" s="417"/>
      <c r="IO28" s="416"/>
      <c r="IP28" s="417"/>
      <c r="IQ28" s="416"/>
      <c r="IR28" s="417"/>
      <c r="IS28" s="416"/>
      <c r="IT28" s="417"/>
      <c r="IU28" s="416"/>
      <c r="IV28" s="417"/>
    </row>
    <row r="29" spans="1:256" s="418" customFormat="1" ht="13.5" x14ac:dyDescent="0.25">
      <c r="A29" s="415" t="s">
        <v>406</v>
      </c>
      <c r="B29" s="422">
        <v>20000</v>
      </c>
      <c r="C29" s="422">
        <f>+B29*(1+'Total Market Size'!C$136)</f>
        <v>20460</v>
      </c>
      <c r="D29" s="422">
        <f>+C29*(1+'Total Market Size'!D$136)</f>
        <v>20869.2</v>
      </c>
      <c r="E29" s="422">
        <f>+D29*(1+'Total Market Size'!E$136)</f>
        <v>21328.322400000001</v>
      </c>
      <c r="F29" s="422">
        <f>+E29*(1+'Total Market Size'!F$136)</f>
        <v>21818.873815200001</v>
      </c>
      <c r="G29" s="422">
        <f>+F29*(1+'Total Market Size'!G$136)</f>
        <v>22364.345660579998</v>
      </c>
      <c r="H29" s="422">
        <f>+G29*(1+'Total Market Size'!H$136)</f>
        <v>22912.272129264209</v>
      </c>
      <c r="I29" s="422">
        <f>+H29*(1+'Total Market Size'!I$136)</f>
        <v>23462.166660366551</v>
      </c>
      <c r="J29" s="422">
        <f>+I29*(1+'Total Market Size'!J$136)</f>
        <v>24020.566226883275</v>
      </c>
      <c r="K29" s="422">
        <f>+J29*(1+'Total Market Size'!K$136)</f>
        <v>24573.039250101589</v>
      </c>
      <c r="L29" s="426">
        <f>+K29*(1+'Total Market Size'!L$136)</f>
        <v>25133.304545003903</v>
      </c>
      <c r="M29" s="601" t="s">
        <v>506</v>
      </c>
      <c r="N29" s="417">
        <f t="shared" si="0"/>
        <v>1</v>
      </c>
      <c r="O29" s="415"/>
      <c r="P29" s="417"/>
      <c r="Q29" s="415"/>
      <c r="R29" s="417"/>
      <c r="S29" s="415"/>
      <c r="T29" s="417"/>
      <c r="U29" s="415"/>
      <c r="V29" s="417"/>
      <c r="W29" s="415"/>
      <c r="X29" s="417"/>
      <c r="Y29" s="415"/>
      <c r="Z29" s="417"/>
      <c r="AA29" s="415"/>
      <c r="AB29" s="417"/>
      <c r="AC29" s="415"/>
      <c r="AD29" s="417"/>
      <c r="AE29" s="415"/>
      <c r="AF29" s="417"/>
      <c r="AG29" s="415"/>
      <c r="AH29" s="417"/>
      <c r="AI29" s="415"/>
      <c r="AJ29" s="417"/>
      <c r="AK29" s="415"/>
      <c r="AL29" s="417"/>
      <c r="AM29" s="415"/>
      <c r="AN29" s="417"/>
      <c r="AO29" s="415"/>
      <c r="AP29" s="417"/>
      <c r="AQ29" s="415"/>
      <c r="AR29" s="417"/>
      <c r="AS29" s="415"/>
      <c r="AT29" s="417"/>
      <c r="AU29" s="415"/>
      <c r="AV29" s="417"/>
      <c r="AW29" s="415"/>
      <c r="AX29" s="417"/>
      <c r="AY29" s="415"/>
      <c r="AZ29" s="417"/>
      <c r="BA29" s="415"/>
      <c r="BB29" s="417"/>
      <c r="BC29" s="415"/>
      <c r="BD29" s="417"/>
      <c r="BE29" s="415"/>
      <c r="BF29" s="417"/>
      <c r="BG29" s="415"/>
      <c r="BH29" s="417"/>
      <c r="BI29" s="415"/>
      <c r="BJ29" s="417"/>
      <c r="BK29" s="415"/>
      <c r="BL29" s="417"/>
      <c r="BM29" s="415"/>
      <c r="BN29" s="417"/>
      <c r="BO29" s="415"/>
      <c r="BP29" s="417"/>
      <c r="BQ29" s="415"/>
      <c r="BR29" s="417"/>
      <c r="BS29" s="415"/>
      <c r="BT29" s="417"/>
      <c r="BU29" s="415"/>
      <c r="BV29" s="417"/>
      <c r="BW29" s="415"/>
      <c r="BX29" s="417"/>
      <c r="BY29" s="415"/>
      <c r="BZ29" s="417"/>
      <c r="CA29" s="415"/>
      <c r="CB29" s="417"/>
      <c r="CC29" s="415"/>
      <c r="CD29" s="417"/>
      <c r="CE29" s="415"/>
      <c r="CF29" s="417"/>
      <c r="CG29" s="415"/>
      <c r="CH29" s="417"/>
      <c r="CI29" s="415"/>
      <c r="CJ29" s="417"/>
      <c r="CK29" s="415"/>
      <c r="CL29" s="417"/>
      <c r="CM29" s="415"/>
      <c r="CN29" s="417"/>
      <c r="CO29" s="415"/>
      <c r="CP29" s="417"/>
      <c r="CQ29" s="415"/>
      <c r="CR29" s="417"/>
      <c r="CS29" s="415"/>
      <c r="CT29" s="417"/>
      <c r="CU29" s="415"/>
      <c r="CV29" s="417"/>
      <c r="CW29" s="415"/>
      <c r="CX29" s="417"/>
      <c r="CY29" s="415"/>
      <c r="CZ29" s="417"/>
      <c r="DA29" s="415"/>
      <c r="DB29" s="417"/>
      <c r="DC29" s="415"/>
      <c r="DD29" s="417"/>
      <c r="DE29" s="415"/>
      <c r="DF29" s="417"/>
      <c r="DG29" s="415"/>
      <c r="DH29" s="417"/>
      <c r="DI29" s="415"/>
      <c r="DJ29" s="417"/>
      <c r="DK29" s="415"/>
      <c r="DL29" s="417"/>
      <c r="DM29" s="415"/>
      <c r="DN29" s="417"/>
      <c r="DO29" s="415"/>
      <c r="DP29" s="417"/>
      <c r="DQ29" s="415"/>
      <c r="DR29" s="417"/>
      <c r="DS29" s="415"/>
      <c r="DT29" s="417"/>
      <c r="DU29" s="415"/>
      <c r="DV29" s="417"/>
      <c r="DW29" s="415"/>
      <c r="DX29" s="417"/>
      <c r="DY29" s="415"/>
      <c r="DZ29" s="417"/>
      <c r="EA29" s="415"/>
      <c r="EB29" s="417"/>
      <c r="EC29" s="415"/>
      <c r="ED29" s="417"/>
      <c r="EE29" s="415"/>
      <c r="EF29" s="417"/>
      <c r="EG29" s="415"/>
      <c r="EH29" s="417"/>
      <c r="EI29" s="415"/>
      <c r="EJ29" s="417"/>
      <c r="EK29" s="415"/>
      <c r="EL29" s="417"/>
      <c r="EM29" s="415"/>
      <c r="EN29" s="417"/>
      <c r="EO29" s="415"/>
      <c r="EP29" s="417"/>
      <c r="EQ29" s="415"/>
      <c r="ER29" s="417"/>
      <c r="ES29" s="415"/>
      <c r="ET29" s="417"/>
      <c r="EU29" s="415"/>
      <c r="EV29" s="417"/>
      <c r="EW29" s="415"/>
      <c r="EX29" s="417"/>
      <c r="EY29" s="415"/>
      <c r="EZ29" s="417"/>
      <c r="FA29" s="415"/>
      <c r="FB29" s="417"/>
      <c r="FC29" s="415"/>
      <c r="FD29" s="417"/>
      <c r="FE29" s="415"/>
      <c r="FF29" s="417"/>
      <c r="FG29" s="415"/>
      <c r="FH29" s="417"/>
      <c r="FI29" s="415"/>
      <c r="FJ29" s="417"/>
      <c r="FK29" s="415"/>
      <c r="FL29" s="417"/>
      <c r="FM29" s="415"/>
      <c r="FN29" s="417"/>
      <c r="FO29" s="415"/>
      <c r="FP29" s="417"/>
      <c r="FQ29" s="415"/>
      <c r="FR29" s="417"/>
      <c r="FS29" s="415"/>
      <c r="FT29" s="417"/>
      <c r="FU29" s="415"/>
      <c r="FV29" s="417"/>
      <c r="FW29" s="415"/>
      <c r="FX29" s="417"/>
      <c r="FY29" s="415"/>
      <c r="FZ29" s="417"/>
      <c r="GA29" s="415"/>
      <c r="GB29" s="417"/>
      <c r="GC29" s="415"/>
      <c r="GD29" s="417"/>
      <c r="GE29" s="415"/>
      <c r="GF29" s="417"/>
      <c r="GG29" s="415"/>
      <c r="GH29" s="417"/>
      <c r="GI29" s="415"/>
      <c r="GJ29" s="417"/>
      <c r="GK29" s="415"/>
      <c r="GL29" s="417"/>
      <c r="GM29" s="415"/>
      <c r="GN29" s="417"/>
      <c r="GO29" s="415"/>
      <c r="GP29" s="417"/>
      <c r="GQ29" s="415"/>
      <c r="GR29" s="417"/>
      <c r="GS29" s="415"/>
      <c r="GT29" s="417"/>
      <c r="GU29" s="415"/>
      <c r="GV29" s="417"/>
      <c r="GW29" s="415"/>
      <c r="GX29" s="417"/>
      <c r="GY29" s="415"/>
      <c r="GZ29" s="417"/>
      <c r="HA29" s="415"/>
      <c r="HB29" s="417"/>
      <c r="HC29" s="415"/>
      <c r="HD29" s="417"/>
      <c r="HE29" s="415"/>
      <c r="HF29" s="417"/>
      <c r="HG29" s="415"/>
      <c r="HH29" s="417"/>
      <c r="HI29" s="415"/>
      <c r="HJ29" s="417"/>
      <c r="HK29" s="415"/>
      <c r="HL29" s="417"/>
      <c r="HM29" s="415"/>
      <c r="HN29" s="417"/>
      <c r="HO29" s="415"/>
      <c r="HP29" s="417"/>
      <c r="HQ29" s="415"/>
      <c r="HR29" s="417"/>
      <c r="HS29" s="415"/>
      <c r="HT29" s="417"/>
      <c r="HU29" s="415"/>
      <c r="HV29" s="417"/>
      <c r="HW29" s="415"/>
      <c r="HX29" s="417"/>
      <c r="HY29" s="415"/>
      <c r="HZ29" s="417"/>
      <c r="IA29" s="415"/>
      <c r="IB29" s="417"/>
      <c r="IC29" s="415"/>
      <c r="ID29" s="417"/>
      <c r="IE29" s="415"/>
      <c r="IF29" s="417"/>
      <c r="IG29" s="415"/>
      <c r="IH29" s="417"/>
      <c r="II29" s="415"/>
      <c r="IJ29" s="417"/>
      <c r="IK29" s="415"/>
      <c r="IL29" s="417"/>
      <c r="IM29" s="415"/>
      <c r="IN29" s="417"/>
      <c r="IO29" s="415"/>
      <c r="IP29" s="417"/>
      <c r="IQ29" s="415"/>
      <c r="IR29" s="417"/>
      <c r="IS29" s="415"/>
      <c r="IT29" s="417"/>
      <c r="IU29" s="415"/>
      <c r="IV29" s="417"/>
    </row>
    <row r="30" spans="1:256" s="418" customFormat="1" ht="13.5" x14ac:dyDescent="0.25">
      <c r="A30" s="415" t="s">
        <v>407</v>
      </c>
      <c r="B30" s="422">
        <v>1000</v>
      </c>
      <c r="C30" s="422">
        <f>+B30*(1+'Total Market Size'!C$136)</f>
        <v>1022.9999999999999</v>
      </c>
      <c r="D30" s="422">
        <f>+C30*(1+'Total Market Size'!D$136)</f>
        <v>1043.4599999999998</v>
      </c>
      <c r="E30" s="422">
        <f>+D30*(1+'Total Market Size'!E$136)</f>
        <v>1066.4161199999999</v>
      </c>
      <c r="F30" s="422">
        <f>+E30*(1+'Total Market Size'!F$136)</f>
        <v>1090.9436907599998</v>
      </c>
      <c r="G30" s="422">
        <f>+F30*(1+'Total Market Size'!G$136)</f>
        <v>1118.2172830289996</v>
      </c>
      <c r="H30" s="422">
        <f>+G30*(1+'Total Market Size'!H$136)</f>
        <v>1145.6136064632101</v>
      </c>
      <c r="I30" s="422">
        <f>+H30*(1+'Total Market Size'!I$136)</f>
        <v>1173.1083330183271</v>
      </c>
      <c r="J30" s="422">
        <f>+I30*(1+'Total Market Size'!J$136)</f>
        <v>1201.0283113441633</v>
      </c>
      <c r="K30" s="422">
        <f>+J30*(1+'Total Market Size'!K$136)</f>
        <v>1228.6519625050789</v>
      </c>
      <c r="L30" s="426">
        <f>+K30*(1+'Total Market Size'!L$136)</f>
        <v>1256.6652272501947</v>
      </c>
      <c r="M30" s="601" t="s">
        <v>506</v>
      </c>
      <c r="N30" s="417">
        <f t="shared" si="0"/>
        <v>1</v>
      </c>
      <c r="O30" s="415"/>
      <c r="P30" s="417"/>
      <c r="Q30" s="415"/>
      <c r="R30" s="417"/>
      <c r="S30" s="415"/>
      <c r="T30" s="417"/>
      <c r="U30" s="415"/>
      <c r="V30" s="417"/>
      <c r="W30" s="415"/>
      <c r="X30" s="417"/>
      <c r="Y30" s="415"/>
      <c r="Z30" s="417"/>
      <c r="AA30" s="415"/>
      <c r="AB30" s="417"/>
      <c r="AC30" s="415"/>
      <c r="AD30" s="417"/>
      <c r="AE30" s="415"/>
      <c r="AF30" s="417"/>
      <c r="AG30" s="415"/>
      <c r="AH30" s="417"/>
      <c r="AI30" s="415"/>
      <c r="AJ30" s="417"/>
      <c r="AK30" s="415"/>
      <c r="AL30" s="417"/>
      <c r="AM30" s="415"/>
      <c r="AN30" s="417"/>
      <c r="AO30" s="415"/>
      <c r="AP30" s="417"/>
      <c r="AQ30" s="415"/>
      <c r="AR30" s="417"/>
      <c r="AS30" s="415"/>
      <c r="AT30" s="417"/>
      <c r="AU30" s="415"/>
      <c r="AV30" s="417"/>
      <c r="AW30" s="415"/>
      <c r="AX30" s="417"/>
      <c r="AY30" s="415"/>
      <c r="AZ30" s="417"/>
      <c r="BA30" s="415"/>
      <c r="BB30" s="417"/>
      <c r="BC30" s="415"/>
      <c r="BD30" s="417"/>
      <c r="BE30" s="415"/>
      <c r="BF30" s="417"/>
      <c r="BG30" s="415"/>
      <c r="BH30" s="417"/>
      <c r="BI30" s="415"/>
      <c r="BJ30" s="417"/>
      <c r="BK30" s="415"/>
      <c r="BL30" s="417"/>
      <c r="BM30" s="415"/>
      <c r="BN30" s="417"/>
      <c r="BO30" s="415"/>
      <c r="BP30" s="417"/>
      <c r="BQ30" s="415"/>
      <c r="BR30" s="417"/>
      <c r="BS30" s="415"/>
      <c r="BT30" s="417"/>
      <c r="BU30" s="415"/>
      <c r="BV30" s="417"/>
      <c r="BW30" s="415"/>
      <c r="BX30" s="417"/>
      <c r="BY30" s="415"/>
      <c r="BZ30" s="417"/>
      <c r="CA30" s="415"/>
      <c r="CB30" s="417"/>
      <c r="CC30" s="415"/>
      <c r="CD30" s="417"/>
      <c r="CE30" s="415"/>
      <c r="CF30" s="417"/>
      <c r="CG30" s="415"/>
      <c r="CH30" s="417"/>
      <c r="CI30" s="415"/>
      <c r="CJ30" s="417"/>
      <c r="CK30" s="415"/>
      <c r="CL30" s="417"/>
      <c r="CM30" s="415"/>
      <c r="CN30" s="417"/>
      <c r="CO30" s="415"/>
      <c r="CP30" s="417"/>
      <c r="CQ30" s="415"/>
      <c r="CR30" s="417"/>
      <c r="CS30" s="415"/>
      <c r="CT30" s="417"/>
      <c r="CU30" s="415"/>
      <c r="CV30" s="417"/>
      <c r="CW30" s="415"/>
      <c r="CX30" s="417"/>
      <c r="CY30" s="415"/>
      <c r="CZ30" s="417"/>
      <c r="DA30" s="415"/>
      <c r="DB30" s="417"/>
      <c r="DC30" s="415"/>
      <c r="DD30" s="417"/>
      <c r="DE30" s="415"/>
      <c r="DF30" s="417"/>
      <c r="DG30" s="415"/>
      <c r="DH30" s="417"/>
      <c r="DI30" s="415"/>
      <c r="DJ30" s="417"/>
      <c r="DK30" s="415"/>
      <c r="DL30" s="417"/>
      <c r="DM30" s="415"/>
      <c r="DN30" s="417"/>
      <c r="DO30" s="415"/>
      <c r="DP30" s="417"/>
      <c r="DQ30" s="415"/>
      <c r="DR30" s="417"/>
      <c r="DS30" s="415"/>
      <c r="DT30" s="417"/>
      <c r="DU30" s="415"/>
      <c r="DV30" s="417"/>
      <c r="DW30" s="415"/>
      <c r="DX30" s="417"/>
      <c r="DY30" s="415"/>
      <c r="DZ30" s="417"/>
      <c r="EA30" s="415"/>
      <c r="EB30" s="417"/>
      <c r="EC30" s="415"/>
      <c r="ED30" s="417"/>
      <c r="EE30" s="415"/>
      <c r="EF30" s="417"/>
      <c r="EG30" s="415"/>
      <c r="EH30" s="417"/>
      <c r="EI30" s="415"/>
      <c r="EJ30" s="417"/>
      <c r="EK30" s="415"/>
      <c r="EL30" s="417"/>
      <c r="EM30" s="415"/>
      <c r="EN30" s="417"/>
      <c r="EO30" s="415"/>
      <c r="EP30" s="417"/>
      <c r="EQ30" s="415"/>
      <c r="ER30" s="417"/>
      <c r="ES30" s="415"/>
      <c r="ET30" s="417"/>
      <c r="EU30" s="415"/>
      <c r="EV30" s="417"/>
      <c r="EW30" s="415"/>
      <c r="EX30" s="417"/>
      <c r="EY30" s="415"/>
      <c r="EZ30" s="417"/>
      <c r="FA30" s="415"/>
      <c r="FB30" s="417"/>
      <c r="FC30" s="415"/>
      <c r="FD30" s="417"/>
      <c r="FE30" s="415"/>
      <c r="FF30" s="417"/>
      <c r="FG30" s="415"/>
      <c r="FH30" s="417"/>
      <c r="FI30" s="415"/>
      <c r="FJ30" s="417"/>
      <c r="FK30" s="415"/>
      <c r="FL30" s="417"/>
      <c r="FM30" s="415"/>
      <c r="FN30" s="417"/>
      <c r="FO30" s="415"/>
      <c r="FP30" s="417"/>
      <c r="FQ30" s="415"/>
      <c r="FR30" s="417"/>
      <c r="FS30" s="415"/>
      <c r="FT30" s="417"/>
      <c r="FU30" s="415"/>
      <c r="FV30" s="417"/>
      <c r="FW30" s="415"/>
      <c r="FX30" s="417"/>
      <c r="FY30" s="415"/>
      <c r="FZ30" s="417"/>
      <c r="GA30" s="415"/>
      <c r="GB30" s="417"/>
      <c r="GC30" s="415"/>
      <c r="GD30" s="417"/>
      <c r="GE30" s="415"/>
      <c r="GF30" s="417"/>
      <c r="GG30" s="415"/>
      <c r="GH30" s="417"/>
      <c r="GI30" s="415"/>
      <c r="GJ30" s="417"/>
      <c r="GK30" s="415"/>
      <c r="GL30" s="417"/>
      <c r="GM30" s="415"/>
      <c r="GN30" s="417"/>
      <c r="GO30" s="415"/>
      <c r="GP30" s="417"/>
      <c r="GQ30" s="415"/>
      <c r="GR30" s="417"/>
      <c r="GS30" s="415"/>
      <c r="GT30" s="417"/>
      <c r="GU30" s="415"/>
      <c r="GV30" s="417"/>
      <c r="GW30" s="415"/>
      <c r="GX30" s="417"/>
      <c r="GY30" s="415"/>
      <c r="GZ30" s="417"/>
      <c r="HA30" s="415"/>
      <c r="HB30" s="417"/>
      <c r="HC30" s="415"/>
      <c r="HD30" s="417"/>
      <c r="HE30" s="415"/>
      <c r="HF30" s="417"/>
      <c r="HG30" s="415"/>
      <c r="HH30" s="417"/>
      <c r="HI30" s="415"/>
      <c r="HJ30" s="417"/>
      <c r="HK30" s="415"/>
      <c r="HL30" s="417"/>
      <c r="HM30" s="415"/>
      <c r="HN30" s="417"/>
      <c r="HO30" s="415"/>
      <c r="HP30" s="417"/>
      <c r="HQ30" s="415"/>
      <c r="HR30" s="417"/>
      <c r="HS30" s="415"/>
      <c r="HT30" s="417"/>
      <c r="HU30" s="415"/>
      <c r="HV30" s="417"/>
      <c r="HW30" s="415"/>
      <c r="HX30" s="417"/>
      <c r="HY30" s="415"/>
      <c r="HZ30" s="417"/>
      <c r="IA30" s="415"/>
      <c r="IB30" s="417"/>
      <c r="IC30" s="415"/>
      <c r="ID30" s="417"/>
      <c r="IE30" s="415"/>
      <c r="IF30" s="417"/>
      <c r="IG30" s="415"/>
      <c r="IH30" s="417"/>
      <c r="II30" s="415"/>
      <c r="IJ30" s="417"/>
      <c r="IK30" s="415"/>
      <c r="IL30" s="417"/>
      <c r="IM30" s="415"/>
      <c r="IN30" s="417"/>
      <c r="IO30" s="415"/>
      <c r="IP30" s="417"/>
      <c r="IQ30" s="415"/>
      <c r="IR30" s="417"/>
      <c r="IS30" s="415"/>
      <c r="IT30" s="417"/>
      <c r="IU30" s="415"/>
      <c r="IV30" s="417"/>
    </row>
    <row r="31" spans="1:256" s="418" customFormat="1" ht="13.5" x14ac:dyDescent="0.25">
      <c r="A31" s="415" t="s">
        <v>408</v>
      </c>
      <c r="B31" s="422">
        <v>5000</v>
      </c>
      <c r="C31" s="422">
        <f>+B31*(1+'Total Market Size'!C$136)</f>
        <v>5115</v>
      </c>
      <c r="D31" s="422">
        <f>+C31*(1+'Total Market Size'!D$136)</f>
        <v>5217.3</v>
      </c>
      <c r="E31" s="422">
        <f>+D31*(1+'Total Market Size'!E$136)</f>
        <v>5332.0806000000002</v>
      </c>
      <c r="F31" s="422">
        <f>+E31*(1+'Total Market Size'!F$136)</f>
        <v>5454.7184538000001</v>
      </c>
      <c r="G31" s="422">
        <f>+F31*(1+'Total Market Size'!G$136)</f>
        <v>5591.0864151449996</v>
      </c>
      <c r="H31" s="422">
        <f>+G31*(1+'Total Market Size'!H$136)</f>
        <v>5728.0680323160523</v>
      </c>
      <c r="I31" s="422">
        <f>+H31*(1+'Total Market Size'!I$136)</f>
        <v>5865.5416650916377</v>
      </c>
      <c r="J31" s="422">
        <f>+I31*(1+'Total Market Size'!J$136)</f>
        <v>6005.1415567208187</v>
      </c>
      <c r="K31" s="422">
        <f>+J31*(1+'Total Market Size'!K$136)</f>
        <v>6143.2598125253971</v>
      </c>
      <c r="L31" s="426">
        <f>+K31*(1+'Total Market Size'!L$136)</f>
        <v>6283.3261362509757</v>
      </c>
      <c r="M31" s="601" t="s">
        <v>506</v>
      </c>
      <c r="N31" s="417">
        <f t="shared" si="0"/>
        <v>1</v>
      </c>
      <c r="O31" s="415"/>
      <c r="P31" s="417"/>
      <c r="Q31" s="415"/>
      <c r="R31" s="417"/>
      <c r="S31" s="415"/>
      <c r="T31" s="417"/>
      <c r="U31" s="415"/>
      <c r="V31" s="417"/>
      <c r="W31" s="415"/>
      <c r="X31" s="417"/>
      <c r="Y31" s="415"/>
      <c r="Z31" s="417"/>
      <c r="AA31" s="415"/>
      <c r="AB31" s="417"/>
      <c r="AC31" s="415"/>
      <c r="AD31" s="417"/>
      <c r="AE31" s="415"/>
      <c r="AF31" s="417"/>
      <c r="AG31" s="415"/>
      <c r="AH31" s="417"/>
      <c r="AI31" s="415"/>
      <c r="AJ31" s="417"/>
      <c r="AK31" s="415"/>
      <c r="AL31" s="417"/>
      <c r="AM31" s="415"/>
      <c r="AN31" s="417"/>
      <c r="AO31" s="415"/>
      <c r="AP31" s="417"/>
      <c r="AQ31" s="415"/>
      <c r="AR31" s="417"/>
      <c r="AS31" s="415"/>
      <c r="AT31" s="417"/>
      <c r="AU31" s="415"/>
      <c r="AV31" s="417"/>
      <c r="AW31" s="415"/>
      <c r="AX31" s="417"/>
      <c r="AY31" s="415"/>
      <c r="AZ31" s="417"/>
      <c r="BA31" s="415"/>
      <c r="BB31" s="417"/>
      <c r="BC31" s="415"/>
      <c r="BD31" s="417"/>
      <c r="BE31" s="415"/>
      <c r="BF31" s="417"/>
      <c r="BG31" s="415"/>
      <c r="BH31" s="417"/>
      <c r="BI31" s="415"/>
      <c r="BJ31" s="417"/>
      <c r="BK31" s="415"/>
      <c r="BL31" s="417"/>
      <c r="BM31" s="415"/>
      <c r="BN31" s="417"/>
      <c r="BO31" s="415"/>
      <c r="BP31" s="417"/>
      <c r="BQ31" s="415"/>
      <c r="BR31" s="417"/>
      <c r="BS31" s="415"/>
      <c r="BT31" s="417"/>
      <c r="BU31" s="415"/>
      <c r="BV31" s="417"/>
      <c r="BW31" s="415"/>
      <c r="BX31" s="417"/>
      <c r="BY31" s="415"/>
      <c r="BZ31" s="417"/>
      <c r="CA31" s="415"/>
      <c r="CB31" s="417"/>
      <c r="CC31" s="415"/>
      <c r="CD31" s="417"/>
      <c r="CE31" s="415"/>
      <c r="CF31" s="417"/>
      <c r="CG31" s="415"/>
      <c r="CH31" s="417"/>
      <c r="CI31" s="415"/>
      <c r="CJ31" s="417"/>
      <c r="CK31" s="415"/>
      <c r="CL31" s="417"/>
      <c r="CM31" s="415"/>
      <c r="CN31" s="417"/>
      <c r="CO31" s="415"/>
      <c r="CP31" s="417"/>
      <c r="CQ31" s="415"/>
      <c r="CR31" s="417"/>
      <c r="CS31" s="415"/>
      <c r="CT31" s="417"/>
      <c r="CU31" s="415"/>
      <c r="CV31" s="417"/>
      <c r="CW31" s="415"/>
      <c r="CX31" s="417"/>
      <c r="CY31" s="415"/>
      <c r="CZ31" s="417"/>
      <c r="DA31" s="415"/>
      <c r="DB31" s="417"/>
      <c r="DC31" s="415"/>
      <c r="DD31" s="417"/>
      <c r="DE31" s="415"/>
      <c r="DF31" s="417"/>
      <c r="DG31" s="415"/>
      <c r="DH31" s="417"/>
      <c r="DI31" s="415"/>
      <c r="DJ31" s="417"/>
      <c r="DK31" s="415"/>
      <c r="DL31" s="417"/>
      <c r="DM31" s="415"/>
      <c r="DN31" s="417"/>
      <c r="DO31" s="415"/>
      <c r="DP31" s="417"/>
      <c r="DQ31" s="415"/>
      <c r="DR31" s="417"/>
      <c r="DS31" s="415"/>
      <c r="DT31" s="417"/>
      <c r="DU31" s="415"/>
      <c r="DV31" s="417"/>
      <c r="DW31" s="415"/>
      <c r="DX31" s="417"/>
      <c r="DY31" s="415"/>
      <c r="DZ31" s="417"/>
      <c r="EA31" s="415"/>
      <c r="EB31" s="417"/>
      <c r="EC31" s="415"/>
      <c r="ED31" s="417"/>
      <c r="EE31" s="415"/>
      <c r="EF31" s="417"/>
      <c r="EG31" s="415"/>
      <c r="EH31" s="417"/>
      <c r="EI31" s="415"/>
      <c r="EJ31" s="417"/>
      <c r="EK31" s="415"/>
      <c r="EL31" s="417"/>
      <c r="EM31" s="415"/>
      <c r="EN31" s="417"/>
      <c r="EO31" s="415"/>
      <c r="EP31" s="417"/>
      <c r="EQ31" s="415"/>
      <c r="ER31" s="417"/>
      <c r="ES31" s="415"/>
      <c r="ET31" s="417"/>
      <c r="EU31" s="415"/>
      <c r="EV31" s="417"/>
      <c r="EW31" s="415"/>
      <c r="EX31" s="417"/>
      <c r="EY31" s="415"/>
      <c r="EZ31" s="417"/>
      <c r="FA31" s="415"/>
      <c r="FB31" s="417"/>
      <c r="FC31" s="415"/>
      <c r="FD31" s="417"/>
      <c r="FE31" s="415"/>
      <c r="FF31" s="417"/>
      <c r="FG31" s="415"/>
      <c r="FH31" s="417"/>
      <c r="FI31" s="415"/>
      <c r="FJ31" s="417"/>
      <c r="FK31" s="415"/>
      <c r="FL31" s="417"/>
      <c r="FM31" s="415"/>
      <c r="FN31" s="417"/>
      <c r="FO31" s="415"/>
      <c r="FP31" s="417"/>
      <c r="FQ31" s="415"/>
      <c r="FR31" s="417"/>
      <c r="FS31" s="415"/>
      <c r="FT31" s="417"/>
      <c r="FU31" s="415"/>
      <c r="FV31" s="417"/>
      <c r="FW31" s="415"/>
      <c r="FX31" s="417"/>
      <c r="FY31" s="415"/>
      <c r="FZ31" s="417"/>
      <c r="GA31" s="415"/>
      <c r="GB31" s="417"/>
      <c r="GC31" s="415"/>
      <c r="GD31" s="417"/>
      <c r="GE31" s="415"/>
      <c r="GF31" s="417"/>
      <c r="GG31" s="415"/>
      <c r="GH31" s="417"/>
      <c r="GI31" s="415"/>
      <c r="GJ31" s="417"/>
      <c r="GK31" s="415"/>
      <c r="GL31" s="417"/>
      <c r="GM31" s="415"/>
      <c r="GN31" s="417"/>
      <c r="GO31" s="415"/>
      <c r="GP31" s="417"/>
      <c r="GQ31" s="415"/>
      <c r="GR31" s="417"/>
      <c r="GS31" s="415"/>
      <c r="GT31" s="417"/>
      <c r="GU31" s="415"/>
      <c r="GV31" s="417"/>
      <c r="GW31" s="415"/>
      <c r="GX31" s="417"/>
      <c r="GY31" s="415"/>
      <c r="GZ31" s="417"/>
      <c r="HA31" s="415"/>
      <c r="HB31" s="417"/>
      <c r="HC31" s="415"/>
      <c r="HD31" s="417"/>
      <c r="HE31" s="415"/>
      <c r="HF31" s="417"/>
      <c r="HG31" s="415"/>
      <c r="HH31" s="417"/>
      <c r="HI31" s="415"/>
      <c r="HJ31" s="417"/>
      <c r="HK31" s="415"/>
      <c r="HL31" s="417"/>
      <c r="HM31" s="415"/>
      <c r="HN31" s="417"/>
      <c r="HO31" s="415"/>
      <c r="HP31" s="417"/>
      <c r="HQ31" s="415"/>
      <c r="HR31" s="417"/>
      <c r="HS31" s="415"/>
      <c r="HT31" s="417"/>
      <c r="HU31" s="415"/>
      <c r="HV31" s="417"/>
      <c r="HW31" s="415"/>
      <c r="HX31" s="417"/>
      <c r="HY31" s="415"/>
      <c r="HZ31" s="417"/>
      <c r="IA31" s="415"/>
      <c r="IB31" s="417"/>
      <c r="IC31" s="415"/>
      <c r="ID31" s="417"/>
      <c r="IE31" s="415"/>
      <c r="IF31" s="417"/>
      <c r="IG31" s="415"/>
      <c r="IH31" s="417"/>
      <c r="II31" s="415"/>
      <c r="IJ31" s="417"/>
      <c r="IK31" s="415"/>
      <c r="IL31" s="417"/>
      <c r="IM31" s="415"/>
      <c r="IN31" s="417"/>
      <c r="IO31" s="415"/>
      <c r="IP31" s="417"/>
      <c r="IQ31" s="415"/>
      <c r="IR31" s="417"/>
      <c r="IS31" s="415"/>
      <c r="IT31" s="417"/>
      <c r="IU31" s="415"/>
      <c r="IV31" s="417"/>
    </row>
    <row r="32" spans="1:256" s="418" customFormat="1" ht="13.5" x14ac:dyDescent="0.25">
      <c r="A32" s="415" t="s">
        <v>409</v>
      </c>
      <c r="B32" s="422">
        <v>10000</v>
      </c>
      <c r="C32" s="422">
        <f>+B32*(1+'Total Market Size'!C$136)</f>
        <v>10230</v>
      </c>
      <c r="D32" s="422">
        <f>+C32*(1+'Total Market Size'!D$136)</f>
        <v>10434.6</v>
      </c>
      <c r="E32" s="422">
        <f>+D32*(1+'Total Market Size'!E$136)</f>
        <v>10664.1612</v>
      </c>
      <c r="F32" s="422">
        <f>+E32*(1+'Total Market Size'!F$136)</f>
        <v>10909.4369076</v>
      </c>
      <c r="G32" s="422">
        <f>+F32*(1+'Total Market Size'!G$136)</f>
        <v>11182.172830289999</v>
      </c>
      <c r="H32" s="422">
        <f>+G32*(1+'Total Market Size'!H$136)</f>
        <v>11456.136064632105</v>
      </c>
      <c r="I32" s="422">
        <f>+H32*(1+'Total Market Size'!I$136)</f>
        <v>11731.083330183275</v>
      </c>
      <c r="J32" s="422">
        <f>+I32*(1+'Total Market Size'!J$136)</f>
        <v>12010.283113441637</v>
      </c>
      <c r="K32" s="422">
        <f>+J32*(1+'Total Market Size'!K$136)</f>
        <v>12286.519625050794</v>
      </c>
      <c r="L32" s="426">
        <f>+K32*(1+'Total Market Size'!L$136)</f>
        <v>12566.652272501951</v>
      </c>
      <c r="M32" s="601" t="s">
        <v>506</v>
      </c>
      <c r="N32" s="417">
        <f t="shared" si="0"/>
        <v>1</v>
      </c>
      <c r="O32" s="415"/>
      <c r="P32" s="417"/>
      <c r="Q32" s="415"/>
      <c r="R32" s="417"/>
      <c r="S32" s="415"/>
      <c r="T32" s="417"/>
      <c r="U32" s="415"/>
      <c r="V32" s="417"/>
      <c r="W32" s="415"/>
      <c r="X32" s="417"/>
      <c r="Y32" s="415"/>
      <c r="Z32" s="417"/>
      <c r="AA32" s="415"/>
      <c r="AB32" s="417"/>
      <c r="AC32" s="415"/>
      <c r="AD32" s="417"/>
      <c r="AE32" s="415"/>
      <c r="AF32" s="417"/>
      <c r="AG32" s="415"/>
      <c r="AH32" s="417"/>
      <c r="AI32" s="415"/>
      <c r="AJ32" s="417"/>
      <c r="AK32" s="415"/>
      <c r="AL32" s="417"/>
      <c r="AM32" s="415"/>
      <c r="AN32" s="417"/>
      <c r="AO32" s="415"/>
      <c r="AP32" s="417"/>
      <c r="AQ32" s="415"/>
      <c r="AR32" s="417"/>
      <c r="AS32" s="415"/>
      <c r="AT32" s="417"/>
      <c r="AU32" s="415"/>
      <c r="AV32" s="417"/>
      <c r="AW32" s="415"/>
      <c r="AX32" s="417"/>
      <c r="AY32" s="415"/>
      <c r="AZ32" s="417"/>
      <c r="BA32" s="415"/>
      <c r="BB32" s="417"/>
      <c r="BC32" s="415"/>
      <c r="BD32" s="417"/>
      <c r="BE32" s="415"/>
      <c r="BF32" s="417"/>
      <c r="BG32" s="415"/>
      <c r="BH32" s="417"/>
      <c r="BI32" s="415"/>
      <c r="BJ32" s="417"/>
      <c r="BK32" s="415"/>
      <c r="BL32" s="417"/>
      <c r="BM32" s="415"/>
      <c r="BN32" s="417"/>
      <c r="BO32" s="415"/>
      <c r="BP32" s="417"/>
      <c r="BQ32" s="415"/>
      <c r="BR32" s="417"/>
      <c r="BS32" s="415"/>
      <c r="BT32" s="417"/>
      <c r="BU32" s="415"/>
      <c r="BV32" s="417"/>
      <c r="BW32" s="415"/>
      <c r="BX32" s="417"/>
      <c r="BY32" s="415"/>
      <c r="BZ32" s="417"/>
      <c r="CA32" s="415"/>
      <c r="CB32" s="417"/>
      <c r="CC32" s="415"/>
      <c r="CD32" s="417"/>
      <c r="CE32" s="415"/>
      <c r="CF32" s="417"/>
      <c r="CG32" s="415"/>
      <c r="CH32" s="417"/>
      <c r="CI32" s="415"/>
      <c r="CJ32" s="417"/>
      <c r="CK32" s="415"/>
      <c r="CL32" s="417"/>
      <c r="CM32" s="415"/>
      <c r="CN32" s="417"/>
      <c r="CO32" s="415"/>
      <c r="CP32" s="417"/>
      <c r="CQ32" s="415"/>
      <c r="CR32" s="417"/>
      <c r="CS32" s="415"/>
      <c r="CT32" s="417"/>
      <c r="CU32" s="415"/>
      <c r="CV32" s="417"/>
      <c r="CW32" s="415"/>
      <c r="CX32" s="417"/>
      <c r="CY32" s="415"/>
      <c r="CZ32" s="417"/>
      <c r="DA32" s="415"/>
      <c r="DB32" s="417"/>
      <c r="DC32" s="415"/>
      <c r="DD32" s="417"/>
      <c r="DE32" s="415"/>
      <c r="DF32" s="417"/>
      <c r="DG32" s="415"/>
      <c r="DH32" s="417"/>
      <c r="DI32" s="415"/>
      <c r="DJ32" s="417"/>
      <c r="DK32" s="415"/>
      <c r="DL32" s="417"/>
      <c r="DM32" s="415"/>
      <c r="DN32" s="417"/>
      <c r="DO32" s="415"/>
      <c r="DP32" s="417"/>
      <c r="DQ32" s="415"/>
      <c r="DR32" s="417"/>
      <c r="DS32" s="415"/>
      <c r="DT32" s="417"/>
      <c r="DU32" s="415"/>
      <c r="DV32" s="417"/>
      <c r="DW32" s="415"/>
      <c r="DX32" s="417"/>
      <c r="DY32" s="415"/>
      <c r="DZ32" s="417"/>
      <c r="EA32" s="415"/>
      <c r="EB32" s="417"/>
      <c r="EC32" s="415"/>
      <c r="ED32" s="417"/>
      <c r="EE32" s="415"/>
      <c r="EF32" s="417"/>
      <c r="EG32" s="415"/>
      <c r="EH32" s="417"/>
      <c r="EI32" s="415"/>
      <c r="EJ32" s="417"/>
      <c r="EK32" s="415"/>
      <c r="EL32" s="417"/>
      <c r="EM32" s="415"/>
      <c r="EN32" s="417"/>
      <c r="EO32" s="415"/>
      <c r="EP32" s="417"/>
      <c r="EQ32" s="415"/>
      <c r="ER32" s="417"/>
      <c r="ES32" s="415"/>
      <c r="ET32" s="417"/>
      <c r="EU32" s="415"/>
      <c r="EV32" s="417"/>
      <c r="EW32" s="415"/>
      <c r="EX32" s="417"/>
      <c r="EY32" s="415"/>
      <c r="EZ32" s="417"/>
      <c r="FA32" s="415"/>
      <c r="FB32" s="417"/>
      <c r="FC32" s="415"/>
      <c r="FD32" s="417"/>
      <c r="FE32" s="415"/>
      <c r="FF32" s="417"/>
      <c r="FG32" s="415"/>
      <c r="FH32" s="417"/>
      <c r="FI32" s="415"/>
      <c r="FJ32" s="417"/>
      <c r="FK32" s="415"/>
      <c r="FL32" s="417"/>
      <c r="FM32" s="415"/>
      <c r="FN32" s="417"/>
      <c r="FO32" s="415"/>
      <c r="FP32" s="417"/>
      <c r="FQ32" s="415"/>
      <c r="FR32" s="417"/>
      <c r="FS32" s="415"/>
      <c r="FT32" s="417"/>
      <c r="FU32" s="415"/>
      <c r="FV32" s="417"/>
      <c r="FW32" s="415"/>
      <c r="FX32" s="417"/>
      <c r="FY32" s="415"/>
      <c r="FZ32" s="417"/>
      <c r="GA32" s="415"/>
      <c r="GB32" s="417"/>
      <c r="GC32" s="415"/>
      <c r="GD32" s="417"/>
      <c r="GE32" s="415"/>
      <c r="GF32" s="417"/>
      <c r="GG32" s="415"/>
      <c r="GH32" s="417"/>
      <c r="GI32" s="415"/>
      <c r="GJ32" s="417"/>
      <c r="GK32" s="415"/>
      <c r="GL32" s="417"/>
      <c r="GM32" s="415"/>
      <c r="GN32" s="417"/>
      <c r="GO32" s="415"/>
      <c r="GP32" s="417"/>
      <c r="GQ32" s="415"/>
      <c r="GR32" s="417"/>
      <c r="GS32" s="415"/>
      <c r="GT32" s="417"/>
      <c r="GU32" s="415"/>
      <c r="GV32" s="417"/>
      <c r="GW32" s="415"/>
      <c r="GX32" s="417"/>
      <c r="GY32" s="415"/>
      <c r="GZ32" s="417"/>
      <c r="HA32" s="415"/>
      <c r="HB32" s="417"/>
      <c r="HC32" s="415"/>
      <c r="HD32" s="417"/>
      <c r="HE32" s="415"/>
      <c r="HF32" s="417"/>
      <c r="HG32" s="415"/>
      <c r="HH32" s="417"/>
      <c r="HI32" s="415"/>
      <c r="HJ32" s="417"/>
      <c r="HK32" s="415"/>
      <c r="HL32" s="417"/>
      <c r="HM32" s="415"/>
      <c r="HN32" s="417"/>
      <c r="HO32" s="415"/>
      <c r="HP32" s="417"/>
      <c r="HQ32" s="415"/>
      <c r="HR32" s="417"/>
      <c r="HS32" s="415"/>
      <c r="HT32" s="417"/>
      <c r="HU32" s="415"/>
      <c r="HV32" s="417"/>
      <c r="HW32" s="415"/>
      <c r="HX32" s="417"/>
      <c r="HY32" s="415"/>
      <c r="HZ32" s="417"/>
      <c r="IA32" s="415"/>
      <c r="IB32" s="417"/>
      <c r="IC32" s="415"/>
      <c r="ID32" s="417"/>
      <c r="IE32" s="415"/>
      <c r="IF32" s="417"/>
      <c r="IG32" s="415"/>
      <c r="IH32" s="417"/>
      <c r="II32" s="415"/>
      <c r="IJ32" s="417"/>
      <c r="IK32" s="415"/>
      <c r="IL32" s="417"/>
      <c r="IM32" s="415"/>
      <c r="IN32" s="417"/>
      <c r="IO32" s="415"/>
      <c r="IP32" s="417"/>
      <c r="IQ32" s="415"/>
      <c r="IR32" s="417"/>
      <c r="IS32" s="415"/>
      <c r="IT32" s="417"/>
      <c r="IU32" s="415"/>
      <c r="IV32" s="417"/>
    </row>
    <row r="33" spans="1:256" s="418" customFormat="1" ht="13.5" x14ac:dyDescent="0.25">
      <c r="A33" s="415" t="s">
        <v>410</v>
      </c>
      <c r="B33" s="422">
        <v>30000</v>
      </c>
      <c r="C33" s="422">
        <f>+B33*(1+'Total Market Size'!C$136)</f>
        <v>30689.999999999996</v>
      </c>
      <c r="D33" s="422">
        <f>+C33*(1+'Total Market Size'!D$136)</f>
        <v>31303.799999999996</v>
      </c>
      <c r="E33" s="422">
        <f>+D33*(1+'Total Market Size'!E$136)</f>
        <v>31992.483599999996</v>
      </c>
      <c r="F33" s="422">
        <f>+E33*(1+'Total Market Size'!F$136)</f>
        <v>32728.310722799994</v>
      </c>
      <c r="G33" s="422">
        <f>+F33*(1+'Total Market Size'!G$136)</f>
        <v>33546.518490869988</v>
      </c>
      <c r="H33" s="422">
        <f>+G33*(1+'Total Market Size'!H$136)</f>
        <v>34368.408193896299</v>
      </c>
      <c r="I33" s="422">
        <f>+H33*(1+'Total Market Size'!I$136)</f>
        <v>35193.249990549812</v>
      </c>
      <c r="J33" s="422">
        <f>+I33*(1+'Total Market Size'!J$136)</f>
        <v>36030.849340324901</v>
      </c>
      <c r="K33" s="422">
        <f>+J33*(1+'Total Market Size'!K$136)</f>
        <v>36859.558875152368</v>
      </c>
      <c r="L33" s="426">
        <f>+K33*(1+'Total Market Size'!L$136)</f>
        <v>37699.956817505838</v>
      </c>
      <c r="M33" s="601" t="s">
        <v>506</v>
      </c>
      <c r="N33" s="417">
        <f t="shared" si="0"/>
        <v>1</v>
      </c>
      <c r="O33" s="415"/>
      <c r="P33" s="417"/>
      <c r="Q33" s="415"/>
      <c r="R33" s="417"/>
      <c r="S33" s="415"/>
      <c r="T33" s="417"/>
      <c r="U33" s="415"/>
      <c r="V33" s="417"/>
      <c r="W33" s="415"/>
      <c r="X33" s="417"/>
      <c r="Y33" s="415"/>
      <c r="Z33" s="417"/>
      <c r="AA33" s="415"/>
      <c r="AB33" s="417"/>
      <c r="AC33" s="415"/>
      <c r="AD33" s="417"/>
      <c r="AE33" s="415"/>
      <c r="AF33" s="417"/>
      <c r="AG33" s="415"/>
      <c r="AH33" s="417"/>
      <c r="AI33" s="415"/>
      <c r="AJ33" s="417"/>
      <c r="AK33" s="415"/>
      <c r="AL33" s="417"/>
      <c r="AM33" s="415"/>
      <c r="AN33" s="417"/>
      <c r="AO33" s="415"/>
      <c r="AP33" s="417"/>
      <c r="AQ33" s="415"/>
      <c r="AR33" s="417"/>
      <c r="AS33" s="415"/>
      <c r="AT33" s="417"/>
      <c r="AU33" s="415"/>
      <c r="AV33" s="417"/>
      <c r="AW33" s="415"/>
      <c r="AX33" s="417"/>
      <c r="AY33" s="415"/>
      <c r="AZ33" s="417"/>
      <c r="BA33" s="415"/>
      <c r="BB33" s="417"/>
      <c r="BC33" s="415"/>
      <c r="BD33" s="417"/>
      <c r="BE33" s="415"/>
      <c r="BF33" s="417"/>
      <c r="BG33" s="415"/>
      <c r="BH33" s="417"/>
      <c r="BI33" s="415"/>
      <c r="BJ33" s="417"/>
      <c r="BK33" s="415"/>
      <c r="BL33" s="417"/>
      <c r="BM33" s="415"/>
      <c r="BN33" s="417"/>
      <c r="BO33" s="415"/>
      <c r="BP33" s="417"/>
      <c r="BQ33" s="415"/>
      <c r="BR33" s="417"/>
      <c r="BS33" s="415"/>
      <c r="BT33" s="417"/>
      <c r="BU33" s="415"/>
      <c r="BV33" s="417"/>
      <c r="BW33" s="415"/>
      <c r="BX33" s="417"/>
      <c r="BY33" s="415"/>
      <c r="BZ33" s="417"/>
      <c r="CA33" s="415"/>
      <c r="CB33" s="417"/>
      <c r="CC33" s="415"/>
      <c r="CD33" s="417"/>
      <c r="CE33" s="415"/>
      <c r="CF33" s="417"/>
      <c r="CG33" s="415"/>
      <c r="CH33" s="417"/>
      <c r="CI33" s="415"/>
      <c r="CJ33" s="417"/>
      <c r="CK33" s="415"/>
      <c r="CL33" s="417"/>
      <c r="CM33" s="415"/>
      <c r="CN33" s="417"/>
      <c r="CO33" s="415"/>
      <c r="CP33" s="417"/>
      <c r="CQ33" s="415"/>
      <c r="CR33" s="417"/>
      <c r="CS33" s="415"/>
      <c r="CT33" s="417"/>
      <c r="CU33" s="415"/>
      <c r="CV33" s="417"/>
      <c r="CW33" s="415"/>
      <c r="CX33" s="417"/>
      <c r="CY33" s="415"/>
      <c r="CZ33" s="417"/>
      <c r="DA33" s="415"/>
      <c r="DB33" s="417"/>
      <c r="DC33" s="415"/>
      <c r="DD33" s="417"/>
      <c r="DE33" s="415"/>
      <c r="DF33" s="417"/>
      <c r="DG33" s="415"/>
      <c r="DH33" s="417"/>
      <c r="DI33" s="415"/>
      <c r="DJ33" s="417"/>
      <c r="DK33" s="415"/>
      <c r="DL33" s="417"/>
      <c r="DM33" s="415"/>
      <c r="DN33" s="417"/>
      <c r="DO33" s="415"/>
      <c r="DP33" s="417"/>
      <c r="DQ33" s="415"/>
      <c r="DR33" s="417"/>
      <c r="DS33" s="415"/>
      <c r="DT33" s="417"/>
      <c r="DU33" s="415"/>
      <c r="DV33" s="417"/>
      <c r="DW33" s="415"/>
      <c r="DX33" s="417"/>
      <c r="DY33" s="415"/>
      <c r="DZ33" s="417"/>
      <c r="EA33" s="415"/>
      <c r="EB33" s="417"/>
      <c r="EC33" s="415"/>
      <c r="ED33" s="417"/>
      <c r="EE33" s="415"/>
      <c r="EF33" s="417"/>
      <c r="EG33" s="415"/>
      <c r="EH33" s="417"/>
      <c r="EI33" s="415"/>
      <c r="EJ33" s="417"/>
      <c r="EK33" s="415"/>
      <c r="EL33" s="417"/>
      <c r="EM33" s="415"/>
      <c r="EN33" s="417"/>
      <c r="EO33" s="415"/>
      <c r="EP33" s="417"/>
      <c r="EQ33" s="415"/>
      <c r="ER33" s="417"/>
      <c r="ES33" s="415"/>
      <c r="ET33" s="417"/>
      <c r="EU33" s="415"/>
      <c r="EV33" s="417"/>
      <c r="EW33" s="415"/>
      <c r="EX33" s="417"/>
      <c r="EY33" s="415"/>
      <c r="EZ33" s="417"/>
      <c r="FA33" s="415"/>
      <c r="FB33" s="417"/>
      <c r="FC33" s="415"/>
      <c r="FD33" s="417"/>
      <c r="FE33" s="415"/>
      <c r="FF33" s="417"/>
      <c r="FG33" s="415"/>
      <c r="FH33" s="417"/>
      <c r="FI33" s="415"/>
      <c r="FJ33" s="417"/>
      <c r="FK33" s="415"/>
      <c r="FL33" s="417"/>
      <c r="FM33" s="415"/>
      <c r="FN33" s="417"/>
      <c r="FO33" s="415"/>
      <c r="FP33" s="417"/>
      <c r="FQ33" s="415"/>
      <c r="FR33" s="417"/>
      <c r="FS33" s="415"/>
      <c r="FT33" s="417"/>
      <c r="FU33" s="415"/>
      <c r="FV33" s="417"/>
      <c r="FW33" s="415"/>
      <c r="FX33" s="417"/>
      <c r="FY33" s="415"/>
      <c r="FZ33" s="417"/>
      <c r="GA33" s="415"/>
      <c r="GB33" s="417"/>
      <c r="GC33" s="415"/>
      <c r="GD33" s="417"/>
      <c r="GE33" s="415"/>
      <c r="GF33" s="417"/>
      <c r="GG33" s="415"/>
      <c r="GH33" s="417"/>
      <c r="GI33" s="415"/>
      <c r="GJ33" s="417"/>
      <c r="GK33" s="415"/>
      <c r="GL33" s="417"/>
      <c r="GM33" s="415"/>
      <c r="GN33" s="417"/>
      <c r="GO33" s="415"/>
      <c r="GP33" s="417"/>
      <c r="GQ33" s="415"/>
      <c r="GR33" s="417"/>
      <c r="GS33" s="415"/>
      <c r="GT33" s="417"/>
      <c r="GU33" s="415"/>
      <c r="GV33" s="417"/>
      <c r="GW33" s="415"/>
      <c r="GX33" s="417"/>
      <c r="GY33" s="415"/>
      <c r="GZ33" s="417"/>
      <c r="HA33" s="415"/>
      <c r="HB33" s="417"/>
      <c r="HC33" s="415"/>
      <c r="HD33" s="417"/>
      <c r="HE33" s="415"/>
      <c r="HF33" s="417"/>
      <c r="HG33" s="415"/>
      <c r="HH33" s="417"/>
      <c r="HI33" s="415"/>
      <c r="HJ33" s="417"/>
      <c r="HK33" s="415"/>
      <c r="HL33" s="417"/>
      <c r="HM33" s="415"/>
      <c r="HN33" s="417"/>
      <c r="HO33" s="415"/>
      <c r="HP33" s="417"/>
      <c r="HQ33" s="415"/>
      <c r="HR33" s="417"/>
      <c r="HS33" s="415"/>
      <c r="HT33" s="417"/>
      <c r="HU33" s="415"/>
      <c r="HV33" s="417"/>
      <c r="HW33" s="415"/>
      <c r="HX33" s="417"/>
      <c r="HY33" s="415"/>
      <c r="HZ33" s="417"/>
      <c r="IA33" s="415"/>
      <c r="IB33" s="417"/>
      <c r="IC33" s="415"/>
      <c r="ID33" s="417"/>
      <c r="IE33" s="415"/>
      <c r="IF33" s="417"/>
      <c r="IG33" s="415"/>
      <c r="IH33" s="417"/>
      <c r="II33" s="415"/>
      <c r="IJ33" s="417"/>
      <c r="IK33" s="415"/>
      <c r="IL33" s="417"/>
      <c r="IM33" s="415"/>
      <c r="IN33" s="417"/>
      <c r="IO33" s="415"/>
      <c r="IP33" s="417"/>
      <c r="IQ33" s="415"/>
      <c r="IR33" s="417"/>
      <c r="IS33" s="415"/>
      <c r="IT33" s="417"/>
      <c r="IU33" s="415"/>
      <c r="IV33" s="417"/>
    </row>
    <row r="34" spans="1:256" s="418" customFormat="1" ht="13.5" x14ac:dyDescent="0.25">
      <c r="A34" s="415" t="s">
        <v>411</v>
      </c>
      <c r="B34" s="421">
        <v>0</v>
      </c>
      <c r="C34" s="421">
        <f>+B34*(1+'Total Market Size'!C$136)</f>
        <v>0</v>
      </c>
      <c r="D34" s="421">
        <f>+C34*(1+'Total Market Size'!D$136)</f>
        <v>0</v>
      </c>
      <c r="E34" s="421">
        <f>+D34*(1+'Total Market Size'!E$136)</f>
        <v>0</v>
      </c>
      <c r="F34" s="421">
        <f>+E34*(1+'Total Market Size'!F$136)</f>
        <v>0</v>
      </c>
      <c r="G34" s="421">
        <f>+F34*(1+'Total Market Size'!G$136)</f>
        <v>0</v>
      </c>
      <c r="H34" s="421">
        <f>+G34*(1+'Total Market Size'!H$136)</f>
        <v>0</v>
      </c>
      <c r="I34" s="421">
        <f>+H34*(1+'Total Market Size'!I$136)</f>
        <v>0</v>
      </c>
      <c r="J34" s="421">
        <f>+I34*(1+'Total Market Size'!J$136)</f>
        <v>0</v>
      </c>
      <c r="K34" s="421">
        <f>+J34*(1+'Total Market Size'!K$136)</f>
        <v>0</v>
      </c>
      <c r="L34" s="425">
        <f>+K34*(1+'Total Market Size'!L$136)</f>
        <v>0</v>
      </c>
      <c r="M34" s="601" t="s">
        <v>506</v>
      </c>
      <c r="N34" s="417">
        <f t="shared" si="0"/>
        <v>1</v>
      </c>
      <c r="O34" s="415"/>
      <c r="P34" s="417"/>
      <c r="Q34" s="415"/>
      <c r="R34" s="417"/>
      <c r="S34" s="415"/>
      <c r="T34" s="417"/>
      <c r="U34" s="415"/>
      <c r="V34" s="417"/>
      <c r="W34" s="415"/>
      <c r="X34" s="417"/>
      <c r="Y34" s="415"/>
      <c r="Z34" s="417"/>
      <c r="AA34" s="415"/>
      <c r="AB34" s="417"/>
      <c r="AC34" s="415"/>
      <c r="AD34" s="417"/>
      <c r="AE34" s="415"/>
      <c r="AF34" s="417"/>
      <c r="AG34" s="415"/>
      <c r="AH34" s="417"/>
      <c r="AI34" s="415"/>
      <c r="AJ34" s="417"/>
      <c r="AK34" s="415"/>
      <c r="AL34" s="417"/>
      <c r="AM34" s="415"/>
      <c r="AN34" s="417"/>
      <c r="AO34" s="415"/>
      <c r="AP34" s="417"/>
      <c r="AQ34" s="415"/>
      <c r="AR34" s="417"/>
      <c r="AS34" s="415"/>
      <c r="AT34" s="417"/>
      <c r="AU34" s="415"/>
      <c r="AV34" s="417"/>
      <c r="AW34" s="415"/>
      <c r="AX34" s="417"/>
      <c r="AY34" s="415"/>
      <c r="AZ34" s="417"/>
      <c r="BA34" s="415"/>
      <c r="BB34" s="417"/>
      <c r="BC34" s="415"/>
      <c r="BD34" s="417"/>
      <c r="BE34" s="415"/>
      <c r="BF34" s="417"/>
      <c r="BG34" s="415"/>
      <c r="BH34" s="417"/>
      <c r="BI34" s="415"/>
      <c r="BJ34" s="417"/>
      <c r="BK34" s="415"/>
      <c r="BL34" s="417"/>
      <c r="BM34" s="415"/>
      <c r="BN34" s="417"/>
      <c r="BO34" s="415"/>
      <c r="BP34" s="417"/>
      <c r="BQ34" s="415"/>
      <c r="BR34" s="417"/>
      <c r="BS34" s="415"/>
      <c r="BT34" s="417"/>
      <c r="BU34" s="415"/>
      <c r="BV34" s="417"/>
      <c r="BW34" s="415"/>
      <c r="BX34" s="417"/>
      <c r="BY34" s="415"/>
      <c r="BZ34" s="417"/>
      <c r="CA34" s="415"/>
      <c r="CB34" s="417"/>
      <c r="CC34" s="415"/>
      <c r="CD34" s="417"/>
      <c r="CE34" s="415"/>
      <c r="CF34" s="417"/>
      <c r="CG34" s="415"/>
      <c r="CH34" s="417"/>
      <c r="CI34" s="415"/>
      <c r="CJ34" s="417"/>
      <c r="CK34" s="415"/>
      <c r="CL34" s="417"/>
      <c r="CM34" s="415"/>
      <c r="CN34" s="417"/>
      <c r="CO34" s="415"/>
      <c r="CP34" s="417"/>
      <c r="CQ34" s="415"/>
      <c r="CR34" s="417"/>
      <c r="CS34" s="415"/>
      <c r="CT34" s="417"/>
      <c r="CU34" s="415"/>
      <c r="CV34" s="417"/>
      <c r="CW34" s="415"/>
      <c r="CX34" s="417"/>
      <c r="CY34" s="415"/>
      <c r="CZ34" s="417"/>
      <c r="DA34" s="415"/>
      <c r="DB34" s="417"/>
      <c r="DC34" s="415"/>
      <c r="DD34" s="417"/>
      <c r="DE34" s="415"/>
      <c r="DF34" s="417"/>
      <c r="DG34" s="415"/>
      <c r="DH34" s="417"/>
      <c r="DI34" s="415"/>
      <c r="DJ34" s="417"/>
      <c r="DK34" s="415"/>
      <c r="DL34" s="417"/>
      <c r="DM34" s="415"/>
      <c r="DN34" s="417"/>
      <c r="DO34" s="415"/>
      <c r="DP34" s="417"/>
      <c r="DQ34" s="415"/>
      <c r="DR34" s="417"/>
      <c r="DS34" s="415"/>
      <c r="DT34" s="417"/>
      <c r="DU34" s="415"/>
      <c r="DV34" s="417"/>
      <c r="DW34" s="415"/>
      <c r="DX34" s="417"/>
      <c r="DY34" s="415"/>
      <c r="DZ34" s="417"/>
      <c r="EA34" s="415"/>
      <c r="EB34" s="417"/>
      <c r="EC34" s="415"/>
      <c r="ED34" s="417"/>
      <c r="EE34" s="415"/>
      <c r="EF34" s="417"/>
      <c r="EG34" s="415"/>
      <c r="EH34" s="417"/>
      <c r="EI34" s="415"/>
      <c r="EJ34" s="417"/>
      <c r="EK34" s="415"/>
      <c r="EL34" s="417"/>
      <c r="EM34" s="415"/>
      <c r="EN34" s="417"/>
      <c r="EO34" s="415"/>
      <c r="EP34" s="417"/>
      <c r="EQ34" s="415"/>
      <c r="ER34" s="417"/>
      <c r="ES34" s="415"/>
      <c r="ET34" s="417"/>
      <c r="EU34" s="415"/>
      <c r="EV34" s="417"/>
      <c r="EW34" s="415"/>
      <c r="EX34" s="417"/>
      <c r="EY34" s="415"/>
      <c r="EZ34" s="417"/>
      <c r="FA34" s="415"/>
      <c r="FB34" s="417"/>
      <c r="FC34" s="415"/>
      <c r="FD34" s="417"/>
      <c r="FE34" s="415"/>
      <c r="FF34" s="417"/>
      <c r="FG34" s="415"/>
      <c r="FH34" s="417"/>
      <c r="FI34" s="415"/>
      <c r="FJ34" s="417"/>
      <c r="FK34" s="415"/>
      <c r="FL34" s="417"/>
      <c r="FM34" s="415"/>
      <c r="FN34" s="417"/>
      <c r="FO34" s="415"/>
      <c r="FP34" s="417"/>
      <c r="FQ34" s="415"/>
      <c r="FR34" s="417"/>
      <c r="FS34" s="415"/>
      <c r="FT34" s="417"/>
      <c r="FU34" s="415"/>
      <c r="FV34" s="417"/>
      <c r="FW34" s="415"/>
      <c r="FX34" s="417"/>
      <c r="FY34" s="415"/>
      <c r="FZ34" s="417"/>
      <c r="GA34" s="415"/>
      <c r="GB34" s="417"/>
      <c r="GC34" s="415"/>
      <c r="GD34" s="417"/>
      <c r="GE34" s="415"/>
      <c r="GF34" s="417"/>
      <c r="GG34" s="415"/>
      <c r="GH34" s="417"/>
      <c r="GI34" s="415"/>
      <c r="GJ34" s="417"/>
      <c r="GK34" s="415"/>
      <c r="GL34" s="417"/>
      <c r="GM34" s="415"/>
      <c r="GN34" s="417"/>
      <c r="GO34" s="415"/>
      <c r="GP34" s="417"/>
      <c r="GQ34" s="415"/>
      <c r="GR34" s="417"/>
      <c r="GS34" s="415"/>
      <c r="GT34" s="417"/>
      <c r="GU34" s="415"/>
      <c r="GV34" s="417"/>
      <c r="GW34" s="415"/>
      <c r="GX34" s="417"/>
      <c r="GY34" s="415"/>
      <c r="GZ34" s="417"/>
      <c r="HA34" s="415"/>
      <c r="HB34" s="417"/>
      <c r="HC34" s="415"/>
      <c r="HD34" s="417"/>
      <c r="HE34" s="415"/>
      <c r="HF34" s="417"/>
      <c r="HG34" s="415"/>
      <c r="HH34" s="417"/>
      <c r="HI34" s="415"/>
      <c r="HJ34" s="417"/>
      <c r="HK34" s="415"/>
      <c r="HL34" s="417"/>
      <c r="HM34" s="415"/>
      <c r="HN34" s="417"/>
      <c r="HO34" s="415"/>
      <c r="HP34" s="417"/>
      <c r="HQ34" s="415"/>
      <c r="HR34" s="417"/>
      <c r="HS34" s="415"/>
      <c r="HT34" s="417"/>
      <c r="HU34" s="415"/>
      <c r="HV34" s="417"/>
      <c r="HW34" s="415"/>
      <c r="HX34" s="417"/>
      <c r="HY34" s="415"/>
      <c r="HZ34" s="417"/>
      <c r="IA34" s="415"/>
      <c r="IB34" s="417"/>
      <c r="IC34" s="415"/>
      <c r="ID34" s="417"/>
      <c r="IE34" s="415"/>
      <c r="IF34" s="417"/>
      <c r="IG34" s="415"/>
      <c r="IH34" s="417"/>
      <c r="II34" s="415"/>
      <c r="IJ34" s="417"/>
      <c r="IK34" s="415"/>
      <c r="IL34" s="417"/>
      <c r="IM34" s="415"/>
      <c r="IN34" s="417"/>
      <c r="IO34" s="415"/>
      <c r="IP34" s="417"/>
      <c r="IQ34" s="415"/>
      <c r="IR34" s="417"/>
      <c r="IS34" s="415"/>
      <c r="IT34" s="417"/>
      <c r="IU34" s="415"/>
      <c r="IV34" s="417"/>
    </row>
    <row r="35" spans="1:256" s="418" customFormat="1" ht="13.5" x14ac:dyDescent="0.25">
      <c r="A35" s="416" t="s">
        <v>412</v>
      </c>
      <c r="B35" s="422">
        <f>SUM(B29:B34)</f>
        <v>66000</v>
      </c>
      <c r="C35" s="422">
        <f>+B35*(1+'Total Market Size'!C$136)</f>
        <v>67518</v>
      </c>
      <c r="D35" s="422">
        <f>+C35*(1+'Total Market Size'!D$136)</f>
        <v>68868.36</v>
      </c>
      <c r="E35" s="422">
        <f>+D35*(1+'Total Market Size'!E$136)</f>
        <v>70383.463919999995</v>
      </c>
      <c r="F35" s="422">
        <f>+E35*(1+'Total Market Size'!F$136)</f>
        <v>72002.28359015999</v>
      </c>
      <c r="G35" s="422">
        <f>+F35*(1+'Total Market Size'!G$136)</f>
        <v>73802.340679913978</v>
      </c>
      <c r="H35" s="422">
        <f>+G35*(1+'Total Market Size'!H$136)</f>
        <v>75610.498026571862</v>
      </c>
      <c r="I35" s="422">
        <f>+H35*(1+'Total Market Size'!I$136)</f>
        <v>77425.149979209586</v>
      </c>
      <c r="J35" s="422">
        <f>+I35*(1+'Total Market Size'!J$136)</f>
        <v>79267.868548714774</v>
      </c>
      <c r="K35" s="422">
        <f>+J35*(1+'Total Market Size'!K$136)</f>
        <v>81091.029525335209</v>
      </c>
      <c r="L35" s="426">
        <f>+K35*(1+'Total Market Size'!L$136)</f>
        <v>82939.904998512851</v>
      </c>
      <c r="M35" s="601"/>
      <c r="N35" s="417">
        <f t="shared" si="0"/>
        <v>0</v>
      </c>
      <c r="O35" s="416"/>
      <c r="P35" s="417"/>
      <c r="Q35" s="416"/>
      <c r="R35" s="417"/>
      <c r="S35" s="416"/>
      <c r="T35" s="417"/>
      <c r="U35" s="416"/>
      <c r="V35" s="417"/>
      <c r="W35" s="416"/>
      <c r="X35" s="417"/>
      <c r="Y35" s="416"/>
      <c r="Z35" s="417"/>
      <c r="AA35" s="416"/>
      <c r="AB35" s="417"/>
      <c r="AC35" s="416"/>
      <c r="AD35" s="417"/>
      <c r="AE35" s="416"/>
      <c r="AF35" s="417"/>
      <c r="AG35" s="416"/>
      <c r="AH35" s="417"/>
      <c r="AI35" s="416"/>
      <c r="AJ35" s="417"/>
      <c r="AK35" s="416"/>
      <c r="AL35" s="417"/>
      <c r="AM35" s="416"/>
      <c r="AN35" s="417"/>
      <c r="AO35" s="416"/>
      <c r="AP35" s="417"/>
      <c r="AQ35" s="416"/>
      <c r="AR35" s="417"/>
      <c r="AS35" s="416"/>
      <c r="AT35" s="417"/>
      <c r="AU35" s="416"/>
      <c r="AV35" s="417"/>
      <c r="AW35" s="416"/>
      <c r="AX35" s="417"/>
      <c r="AY35" s="416"/>
      <c r="AZ35" s="417"/>
      <c r="BA35" s="416"/>
      <c r="BB35" s="417"/>
      <c r="BC35" s="416"/>
      <c r="BD35" s="417"/>
      <c r="BE35" s="416"/>
      <c r="BF35" s="417"/>
      <c r="BG35" s="416"/>
      <c r="BH35" s="417"/>
      <c r="BI35" s="416"/>
      <c r="BJ35" s="417"/>
      <c r="BK35" s="416"/>
      <c r="BL35" s="417"/>
      <c r="BM35" s="416"/>
      <c r="BN35" s="417"/>
      <c r="BO35" s="416"/>
      <c r="BP35" s="417"/>
      <c r="BQ35" s="416"/>
      <c r="BR35" s="417"/>
      <c r="BS35" s="416"/>
      <c r="BT35" s="417"/>
      <c r="BU35" s="416"/>
      <c r="BV35" s="417"/>
      <c r="BW35" s="416"/>
      <c r="BX35" s="417"/>
      <c r="BY35" s="416"/>
      <c r="BZ35" s="417"/>
      <c r="CA35" s="416"/>
      <c r="CB35" s="417"/>
      <c r="CC35" s="416"/>
      <c r="CD35" s="417"/>
      <c r="CE35" s="416"/>
      <c r="CF35" s="417"/>
      <c r="CG35" s="416"/>
      <c r="CH35" s="417"/>
      <c r="CI35" s="416"/>
      <c r="CJ35" s="417"/>
      <c r="CK35" s="416"/>
      <c r="CL35" s="417"/>
      <c r="CM35" s="416"/>
      <c r="CN35" s="417"/>
      <c r="CO35" s="416"/>
      <c r="CP35" s="417"/>
      <c r="CQ35" s="416"/>
      <c r="CR35" s="417"/>
      <c r="CS35" s="416"/>
      <c r="CT35" s="417"/>
      <c r="CU35" s="416"/>
      <c r="CV35" s="417"/>
      <c r="CW35" s="416"/>
      <c r="CX35" s="417"/>
      <c r="CY35" s="416"/>
      <c r="CZ35" s="417"/>
      <c r="DA35" s="416"/>
      <c r="DB35" s="417"/>
      <c r="DC35" s="416"/>
      <c r="DD35" s="417"/>
      <c r="DE35" s="416"/>
      <c r="DF35" s="417"/>
      <c r="DG35" s="416"/>
      <c r="DH35" s="417"/>
      <c r="DI35" s="416"/>
      <c r="DJ35" s="417"/>
      <c r="DK35" s="416"/>
      <c r="DL35" s="417"/>
      <c r="DM35" s="416"/>
      <c r="DN35" s="417"/>
      <c r="DO35" s="416"/>
      <c r="DP35" s="417"/>
      <c r="DQ35" s="416"/>
      <c r="DR35" s="417"/>
      <c r="DS35" s="416"/>
      <c r="DT35" s="417"/>
      <c r="DU35" s="416"/>
      <c r="DV35" s="417"/>
      <c r="DW35" s="416"/>
      <c r="DX35" s="417"/>
      <c r="DY35" s="416"/>
      <c r="DZ35" s="417"/>
      <c r="EA35" s="416"/>
      <c r="EB35" s="417"/>
      <c r="EC35" s="416"/>
      <c r="ED35" s="417"/>
      <c r="EE35" s="416"/>
      <c r="EF35" s="417"/>
      <c r="EG35" s="416"/>
      <c r="EH35" s="417"/>
      <c r="EI35" s="416"/>
      <c r="EJ35" s="417"/>
      <c r="EK35" s="416"/>
      <c r="EL35" s="417"/>
      <c r="EM35" s="416"/>
      <c r="EN35" s="417"/>
      <c r="EO35" s="416"/>
      <c r="EP35" s="417"/>
      <c r="EQ35" s="416"/>
      <c r="ER35" s="417"/>
      <c r="ES35" s="416"/>
      <c r="ET35" s="417"/>
      <c r="EU35" s="416"/>
      <c r="EV35" s="417"/>
      <c r="EW35" s="416"/>
      <c r="EX35" s="417"/>
      <c r="EY35" s="416"/>
      <c r="EZ35" s="417"/>
      <c r="FA35" s="416"/>
      <c r="FB35" s="417"/>
      <c r="FC35" s="416"/>
      <c r="FD35" s="417"/>
      <c r="FE35" s="416"/>
      <c r="FF35" s="417"/>
      <c r="FG35" s="416"/>
      <c r="FH35" s="417"/>
      <c r="FI35" s="416"/>
      <c r="FJ35" s="417"/>
      <c r="FK35" s="416"/>
      <c r="FL35" s="417"/>
      <c r="FM35" s="416"/>
      <c r="FN35" s="417"/>
      <c r="FO35" s="416"/>
      <c r="FP35" s="417"/>
      <c r="FQ35" s="416"/>
      <c r="FR35" s="417"/>
      <c r="FS35" s="416"/>
      <c r="FT35" s="417"/>
      <c r="FU35" s="416"/>
      <c r="FV35" s="417"/>
      <c r="FW35" s="416"/>
      <c r="FX35" s="417"/>
      <c r="FY35" s="416"/>
      <c r="FZ35" s="417"/>
      <c r="GA35" s="416"/>
      <c r="GB35" s="417"/>
      <c r="GC35" s="416"/>
      <c r="GD35" s="417"/>
      <c r="GE35" s="416"/>
      <c r="GF35" s="417"/>
      <c r="GG35" s="416"/>
      <c r="GH35" s="417"/>
      <c r="GI35" s="416"/>
      <c r="GJ35" s="417"/>
      <c r="GK35" s="416"/>
      <c r="GL35" s="417"/>
      <c r="GM35" s="416"/>
      <c r="GN35" s="417"/>
      <c r="GO35" s="416"/>
      <c r="GP35" s="417"/>
      <c r="GQ35" s="416"/>
      <c r="GR35" s="417"/>
      <c r="GS35" s="416"/>
      <c r="GT35" s="417"/>
      <c r="GU35" s="416"/>
      <c r="GV35" s="417"/>
      <c r="GW35" s="416"/>
      <c r="GX35" s="417"/>
      <c r="GY35" s="416"/>
      <c r="GZ35" s="417"/>
      <c r="HA35" s="416"/>
      <c r="HB35" s="417"/>
      <c r="HC35" s="416"/>
      <c r="HD35" s="417"/>
      <c r="HE35" s="416"/>
      <c r="HF35" s="417"/>
      <c r="HG35" s="416"/>
      <c r="HH35" s="417"/>
      <c r="HI35" s="416"/>
      <c r="HJ35" s="417"/>
      <c r="HK35" s="416"/>
      <c r="HL35" s="417"/>
      <c r="HM35" s="416"/>
      <c r="HN35" s="417"/>
      <c r="HO35" s="416"/>
      <c r="HP35" s="417"/>
      <c r="HQ35" s="416"/>
      <c r="HR35" s="417"/>
      <c r="HS35" s="416"/>
      <c r="HT35" s="417"/>
      <c r="HU35" s="416"/>
      <c r="HV35" s="417"/>
      <c r="HW35" s="416"/>
      <c r="HX35" s="417"/>
      <c r="HY35" s="416"/>
      <c r="HZ35" s="417"/>
      <c r="IA35" s="416"/>
      <c r="IB35" s="417"/>
      <c r="IC35" s="416"/>
      <c r="ID35" s="417"/>
      <c r="IE35" s="416"/>
      <c r="IF35" s="417"/>
      <c r="IG35" s="416"/>
      <c r="IH35" s="417"/>
      <c r="II35" s="416"/>
      <c r="IJ35" s="417"/>
      <c r="IK35" s="416"/>
      <c r="IL35" s="417"/>
      <c r="IM35" s="416"/>
      <c r="IN35" s="417"/>
      <c r="IO35" s="416"/>
      <c r="IP35" s="417"/>
      <c r="IQ35" s="416"/>
      <c r="IR35" s="417"/>
      <c r="IS35" s="416"/>
      <c r="IT35" s="417"/>
      <c r="IU35" s="416"/>
      <c r="IV35" s="417"/>
    </row>
    <row r="36" spans="1:256" s="418" customFormat="1" ht="13.5" x14ac:dyDescent="0.25">
      <c r="A36" s="415" t="s">
        <v>413</v>
      </c>
      <c r="B36" s="422">
        <v>36000</v>
      </c>
      <c r="C36" s="422">
        <f>+B36*(1+'Total Market Size'!C$136)</f>
        <v>36828</v>
      </c>
      <c r="D36" s="422">
        <f>+C36*(1+'Total Market Size'!D$136)</f>
        <v>37564.559999999998</v>
      </c>
      <c r="E36" s="422">
        <f>+D36*(1+'Total Market Size'!E$136)</f>
        <v>38390.980319999995</v>
      </c>
      <c r="F36" s="422">
        <f>+E36*(1+'Total Market Size'!F$136)</f>
        <v>39273.972867359989</v>
      </c>
      <c r="G36" s="422">
        <f>+F36*(1+'Total Market Size'!G$136)</f>
        <v>40255.822189043989</v>
      </c>
      <c r="H36" s="422">
        <f>+G36*(1+'Total Market Size'!H$136)</f>
        <v>41242.089832675563</v>
      </c>
      <c r="I36" s="422">
        <f>+H36*(1+'Total Market Size'!I$136)</f>
        <v>42231.899988659781</v>
      </c>
      <c r="J36" s="422">
        <f>+I36*(1+'Total Market Size'!J$136)</f>
        <v>43237.019208389887</v>
      </c>
      <c r="K36" s="422">
        <f>+J36*(1+'Total Market Size'!K$136)</f>
        <v>44231.470650182848</v>
      </c>
      <c r="L36" s="426">
        <f>+K36*(1+'Total Market Size'!L$136)</f>
        <v>45239.948181007014</v>
      </c>
      <c r="M36" s="601" t="s">
        <v>507</v>
      </c>
      <c r="N36" s="417">
        <f t="shared" si="0"/>
        <v>0</v>
      </c>
      <c r="O36" s="415"/>
      <c r="P36" s="417"/>
      <c r="Q36" s="415"/>
      <c r="R36" s="417"/>
      <c r="S36" s="415"/>
      <c r="T36" s="417"/>
      <c r="U36" s="415"/>
      <c r="V36" s="417"/>
      <c r="W36" s="415"/>
      <c r="X36" s="417"/>
      <c r="Y36" s="415"/>
      <c r="Z36" s="417"/>
      <c r="AA36" s="415"/>
      <c r="AB36" s="417"/>
      <c r="AC36" s="415"/>
      <c r="AD36" s="417"/>
      <c r="AE36" s="415"/>
      <c r="AF36" s="417"/>
      <c r="AG36" s="415"/>
      <c r="AH36" s="417"/>
      <c r="AI36" s="415"/>
      <c r="AJ36" s="417"/>
      <c r="AK36" s="415"/>
      <c r="AL36" s="417"/>
      <c r="AM36" s="415"/>
      <c r="AN36" s="417"/>
      <c r="AO36" s="415"/>
      <c r="AP36" s="417"/>
      <c r="AQ36" s="415"/>
      <c r="AR36" s="417"/>
      <c r="AS36" s="415"/>
      <c r="AT36" s="417"/>
      <c r="AU36" s="415"/>
      <c r="AV36" s="417"/>
      <c r="AW36" s="415"/>
      <c r="AX36" s="417"/>
      <c r="AY36" s="415"/>
      <c r="AZ36" s="417"/>
      <c r="BA36" s="415"/>
      <c r="BB36" s="417"/>
      <c r="BC36" s="415"/>
      <c r="BD36" s="417"/>
      <c r="BE36" s="415"/>
      <c r="BF36" s="417"/>
      <c r="BG36" s="415"/>
      <c r="BH36" s="417"/>
      <c r="BI36" s="415"/>
      <c r="BJ36" s="417"/>
      <c r="BK36" s="415"/>
      <c r="BL36" s="417"/>
      <c r="BM36" s="415"/>
      <c r="BN36" s="417"/>
      <c r="BO36" s="415"/>
      <c r="BP36" s="417"/>
      <c r="BQ36" s="415"/>
      <c r="BR36" s="417"/>
      <c r="BS36" s="415"/>
      <c r="BT36" s="417"/>
      <c r="BU36" s="415"/>
      <c r="BV36" s="417"/>
      <c r="BW36" s="415"/>
      <c r="BX36" s="417"/>
      <c r="BY36" s="415"/>
      <c r="BZ36" s="417"/>
      <c r="CA36" s="415"/>
      <c r="CB36" s="417"/>
      <c r="CC36" s="415"/>
      <c r="CD36" s="417"/>
      <c r="CE36" s="415"/>
      <c r="CF36" s="417"/>
      <c r="CG36" s="415"/>
      <c r="CH36" s="417"/>
      <c r="CI36" s="415"/>
      <c r="CJ36" s="417"/>
      <c r="CK36" s="415"/>
      <c r="CL36" s="417"/>
      <c r="CM36" s="415"/>
      <c r="CN36" s="417"/>
      <c r="CO36" s="415"/>
      <c r="CP36" s="417"/>
      <c r="CQ36" s="415"/>
      <c r="CR36" s="417"/>
      <c r="CS36" s="415"/>
      <c r="CT36" s="417"/>
      <c r="CU36" s="415"/>
      <c r="CV36" s="417"/>
      <c r="CW36" s="415"/>
      <c r="CX36" s="417"/>
      <c r="CY36" s="415"/>
      <c r="CZ36" s="417"/>
      <c r="DA36" s="415"/>
      <c r="DB36" s="417"/>
      <c r="DC36" s="415"/>
      <c r="DD36" s="417"/>
      <c r="DE36" s="415"/>
      <c r="DF36" s="417"/>
      <c r="DG36" s="415"/>
      <c r="DH36" s="417"/>
      <c r="DI36" s="415"/>
      <c r="DJ36" s="417"/>
      <c r="DK36" s="415"/>
      <c r="DL36" s="417"/>
      <c r="DM36" s="415"/>
      <c r="DN36" s="417"/>
      <c r="DO36" s="415"/>
      <c r="DP36" s="417"/>
      <c r="DQ36" s="415"/>
      <c r="DR36" s="417"/>
      <c r="DS36" s="415"/>
      <c r="DT36" s="417"/>
      <c r="DU36" s="415"/>
      <c r="DV36" s="417"/>
      <c r="DW36" s="415"/>
      <c r="DX36" s="417"/>
      <c r="DY36" s="415"/>
      <c r="DZ36" s="417"/>
      <c r="EA36" s="415"/>
      <c r="EB36" s="417"/>
      <c r="EC36" s="415"/>
      <c r="ED36" s="417"/>
      <c r="EE36" s="415"/>
      <c r="EF36" s="417"/>
      <c r="EG36" s="415"/>
      <c r="EH36" s="417"/>
      <c r="EI36" s="415"/>
      <c r="EJ36" s="417"/>
      <c r="EK36" s="415"/>
      <c r="EL36" s="417"/>
      <c r="EM36" s="415"/>
      <c r="EN36" s="417"/>
      <c r="EO36" s="415"/>
      <c r="EP36" s="417"/>
      <c r="EQ36" s="415"/>
      <c r="ER36" s="417"/>
      <c r="ES36" s="415"/>
      <c r="ET36" s="417"/>
      <c r="EU36" s="415"/>
      <c r="EV36" s="417"/>
      <c r="EW36" s="415"/>
      <c r="EX36" s="417"/>
      <c r="EY36" s="415"/>
      <c r="EZ36" s="417"/>
      <c r="FA36" s="415"/>
      <c r="FB36" s="417"/>
      <c r="FC36" s="415"/>
      <c r="FD36" s="417"/>
      <c r="FE36" s="415"/>
      <c r="FF36" s="417"/>
      <c r="FG36" s="415"/>
      <c r="FH36" s="417"/>
      <c r="FI36" s="415"/>
      <c r="FJ36" s="417"/>
      <c r="FK36" s="415"/>
      <c r="FL36" s="417"/>
      <c r="FM36" s="415"/>
      <c r="FN36" s="417"/>
      <c r="FO36" s="415"/>
      <c r="FP36" s="417"/>
      <c r="FQ36" s="415"/>
      <c r="FR36" s="417"/>
      <c r="FS36" s="415"/>
      <c r="FT36" s="417"/>
      <c r="FU36" s="415"/>
      <c r="FV36" s="417"/>
      <c r="FW36" s="415"/>
      <c r="FX36" s="417"/>
      <c r="FY36" s="415"/>
      <c r="FZ36" s="417"/>
      <c r="GA36" s="415"/>
      <c r="GB36" s="417"/>
      <c r="GC36" s="415"/>
      <c r="GD36" s="417"/>
      <c r="GE36" s="415"/>
      <c r="GF36" s="417"/>
      <c r="GG36" s="415"/>
      <c r="GH36" s="417"/>
      <c r="GI36" s="415"/>
      <c r="GJ36" s="417"/>
      <c r="GK36" s="415"/>
      <c r="GL36" s="417"/>
      <c r="GM36" s="415"/>
      <c r="GN36" s="417"/>
      <c r="GO36" s="415"/>
      <c r="GP36" s="417"/>
      <c r="GQ36" s="415"/>
      <c r="GR36" s="417"/>
      <c r="GS36" s="415"/>
      <c r="GT36" s="417"/>
      <c r="GU36" s="415"/>
      <c r="GV36" s="417"/>
      <c r="GW36" s="415"/>
      <c r="GX36" s="417"/>
      <c r="GY36" s="415"/>
      <c r="GZ36" s="417"/>
      <c r="HA36" s="415"/>
      <c r="HB36" s="417"/>
      <c r="HC36" s="415"/>
      <c r="HD36" s="417"/>
      <c r="HE36" s="415"/>
      <c r="HF36" s="417"/>
      <c r="HG36" s="415"/>
      <c r="HH36" s="417"/>
      <c r="HI36" s="415"/>
      <c r="HJ36" s="417"/>
      <c r="HK36" s="415"/>
      <c r="HL36" s="417"/>
      <c r="HM36" s="415"/>
      <c r="HN36" s="417"/>
      <c r="HO36" s="415"/>
      <c r="HP36" s="417"/>
      <c r="HQ36" s="415"/>
      <c r="HR36" s="417"/>
      <c r="HS36" s="415"/>
      <c r="HT36" s="417"/>
      <c r="HU36" s="415"/>
      <c r="HV36" s="417"/>
      <c r="HW36" s="415"/>
      <c r="HX36" s="417"/>
      <c r="HY36" s="415"/>
      <c r="HZ36" s="417"/>
      <c r="IA36" s="415"/>
      <c r="IB36" s="417"/>
      <c r="IC36" s="415"/>
      <c r="ID36" s="417"/>
      <c r="IE36" s="415"/>
      <c r="IF36" s="417"/>
      <c r="IG36" s="415"/>
      <c r="IH36" s="417"/>
      <c r="II36" s="415"/>
      <c r="IJ36" s="417"/>
      <c r="IK36" s="415"/>
      <c r="IL36" s="417"/>
      <c r="IM36" s="415"/>
      <c r="IN36" s="417"/>
      <c r="IO36" s="415"/>
      <c r="IP36" s="417"/>
      <c r="IQ36" s="415"/>
      <c r="IR36" s="417"/>
      <c r="IS36" s="415"/>
      <c r="IT36" s="417"/>
      <c r="IU36" s="415"/>
      <c r="IV36" s="417"/>
    </row>
    <row r="37" spans="1:256" s="418" customFormat="1" ht="13.5" x14ac:dyDescent="0.25">
      <c r="A37" s="415" t="s">
        <v>414</v>
      </c>
      <c r="B37" s="422">
        <v>25000</v>
      </c>
      <c r="C37" s="422">
        <f>+B37*(1+'Total Market Size'!C$136)</f>
        <v>25574.999999999996</v>
      </c>
      <c r="D37" s="422">
        <f>+C37*(1+'Total Market Size'!D$136)</f>
        <v>26086.499999999996</v>
      </c>
      <c r="E37" s="422">
        <f>+D37*(1+'Total Market Size'!E$136)</f>
        <v>26660.402999999998</v>
      </c>
      <c r="F37" s="422">
        <f>+E37*(1+'Total Market Size'!F$136)</f>
        <v>27273.592268999997</v>
      </c>
      <c r="G37" s="422">
        <f>+F37*(1+'Total Market Size'!G$136)</f>
        <v>27955.432075724995</v>
      </c>
      <c r="H37" s="422">
        <f>+G37*(1+'Total Market Size'!H$136)</f>
        <v>28640.340161580258</v>
      </c>
      <c r="I37" s="422">
        <f>+H37*(1+'Total Market Size'!I$136)</f>
        <v>29327.708325458185</v>
      </c>
      <c r="J37" s="422">
        <f>+I37*(1+'Total Market Size'!J$136)</f>
        <v>30025.707783604092</v>
      </c>
      <c r="K37" s="422">
        <f>+J37*(1+'Total Market Size'!K$136)</f>
        <v>30716.299062626982</v>
      </c>
      <c r="L37" s="426">
        <f>+K37*(1+'Total Market Size'!L$136)</f>
        <v>31416.630681254876</v>
      </c>
      <c r="M37" s="601" t="s">
        <v>507</v>
      </c>
      <c r="N37" s="417">
        <f t="shared" si="0"/>
        <v>0</v>
      </c>
      <c r="O37" s="415"/>
      <c r="P37" s="417"/>
      <c r="Q37" s="415"/>
      <c r="R37" s="417"/>
      <c r="S37" s="415"/>
      <c r="T37" s="417"/>
      <c r="U37" s="415"/>
      <c r="V37" s="417"/>
      <c r="W37" s="415"/>
      <c r="X37" s="417"/>
      <c r="Y37" s="415"/>
      <c r="Z37" s="417"/>
      <c r="AA37" s="415"/>
      <c r="AB37" s="417"/>
      <c r="AC37" s="415"/>
      <c r="AD37" s="417"/>
      <c r="AE37" s="415"/>
      <c r="AF37" s="417"/>
      <c r="AG37" s="415"/>
      <c r="AH37" s="417"/>
      <c r="AI37" s="415"/>
      <c r="AJ37" s="417"/>
      <c r="AK37" s="415"/>
      <c r="AL37" s="417"/>
      <c r="AM37" s="415"/>
      <c r="AN37" s="417"/>
      <c r="AO37" s="415"/>
      <c r="AP37" s="417"/>
      <c r="AQ37" s="415"/>
      <c r="AR37" s="417"/>
      <c r="AS37" s="415"/>
      <c r="AT37" s="417"/>
      <c r="AU37" s="415"/>
      <c r="AV37" s="417"/>
      <c r="AW37" s="415"/>
      <c r="AX37" s="417"/>
      <c r="AY37" s="415"/>
      <c r="AZ37" s="417"/>
      <c r="BA37" s="415"/>
      <c r="BB37" s="417"/>
      <c r="BC37" s="415"/>
      <c r="BD37" s="417"/>
      <c r="BE37" s="415"/>
      <c r="BF37" s="417"/>
      <c r="BG37" s="415"/>
      <c r="BH37" s="417"/>
      <c r="BI37" s="415"/>
      <c r="BJ37" s="417"/>
      <c r="BK37" s="415"/>
      <c r="BL37" s="417"/>
      <c r="BM37" s="415"/>
      <c r="BN37" s="417"/>
      <c r="BO37" s="415"/>
      <c r="BP37" s="417"/>
      <c r="BQ37" s="415"/>
      <c r="BR37" s="417"/>
      <c r="BS37" s="415"/>
      <c r="BT37" s="417"/>
      <c r="BU37" s="415"/>
      <c r="BV37" s="417"/>
      <c r="BW37" s="415"/>
      <c r="BX37" s="417"/>
      <c r="BY37" s="415"/>
      <c r="BZ37" s="417"/>
      <c r="CA37" s="415"/>
      <c r="CB37" s="417"/>
      <c r="CC37" s="415"/>
      <c r="CD37" s="417"/>
      <c r="CE37" s="415"/>
      <c r="CF37" s="417"/>
      <c r="CG37" s="415"/>
      <c r="CH37" s="417"/>
      <c r="CI37" s="415"/>
      <c r="CJ37" s="417"/>
      <c r="CK37" s="415"/>
      <c r="CL37" s="417"/>
      <c r="CM37" s="415"/>
      <c r="CN37" s="417"/>
      <c r="CO37" s="415"/>
      <c r="CP37" s="417"/>
      <c r="CQ37" s="415"/>
      <c r="CR37" s="417"/>
      <c r="CS37" s="415"/>
      <c r="CT37" s="417"/>
      <c r="CU37" s="415"/>
      <c r="CV37" s="417"/>
      <c r="CW37" s="415"/>
      <c r="CX37" s="417"/>
      <c r="CY37" s="415"/>
      <c r="CZ37" s="417"/>
      <c r="DA37" s="415"/>
      <c r="DB37" s="417"/>
      <c r="DC37" s="415"/>
      <c r="DD37" s="417"/>
      <c r="DE37" s="415"/>
      <c r="DF37" s="417"/>
      <c r="DG37" s="415"/>
      <c r="DH37" s="417"/>
      <c r="DI37" s="415"/>
      <c r="DJ37" s="417"/>
      <c r="DK37" s="415"/>
      <c r="DL37" s="417"/>
      <c r="DM37" s="415"/>
      <c r="DN37" s="417"/>
      <c r="DO37" s="415"/>
      <c r="DP37" s="417"/>
      <c r="DQ37" s="415"/>
      <c r="DR37" s="417"/>
      <c r="DS37" s="415"/>
      <c r="DT37" s="417"/>
      <c r="DU37" s="415"/>
      <c r="DV37" s="417"/>
      <c r="DW37" s="415"/>
      <c r="DX37" s="417"/>
      <c r="DY37" s="415"/>
      <c r="DZ37" s="417"/>
      <c r="EA37" s="415"/>
      <c r="EB37" s="417"/>
      <c r="EC37" s="415"/>
      <c r="ED37" s="417"/>
      <c r="EE37" s="415"/>
      <c r="EF37" s="417"/>
      <c r="EG37" s="415"/>
      <c r="EH37" s="417"/>
      <c r="EI37" s="415"/>
      <c r="EJ37" s="417"/>
      <c r="EK37" s="415"/>
      <c r="EL37" s="417"/>
      <c r="EM37" s="415"/>
      <c r="EN37" s="417"/>
      <c r="EO37" s="415"/>
      <c r="EP37" s="417"/>
      <c r="EQ37" s="415"/>
      <c r="ER37" s="417"/>
      <c r="ES37" s="415"/>
      <c r="ET37" s="417"/>
      <c r="EU37" s="415"/>
      <c r="EV37" s="417"/>
      <c r="EW37" s="415"/>
      <c r="EX37" s="417"/>
      <c r="EY37" s="415"/>
      <c r="EZ37" s="417"/>
      <c r="FA37" s="415"/>
      <c r="FB37" s="417"/>
      <c r="FC37" s="415"/>
      <c r="FD37" s="417"/>
      <c r="FE37" s="415"/>
      <c r="FF37" s="417"/>
      <c r="FG37" s="415"/>
      <c r="FH37" s="417"/>
      <c r="FI37" s="415"/>
      <c r="FJ37" s="417"/>
      <c r="FK37" s="415"/>
      <c r="FL37" s="417"/>
      <c r="FM37" s="415"/>
      <c r="FN37" s="417"/>
      <c r="FO37" s="415"/>
      <c r="FP37" s="417"/>
      <c r="FQ37" s="415"/>
      <c r="FR37" s="417"/>
      <c r="FS37" s="415"/>
      <c r="FT37" s="417"/>
      <c r="FU37" s="415"/>
      <c r="FV37" s="417"/>
      <c r="FW37" s="415"/>
      <c r="FX37" s="417"/>
      <c r="FY37" s="415"/>
      <c r="FZ37" s="417"/>
      <c r="GA37" s="415"/>
      <c r="GB37" s="417"/>
      <c r="GC37" s="415"/>
      <c r="GD37" s="417"/>
      <c r="GE37" s="415"/>
      <c r="GF37" s="417"/>
      <c r="GG37" s="415"/>
      <c r="GH37" s="417"/>
      <c r="GI37" s="415"/>
      <c r="GJ37" s="417"/>
      <c r="GK37" s="415"/>
      <c r="GL37" s="417"/>
      <c r="GM37" s="415"/>
      <c r="GN37" s="417"/>
      <c r="GO37" s="415"/>
      <c r="GP37" s="417"/>
      <c r="GQ37" s="415"/>
      <c r="GR37" s="417"/>
      <c r="GS37" s="415"/>
      <c r="GT37" s="417"/>
      <c r="GU37" s="415"/>
      <c r="GV37" s="417"/>
      <c r="GW37" s="415"/>
      <c r="GX37" s="417"/>
      <c r="GY37" s="415"/>
      <c r="GZ37" s="417"/>
      <c r="HA37" s="415"/>
      <c r="HB37" s="417"/>
      <c r="HC37" s="415"/>
      <c r="HD37" s="417"/>
      <c r="HE37" s="415"/>
      <c r="HF37" s="417"/>
      <c r="HG37" s="415"/>
      <c r="HH37" s="417"/>
      <c r="HI37" s="415"/>
      <c r="HJ37" s="417"/>
      <c r="HK37" s="415"/>
      <c r="HL37" s="417"/>
      <c r="HM37" s="415"/>
      <c r="HN37" s="417"/>
      <c r="HO37" s="415"/>
      <c r="HP37" s="417"/>
      <c r="HQ37" s="415"/>
      <c r="HR37" s="417"/>
      <c r="HS37" s="415"/>
      <c r="HT37" s="417"/>
      <c r="HU37" s="415"/>
      <c r="HV37" s="417"/>
      <c r="HW37" s="415"/>
      <c r="HX37" s="417"/>
      <c r="HY37" s="415"/>
      <c r="HZ37" s="417"/>
      <c r="IA37" s="415"/>
      <c r="IB37" s="417"/>
      <c r="IC37" s="415"/>
      <c r="ID37" s="417"/>
      <c r="IE37" s="415"/>
      <c r="IF37" s="417"/>
      <c r="IG37" s="415"/>
      <c r="IH37" s="417"/>
      <c r="II37" s="415"/>
      <c r="IJ37" s="417"/>
      <c r="IK37" s="415"/>
      <c r="IL37" s="417"/>
      <c r="IM37" s="415"/>
      <c r="IN37" s="417"/>
      <c r="IO37" s="415"/>
      <c r="IP37" s="417"/>
      <c r="IQ37" s="415"/>
      <c r="IR37" s="417"/>
      <c r="IS37" s="415"/>
      <c r="IT37" s="417"/>
      <c r="IU37" s="415"/>
      <c r="IV37" s="417"/>
    </row>
    <row r="38" spans="1:256" s="418" customFormat="1" ht="13.5" x14ac:dyDescent="0.25">
      <c r="A38" s="415" t="s">
        <v>415</v>
      </c>
      <c r="B38" s="421">
        <v>50000</v>
      </c>
      <c r="C38" s="421">
        <f>+B38*(1+'Total Market Size'!C$136)</f>
        <v>51149.999999999993</v>
      </c>
      <c r="D38" s="421">
        <f>+C38*(1+'Total Market Size'!D$136)</f>
        <v>52172.999999999993</v>
      </c>
      <c r="E38" s="421">
        <f>+D38*(1+'Total Market Size'!E$136)</f>
        <v>53320.805999999997</v>
      </c>
      <c r="F38" s="421">
        <f>+E38*(1+'Total Market Size'!F$136)</f>
        <v>54547.184537999994</v>
      </c>
      <c r="G38" s="421">
        <f>+F38*(1+'Total Market Size'!G$136)</f>
        <v>55910.86415144999</v>
      </c>
      <c r="H38" s="421">
        <f>+G38*(1+'Total Market Size'!H$136)</f>
        <v>57280.680323160515</v>
      </c>
      <c r="I38" s="421">
        <f>+H38*(1+'Total Market Size'!I$136)</f>
        <v>58655.41665091637</v>
      </c>
      <c r="J38" s="421">
        <f>+I38*(1+'Total Market Size'!J$136)</f>
        <v>60051.415567208183</v>
      </c>
      <c r="K38" s="421">
        <f>+J38*(1+'Total Market Size'!K$136)</f>
        <v>61432.598125253964</v>
      </c>
      <c r="L38" s="425">
        <f>+K38*(1+'Total Market Size'!L$136)</f>
        <v>62833.261362509751</v>
      </c>
      <c r="M38" s="601" t="s">
        <v>507</v>
      </c>
      <c r="N38" s="417">
        <f t="shared" si="0"/>
        <v>0</v>
      </c>
      <c r="O38" s="415"/>
      <c r="P38" s="417"/>
      <c r="Q38" s="415"/>
      <c r="R38" s="417"/>
      <c r="S38" s="415"/>
      <c r="T38" s="417"/>
      <c r="U38" s="415"/>
      <c r="V38" s="417"/>
      <c r="W38" s="415"/>
      <c r="X38" s="417"/>
      <c r="Y38" s="415"/>
      <c r="Z38" s="417"/>
      <c r="AA38" s="415"/>
      <c r="AB38" s="417"/>
      <c r="AC38" s="415"/>
      <c r="AD38" s="417"/>
      <c r="AE38" s="415"/>
      <c r="AF38" s="417"/>
      <c r="AG38" s="415"/>
      <c r="AH38" s="417"/>
      <c r="AI38" s="415"/>
      <c r="AJ38" s="417"/>
      <c r="AK38" s="415"/>
      <c r="AL38" s="417"/>
      <c r="AM38" s="415"/>
      <c r="AN38" s="417"/>
      <c r="AO38" s="415"/>
      <c r="AP38" s="417"/>
      <c r="AQ38" s="415"/>
      <c r="AR38" s="417"/>
      <c r="AS38" s="415"/>
      <c r="AT38" s="417"/>
      <c r="AU38" s="415"/>
      <c r="AV38" s="417"/>
      <c r="AW38" s="415"/>
      <c r="AX38" s="417"/>
      <c r="AY38" s="415"/>
      <c r="AZ38" s="417"/>
      <c r="BA38" s="415"/>
      <c r="BB38" s="417"/>
      <c r="BC38" s="415"/>
      <c r="BD38" s="417"/>
      <c r="BE38" s="415"/>
      <c r="BF38" s="417"/>
      <c r="BG38" s="415"/>
      <c r="BH38" s="417"/>
      <c r="BI38" s="415"/>
      <c r="BJ38" s="417"/>
      <c r="BK38" s="415"/>
      <c r="BL38" s="417"/>
      <c r="BM38" s="415"/>
      <c r="BN38" s="417"/>
      <c r="BO38" s="415"/>
      <c r="BP38" s="417"/>
      <c r="BQ38" s="415"/>
      <c r="BR38" s="417"/>
      <c r="BS38" s="415"/>
      <c r="BT38" s="417"/>
      <c r="BU38" s="415"/>
      <c r="BV38" s="417"/>
      <c r="BW38" s="415"/>
      <c r="BX38" s="417"/>
      <c r="BY38" s="415"/>
      <c r="BZ38" s="417"/>
      <c r="CA38" s="415"/>
      <c r="CB38" s="417"/>
      <c r="CC38" s="415"/>
      <c r="CD38" s="417"/>
      <c r="CE38" s="415"/>
      <c r="CF38" s="417"/>
      <c r="CG38" s="415"/>
      <c r="CH38" s="417"/>
      <c r="CI38" s="415"/>
      <c r="CJ38" s="417"/>
      <c r="CK38" s="415"/>
      <c r="CL38" s="417"/>
      <c r="CM38" s="415"/>
      <c r="CN38" s="417"/>
      <c r="CO38" s="415"/>
      <c r="CP38" s="417"/>
      <c r="CQ38" s="415"/>
      <c r="CR38" s="417"/>
      <c r="CS38" s="415"/>
      <c r="CT38" s="417"/>
      <c r="CU38" s="415"/>
      <c r="CV38" s="417"/>
      <c r="CW38" s="415"/>
      <c r="CX38" s="417"/>
      <c r="CY38" s="415"/>
      <c r="CZ38" s="417"/>
      <c r="DA38" s="415"/>
      <c r="DB38" s="417"/>
      <c r="DC38" s="415"/>
      <c r="DD38" s="417"/>
      <c r="DE38" s="415"/>
      <c r="DF38" s="417"/>
      <c r="DG38" s="415"/>
      <c r="DH38" s="417"/>
      <c r="DI38" s="415"/>
      <c r="DJ38" s="417"/>
      <c r="DK38" s="415"/>
      <c r="DL38" s="417"/>
      <c r="DM38" s="415"/>
      <c r="DN38" s="417"/>
      <c r="DO38" s="415"/>
      <c r="DP38" s="417"/>
      <c r="DQ38" s="415"/>
      <c r="DR38" s="417"/>
      <c r="DS38" s="415"/>
      <c r="DT38" s="417"/>
      <c r="DU38" s="415"/>
      <c r="DV38" s="417"/>
      <c r="DW38" s="415"/>
      <c r="DX38" s="417"/>
      <c r="DY38" s="415"/>
      <c r="DZ38" s="417"/>
      <c r="EA38" s="415"/>
      <c r="EB38" s="417"/>
      <c r="EC38" s="415"/>
      <c r="ED38" s="417"/>
      <c r="EE38" s="415"/>
      <c r="EF38" s="417"/>
      <c r="EG38" s="415"/>
      <c r="EH38" s="417"/>
      <c r="EI38" s="415"/>
      <c r="EJ38" s="417"/>
      <c r="EK38" s="415"/>
      <c r="EL38" s="417"/>
      <c r="EM38" s="415"/>
      <c r="EN38" s="417"/>
      <c r="EO38" s="415"/>
      <c r="EP38" s="417"/>
      <c r="EQ38" s="415"/>
      <c r="ER38" s="417"/>
      <c r="ES38" s="415"/>
      <c r="ET38" s="417"/>
      <c r="EU38" s="415"/>
      <c r="EV38" s="417"/>
      <c r="EW38" s="415"/>
      <c r="EX38" s="417"/>
      <c r="EY38" s="415"/>
      <c r="EZ38" s="417"/>
      <c r="FA38" s="415"/>
      <c r="FB38" s="417"/>
      <c r="FC38" s="415"/>
      <c r="FD38" s="417"/>
      <c r="FE38" s="415"/>
      <c r="FF38" s="417"/>
      <c r="FG38" s="415"/>
      <c r="FH38" s="417"/>
      <c r="FI38" s="415"/>
      <c r="FJ38" s="417"/>
      <c r="FK38" s="415"/>
      <c r="FL38" s="417"/>
      <c r="FM38" s="415"/>
      <c r="FN38" s="417"/>
      <c r="FO38" s="415"/>
      <c r="FP38" s="417"/>
      <c r="FQ38" s="415"/>
      <c r="FR38" s="417"/>
      <c r="FS38" s="415"/>
      <c r="FT38" s="417"/>
      <c r="FU38" s="415"/>
      <c r="FV38" s="417"/>
      <c r="FW38" s="415"/>
      <c r="FX38" s="417"/>
      <c r="FY38" s="415"/>
      <c r="FZ38" s="417"/>
      <c r="GA38" s="415"/>
      <c r="GB38" s="417"/>
      <c r="GC38" s="415"/>
      <c r="GD38" s="417"/>
      <c r="GE38" s="415"/>
      <c r="GF38" s="417"/>
      <c r="GG38" s="415"/>
      <c r="GH38" s="417"/>
      <c r="GI38" s="415"/>
      <c r="GJ38" s="417"/>
      <c r="GK38" s="415"/>
      <c r="GL38" s="417"/>
      <c r="GM38" s="415"/>
      <c r="GN38" s="417"/>
      <c r="GO38" s="415"/>
      <c r="GP38" s="417"/>
      <c r="GQ38" s="415"/>
      <c r="GR38" s="417"/>
      <c r="GS38" s="415"/>
      <c r="GT38" s="417"/>
      <c r="GU38" s="415"/>
      <c r="GV38" s="417"/>
      <c r="GW38" s="415"/>
      <c r="GX38" s="417"/>
      <c r="GY38" s="415"/>
      <c r="GZ38" s="417"/>
      <c r="HA38" s="415"/>
      <c r="HB38" s="417"/>
      <c r="HC38" s="415"/>
      <c r="HD38" s="417"/>
      <c r="HE38" s="415"/>
      <c r="HF38" s="417"/>
      <c r="HG38" s="415"/>
      <c r="HH38" s="417"/>
      <c r="HI38" s="415"/>
      <c r="HJ38" s="417"/>
      <c r="HK38" s="415"/>
      <c r="HL38" s="417"/>
      <c r="HM38" s="415"/>
      <c r="HN38" s="417"/>
      <c r="HO38" s="415"/>
      <c r="HP38" s="417"/>
      <c r="HQ38" s="415"/>
      <c r="HR38" s="417"/>
      <c r="HS38" s="415"/>
      <c r="HT38" s="417"/>
      <c r="HU38" s="415"/>
      <c r="HV38" s="417"/>
      <c r="HW38" s="415"/>
      <c r="HX38" s="417"/>
      <c r="HY38" s="415"/>
      <c r="HZ38" s="417"/>
      <c r="IA38" s="415"/>
      <c r="IB38" s="417"/>
      <c r="IC38" s="415"/>
      <c r="ID38" s="417"/>
      <c r="IE38" s="415"/>
      <c r="IF38" s="417"/>
      <c r="IG38" s="415"/>
      <c r="IH38" s="417"/>
      <c r="II38" s="415"/>
      <c r="IJ38" s="417"/>
      <c r="IK38" s="415"/>
      <c r="IL38" s="417"/>
      <c r="IM38" s="415"/>
      <c r="IN38" s="417"/>
      <c r="IO38" s="415"/>
      <c r="IP38" s="417"/>
      <c r="IQ38" s="415"/>
      <c r="IR38" s="417"/>
      <c r="IS38" s="415"/>
      <c r="IT38" s="417"/>
      <c r="IU38" s="415"/>
      <c r="IV38" s="417"/>
    </row>
    <row r="39" spans="1:256" s="418" customFormat="1" ht="13.5" x14ac:dyDescent="0.25">
      <c r="A39" s="416" t="s">
        <v>416</v>
      </c>
      <c r="B39" s="422">
        <f>SUM(B36:B38)</f>
        <v>111000</v>
      </c>
      <c r="C39" s="422">
        <f>+B39*(1+'Total Market Size'!C$136)</f>
        <v>113552.99999999999</v>
      </c>
      <c r="D39" s="422">
        <f>+C39*(1+'Total Market Size'!D$136)</f>
        <v>115824.05999999998</v>
      </c>
      <c r="E39" s="422">
        <f>+D39*(1+'Total Market Size'!E$136)</f>
        <v>118372.18931999999</v>
      </c>
      <c r="F39" s="422">
        <f>+E39*(1+'Total Market Size'!F$136)</f>
        <v>121094.74967435998</v>
      </c>
      <c r="G39" s="422">
        <f>+F39*(1+'Total Market Size'!G$136)</f>
        <v>124122.11841621896</v>
      </c>
      <c r="H39" s="422">
        <f>+G39*(1+'Total Market Size'!H$136)</f>
        <v>127163.11031741631</v>
      </c>
      <c r="I39" s="422">
        <f>+H39*(1+'Total Market Size'!I$136)</f>
        <v>130215.0249650343</v>
      </c>
      <c r="J39" s="422">
        <f>+I39*(1+'Total Market Size'!J$136)</f>
        <v>133314.14255920213</v>
      </c>
      <c r="K39" s="422">
        <f>+J39*(1+'Total Market Size'!K$136)</f>
        <v>136380.36783806377</v>
      </c>
      <c r="L39" s="426">
        <f>+K39*(1+'Total Market Size'!L$136)</f>
        <v>139489.84022477161</v>
      </c>
      <c r="M39" s="601"/>
      <c r="N39" s="417">
        <f t="shared" si="0"/>
        <v>0</v>
      </c>
      <c r="O39" s="416"/>
      <c r="P39" s="417"/>
      <c r="Q39" s="416"/>
      <c r="R39" s="417"/>
      <c r="S39" s="416"/>
      <c r="T39" s="417"/>
      <c r="U39" s="416"/>
      <c r="V39" s="417"/>
      <c r="W39" s="416"/>
      <c r="X39" s="417"/>
      <c r="Y39" s="416"/>
      <c r="Z39" s="417"/>
      <c r="AA39" s="416"/>
      <c r="AB39" s="417"/>
      <c r="AC39" s="416"/>
      <c r="AD39" s="417"/>
      <c r="AE39" s="416"/>
      <c r="AF39" s="417"/>
      <c r="AG39" s="416"/>
      <c r="AH39" s="417"/>
      <c r="AI39" s="416"/>
      <c r="AJ39" s="417"/>
      <c r="AK39" s="416"/>
      <c r="AL39" s="417"/>
      <c r="AM39" s="416"/>
      <c r="AN39" s="417"/>
      <c r="AO39" s="416"/>
      <c r="AP39" s="417"/>
      <c r="AQ39" s="416"/>
      <c r="AR39" s="417"/>
      <c r="AS39" s="416"/>
      <c r="AT39" s="417"/>
      <c r="AU39" s="416"/>
      <c r="AV39" s="417"/>
      <c r="AW39" s="416"/>
      <c r="AX39" s="417"/>
      <c r="AY39" s="416"/>
      <c r="AZ39" s="417"/>
      <c r="BA39" s="416"/>
      <c r="BB39" s="417"/>
      <c r="BC39" s="416"/>
      <c r="BD39" s="417"/>
      <c r="BE39" s="416"/>
      <c r="BF39" s="417"/>
      <c r="BG39" s="416"/>
      <c r="BH39" s="417"/>
      <c r="BI39" s="416"/>
      <c r="BJ39" s="417"/>
      <c r="BK39" s="416"/>
      <c r="BL39" s="417"/>
      <c r="BM39" s="416"/>
      <c r="BN39" s="417"/>
      <c r="BO39" s="416"/>
      <c r="BP39" s="417"/>
      <c r="BQ39" s="416"/>
      <c r="BR39" s="417"/>
      <c r="BS39" s="416"/>
      <c r="BT39" s="417"/>
      <c r="BU39" s="416"/>
      <c r="BV39" s="417"/>
      <c r="BW39" s="416"/>
      <c r="BX39" s="417"/>
      <c r="BY39" s="416"/>
      <c r="BZ39" s="417"/>
      <c r="CA39" s="416"/>
      <c r="CB39" s="417"/>
      <c r="CC39" s="416"/>
      <c r="CD39" s="417"/>
      <c r="CE39" s="416"/>
      <c r="CF39" s="417"/>
      <c r="CG39" s="416"/>
      <c r="CH39" s="417"/>
      <c r="CI39" s="416"/>
      <c r="CJ39" s="417"/>
      <c r="CK39" s="416"/>
      <c r="CL39" s="417"/>
      <c r="CM39" s="416"/>
      <c r="CN39" s="417"/>
      <c r="CO39" s="416"/>
      <c r="CP39" s="417"/>
      <c r="CQ39" s="416"/>
      <c r="CR39" s="417"/>
      <c r="CS39" s="416"/>
      <c r="CT39" s="417"/>
      <c r="CU39" s="416"/>
      <c r="CV39" s="417"/>
      <c r="CW39" s="416"/>
      <c r="CX39" s="417"/>
      <c r="CY39" s="416"/>
      <c r="CZ39" s="417"/>
      <c r="DA39" s="416"/>
      <c r="DB39" s="417"/>
      <c r="DC39" s="416"/>
      <c r="DD39" s="417"/>
      <c r="DE39" s="416"/>
      <c r="DF39" s="417"/>
      <c r="DG39" s="416"/>
      <c r="DH39" s="417"/>
      <c r="DI39" s="416"/>
      <c r="DJ39" s="417"/>
      <c r="DK39" s="416"/>
      <c r="DL39" s="417"/>
      <c r="DM39" s="416"/>
      <c r="DN39" s="417"/>
      <c r="DO39" s="416"/>
      <c r="DP39" s="417"/>
      <c r="DQ39" s="416"/>
      <c r="DR39" s="417"/>
      <c r="DS39" s="416"/>
      <c r="DT39" s="417"/>
      <c r="DU39" s="416"/>
      <c r="DV39" s="417"/>
      <c r="DW39" s="416"/>
      <c r="DX39" s="417"/>
      <c r="DY39" s="416"/>
      <c r="DZ39" s="417"/>
      <c r="EA39" s="416"/>
      <c r="EB39" s="417"/>
      <c r="EC39" s="416"/>
      <c r="ED39" s="417"/>
      <c r="EE39" s="416"/>
      <c r="EF39" s="417"/>
      <c r="EG39" s="416"/>
      <c r="EH39" s="417"/>
      <c r="EI39" s="416"/>
      <c r="EJ39" s="417"/>
      <c r="EK39" s="416"/>
      <c r="EL39" s="417"/>
      <c r="EM39" s="416"/>
      <c r="EN39" s="417"/>
      <c r="EO39" s="416"/>
      <c r="EP39" s="417"/>
      <c r="EQ39" s="416"/>
      <c r="ER39" s="417"/>
      <c r="ES39" s="416"/>
      <c r="ET39" s="417"/>
      <c r="EU39" s="416"/>
      <c r="EV39" s="417"/>
      <c r="EW39" s="416"/>
      <c r="EX39" s="417"/>
      <c r="EY39" s="416"/>
      <c r="EZ39" s="417"/>
      <c r="FA39" s="416"/>
      <c r="FB39" s="417"/>
      <c r="FC39" s="416"/>
      <c r="FD39" s="417"/>
      <c r="FE39" s="416"/>
      <c r="FF39" s="417"/>
      <c r="FG39" s="416"/>
      <c r="FH39" s="417"/>
      <c r="FI39" s="416"/>
      <c r="FJ39" s="417"/>
      <c r="FK39" s="416"/>
      <c r="FL39" s="417"/>
      <c r="FM39" s="416"/>
      <c r="FN39" s="417"/>
      <c r="FO39" s="416"/>
      <c r="FP39" s="417"/>
      <c r="FQ39" s="416"/>
      <c r="FR39" s="417"/>
      <c r="FS39" s="416"/>
      <c r="FT39" s="417"/>
      <c r="FU39" s="416"/>
      <c r="FV39" s="417"/>
      <c r="FW39" s="416"/>
      <c r="FX39" s="417"/>
      <c r="FY39" s="416"/>
      <c r="FZ39" s="417"/>
      <c r="GA39" s="416"/>
      <c r="GB39" s="417"/>
      <c r="GC39" s="416"/>
      <c r="GD39" s="417"/>
      <c r="GE39" s="416"/>
      <c r="GF39" s="417"/>
      <c r="GG39" s="416"/>
      <c r="GH39" s="417"/>
      <c r="GI39" s="416"/>
      <c r="GJ39" s="417"/>
      <c r="GK39" s="416"/>
      <c r="GL39" s="417"/>
      <c r="GM39" s="416"/>
      <c r="GN39" s="417"/>
      <c r="GO39" s="416"/>
      <c r="GP39" s="417"/>
      <c r="GQ39" s="416"/>
      <c r="GR39" s="417"/>
      <c r="GS39" s="416"/>
      <c r="GT39" s="417"/>
      <c r="GU39" s="416"/>
      <c r="GV39" s="417"/>
      <c r="GW39" s="416"/>
      <c r="GX39" s="417"/>
      <c r="GY39" s="416"/>
      <c r="GZ39" s="417"/>
      <c r="HA39" s="416"/>
      <c r="HB39" s="417"/>
      <c r="HC39" s="416"/>
      <c r="HD39" s="417"/>
      <c r="HE39" s="416"/>
      <c r="HF39" s="417"/>
      <c r="HG39" s="416"/>
      <c r="HH39" s="417"/>
      <c r="HI39" s="416"/>
      <c r="HJ39" s="417"/>
      <c r="HK39" s="416"/>
      <c r="HL39" s="417"/>
      <c r="HM39" s="416"/>
      <c r="HN39" s="417"/>
      <c r="HO39" s="416"/>
      <c r="HP39" s="417"/>
      <c r="HQ39" s="416"/>
      <c r="HR39" s="417"/>
      <c r="HS39" s="416"/>
      <c r="HT39" s="417"/>
      <c r="HU39" s="416"/>
      <c r="HV39" s="417"/>
      <c r="HW39" s="416"/>
      <c r="HX39" s="417"/>
      <c r="HY39" s="416"/>
      <c r="HZ39" s="417"/>
      <c r="IA39" s="416"/>
      <c r="IB39" s="417"/>
      <c r="IC39" s="416"/>
      <c r="ID39" s="417"/>
      <c r="IE39" s="416"/>
      <c r="IF39" s="417"/>
      <c r="IG39" s="416"/>
      <c r="IH39" s="417"/>
      <c r="II39" s="416"/>
      <c r="IJ39" s="417"/>
      <c r="IK39" s="416"/>
      <c r="IL39" s="417"/>
      <c r="IM39" s="416"/>
      <c r="IN39" s="417"/>
      <c r="IO39" s="416"/>
      <c r="IP39" s="417"/>
      <c r="IQ39" s="416"/>
      <c r="IR39" s="417"/>
      <c r="IS39" s="416"/>
      <c r="IT39" s="417"/>
      <c r="IU39" s="416"/>
      <c r="IV39" s="417"/>
    </row>
    <row r="40" spans="1:256" s="418" customFormat="1" ht="13.5" x14ac:dyDescent="0.25">
      <c r="A40" s="415" t="s">
        <v>417</v>
      </c>
      <c r="B40" s="422">
        <v>0</v>
      </c>
      <c r="C40" s="422">
        <f>+B40*(1+'Total Market Size'!C$136)</f>
        <v>0</v>
      </c>
      <c r="D40" s="422">
        <f>+C40*(1+'Total Market Size'!D$136)</f>
        <v>0</v>
      </c>
      <c r="E40" s="422">
        <f>+D40*(1+'Total Market Size'!E$136)</f>
        <v>0</v>
      </c>
      <c r="F40" s="422">
        <f>+E40*(1+'Total Market Size'!F$136)</f>
        <v>0</v>
      </c>
      <c r="G40" s="422">
        <f>+F40*(1+'Total Market Size'!G$136)</f>
        <v>0</v>
      </c>
      <c r="H40" s="422">
        <f>+G40*(1+'Total Market Size'!H$136)</f>
        <v>0</v>
      </c>
      <c r="I40" s="422">
        <f>+H40*(1+'Total Market Size'!I$136)</f>
        <v>0</v>
      </c>
      <c r="J40" s="422">
        <f>+I40*(1+'Total Market Size'!J$136)</f>
        <v>0</v>
      </c>
      <c r="K40" s="422">
        <f>+J40*(1+'Total Market Size'!K$136)</f>
        <v>0</v>
      </c>
      <c r="L40" s="426">
        <f>+K40*(1+'Total Market Size'!L$136)</f>
        <v>0</v>
      </c>
      <c r="M40" s="601" t="s">
        <v>506</v>
      </c>
      <c r="N40" s="417">
        <f t="shared" si="0"/>
        <v>1</v>
      </c>
      <c r="O40" s="415"/>
      <c r="P40" s="417"/>
      <c r="Q40" s="415"/>
      <c r="R40" s="417"/>
      <c r="S40" s="415"/>
      <c r="T40" s="417"/>
      <c r="U40" s="415"/>
      <c r="V40" s="417"/>
      <c r="W40" s="415"/>
      <c r="X40" s="417"/>
      <c r="Y40" s="415"/>
      <c r="Z40" s="417"/>
      <c r="AA40" s="415"/>
      <c r="AB40" s="417"/>
      <c r="AC40" s="415"/>
      <c r="AD40" s="417"/>
      <c r="AE40" s="415"/>
      <c r="AF40" s="417"/>
      <c r="AG40" s="415"/>
      <c r="AH40" s="417"/>
      <c r="AI40" s="415"/>
      <c r="AJ40" s="417"/>
      <c r="AK40" s="415"/>
      <c r="AL40" s="417"/>
      <c r="AM40" s="415"/>
      <c r="AN40" s="417"/>
      <c r="AO40" s="415"/>
      <c r="AP40" s="417"/>
      <c r="AQ40" s="415"/>
      <c r="AR40" s="417"/>
      <c r="AS40" s="415"/>
      <c r="AT40" s="417"/>
      <c r="AU40" s="415"/>
      <c r="AV40" s="417"/>
      <c r="AW40" s="415"/>
      <c r="AX40" s="417"/>
      <c r="AY40" s="415"/>
      <c r="AZ40" s="417"/>
      <c r="BA40" s="415"/>
      <c r="BB40" s="417"/>
      <c r="BC40" s="415"/>
      <c r="BD40" s="417"/>
      <c r="BE40" s="415"/>
      <c r="BF40" s="417"/>
      <c r="BG40" s="415"/>
      <c r="BH40" s="417"/>
      <c r="BI40" s="415"/>
      <c r="BJ40" s="417"/>
      <c r="BK40" s="415"/>
      <c r="BL40" s="417"/>
      <c r="BM40" s="415"/>
      <c r="BN40" s="417"/>
      <c r="BO40" s="415"/>
      <c r="BP40" s="417"/>
      <c r="BQ40" s="415"/>
      <c r="BR40" s="417"/>
      <c r="BS40" s="415"/>
      <c r="BT40" s="417"/>
      <c r="BU40" s="415"/>
      <c r="BV40" s="417"/>
      <c r="BW40" s="415"/>
      <c r="BX40" s="417"/>
      <c r="BY40" s="415"/>
      <c r="BZ40" s="417"/>
      <c r="CA40" s="415"/>
      <c r="CB40" s="417"/>
      <c r="CC40" s="415"/>
      <c r="CD40" s="417"/>
      <c r="CE40" s="415"/>
      <c r="CF40" s="417"/>
      <c r="CG40" s="415"/>
      <c r="CH40" s="417"/>
      <c r="CI40" s="415"/>
      <c r="CJ40" s="417"/>
      <c r="CK40" s="415"/>
      <c r="CL40" s="417"/>
      <c r="CM40" s="415"/>
      <c r="CN40" s="417"/>
      <c r="CO40" s="415"/>
      <c r="CP40" s="417"/>
      <c r="CQ40" s="415"/>
      <c r="CR40" s="417"/>
      <c r="CS40" s="415"/>
      <c r="CT40" s="417"/>
      <c r="CU40" s="415"/>
      <c r="CV40" s="417"/>
      <c r="CW40" s="415"/>
      <c r="CX40" s="417"/>
      <c r="CY40" s="415"/>
      <c r="CZ40" s="417"/>
      <c r="DA40" s="415"/>
      <c r="DB40" s="417"/>
      <c r="DC40" s="415"/>
      <c r="DD40" s="417"/>
      <c r="DE40" s="415"/>
      <c r="DF40" s="417"/>
      <c r="DG40" s="415"/>
      <c r="DH40" s="417"/>
      <c r="DI40" s="415"/>
      <c r="DJ40" s="417"/>
      <c r="DK40" s="415"/>
      <c r="DL40" s="417"/>
      <c r="DM40" s="415"/>
      <c r="DN40" s="417"/>
      <c r="DO40" s="415"/>
      <c r="DP40" s="417"/>
      <c r="DQ40" s="415"/>
      <c r="DR40" s="417"/>
      <c r="DS40" s="415"/>
      <c r="DT40" s="417"/>
      <c r="DU40" s="415"/>
      <c r="DV40" s="417"/>
      <c r="DW40" s="415"/>
      <c r="DX40" s="417"/>
      <c r="DY40" s="415"/>
      <c r="DZ40" s="417"/>
      <c r="EA40" s="415"/>
      <c r="EB40" s="417"/>
      <c r="EC40" s="415"/>
      <c r="ED40" s="417"/>
      <c r="EE40" s="415"/>
      <c r="EF40" s="417"/>
      <c r="EG40" s="415"/>
      <c r="EH40" s="417"/>
      <c r="EI40" s="415"/>
      <c r="EJ40" s="417"/>
      <c r="EK40" s="415"/>
      <c r="EL40" s="417"/>
      <c r="EM40" s="415"/>
      <c r="EN40" s="417"/>
      <c r="EO40" s="415"/>
      <c r="EP40" s="417"/>
      <c r="EQ40" s="415"/>
      <c r="ER40" s="417"/>
      <c r="ES40" s="415"/>
      <c r="ET40" s="417"/>
      <c r="EU40" s="415"/>
      <c r="EV40" s="417"/>
      <c r="EW40" s="415"/>
      <c r="EX40" s="417"/>
      <c r="EY40" s="415"/>
      <c r="EZ40" s="417"/>
      <c r="FA40" s="415"/>
      <c r="FB40" s="417"/>
      <c r="FC40" s="415"/>
      <c r="FD40" s="417"/>
      <c r="FE40" s="415"/>
      <c r="FF40" s="417"/>
      <c r="FG40" s="415"/>
      <c r="FH40" s="417"/>
      <c r="FI40" s="415"/>
      <c r="FJ40" s="417"/>
      <c r="FK40" s="415"/>
      <c r="FL40" s="417"/>
      <c r="FM40" s="415"/>
      <c r="FN40" s="417"/>
      <c r="FO40" s="415"/>
      <c r="FP40" s="417"/>
      <c r="FQ40" s="415"/>
      <c r="FR40" s="417"/>
      <c r="FS40" s="415"/>
      <c r="FT40" s="417"/>
      <c r="FU40" s="415"/>
      <c r="FV40" s="417"/>
      <c r="FW40" s="415"/>
      <c r="FX40" s="417"/>
      <c r="FY40" s="415"/>
      <c r="FZ40" s="417"/>
      <c r="GA40" s="415"/>
      <c r="GB40" s="417"/>
      <c r="GC40" s="415"/>
      <c r="GD40" s="417"/>
      <c r="GE40" s="415"/>
      <c r="GF40" s="417"/>
      <c r="GG40" s="415"/>
      <c r="GH40" s="417"/>
      <c r="GI40" s="415"/>
      <c r="GJ40" s="417"/>
      <c r="GK40" s="415"/>
      <c r="GL40" s="417"/>
      <c r="GM40" s="415"/>
      <c r="GN40" s="417"/>
      <c r="GO40" s="415"/>
      <c r="GP40" s="417"/>
      <c r="GQ40" s="415"/>
      <c r="GR40" s="417"/>
      <c r="GS40" s="415"/>
      <c r="GT40" s="417"/>
      <c r="GU40" s="415"/>
      <c r="GV40" s="417"/>
      <c r="GW40" s="415"/>
      <c r="GX40" s="417"/>
      <c r="GY40" s="415"/>
      <c r="GZ40" s="417"/>
      <c r="HA40" s="415"/>
      <c r="HB40" s="417"/>
      <c r="HC40" s="415"/>
      <c r="HD40" s="417"/>
      <c r="HE40" s="415"/>
      <c r="HF40" s="417"/>
      <c r="HG40" s="415"/>
      <c r="HH40" s="417"/>
      <c r="HI40" s="415"/>
      <c r="HJ40" s="417"/>
      <c r="HK40" s="415"/>
      <c r="HL40" s="417"/>
      <c r="HM40" s="415"/>
      <c r="HN40" s="417"/>
      <c r="HO40" s="415"/>
      <c r="HP40" s="417"/>
      <c r="HQ40" s="415"/>
      <c r="HR40" s="417"/>
      <c r="HS40" s="415"/>
      <c r="HT40" s="417"/>
      <c r="HU40" s="415"/>
      <c r="HV40" s="417"/>
      <c r="HW40" s="415"/>
      <c r="HX40" s="417"/>
      <c r="HY40" s="415"/>
      <c r="HZ40" s="417"/>
      <c r="IA40" s="415"/>
      <c r="IB40" s="417"/>
      <c r="IC40" s="415"/>
      <c r="ID40" s="417"/>
      <c r="IE40" s="415"/>
      <c r="IF40" s="417"/>
      <c r="IG40" s="415"/>
      <c r="IH40" s="417"/>
      <c r="II40" s="415"/>
      <c r="IJ40" s="417"/>
      <c r="IK40" s="415"/>
      <c r="IL40" s="417"/>
      <c r="IM40" s="415"/>
      <c r="IN40" s="417"/>
      <c r="IO40" s="415"/>
      <c r="IP40" s="417"/>
      <c r="IQ40" s="415"/>
      <c r="IR40" s="417"/>
      <c r="IS40" s="415"/>
      <c r="IT40" s="417"/>
      <c r="IU40" s="415"/>
      <c r="IV40" s="417"/>
    </row>
    <row r="41" spans="1:256" s="418" customFormat="1" ht="13.5" x14ac:dyDescent="0.25">
      <c r="A41" s="415" t="s">
        <v>418</v>
      </c>
      <c r="B41" s="422">
        <v>0</v>
      </c>
      <c r="C41" s="422">
        <f>+B41*(1+'Total Market Size'!C$136)</f>
        <v>0</v>
      </c>
      <c r="D41" s="422">
        <f>+C41*(1+'Total Market Size'!D$136)</f>
        <v>0</v>
      </c>
      <c r="E41" s="422">
        <f>+D41*(1+'Total Market Size'!E$136)</f>
        <v>0</v>
      </c>
      <c r="F41" s="422">
        <f>+E41*(1+'Total Market Size'!F$136)</f>
        <v>0</v>
      </c>
      <c r="G41" s="422">
        <f>+F41*(1+'Total Market Size'!G$136)</f>
        <v>0</v>
      </c>
      <c r="H41" s="422">
        <f>+G41*(1+'Total Market Size'!H$136)</f>
        <v>0</v>
      </c>
      <c r="I41" s="422">
        <f>+H41*(1+'Total Market Size'!I$136)</f>
        <v>0</v>
      </c>
      <c r="J41" s="422">
        <f>+I41*(1+'Total Market Size'!J$136)</f>
        <v>0</v>
      </c>
      <c r="K41" s="422">
        <f>+J41*(1+'Total Market Size'!K$136)</f>
        <v>0</v>
      </c>
      <c r="L41" s="426">
        <f>+K41*(1+'Total Market Size'!L$136)</f>
        <v>0</v>
      </c>
      <c r="M41" s="601" t="s">
        <v>506</v>
      </c>
      <c r="N41" s="417">
        <f t="shared" si="0"/>
        <v>1</v>
      </c>
      <c r="O41" s="415"/>
      <c r="P41" s="417"/>
      <c r="Q41" s="415"/>
      <c r="R41" s="417"/>
      <c r="S41" s="415"/>
      <c r="T41" s="417"/>
      <c r="U41" s="415"/>
      <c r="V41" s="417"/>
      <c r="W41" s="415"/>
      <c r="X41" s="417"/>
      <c r="Y41" s="415"/>
      <c r="Z41" s="417"/>
      <c r="AA41" s="415"/>
      <c r="AB41" s="417"/>
      <c r="AC41" s="415"/>
      <c r="AD41" s="417"/>
      <c r="AE41" s="415"/>
      <c r="AF41" s="417"/>
      <c r="AG41" s="415"/>
      <c r="AH41" s="417"/>
      <c r="AI41" s="415"/>
      <c r="AJ41" s="417"/>
      <c r="AK41" s="415"/>
      <c r="AL41" s="417"/>
      <c r="AM41" s="415"/>
      <c r="AN41" s="417"/>
      <c r="AO41" s="415"/>
      <c r="AP41" s="417"/>
      <c r="AQ41" s="415"/>
      <c r="AR41" s="417"/>
      <c r="AS41" s="415"/>
      <c r="AT41" s="417"/>
      <c r="AU41" s="415"/>
      <c r="AV41" s="417"/>
      <c r="AW41" s="415"/>
      <c r="AX41" s="417"/>
      <c r="AY41" s="415"/>
      <c r="AZ41" s="417"/>
      <c r="BA41" s="415"/>
      <c r="BB41" s="417"/>
      <c r="BC41" s="415"/>
      <c r="BD41" s="417"/>
      <c r="BE41" s="415"/>
      <c r="BF41" s="417"/>
      <c r="BG41" s="415"/>
      <c r="BH41" s="417"/>
      <c r="BI41" s="415"/>
      <c r="BJ41" s="417"/>
      <c r="BK41" s="415"/>
      <c r="BL41" s="417"/>
      <c r="BM41" s="415"/>
      <c r="BN41" s="417"/>
      <c r="BO41" s="415"/>
      <c r="BP41" s="417"/>
      <c r="BQ41" s="415"/>
      <c r="BR41" s="417"/>
      <c r="BS41" s="415"/>
      <c r="BT41" s="417"/>
      <c r="BU41" s="415"/>
      <c r="BV41" s="417"/>
      <c r="BW41" s="415"/>
      <c r="BX41" s="417"/>
      <c r="BY41" s="415"/>
      <c r="BZ41" s="417"/>
      <c r="CA41" s="415"/>
      <c r="CB41" s="417"/>
      <c r="CC41" s="415"/>
      <c r="CD41" s="417"/>
      <c r="CE41" s="415"/>
      <c r="CF41" s="417"/>
      <c r="CG41" s="415"/>
      <c r="CH41" s="417"/>
      <c r="CI41" s="415"/>
      <c r="CJ41" s="417"/>
      <c r="CK41" s="415"/>
      <c r="CL41" s="417"/>
      <c r="CM41" s="415"/>
      <c r="CN41" s="417"/>
      <c r="CO41" s="415"/>
      <c r="CP41" s="417"/>
      <c r="CQ41" s="415"/>
      <c r="CR41" s="417"/>
      <c r="CS41" s="415"/>
      <c r="CT41" s="417"/>
      <c r="CU41" s="415"/>
      <c r="CV41" s="417"/>
      <c r="CW41" s="415"/>
      <c r="CX41" s="417"/>
      <c r="CY41" s="415"/>
      <c r="CZ41" s="417"/>
      <c r="DA41" s="415"/>
      <c r="DB41" s="417"/>
      <c r="DC41" s="415"/>
      <c r="DD41" s="417"/>
      <c r="DE41" s="415"/>
      <c r="DF41" s="417"/>
      <c r="DG41" s="415"/>
      <c r="DH41" s="417"/>
      <c r="DI41" s="415"/>
      <c r="DJ41" s="417"/>
      <c r="DK41" s="415"/>
      <c r="DL41" s="417"/>
      <c r="DM41" s="415"/>
      <c r="DN41" s="417"/>
      <c r="DO41" s="415"/>
      <c r="DP41" s="417"/>
      <c r="DQ41" s="415"/>
      <c r="DR41" s="417"/>
      <c r="DS41" s="415"/>
      <c r="DT41" s="417"/>
      <c r="DU41" s="415"/>
      <c r="DV41" s="417"/>
      <c r="DW41" s="415"/>
      <c r="DX41" s="417"/>
      <c r="DY41" s="415"/>
      <c r="DZ41" s="417"/>
      <c r="EA41" s="415"/>
      <c r="EB41" s="417"/>
      <c r="EC41" s="415"/>
      <c r="ED41" s="417"/>
      <c r="EE41" s="415"/>
      <c r="EF41" s="417"/>
      <c r="EG41" s="415"/>
      <c r="EH41" s="417"/>
      <c r="EI41" s="415"/>
      <c r="EJ41" s="417"/>
      <c r="EK41" s="415"/>
      <c r="EL41" s="417"/>
      <c r="EM41" s="415"/>
      <c r="EN41" s="417"/>
      <c r="EO41" s="415"/>
      <c r="EP41" s="417"/>
      <c r="EQ41" s="415"/>
      <c r="ER41" s="417"/>
      <c r="ES41" s="415"/>
      <c r="ET41" s="417"/>
      <c r="EU41" s="415"/>
      <c r="EV41" s="417"/>
      <c r="EW41" s="415"/>
      <c r="EX41" s="417"/>
      <c r="EY41" s="415"/>
      <c r="EZ41" s="417"/>
      <c r="FA41" s="415"/>
      <c r="FB41" s="417"/>
      <c r="FC41" s="415"/>
      <c r="FD41" s="417"/>
      <c r="FE41" s="415"/>
      <c r="FF41" s="417"/>
      <c r="FG41" s="415"/>
      <c r="FH41" s="417"/>
      <c r="FI41" s="415"/>
      <c r="FJ41" s="417"/>
      <c r="FK41" s="415"/>
      <c r="FL41" s="417"/>
      <c r="FM41" s="415"/>
      <c r="FN41" s="417"/>
      <c r="FO41" s="415"/>
      <c r="FP41" s="417"/>
      <c r="FQ41" s="415"/>
      <c r="FR41" s="417"/>
      <c r="FS41" s="415"/>
      <c r="FT41" s="417"/>
      <c r="FU41" s="415"/>
      <c r="FV41" s="417"/>
      <c r="FW41" s="415"/>
      <c r="FX41" s="417"/>
      <c r="FY41" s="415"/>
      <c r="FZ41" s="417"/>
      <c r="GA41" s="415"/>
      <c r="GB41" s="417"/>
      <c r="GC41" s="415"/>
      <c r="GD41" s="417"/>
      <c r="GE41" s="415"/>
      <c r="GF41" s="417"/>
      <c r="GG41" s="415"/>
      <c r="GH41" s="417"/>
      <c r="GI41" s="415"/>
      <c r="GJ41" s="417"/>
      <c r="GK41" s="415"/>
      <c r="GL41" s="417"/>
      <c r="GM41" s="415"/>
      <c r="GN41" s="417"/>
      <c r="GO41" s="415"/>
      <c r="GP41" s="417"/>
      <c r="GQ41" s="415"/>
      <c r="GR41" s="417"/>
      <c r="GS41" s="415"/>
      <c r="GT41" s="417"/>
      <c r="GU41" s="415"/>
      <c r="GV41" s="417"/>
      <c r="GW41" s="415"/>
      <c r="GX41" s="417"/>
      <c r="GY41" s="415"/>
      <c r="GZ41" s="417"/>
      <c r="HA41" s="415"/>
      <c r="HB41" s="417"/>
      <c r="HC41" s="415"/>
      <c r="HD41" s="417"/>
      <c r="HE41" s="415"/>
      <c r="HF41" s="417"/>
      <c r="HG41" s="415"/>
      <c r="HH41" s="417"/>
      <c r="HI41" s="415"/>
      <c r="HJ41" s="417"/>
      <c r="HK41" s="415"/>
      <c r="HL41" s="417"/>
      <c r="HM41" s="415"/>
      <c r="HN41" s="417"/>
      <c r="HO41" s="415"/>
      <c r="HP41" s="417"/>
      <c r="HQ41" s="415"/>
      <c r="HR41" s="417"/>
      <c r="HS41" s="415"/>
      <c r="HT41" s="417"/>
      <c r="HU41" s="415"/>
      <c r="HV41" s="417"/>
      <c r="HW41" s="415"/>
      <c r="HX41" s="417"/>
      <c r="HY41" s="415"/>
      <c r="HZ41" s="417"/>
      <c r="IA41" s="415"/>
      <c r="IB41" s="417"/>
      <c r="IC41" s="415"/>
      <c r="ID41" s="417"/>
      <c r="IE41" s="415"/>
      <c r="IF41" s="417"/>
      <c r="IG41" s="415"/>
      <c r="IH41" s="417"/>
      <c r="II41" s="415"/>
      <c r="IJ41" s="417"/>
      <c r="IK41" s="415"/>
      <c r="IL41" s="417"/>
      <c r="IM41" s="415"/>
      <c r="IN41" s="417"/>
      <c r="IO41" s="415"/>
      <c r="IP41" s="417"/>
      <c r="IQ41" s="415"/>
      <c r="IR41" s="417"/>
      <c r="IS41" s="415"/>
      <c r="IT41" s="417"/>
      <c r="IU41" s="415"/>
      <c r="IV41" s="417"/>
    </row>
    <row r="42" spans="1:256" s="418" customFormat="1" ht="13.5" x14ac:dyDescent="0.25">
      <c r="A42" s="415" t="s">
        <v>419</v>
      </c>
      <c r="B42" s="422">
        <v>27600</v>
      </c>
      <c r="C42" s="422">
        <f>+B42*(1+'Total Market Size'!C$136)</f>
        <v>28234.799999999999</v>
      </c>
      <c r="D42" s="422">
        <f>+C42*(1+'Total Market Size'!D$136)</f>
        <v>28799.495999999999</v>
      </c>
      <c r="E42" s="422">
        <f>+D42*(1+'Total Market Size'!E$136)</f>
        <v>29433.084911999998</v>
      </c>
      <c r="F42" s="422">
        <f>+E42*(1+'Total Market Size'!F$136)</f>
        <v>30110.045864975997</v>
      </c>
      <c r="G42" s="422">
        <f>+F42*(1+'Total Market Size'!G$136)</f>
        <v>30862.797011600393</v>
      </c>
      <c r="H42" s="422">
        <f>+G42*(1+'Total Market Size'!H$136)</f>
        <v>31618.935538384601</v>
      </c>
      <c r="I42" s="422">
        <f>+H42*(1+'Total Market Size'!I$136)</f>
        <v>32377.789991305832</v>
      </c>
      <c r="J42" s="422">
        <f>+I42*(1+'Total Market Size'!J$136)</f>
        <v>33148.381393098913</v>
      </c>
      <c r="K42" s="422">
        <f>+J42*(1+'Total Market Size'!K$136)</f>
        <v>33910.794165140185</v>
      </c>
      <c r="L42" s="426">
        <f>+K42*(1+'Total Market Size'!L$136)</f>
        <v>34683.960272105382</v>
      </c>
      <c r="M42" s="601" t="s">
        <v>506</v>
      </c>
      <c r="N42" s="417">
        <f t="shared" si="0"/>
        <v>1</v>
      </c>
      <c r="O42" s="415"/>
      <c r="P42" s="417"/>
      <c r="Q42" s="415"/>
      <c r="R42" s="417"/>
      <c r="S42" s="415"/>
      <c r="T42" s="417"/>
      <c r="U42" s="415"/>
      <c r="V42" s="417"/>
      <c r="W42" s="415"/>
      <c r="X42" s="417"/>
      <c r="Y42" s="415"/>
      <c r="Z42" s="417"/>
      <c r="AA42" s="415"/>
      <c r="AB42" s="417"/>
      <c r="AC42" s="415"/>
      <c r="AD42" s="417"/>
      <c r="AE42" s="415"/>
      <c r="AF42" s="417"/>
      <c r="AG42" s="415"/>
      <c r="AH42" s="417"/>
      <c r="AI42" s="415"/>
      <c r="AJ42" s="417"/>
      <c r="AK42" s="415"/>
      <c r="AL42" s="417"/>
      <c r="AM42" s="415"/>
      <c r="AN42" s="417"/>
      <c r="AO42" s="415"/>
      <c r="AP42" s="417"/>
      <c r="AQ42" s="415"/>
      <c r="AR42" s="417"/>
      <c r="AS42" s="415"/>
      <c r="AT42" s="417"/>
      <c r="AU42" s="415"/>
      <c r="AV42" s="417"/>
      <c r="AW42" s="415"/>
      <c r="AX42" s="417"/>
      <c r="AY42" s="415"/>
      <c r="AZ42" s="417"/>
      <c r="BA42" s="415"/>
      <c r="BB42" s="417"/>
      <c r="BC42" s="415"/>
      <c r="BD42" s="417"/>
      <c r="BE42" s="415"/>
      <c r="BF42" s="417"/>
      <c r="BG42" s="415"/>
      <c r="BH42" s="417"/>
      <c r="BI42" s="415"/>
      <c r="BJ42" s="417"/>
      <c r="BK42" s="415"/>
      <c r="BL42" s="417"/>
      <c r="BM42" s="415"/>
      <c r="BN42" s="417"/>
      <c r="BO42" s="415"/>
      <c r="BP42" s="417"/>
      <c r="BQ42" s="415"/>
      <c r="BR42" s="417"/>
      <c r="BS42" s="415"/>
      <c r="BT42" s="417"/>
      <c r="BU42" s="415"/>
      <c r="BV42" s="417"/>
      <c r="BW42" s="415"/>
      <c r="BX42" s="417"/>
      <c r="BY42" s="415"/>
      <c r="BZ42" s="417"/>
      <c r="CA42" s="415"/>
      <c r="CB42" s="417"/>
      <c r="CC42" s="415"/>
      <c r="CD42" s="417"/>
      <c r="CE42" s="415"/>
      <c r="CF42" s="417"/>
      <c r="CG42" s="415"/>
      <c r="CH42" s="417"/>
      <c r="CI42" s="415"/>
      <c r="CJ42" s="417"/>
      <c r="CK42" s="415"/>
      <c r="CL42" s="417"/>
      <c r="CM42" s="415"/>
      <c r="CN42" s="417"/>
      <c r="CO42" s="415"/>
      <c r="CP42" s="417"/>
      <c r="CQ42" s="415"/>
      <c r="CR42" s="417"/>
      <c r="CS42" s="415"/>
      <c r="CT42" s="417"/>
      <c r="CU42" s="415"/>
      <c r="CV42" s="417"/>
      <c r="CW42" s="415"/>
      <c r="CX42" s="417"/>
      <c r="CY42" s="415"/>
      <c r="CZ42" s="417"/>
      <c r="DA42" s="415"/>
      <c r="DB42" s="417"/>
      <c r="DC42" s="415"/>
      <c r="DD42" s="417"/>
      <c r="DE42" s="415"/>
      <c r="DF42" s="417"/>
      <c r="DG42" s="415"/>
      <c r="DH42" s="417"/>
      <c r="DI42" s="415"/>
      <c r="DJ42" s="417"/>
      <c r="DK42" s="415"/>
      <c r="DL42" s="417"/>
      <c r="DM42" s="415"/>
      <c r="DN42" s="417"/>
      <c r="DO42" s="415"/>
      <c r="DP42" s="417"/>
      <c r="DQ42" s="415"/>
      <c r="DR42" s="417"/>
      <c r="DS42" s="415"/>
      <c r="DT42" s="417"/>
      <c r="DU42" s="415"/>
      <c r="DV42" s="417"/>
      <c r="DW42" s="415"/>
      <c r="DX42" s="417"/>
      <c r="DY42" s="415"/>
      <c r="DZ42" s="417"/>
      <c r="EA42" s="415"/>
      <c r="EB42" s="417"/>
      <c r="EC42" s="415"/>
      <c r="ED42" s="417"/>
      <c r="EE42" s="415"/>
      <c r="EF42" s="417"/>
      <c r="EG42" s="415"/>
      <c r="EH42" s="417"/>
      <c r="EI42" s="415"/>
      <c r="EJ42" s="417"/>
      <c r="EK42" s="415"/>
      <c r="EL42" s="417"/>
      <c r="EM42" s="415"/>
      <c r="EN42" s="417"/>
      <c r="EO42" s="415"/>
      <c r="EP42" s="417"/>
      <c r="EQ42" s="415"/>
      <c r="ER42" s="417"/>
      <c r="ES42" s="415"/>
      <c r="ET42" s="417"/>
      <c r="EU42" s="415"/>
      <c r="EV42" s="417"/>
      <c r="EW42" s="415"/>
      <c r="EX42" s="417"/>
      <c r="EY42" s="415"/>
      <c r="EZ42" s="417"/>
      <c r="FA42" s="415"/>
      <c r="FB42" s="417"/>
      <c r="FC42" s="415"/>
      <c r="FD42" s="417"/>
      <c r="FE42" s="415"/>
      <c r="FF42" s="417"/>
      <c r="FG42" s="415"/>
      <c r="FH42" s="417"/>
      <c r="FI42" s="415"/>
      <c r="FJ42" s="417"/>
      <c r="FK42" s="415"/>
      <c r="FL42" s="417"/>
      <c r="FM42" s="415"/>
      <c r="FN42" s="417"/>
      <c r="FO42" s="415"/>
      <c r="FP42" s="417"/>
      <c r="FQ42" s="415"/>
      <c r="FR42" s="417"/>
      <c r="FS42" s="415"/>
      <c r="FT42" s="417"/>
      <c r="FU42" s="415"/>
      <c r="FV42" s="417"/>
      <c r="FW42" s="415"/>
      <c r="FX42" s="417"/>
      <c r="FY42" s="415"/>
      <c r="FZ42" s="417"/>
      <c r="GA42" s="415"/>
      <c r="GB42" s="417"/>
      <c r="GC42" s="415"/>
      <c r="GD42" s="417"/>
      <c r="GE42" s="415"/>
      <c r="GF42" s="417"/>
      <c r="GG42" s="415"/>
      <c r="GH42" s="417"/>
      <c r="GI42" s="415"/>
      <c r="GJ42" s="417"/>
      <c r="GK42" s="415"/>
      <c r="GL42" s="417"/>
      <c r="GM42" s="415"/>
      <c r="GN42" s="417"/>
      <c r="GO42" s="415"/>
      <c r="GP42" s="417"/>
      <c r="GQ42" s="415"/>
      <c r="GR42" s="417"/>
      <c r="GS42" s="415"/>
      <c r="GT42" s="417"/>
      <c r="GU42" s="415"/>
      <c r="GV42" s="417"/>
      <c r="GW42" s="415"/>
      <c r="GX42" s="417"/>
      <c r="GY42" s="415"/>
      <c r="GZ42" s="417"/>
      <c r="HA42" s="415"/>
      <c r="HB42" s="417"/>
      <c r="HC42" s="415"/>
      <c r="HD42" s="417"/>
      <c r="HE42" s="415"/>
      <c r="HF42" s="417"/>
      <c r="HG42" s="415"/>
      <c r="HH42" s="417"/>
      <c r="HI42" s="415"/>
      <c r="HJ42" s="417"/>
      <c r="HK42" s="415"/>
      <c r="HL42" s="417"/>
      <c r="HM42" s="415"/>
      <c r="HN42" s="417"/>
      <c r="HO42" s="415"/>
      <c r="HP42" s="417"/>
      <c r="HQ42" s="415"/>
      <c r="HR42" s="417"/>
      <c r="HS42" s="415"/>
      <c r="HT42" s="417"/>
      <c r="HU42" s="415"/>
      <c r="HV42" s="417"/>
      <c r="HW42" s="415"/>
      <c r="HX42" s="417"/>
      <c r="HY42" s="415"/>
      <c r="HZ42" s="417"/>
      <c r="IA42" s="415"/>
      <c r="IB42" s="417"/>
      <c r="IC42" s="415"/>
      <c r="ID42" s="417"/>
      <c r="IE42" s="415"/>
      <c r="IF42" s="417"/>
      <c r="IG42" s="415"/>
      <c r="IH42" s="417"/>
      <c r="II42" s="415"/>
      <c r="IJ42" s="417"/>
      <c r="IK42" s="415"/>
      <c r="IL42" s="417"/>
      <c r="IM42" s="415"/>
      <c r="IN42" s="417"/>
      <c r="IO42" s="415"/>
      <c r="IP42" s="417"/>
      <c r="IQ42" s="415"/>
      <c r="IR42" s="417"/>
      <c r="IS42" s="415"/>
      <c r="IT42" s="417"/>
      <c r="IU42" s="415"/>
      <c r="IV42" s="417"/>
    </row>
    <row r="43" spans="1:256" s="418" customFormat="1" ht="13.5" x14ac:dyDescent="0.25">
      <c r="A43" s="415" t="s">
        <v>420</v>
      </c>
      <c r="B43" s="422">
        <v>360</v>
      </c>
      <c r="C43" s="422">
        <f>+B43*(1+'Total Market Size'!C$136)</f>
        <v>368.28</v>
      </c>
      <c r="D43" s="422">
        <f>+C43*(1+'Total Market Size'!D$136)</f>
        <v>375.6456</v>
      </c>
      <c r="E43" s="422">
        <f>+D43*(1+'Total Market Size'!E$136)</f>
        <v>383.9098032</v>
      </c>
      <c r="F43" s="422">
        <f>+E43*(1+'Total Market Size'!F$136)</f>
        <v>392.73972867359998</v>
      </c>
      <c r="G43" s="422">
        <f>+F43*(1+'Total Market Size'!G$136)</f>
        <v>402.55822189043994</v>
      </c>
      <c r="H43" s="422">
        <f>+G43*(1+'Total Market Size'!H$136)</f>
        <v>412.42089832675572</v>
      </c>
      <c r="I43" s="422">
        <f>+H43*(1+'Total Market Size'!I$136)</f>
        <v>422.31899988659785</v>
      </c>
      <c r="J43" s="422">
        <f>+I43*(1+'Total Market Size'!J$136)</f>
        <v>432.37019208389887</v>
      </c>
      <c r="K43" s="422">
        <f>+J43*(1+'Total Market Size'!K$136)</f>
        <v>442.31470650182848</v>
      </c>
      <c r="L43" s="426">
        <f>+K43*(1+'Total Market Size'!L$136)</f>
        <v>452.39948181007014</v>
      </c>
      <c r="M43" s="601" t="s">
        <v>507</v>
      </c>
      <c r="N43" s="417">
        <f t="shared" si="0"/>
        <v>0</v>
      </c>
      <c r="O43" s="415"/>
      <c r="P43" s="417"/>
      <c r="Q43" s="415"/>
      <c r="R43" s="417"/>
      <c r="S43" s="415"/>
      <c r="T43" s="417"/>
      <c r="U43" s="415"/>
      <c r="V43" s="417"/>
      <c r="W43" s="415"/>
      <c r="X43" s="417"/>
      <c r="Y43" s="415"/>
      <c r="Z43" s="417"/>
      <c r="AA43" s="415"/>
      <c r="AB43" s="417"/>
      <c r="AC43" s="415"/>
      <c r="AD43" s="417"/>
      <c r="AE43" s="415"/>
      <c r="AF43" s="417"/>
      <c r="AG43" s="415"/>
      <c r="AH43" s="417"/>
      <c r="AI43" s="415"/>
      <c r="AJ43" s="417"/>
      <c r="AK43" s="415"/>
      <c r="AL43" s="417"/>
      <c r="AM43" s="415"/>
      <c r="AN43" s="417"/>
      <c r="AO43" s="415"/>
      <c r="AP43" s="417"/>
      <c r="AQ43" s="415"/>
      <c r="AR43" s="417"/>
      <c r="AS43" s="415"/>
      <c r="AT43" s="417"/>
      <c r="AU43" s="415"/>
      <c r="AV43" s="417"/>
      <c r="AW43" s="415"/>
      <c r="AX43" s="417"/>
      <c r="AY43" s="415"/>
      <c r="AZ43" s="417"/>
      <c r="BA43" s="415"/>
      <c r="BB43" s="417"/>
      <c r="BC43" s="415"/>
      <c r="BD43" s="417"/>
      <c r="BE43" s="415"/>
      <c r="BF43" s="417"/>
      <c r="BG43" s="415"/>
      <c r="BH43" s="417"/>
      <c r="BI43" s="415"/>
      <c r="BJ43" s="417"/>
      <c r="BK43" s="415"/>
      <c r="BL43" s="417"/>
      <c r="BM43" s="415"/>
      <c r="BN43" s="417"/>
      <c r="BO43" s="415"/>
      <c r="BP43" s="417"/>
      <c r="BQ43" s="415"/>
      <c r="BR43" s="417"/>
      <c r="BS43" s="415"/>
      <c r="BT43" s="417"/>
      <c r="BU43" s="415"/>
      <c r="BV43" s="417"/>
      <c r="BW43" s="415"/>
      <c r="BX43" s="417"/>
      <c r="BY43" s="415"/>
      <c r="BZ43" s="417"/>
      <c r="CA43" s="415"/>
      <c r="CB43" s="417"/>
      <c r="CC43" s="415"/>
      <c r="CD43" s="417"/>
      <c r="CE43" s="415"/>
      <c r="CF43" s="417"/>
      <c r="CG43" s="415"/>
      <c r="CH43" s="417"/>
      <c r="CI43" s="415"/>
      <c r="CJ43" s="417"/>
      <c r="CK43" s="415"/>
      <c r="CL43" s="417"/>
      <c r="CM43" s="415"/>
      <c r="CN43" s="417"/>
      <c r="CO43" s="415"/>
      <c r="CP43" s="417"/>
      <c r="CQ43" s="415"/>
      <c r="CR43" s="417"/>
      <c r="CS43" s="415"/>
      <c r="CT43" s="417"/>
      <c r="CU43" s="415"/>
      <c r="CV43" s="417"/>
      <c r="CW43" s="415"/>
      <c r="CX43" s="417"/>
      <c r="CY43" s="415"/>
      <c r="CZ43" s="417"/>
      <c r="DA43" s="415"/>
      <c r="DB43" s="417"/>
      <c r="DC43" s="415"/>
      <c r="DD43" s="417"/>
      <c r="DE43" s="415"/>
      <c r="DF43" s="417"/>
      <c r="DG43" s="415"/>
      <c r="DH43" s="417"/>
      <c r="DI43" s="415"/>
      <c r="DJ43" s="417"/>
      <c r="DK43" s="415"/>
      <c r="DL43" s="417"/>
      <c r="DM43" s="415"/>
      <c r="DN43" s="417"/>
      <c r="DO43" s="415"/>
      <c r="DP43" s="417"/>
      <c r="DQ43" s="415"/>
      <c r="DR43" s="417"/>
      <c r="DS43" s="415"/>
      <c r="DT43" s="417"/>
      <c r="DU43" s="415"/>
      <c r="DV43" s="417"/>
      <c r="DW43" s="415"/>
      <c r="DX43" s="417"/>
      <c r="DY43" s="415"/>
      <c r="DZ43" s="417"/>
      <c r="EA43" s="415"/>
      <c r="EB43" s="417"/>
      <c r="EC43" s="415"/>
      <c r="ED43" s="417"/>
      <c r="EE43" s="415"/>
      <c r="EF43" s="417"/>
      <c r="EG43" s="415"/>
      <c r="EH43" s="417"/>
      <c r="EI43" s="415"/>
      <c r="EJ43" s="417"/>
      <c r="EK43" s="415"/>
      <c r="EL43" s="417"/>
      <c r="EM43" s="415"/>
      <c r="EN43" s="417"/>
      <c r="EO43" s="415"/>
      <c r="EP43" s="417"/>
      <c r="EQ43" s="415"/>
      <c r="ER43" s="417"/>
      <c r="ES43" s="415"/>
      <c r="ET43" s="417"/>
      <c r="EU43" s="415"/>
      <c r="EV43" s="417"/>
      <c r="EW43" s="415"/>
      <c r="EX43" s="417"/>
      <c r="EY43" s="415"/>
      <c r="EZ43" s="417"/>
      <c r="FA43" s="415"/>
      <c r="FB43" s="417"/>
      <c r="FC43" s="415"/>
      <c r="FD43" s="417"/>
      <c r="FE43" s="415"/>
      <c r="FF43" s="417"/>
      <c r="FG43" s="415"/>
      <c r="FH43" s="417"/>
      <c r="FI43" s="415"/>
      <c r="FJ43" s="417"/>
      <c r="FK43" s="415"/>
      <c r="FL43" s="417"/>
      <c r="FM43" s="415"/>
      <c r="FN43" s="417"/>
      <c r="FO43" s="415"/>
      <c r="FP43" s="417"/>
      <c r="FQ43" s="415"/>
      <c r="FR43" s="417"/>
      <c r="FS43" s="415"/>
      <c r="FT43" s="417"/>
      <c r="FU43" s="415"/>
      <c r="FV43" s="417"/>
      <c r="FW43" s="415"/>
      <c r="FX43" s="417"/>
      <c r="FY43" s="415"/>
      <c r="FZ43" s="417"/>
      <c r="GA43" s="415"/>
      <c r="GB43" s="417"/>
      <c r="GC43" s="415"/>
      <c r="GD43" s="417"/>
      <c r="GE43" s="415"/>
      <c r="GF43" s="417"/>
      <c r="GG43" s="415"/>
      <c r="GH43" s="417"/>
      <c r="GI43" s="415"/>
      <c r="GJ43" s="417"/>
      <c r="GK43" s="415"/>
      <c r="GL43" s="417"/>
      <c r="GM43" s="415"/>
      <c r="GN43" s="417"/>
      <c r="GO43" s="415"/>
      <c r="GP43" s="417"/>
      <c r="GQ43" s="415"/>
      <c r="GR43" s="417"/>
      <c r="GS43" s="415"/>
      <c r="GT43" s="417"/>
      <c r="GU43" s="415"/>
      <c r="GV43" s="417"/>
      <c r="GW43" s="415"/>
      <c r="GX43" s="417"/>
      <c r="GY43" s="415"/>
      <c r="GZ43" s="417"/>
      <c r="HA43" s="415"/>
      <c r="HB43" s="417"/>
      <c r="HC43" s="415"/>
      <c r="HD43" s="417"/>
      <c r="HE43" s="415"/>
      <c r="HF43" s="417"/>
      <c r="HG43" s="415"/>
      <c r="HH43" s="417"/>
      <c r="HI43" s="415"/>
      <c r="HJ43" s="417"/>
      <c r="HK43" s="415"/>
      <c r="HL43" s="417"/>
      <c r="HM43" s="415"/>
      <c r="HN43" s="417"/>
      <c r="HO43" s="415"/>
      <c r="HP43" s="417"/>
      <c r="HQ43" s="415"/>
      <c r="HR43" s="417"/>
      <c r="HS43" s="415"/>
      <c r="HT43" s="417"/>
      <c r="HU43" s="415"/>
      <c r="HV43" s="417"/>
      <c r="HW43" s="415"/>
      <c r="HX43" s="417"/>
      <c r="HY43" s="415"/>
      <c r="HZ43" s="417"/>
      <c r="IA43" s="415"/>
      <c r="IB43" s="417"/>
      <c r="IC43" s="415"/>
      <c r="ID43" s="417"/>
      <c r="IE43" s="415"/>
      <c r="IF43" s="417"/>
      <c r="IG43" s="415"/>
      <c r="IH43" s="417"/>
      <c r="II43" s="415"/>
      <c r="IJ43" s="417"/>
      <c r="IK43" s="415"/>
      <c r="IL43" s="417"/>
      <c r="IM43" s="415"/>
      <c r="IN43" s="417"/>
      <c r="IO43" s="415"/>
      <c r="IP43" s="417"/>
      <c r="IQ43" s="415"/>
      <c r="IR43" s="417"/>
      <c r="IS43" s="415"/>
      <c r="IT43" s="417"/>
      <c r="IU43" s="415"/>
      <c r="IV43" s="417"/>
    </row>
    <row r="44" spans="1:256" s="418" customFormat="1" ht="13.5" x14ac:dyDescent="0.25">
      <c r="A44" s="415" t="s">
        <v>421</v>
      </c>
      <c r="B44" s="422">
        <v>0</v>
      </c>
      <c r="C44" s="422">
        <f>+B44*(1+'Total Market Size'!C$136)</f>
        <v>0</v>
      </c>
      <c r="D44" s="422">
        <f>+C44*(1+'Total Market Size'!D$136)</f>
        <v>0</v>
      </c>
      <c r="E44" s="422">
        <f>+D44*(1+'Total Market Size'!E$136)</f>
        <v>0</v>
      </c>
      <c r="F44" s="422">
        <f>+E44*(1+'Total Market Size'!F$136)</f>
        <v>0</v>
      </c>
      <c r="G44" s="422">
        <f>+F44*(1+'Total Market Size'!G$136)</f>
        <v>0</v>
      </c>
      <c r="H44" s="422">
        <f>+G44*(1+'Total Market Size'!H$136)</f>
        <v>0</v>
      </c>
      <c r="I44" s="422">
        <f>+H44*(1+'Total Market Size'!I$136)</f>
        <v>0</v>
      </c>
      <c r="J44" s="422">
        <f>+I44*(1+'Total Market Size'!J$136)</f>
        <v>0</v>
      </c>
      <c r="K44" s="422">
        <f>+J44*(1+'Total Market Size'!K$136)</f>
        <v>0</v>
      </c>
      <c r="L44" s="426">
        <f>+K44*(1+'Total Market Size'!L$136)</f>
        <v>0</v>
      </c>
      <c r="M44" s="601" t="s">
        <v>506</v>
      </c>
      <c r="N44" s="417">
        <f t="shared" si="0"/>
        <v>1</v>
      </c>
      <c r="O44" s="415"/>
      <c r="P44" s="417"/>
      <c r="Q44" s="415"/>
      <c r="R44" s="417"/>
      <c r="S44" s="415"/>
      <c r="T44" s="417"/>
      <c r="U44" s="415"/>
      <c r="V44" s="417"/>
      <c r="W44" s="415"/>
      <c r="X44" s="417"/>
      <c r="Y44" s="415"/>
      <c r="Z44" s="417"/>
      <c r="AA44" s="415"/>
      <c r="AB44" s="417"/>
      <c r="AC44" s="415"/>
      <c r="AD44" s="417"/>
      <c r="AE44" s="415"/>
      <c r="AF44" s="417"/>
      <c r="AG44" s="415"/>
      <c r="AH44" s="417"/>
      <c r="AI44" s="415"/>
      <c r="AJ44" s="417"/>
      <c r="AK44" s="415"/>
      <c r="AL44" s="417"/>
      <c r="AM44" s="415"/>
      <c r="AN44" s="417"/>
      <c r="AO44" s="415"/>
      <c r="AP44" s="417"/>
      <c r="AQ44" s="415"/>
      <c r="AR44" s="417"/>
      <c r="AS44" s="415"/>
      <c r="AT44" s="417"/>
      <c r="AU44" s="415"/>
      <c r="AV44" s="417"/>
      <c r="AW44" s="415"/>
      <c r="AX44" s="417"/>
      <c r="AY44" s="415"/>
      <c r="AZ44" s="417"/>
      <c r="BA44" s="415"/>
      <c r="BB44" s="417"/>
      <c r="BC44" s="415"/>
      <c r="BD44" s="417"/>
      <c r="BE44" s="415"/>
      <c r="BF44" s="417"/>
      <c r="BG44" s="415"/>
      <c r="BH44" s="417"/>
      <c r="BI44" s="415"/>
      <c r="BJ44" s="417"/>
      <c r="BK44" s="415"/>
      <c r="BL44" s="417"/>
      <c r="BM44" s="415"/>
      <c r="BN44" s="417"/>
      <c r="BO44" s="415"/>
      <c r="BP44" s="417"/>
      <c r="BQ44" s="415"/>
      <c r="BR44" s="417"/>
      <c r="BS44" s="415"/>
      <c r="BT44" s="417"/>
      <c r="BU44" s="415"/>
      <c r="BV44" s="417"/>
      <c r="BW44" s="415"/>
      <c r="BX44" s="417"/>
      <c r="BY44" s="415"/>
      <c r="BZ44" s="417"/>
      <c r="CA44" s="415"/>
      <c r="CB44" s="417"/>
      <c r="CC44" s="415"/>
      <c r="CD44" s="417"/>
      <c r="CE44" s="415"/>
      <c r="CF44" s="417"/>
      <c r="CG44" s="415"/>
      <c r="CH44" s="417"/>
      <c r="CI44" s="415"/>
      <c r="CJ44" s="417"/>
      <c r="CK44" s="415"/>
      <c r="CL44" s="417"/>
      <c r="CM44" s="415"/>
      <c r="CN44" s="417"/>
      <c r="CO44" s="415"/>
      <c r="CP44" s="417"/>
      <c r="CQ44" s="415"/>
      <c r="CR44" s="417"/>
      <c r="CS44" s="415"/>
      <c r="CT44" s="417"/>
      <c r="CU44" s="415"/>
      <c r="CV44" s="417"/>
      <c r="CW44" s="415"/>
      <c r="CX44" s="417"/>
      <c r="CY44" s="415"/>
      <c r="CZ44" s="417"/>
      <c r="DA44" s="415"/>
      <c r="DB44" s="417"/>
      <c r="DC44" s="415"/>
      <c r="DD44" s="417"/>
      <c r="DE44" s="415"/>
      <c r="DF44" s="417"/>
      <c r="DG44" s="415"/>
      <c r="DH44" s="417"/>
      <c r="DI44" s="415"/>
      <c r="DJ44" s="417"/>
      <c r="DK44" s="415"/>
      <c r="DL44" s="417"/>
      <c r="DM44" s="415"/>
      <c r="DN44" s="417"/>
      <c r="DO44" s="415"/>
      <c r="DP44" s="417"/>
      <c r="DQ44" s="415"/>
      <c r="DR44" s="417"/>
      <c r="DS44" s="415"/>
      <c r="DT44" s="417"/>
      <c r="DU44" s="415"/>
      <c r="DV44" s="417"/>
      <c r="DW44" s="415"/>
      <c r="DX44" s="417"/>
      <c r="DY44" s="415"/>
      <c r="DZ44" s="417"/>
      <c r="EA44" s="415"/>
      <c r="EB44" s="417"/>
      <c r="EC44" s="415"/>
      <c r="ED44" s="417"/>
      <c r="EE44" s="415"/>
      <c r="EF44" s="417"/>
      <c r="EG44" s="415"/>
      <c r="EH44" s="417"/>
      <c r="EI44" s="415"/>
      <c r="EJ44" s="417"/>
      <c r="EK44" s="415"/>
      <c r="EL44" s="417"/>
      <c r="EM44" s="415"/>
      <c r="EN44" s="417"/>
      <c r="EO44" s="415"/>
      <c r="EP44" s="417"/>
      <c r="EQ44" s="415"/>
      <c r="ER44" s="417"/>
      <c r="ES44" s="415"/>
      <c r="ET44" s="417"/>
      <c r="EU44" s="415"/>
      <c r="EV44" s="417"/>
      <c r="EW44" s="415"/>
      <c r="EX44" s="417"/>
      <c r="EY44" s="415"/>
      <c r="EZ44" s="417"/>
      <c r="FA44" s="415"/>
      <c r="FB44" s="417"/>
      <c r="FC44" s="415"/>
      <c r="FD44" s="417"/>
      <c r="FE44" s="415"/>
      <c r="FF44" s="417"/>
      <c r="FG44" s="415"/>
      <c r="FH44" s="417"/>
      <c r="FI44" s="415"/>
      <c r="FJ44" s="417"/>
      <c r="FK44" s="415"/>
      <c r="FL44" s="417"/>
      <c r="FM44" s="415"/>
      <c r="FN44" s="417"/>
      <c r="FO44" s="415"/>
      <c r="FP44" s="417"/>
      <c r="FQ44" s="415"/>
      <c r="FR44" s="417"/>
      <c r="FS44" s="415"/>
      <c r="FT44" s="417"/>
      <c r="FU44" s="415"/>
      <c r="FV44" s="417"/>
      <c r="FW44" s="415"/>
      <c r="FX44" s="417"/>
      <c r="FY44" s="415"/>
      <c r="FZ44" s="417"/>
      <c r="GA44" s="415"/>
      <c r="GB44" s="417"/>
      <c r="GC44" s="415"/>
      <c r="GD44" s="417"/>
      <c r="GE44" s="415"/>
      <c r="GF44" s="417"/>
      <c r="GG44" s="415"/>
      <c r="GH44" s="417"/>
      <c r="GI44" s="415"/>
      <c r="GJ44" s="417"/>
      <c r="GK44" s="415"/>
      <c r="GL44" s="417"/>
      <c r="GM44" s="415"/>
      <c r="GN44" s="417"/>
      <c r="GO44" s="415"/>
      <c r="GP44" s="417"/>
      <c r="GQ44" s="415"/>
      <c r="GR44" s="417"/>
      <c r="GS44" s="415"/>
      <c r="GT44" s="417"/>
      <c r="GU44" s="415"/>
      <c r="GV44" s="417"/>
      <c r="GW44" s="415"/>
      <c r="GX44" s="417"/>
      <c r="GY44" s="415"/>
      <c r="GZ44" s="417"/>
      <c r="HA44" s="415"/>
      <c r="HB44" s="417"/>
      <c r="HC44" s="415"/>
      <c r="HD44" s="417"/>
      <c r="HE44" s="415"/>
      <c r="HF44" s="417"/>
      <c r="HG44" s="415"/>
      <c r="HH44" s="417"/>
      <c r="HI44" s="415"/>
      <c r="HJ44" s="417"/>
      <c r="HK44" s="415"/>
      <c r="HL44" s="417"/>
      <c r="HM44" s="415"/>
      <c r="HN44" s="417"/>
      <c r="HO44" s="415"/>
      <c r="HP44" s="417"/>
      <c r="HQ44" s="415"/>
      <c r="HR44" s="417"/>
      <c r="HS44" s="415"/>
      <c r="HT44" s="417"/>
      <c r="HU44" s="415"/>
      <c r="HV44" s="417"/>
      <c r="HW44" s="415"/>
      <c r="HX44" s="417"/>
      <c r="HY44" s="415"/>
      <c r="HZ44" s="417"/>
      <c r="IA44" s="415"/>
      <c r="IB44" s="417"/>
      <c r="IC44" s="415"/>
      <c r="ID44" s="417"/>
      <c r="IE44" s="415"/>
      <c r="IF44" s="417"/>
      <c r="IG44" s="415"/>
      <c r="IH44" s="417"/>
      <c r="II44" s="415"/>
      <c r="IJ44" s="417"/>
      <c r="IK44" s="415"/>
      <c r="IL44" s="417"/>
      <c r="IM44" s="415"/>
      <c r="IN44" s="417"/>
      <c r="IO44" s="415"/>
      <c r="IP44" s="417"/>
      <c r="IQ44" s="415"/>
      <c r="IR44" s="417"/>
      <c r="IS44" s="415"/>
      <c r="IT44" s="417"/>
      <c r="IU44" s="415"/>
      <c r="IV44" s="417"/>
    </row>
    <row r="45" spans="1:256" s="418" customFormat="1" ht="13.5" x14ac:dyDescent="0.25">
      <c r="A45" s="415" t="s">
        <v>422</v>
      </c>
      <c r="B45" s="422">
        <v>1200</v>
      </c>
      <c r="C45" s="422">
        <f>+B45*(1+'Total Market Size'!C$136)</f>
        <v>1227.5999999999999</v>
      </c>
      <c r="D45" s="422">
        <f>+C45*(1+'Total Market Size'!D$136)</f>
        <v>1252.1519999999998</v>
      </c>
      <c r="E45" s="422">
        <f>+D45*(1+'Total Market Size'!E$136)</f>
        <v>1279.6993439999999</v>
      </c>
      <c r="F45" s="422">
        <f>+E45*(1+'Total Market Size'!F$136)</f>
        <v>1309.1324289119998</v>
      </c>
      <c r="G45" s="422">
        <f>+F45*(1+'Total Market Size'!G$136)</f>
        <v>1341.8607396347998</v>
      </c>
      <c r="H45" s="422">
        <f>+G45*(1+'Total Market Size'!H$136)</f>
        <v>1374.7363277558522</v>
      </c>
      <c r="I45" s="422">
        <f>+H45*(1+'Total Market Size'!I$136)</f>
        <v>1407.7299996219926</v>
      </c>
      <c r="J45" s="422">
        <f>+I45*(1+'Total Market Size'!J$136)</f>
        <v>1441.2339736129961</v>
      </c>
      <c r="K45" s="422">
        <f>+J45*(1+'Total Market Size'!K$136)</f>
        <v>1474.3823550060949</v>
      </c>
      <c r="L45" s="426">
        <f>+K45*(1+'Total Market Size'!L$136)</f>
        <v>1507.9982727002339</v>
      </c>
      <c r="M45" s="601" t="s">
        <v>506</v>
      </c>
      <c r="N45" s="417">
        <f t="shared" si="0"/>
        <v>1</v>
      </c>
      <c r="O45" s="415"/>
      <c r="P45" s="417"/>
      <c r="Q45" s="415"/>
      <c r="R45" s="417"/>
      <c r="S45" s="415"/>
      <c r="T45" s="417"/>
      <c r="U45" s="415"/>
      <c r="V45" s="417"/>
      <c r="W45" s="415"/>
      <c r="X45" s="417"/>
      <c r="Y45" s="415"/>
      <c r="Z45" s="417"/>
      <c r="AA45" s="415"/>
      <c r="AB45" s="417"/>
      <c r="AC45" s="415"/>
      <c r="AD45" s="417"/>
      <c r="AE45" s="415"/>
      <c r="AF45" s="417"/>
      <c r="AG45" s="415"/>
      <c r="AH45" s="417"/>
      <c r="AI45" s="415"/>
      <c r="AJ45" s="417"/>
      <c r="AK45" s="415"/>
      <c r="AL45" s="417"/>
      <c r="AM45" s="415"/>
      <c r="AN45" s="417"/>
      <c r="AO45" s="415"/>
      <c r="AP45" s="417"/>
      <c r="AQ45" s="415"/>
      <c r="AR45" s="417"/>
      <c r="AS45" s="415"/>
      <c r="AT45" s="417"/>
      <c r="AU45" s="415"/>
      <c r="AV45" s="417"/>
      <c r="AW45" s="415"/>
      <c r="AX45" s="417"/>
      <c r="AY45" s="415"/>
      <c r="AZ45" s="417"/>
      <c r="BA45" s="415"/>
      <c r="BB45" s="417"/>
      <c r="BC45" s="415"/>
      <c r="BD45" s="417"/>
      <c r="BE45" s="415"/>
      <c r="BF45" s="417"/>
      <c r="BG45" s="415"/>
      <c r="BH45" s="417"/>
      <c r="BI45" s="415"/>
      <c r="BJ45" s="417"/>
      <c r="BK45" s="415"/>
      <c r="BL45" s="417"/>
      <c r="BM45" s="415"/>
      <c r="BN45" s="417"/>
      <c r="BO45" s="415"/>
      <c r="BP45" s="417"/>
      <c r="BQ45" s="415"/>
      <c r="BR45" s="417"/>
      <c r="BS45" s="415"/>
      <c r="BT45" s="417"/>
      <c r="BU45" s="415"/>
      <c r="BV45" s="417"/>
      <c r="BW45" s="415"/>
      <c r="BX45" s="417"/>
      <c r="BY45" s="415"/>
      <c r="BZ45" s="417"/>
      <c r="CA45" s="415"/>
      <c r="CB45" s="417"/>
      <c r="CC45" s="415"/>
      <c r="CD45" s="417"/>
      <c r="CE45" s="415"/>
      <c r="CF45" s="417"/>
      <c r="CG45" s="415"/>
      <c r="CH45" s="417"/>
      <c r="CI45" s="415"/>
      <c r="CJ45" s="417"/>
      <c r="CK45" s="415"/>
      <c r="CL45" s="417"/>
      <c r="CM45" s="415"/>
      <c r="CN45" s="417"/>
      <c r="CO45" s="415"/>
      <c r="CP45" s="417"/>
      <c r="CQ45" s="415"/>
      <c r="CR45" s="417"/>
      <c r="CS45" s="415"/>
      <c r="CT45" s="417"/>
      <c r="CU45" s="415"/>
      <c r="CV45" s="417"/>
      <c r="CW45" s="415"/>
      <c r="CX45" s="417"/>
      <c r="CY45" s="415"/>
      <c r="CZ45" s="417"/>
      <c r="DA45" s="415"/>
      <c r="DB45" s="417"/>
      <c r="DC45" s="415"/>
      <c r="DD45" s="417"/>
      <c r="DE45" s="415"/>
      <c r="DF45" s="417"/>
      <c r="DG45" s="415"/>
      <c r="DH45" s="417"/>
      <c r="DI45" s="415"/>
      <c r="DJ45" s="417"/>
      <c r="DK45" s="415"/>
      <c r="DL45" s="417"/>
      <c r="DM45" s="415"/>
      <c r="DN45" s="417"/>
      <c r="DO45" s="415"/>
      <c r="DP45" s="417"/>
      <c r="DQ45" s="415"/>
      <c r="DR45" s="417"/>
      <c r="DS45" s="415"/>
      <c r="DT45" s="417"/>
      <c r="DU45" s="415"/>
      <c r="DV45" s="417"/>
      <c r="DW45" s="415"/>
      <c r="DX45" s="417"/>
      <c r="DY45" s="415"/>
      <c r="DZ45" s="417"/>
      <c r="EA45" s="415"/>
      <c r="EB45" s="417"/>
      <c r="EC45" s="415"/>
      <c r="ED45" s="417"/>
      <c r="EE45" s="415"/>
      <c r="EF45" s="417"/>
      <c r="EG45" s="415"/>
      <c r="EH45" s="417"/>
      <c r="EI45" s="415"/>
      <c r="EJ45" s="417"/>
      <c r="EK45" s="415"/>
      <c r="EL45" s="417"/>
      <c r="EM45" s="415"/>
      <c r="EN45" s="417"/>
      <c r="EO45" s="415"/>
      <c r="EP45" s="417"/>
      <c r="EQ45" s="415"/>
      <c r="ER45" s="417"/>
      <c r="ES45" s="415"/>
      <c r="ET45" s="417"/>
      <c r="EU45" s="415"/>
      <c r="EV45" s="417"/>
      <c r="EW45" s="415"/>
      <c r="EX45" s="417"/>
      <c r="EY45" s="415"/>
      <c r="EZ45" s="417"/>
      <c r="FA45" s="415"/>
      <c r="FB45" s="417"/>
      <c r="FC45" s="415"/>
      <c r="FD45" s="417"/>
      <c r="FE45" s="415"/>
      <c r="FF45" s="417"/>
      <c r="FG45" s="415"/>
      <c r="FH45" s="417"/>
      <c r="FI45" s="415"/>
      <c r="FJ45" s="417"/>
      <c r="FK45" s="415"/>
      <c r="FL45" s="417"/>
      <c r="FM45" s="415"/>
      <c r="FN45" s="417"/>
      <c r="FO45" s="415"/>
      <c r="FP45" s="417"/>
      <c r="FQ45" s="415"/>
      <c r="FR45" s="417"/>
      <c r="FS45" s="415"/>
      <c r="FT45" s="417"/>
      <c r="FU45" s="415"/>
      <c r="FV45" s="417"/>
      <c r="FW45" s="415"/>
      <c r="FX45" s="417"/>
      <c r="FY45" s="415"/>
      <c r="FZ45" s="417"/>
      <c r="GA45" s="415"/>
      <c r="GB45" s="417"/>
      <c r="GC45" s="415"/>
      <c r="GD45" s="417"/>
      <c r="GE45" s="415"/>
      <c r="GF45" s="417"/>
      <c r="GG45" s="415"/>
      <c r="GH45" s="417"/>
      <c r="GI45" s="415"/>
      <c r="GJ45" s="417"/>
      <c r="GK45" s="415"/>
      <c r="GL45" s="417"/>
      <c r="GM45" s="415"/>
      <c r="GN45" s="417"/>
      <c r="GO45" s="415"/>
      <c r="GP45" s="417"/>
      <c r="GQ45" s="415"/>
      <c r="GR45" s="417"/>
      <c r="GS45" s="415"/>
      <c r="GT45" s="417"/>
      <c r="GU45" s="415"/>
      <c r="GV45" s="417"/>
      <c r="GW45" s="415"/>
      <c r="GX45" s="417"/>
      <c r="GY45" s="415"/>
      <c r="GZ45" s="417"/>
      <c r="HA45" s="415"/>
      <c r="HB45" s="417"/>
      <c r="HC45" s="415"/>
      <c r="HD45" s="417"/>
      <c r="HE45" s="415"/>
      <c r="HF45" s="417"/>
      <c r="HG45" s="415"/>
      <c r="HH45" s="417"/>
      <c r="HI45" s="415"/>
      <c r="HJ45" s="417"/>
      <c r="HK45" s="415"/>
      <c r="HL45" s="417"/>
      <c r="HM45" s="415"/>
      <c r="HN45" s="417"/>
      <c r="HO45" s="415"/>
      <c r="HP45" s="417"/>
      <c r="HQ45" s="415"/>
      <c r="HR45" s="417"/>
      <c r="HS45" s="415"/>
      <c r="HT45" s="417"/>
      <c r="HU45" s="415"/>
      <c r="HV45" s="417"/>
      <c r="HW45" s="415"/>
      <c r="HX45" s="417"/>
      <c r="HY45" s="415"/>
      <c r="HZ45" s="417"/>
      <c r="IA45" s="415"/>
      <c r="IB45" s="417"/>
      <c r="IC45" s="415"/>
      <c r="ID45" s="417"/>
      <c r="IE45" s="415"/>
      <c r="IF45" s="417"/>
      <c r="IG45" s="415"/>
      <c r="IH45" s="417"/>
      <c r="II45" s="415"/>
      <c r="IJ45" s="417"/>
      <c r="IK45" s="415"/>
      <c r="IL45" s="417"/>
      <c r="IM45" s="415"/>
      <c r="IN45" s="417"/>
      <c r="IO45" s="415"/>
      <c r="IP45" s="417"/>
      <c r="IQ45" s="415"/>
      <c r="IR45" s="417"/>
      <c r="IS45" s="415"/>
      <c r="IT45" s="417"/>
      <c r="IU45" s="415"/>
      <c r="IV45" s="417"/>
    </row>
    <row r="46" spans="1:256" s="418" customFormat="1" ht="13.5" x14ac:dyDescent="0.25">
      <c r="A46" s="415" t="s">
        <v>423</v>
      </c>
      <c r="B46" s="421">
        <v>300</v>
      </c>
      <c r="C46" s="421">
        <f>+B46*(1+'Total Market Size'!C$136)</f>
        <v>306.89999999999998</v>
      </c>
      <c r="D46" s="421">
        <f>+C46*(1+'Total Market Size'!D$136)</f>
        <v>313.03799999999995</v>
      </c>
      <c r="E46" s="421">
        <f>+D46*(1+'Total Market Size'!E$136)</f>
        <v>319.92483599999997</v>
      </c>
      <c r="F46" s="421">
        <f>+E46*(1+'Total Market Size'!F$136)</f>
        <v>327.28310722799995</v>
      </c>
      <c r="G46" s="421">
        <f>+F46*(1+'Total Market Size'!G$136)</f>
        <v>335.46518490869994</v>
      </c>
      <c r="H46" s="421">
        <f>+G46*(1+'Total Market Size'!H$136)</f>
        <v>343.68408193896306</v>
      </c>
      <c r="I46" s="421">
        <f>+H46*(1+'Total Market Size'!I$136)</f>
        <v>351.93249990549816</v>
      </c>
      <c r="J46" s="421">
        <f>+I46*(1+'Total Market Size'!J$136)</f>
        <v>360.30849340324903</v>
      </c>
      <c r="K46" s="421">
        <f>+J46*(1+'Total Market Size'!K$136)</f>
        <v>368.59558875152374</v>
      </c>
      <c r="L46" s="425">
        <f>+K46*(1+'Total Market Size'!L$136)</f>
        <v>376.99956817505847</v>
      </c>
      <c r="M46" s="601" t="s">
        <v>506</v>
      </c>
      <c r="N46" s="417">
        <f t="shared" si="0"/>
        <v>1</v>
      </c>
      <c r="O46" s="415"/>
      <c r="P46" s="417"/>
      <c r="Q46" s="415"/>
      <c r="R46" s="417"/>
      <c r="S46" s="415"/>
      <c r="T46" s="417"/>
      <c r="U46" s="415"/>
      <c r="V46" s="417"/>
      <c r="W46" s="415"/>
      <c r="X46" s="417"/>
      <c r="Y46" s="415"/>
      <c r="Z46" s="417"/>
      <c r="AA46" s="415"/>
      <c r="AB46" s="417"/>
      <c r="AC46" s="415"/>
      <c r="AD46" s="417"/>
      <c r="AE46" s="415"/>
      <c r="AF46" s="417"/>
      <c r="AG46" s="415"/>
      <c r="AH46" s="417"/>
      <c r="AI46" s="415"/>
      <c r="AJ46" s="417"/>
      <c r="AK46" s="415"/>
      <c r="AL46" s="417"/>
      <c r="AM46" s="415"/>
      <c r="AN46" s="417"/>
      <c r="AO46" s="415"/>
      <c r="AP46" s="417"/>
      <c r="AQ46" s="415"/>
      <c r="AR46" s="417"/>
      <c r="AS46" s="415"/>
      <c r="AT46" s="417"/>
      <c r="AU46" s="415"/>
      <c r="AV46" s="417"/>
      <c r="AW46" s="415"/>
      <c r="AX46" s="417"/>
      <c r="AY46" s="415"/>
      <c r="AZ46" s="417"/>
      <c r="BA46" s="415"/>
      <c r="BB46" s="417"/>
      <c r="BC46" s="415"/>
      <c r="BD46" s="417"/>
      <c r="BE46" s="415"/>
      <c r="BF46" s="417"/>
      <c r="BG46" s="415"/>
      <c r="BH46" s="417"/>
      <c r="BI46" s="415"/>
      <c r="BJ46" s="417"/>
      <c r="BK46" s="415"/>
      <c r="BL46" s="417"/>
      <c r="BM46" s="415"/>
      <c r="BN46" s="417"/>
      <c r="BO46" s="415"/>
      <c r="BP46" s="417"/>
      <c r="BQ46" s="415"/>
      <c r="BR46" s="417"/>
      <c r="BS46" s="415"/>
      <c r="BT46" s="417"/>
      <c r="BU46" s="415"/>
      <c r="BV46" s="417"/>
      <c r="BW46" s="415"/>
      <c r="BX46" s="417"/>
      <c r="BY46" s="415"/>
      <c r="BZ46" s="417"/>
      <c r="CA46" s="415"/>
      <c r="CB46" s="417"/>
      <c r="CC46" s="415"/>
      <c r="CD46" s="417"/>
      <c r="CE46" s="415"/>
      <c r="CF46" s="417"/>
      <c r="CG46" s="415"/>
      <c r="CH46" s="417"/>
      <c r="CI46" s="415"/>
      <c r="CJ46" s="417"/>
      <c r="CK46" s="415"/>
      <c r="CL46" s="417"/>
      <c r="CM46" s="415"/>
      <c r="CN46" s="417"/>
      <c r="CO46" s="415"/>
      <c r="CP46" s="417"/>
      <c r="CQ46" s="415"/>
      <c r="CR46" s="417"/>
      <c r="CS46" s="415"/>
      <c r="CT46" s="417"/>
      <c r="CU46" s="415"/>
      <c r="CV46" s="417"/>
      <c r="CW46" s="415"/>
      <c r="CX46" s="417"/>
      <c r="CY46" s="415"/>
      <c r="CZ46" s="417"/>
      <c r="DA46" s="415"/>
      <c r="DB46" s="417"/>
      <c r="DC46" s="415"/>
      <c r="DD46" s="417"/>
      <c r="DE46" s="415"/>
      <c r="DF46" s="417"/>
      <c r="DG46" s="415"/>
      <c r="DH46" s="417"/>
      <c r="DI46" s="415"/>
      <c r="DJ46" s="417"/>
      <c r="DK46" s="415"/>
      <c r="DL46" s="417"/>
      <c r="DM46" s="415"/>
      <c r="DN46" s="417"/>
      <c r="DO46" s="415"/>
      <c r="DP46" s="417"/>
      <c r="DQ46" s="415"/>
      <c r="DR46" s="417"/>
      <c r="DS46" s="415"/>
      <c r="DT46" s="417"/>
      <c r="DU46" s="415"/>
      <c r="DV46" s="417"/>
      <c r="DW46" s="415"/>
      <c r="DX46" s="417"/>
      <c r="DY46" s="415"/>
      <c r="DZ46" s="417"/>
      <c r="EA46" s="415"/>
      <c r="EB46" s="417"/>
      <c r="EC46" s="415"/>
      <c r="ED46" s="417"/>
      <c r="EE46" s="415"/>
      <c r="EF46" s="417"/>
      <c r="EG46" s="415"/>
      <c r="EH46" s="417"/>
      <c r="EI46" s="415"/>
      <c r="EJ46" s="417"/>
      <c r="EK46" s="415"/>
      <c r="EL46" s="417"/>
      <c r="EM46" s="415"/>
      <c r="EN46" s="417"/>
      <c r="EO46" s="415"/>
      <c r="EP46" s="417"/>
      <c r="EQ46" s="415"/>
      <c r="ER46" s="417"/>
      <c r="ES46" s="415"/>
      <c r="ET46" s="417"/>
      <c r="EU46" s="415"/>
      <c r="EV46" s="417"/>
      <c r="EW46" s="415"/>
      <c r="EX46" s="417"/>
      <c r="EY46" s="415"/>
      <c r="EZ46" s="417"/>
      <c r="FA46" s="415"/>
      <c r="FB46" s="417"/>
      <c r="FC46" s="415"/>
      <c r="FD46" s="417"/>
      <c r="FE46" s="415"/>
      <c r="FF46" s="417"/>
      <c r="FG46" s="415"/>
      <c r="FH46" s="417"/>
      <c r="FI46" s="415"/>
      <c r="FJ46" s="417"/>
      <c r="FK46" s="415"/>
      <c r="FL46" s="417"/>
      <c r="FM46" s="415"/>
      <c r="FN46" s="417"/>
      <c r="FO46" s="415"/>
      <c r="FP46" s="417"/>
      <c r="FQ46" s="415"/>
      <c r="FR46" s="417"/>
      <c r="FS46" s="415"/>
      <c r="FT46" s="417"/>
      <c r="FU46" s="415"/>
      <c r="FV46" s="417"/>
      <c r="FW46" s="415"/>
      <c r="FX46" s="417"/>
      <c r="FY46" s="415"/>
      <c r="FZ46" s="417"/>
      <c r="GA46" s="415"/>
      <c r="GB46" s="417"/>
      <c r="GC46" s="415"/>
      <c r="GD46" s="417"/>
      <c r="GE46" s="415"/>
      <c r="GF46" s="417"/>
      <c r="GG46" s="415"/>
      <c r="GH46" s="417"/>
      <c r="GI46" s="415"/>
      <c r="GJ46" s="417"/>
      <c r="GK46" s="415"/>
      <c r="GL46" s="417"/>
      <c r="GM46" s="415"/>
      <c r="GN46" s="417"/>
      <c r="GO46" s="415"/>
      <c r="GP46" s="417"/>
      <c r="GQ46" s="415"/>
      <c r="GR46" s="417"/>
      <c r="GS46" s="415"/>
      <c r="GT46" s="417"/>
      <c r="GU46" s="415"/>
      <c r="GV46" s="417"/>
      <c r="GW46" s="415"/>
      <c r="GX46" s="417"/>
      <c r="GY46" s="415"/>
      <c r="GZ46" s="417"/>
      <c r="HA46" s="415"/>
      <c r="HB46" s="417"/>
      <c r="HC46" s="415"/>
      <c r="HD46" s="417"/>
      <c r="HE46" s="415"/>
      <c r="HF46" s="417"/>
      <c r="HG46" s="415"/>
      <c r="HH46" s="417"/>
      <c r="HI46" s="415"/>
      <c r="HJ46" s="417"/>
      <c r="HK46" s="415"/>
      <c r="HL46" s="417"/>
      <c r="HM46" s="415"/>
      <c r="HN46" s="417"/>
      <c r="HO46" s="415"/>
      <c r="HP46" s="417"/>
      <c r="HQ46" s="415"/>
      <c r="HR46" s="417"/>
      <c r="HS46" s="415"/>
      <c r="HT46" s="417"/>
      <c r="HU46" s="415"/>
      <c r="HV46" s="417"/>
      <c r="HW46" s="415"/>
      <c r="HX46" s="417"/>
      <c r="HY46" s="415"/>
      <c r="HZ46" s="417"/>
      <c r="IA46" s="415"/>
      <c r="IB46" s="417"/>
      <c r="IC46" s="415"/>
      <c r="ID46" s="417"/>
      <c r="IE46" s="415"/>
      <c r="IF46" s="417"/>
      <c r="IG46" s="415"/>
      <c r="IH46" s="417"/>
      <c r="II46" s="415"/>
      <c r="IJ46" s="417"/>
      <c r="IK46" s="415"/>
      <c r="IL46" s="417"/>
      <c r="IM46" s="415"/>
      <c r="IN46" s="417"/>
      <c r="IO46" s="415"/>
      <c r="IP46" s="417"/>
      <c r="IQ46" s="415"/>
      <c r="IR46" s="417"/>
      <c r="IS46" s="415"/>
      <c r="IT46" s="417"/>
      <c r="IU46" s="415"/>
      <c r="IV46" s="417"/>
    </row>
    <row r="47" spans="1:256" s="418" customFormat="1" ht="13.5" x14ac:dyDescent="0.25">
      <c r="A47" s="416" t="s">
        <v>424</v>
      </c>
      <c r="B47" s="422">
        <f>SUM(B40:B46)</f>
        <v>29460</v>
      </c>
      <c r="C47" s="422">
        <f>+B47*(1+'Total Market Size'!C$136)</f>
        <v>30137.579999999998</v>
      </c>
      <c r="D47" s="422">
        <f>+C47*(1+'Total Market Size'!D$136)</f>
        <v>30740.331599999998</v>
      </c>
      <c r="E47" s="422">
        <f>+D47*(1+'Total Market Size'!E$136)</f>
        <v>31416.618895199997</v>
      </c>
      <c r="F47" s="422">
        <f>+E47*(1+'Total Market Size'!F$136)</f>
        <v>32139.201129789595</v>
      </c>
      <c r="G47" s="422">
        <f>+F47*(1+'Total Market Size'!G$136)</f>
        <v>32942.681158034335</v>
      </c>
      <c r="H47" s="422">
        <f>+G47*(1+'Total Market Size'!H$136)</f>
        <v>33749.776846406174</v>
      </c>
      <c r="I47" s="422">
        <f>+H47*(1+'Total Market Size'!I$136)</f>
        <v>34559.771490719926</v>
      </c>
      <c r="J47" s="422">
        <f>+I47*(1+'Total Market Size'!J$136)</f>
        <v>35382.29405219906</v>
      </c>
      <c r="K47" s="422">
        <f>+J47*(1+'Total Market Size'!K$136)</f>
        <v>36196.086815399634</v>
      </c>
      <c r="L47" s="426">
        <f>+K47*(1+'Total Market Size'!L$136)</f>
        <v>37021.357594790745</v>
      </c>
      <c r="M47" s="601"/>
      <c r="N47" s="417">
        <f t="shared" si="0"/>
        <v>0</v>
      </c>
      <c r="O47" s="416"/>
      <c r="P47" s="417"/>
      <c r="Q47" s="416"/>
      <c r="R47" s="417"/>
      <c r="S47" s="416"/>
      <c r="T47" s="417"/>
      <c r="U47" s="416"/>
      <c r="V47" s="417"/>
      <c r="W47" s="416"/>
      <c r="X47" s="417"/>
      <c r="Y47" s="416"/>
      <c r="Z47" s="417"/>
      <c r="AA47" s="416"/>
      <c r="AB47" s="417"/>
      <c r="AC47" s="416"/>
      <c r="AD47" s="417"/>
      <c r="AE47" s="416"/>
      <c r="AF47" s="417"/>
      <c r="AG47" s="416"/>
      <c r="AH47" s="417"/>
      <c r="AI47" s="416"/>
      <c r="AJ47" s="417"/>
      <c r="AK47" s="416"/>
      <c r="AL47" s="417"/>
      <c r="AM47" s="416"/>
      <c r="AN47" s="417"/>
      <c r="AO47" s="416"/>
      <c r="AP47" s="417"/>
      <c r="AQ47" s="416"/>
      <c r="AR47" s="417"/>
      <c r="AS47" s="416"/>
      <c r="AT47" s="417"/>
      <c r="AU47" s="416"/>
      <c r="AV47" s="417"/>
      <c r="AW47" s="416"/>
      <c r="AX47" s="417"/>
      <c r="AY47" s="416"/>
      <c r="AZ47" s="417"/>
      <c r="BA47" s="416"/>
      <c r="BB47" s="417"/>
      <c r="BC47" s="416"/>
      <c r="BD47" s="417"/>
      <c r="BE47" s="416"/>
      <c r="BF47" s="417"/>
      <c r="BG47" s="416"/>
      <c r="BH47" s="417"/>
      <c r="BI47" s="416"/>
      <c r="BJ47" s="417"/>
      <c r="BK47" s="416"/>
      <c r="BL47" s="417"/>
      <c r="BM47" s="416"/>
      <c r="BN47" s="417"/>
      <c r="BO47" s="416"/>
      <c r="BP47" s="417"/>
      <c r="BQ47" s="416"/>
      <c r="BR47" s="417"/>
      <c r="BS47" s="416"/>
      <c r="BT47" s="417"/>
      <c r="BU47" s="416"/>
      <c r="BV47" s="417"/>
      <c r="BW47" s="416"/>
      <c r="BX47" s="417"/>
      <c r="BY47" s="416"/>
      <c r="BZ47" s="417"/>
      <c r="CA47" s="416"/>
      <c r="CB47" s="417"/>
      <c r="CC47" s="416"/>
      <c r="CD47" s="417"/>
      <c r="CE47" s="416"/>
      <c r="CF47" s="417"/>
      <c r="CG47" s="416"/>
      <c r="CH47" s="417"/>
      <c r="CI47" s="416"/>
      <c r="CJ47" s="417"/>
      <c r="CK47" s="416"/>
      <c r="CL47" s="417"/>
      <c r="CM47" s="416"/>
      <c r="CN47" s="417"/>
      <c r="CO47" s="416"/>
      <c r="CP47" s="417"/>
      <c r="CQ47" s="416"/>
      <c r="CR47" s="417"/>
      <c r="CS47" s="416"/>
      <c r="CT47" s="417"/>
      <c r="CU47" s="416"/>
      <c r="CV47" s="417"/>
      <c r="CW47" s="416"/>
      <c r="CX47" s="417"/>
      <c r="CY47" s="416"/>
      <c r="CZ47" s="417"/>
      <c r="DA47" s="416"/>
      <c r="DB47" s="417"/>
      <c r="DC47" s="416"/>
      <c r="DD47" s="417"/>
      <c r="DE47" s="416"/>
      <c r="DF47" s="417"/>
      <c r="DG47" s="416"/>
      <c r="DH47" s="417"/>
      <c r="DI47" s="416"/>
      <c r="DJ47" s="417"/>
      <c r="DK47" s="416"/>
      <c r="DL47" s="417"/>
      <c r="DM47" s="416"/>
      <c r="DN47" s="417"/>
      <c r="DO47" s="416"/>
      <c r="DP47" s="417"/>
      <c r="DQ47" s="416"/>
      <c r="DR47" s="417"/>
      <c r="DS47" s="416"/>
      <c r="DT47" s="417"/>
      <c r="DU47" s="416"/>
      <c r="DV47" s="417"/>
      <c r="DW47" s="416"/>
      <c r="DX47" s="417"/>
      <c r="DY47" s="416"/>
      <c r="DZ47" s="417"/>
      <c r="EA47" s="416"/>
      <c r="EB47" s="417"/>
      <c r="EC47" s="416"/>
      <c r="ED47" s="417"/>
      <c r="EE47" s="416"/>
      <c r="EF47" s="417"/>
      <c r="EG47" s="416"/>
      <c r="EH47" s="417"/>
      <c r="EI47" s="416"/>
      <c r="EJ47" s="417"/>
      <c r="EK47" s="416"/>
      <c r="EL47" s="417"/>
      <c r="EM47" s="416"/>
      <c r="EN47" s="417"/>
      <c r="EO47" s="416"/>
      <c r="EP47" s="417"/>
      <c r="EQ47" s="416"/>
      <c r="ER47" s="417"/>
      <c r="ES47" s="416"/>
      <c r="ET47" s="417"/>
      <c r="EU47" s="416"/>
      <c r="EV47" s="417"/>
      <c r="EW47" s="416"/>
      <c r="EX47" s="417"/>
      <c r="EY47" s="416"/>
      <c r="EZ47" s="417"/>
      <c r="FA47" s="416"/>
      <c r="FB47" s="417"/>
      <c r="FC47" s="416"/>
      <c r="FD47" s="417"/>
      <c r="FE47" s="416"/>
      <c r="FF47" s="417"/>
      <c r="FG47" s="416"/>
      <c r="FH47" s="417"/>
      <c r="FI47" s="416"/>
      <c r="FJ47" s="417"/>
      <c r="FK47" s="416"/>
      <c r="FL47" s="417"/>
      <c r="FM47" s="416"/>
      <c r="FN47" s="417"/>
      <c r="FO47" s="416"/>
      <c r="FP47" s="417"/>
      <c r="FQ47" s="416"/>
      <c r="FR47" s="417"/>
      <c r="FS47" s="416"/>
      <c r="FT47" s="417"/>
      <c r="FU47" s="416"/>
      <c r="FV47" s="417"/>
      <c r="FW47" s="416"/>
      <c r="FX47" s="417"/>
      <c r="FY47" s="416"/>
      <c r="FZ47" s="417"/>
      <c r="GA47" s="416"/>
      <c r="GB47" s="417"/>
      <c r="GC47" s="416"/>
      <c r="GD47" s="417"/>
      <c r="GE47" s="416"/>
      <c r="GF47" s="417"/>
      <c r="GG47" s="416"/>
      <c r="GH47" s="417"/>
      <c r="GI47" s="416"/>
      <c r="GJ47" s="417"/>
      <c r="GK47" s="416"/>
      <c r="GL47" s="417"/>
      <c r="GM47" s="416"/>
      <c r="GN47" s="417"/>
      <c r="GO47" s="416"/>
      <c r="GP47" s="417"/>
      <c r="GQ47" s="416"/>
      <c r="GR47" s="417"/>
      <c r="GS47" s="416"/>
      <c r="GT47" s="417"/>
      <c r="GU47" s="416"/>
      <c r="GV47" s="417"/>
      <c r="GW47" s="416"/>
      <c r="GX47" s="417"/>
      <c r="GY47" s="416"/>
      <c r="GZ47" s="417"/>
      <c r="HA47" s="416"/>
      <c r="HB47" s="417"/>
      <c r="HC47" s="416"/>
      <c r="HD47" s="417"/>
      <c r="HE47" s="416"/>
      <c r="HF47" s="417"/>
      <c r="HG47" s="416"/>
      <c r="HH47" s="417"/>
      <c r="HI47" s="416"/>
      <c r="HJ47" s="417"/>
      <c r="HK47" s="416"/>
      <c r="HL47" s="417"/>
      <c r="HM47" s="416"/>
      <c r="HN47" s="417"/>
      <c r="HO47" s="416"/>
      <c r="HP47" s="417"/>
      <c r="HQ47" s="416"/>
      <c r="HR47" s="417"/>
      <c r="HS47" s="416"/>
      <c r="HT47" s="417"/>
      <c r="HU47" s="416"/>
      <c r="HV47" s="417"/>
      <c r="HW47" s="416"/>
      <c r="HX47" s="417"/>
      <c r="HY47" s="416"/>
      <c r="HZ47" s="417"/>
      <c r="IA47" s="416"/>
      <c r="IB47" s="417"/>
      <c r="IC47" s="416"/>
      <c r="ID47" s="417"/>
      <c r="IE47" s="416"/>
      <c r="IF47" s="417"/>
      <c r="IG47" s="416"/>
      <c r="IH47" s="417"/>
      <c r="II47" s="416"/>
      <c r="IJ47" s="417"/>
      <c r="IK47" s="416"/>
      <c r="IL47" s="417"/>
      <c r="IM47" s="416"/>
      <c r="IN47" s="417"/>
      <c r="IO47" s="416"/>
      <c r="IP47" s="417"/>
      <c r="IQ47" s="416"/>
      <c r="IR47" s="417"/>
      <c r="IS47" s="416"/>
      <c r="IT47" s="417"/>
      <c r="IU47" s="416"/>
      <c r="IV47" s="417"/>
    </row>
    <row r="48" spans="1:256" s="418" customFormat="1" ht="13.5" x14ac:dyDescent="0.25">
      <c r="A48" s="415" t="s">
        <v>425</v>
      </c>
      <c r="B48" s="422"/>
      <c r="C48" s="422">
        <f>+B48*(1+'Total Market Size'!C$136)</f>
        <v>0</v>
      </c>
      <c r="D48" s="422">
        <f>+C48*(1+'Total Market Size'!D$136)</f>
        <v>0</v>
      </c>
      <c r="E48" s="422">
        <f>+D48*(1+'Total Market Size'!E$136)</f>
        <v>0</v>
      </c>
      <c r="F48" s="422">
        <f>+E48*(1+'Total Market Size'!F$136)</f>
        <v>0</v>
      </c>
      <c r="G48" s="422">
        <f>+F48*(1+'Total Market Size'!G$136)</f>
        <v>0</v>
      </c>
      <c r="H48" s="422">
        <f>+G48*(1+'Total Market Size'!H$136)</f>
        <v>0</v>
      </c>
      <c r="I48" s="422">
        <f>+H48*(1+'Total Market Size'!I$136)</f>
        <v>0</v>
      </c>
      <c r="J48" s="422">
        <f>+I48*(1+'Total Market Size'!J$136)</f>
        <v>0</v>
      </c>
      <c r="K48" s="422">
        <f>+J48*(1+'Total Market Size'!K$136)</f>
        <v>0</v>
      </c>
      <c r="L48" s="426">
        <f>+K48*(1+'Total Market Size'!L$136)</f>
        <v>0</v>
      </c>
      <c r="M48" s="601" t="s">
        <v>507</v>
      </c>
      <c r="N48" s="417">
        <f t="shared" si="0"/>
        <v>0</v>
      </c>
      <c r="O48" s="415"/>
      <c r="P48" s="417"/>
      <c r="Q48" s="415"/>
      <c r="R48" s="417"/>
      <c r="S48" s="415"/>
      <c r="T48" s="417"/>
      <c r="U48" s="415"/>
      <c r="V48" s="417"/>
      <c r="W48" s="415"/>
      <c r="X48" s="417"/>
      <c r="Y48" s="415"/>
      <c r="Z48" s="417"/>
      <c r="AA48" s="415"/>
      <c r="AB48" s="417"/>
      <c r="AC48" s="415"/>
      <c r="AD48" s="417"/>
      <c r="AE48" s="415"/>
      <c r="AF48" s="417"/>
      <c r="AG48" s="415"/>
      <c r="AH48" s="417"/>
      <c r="AI48" s="415"/>
      <c r="AJ48" s="417"/>
      <c r="AK48" s="415"/>
      <c r="AL48" s="417"/>
      <c r="AM48" s="415"/>
      <c r="AN48" s="417"/>
      <c r="AO48" s="415"/>
      <c r="AP48" s="417"/>
      <c r="AQ48" s="415"/>
      <c r="AR48" s="417"/>
      <c r="AS48" s="415"/>
      <c r="AT48" s="417"/>
      <c r="AU48" s="415"/>
      <c r="AV48" s="417"/>
      <c r="AW48" s="415"/>
      <c r="AX48" s="417"/>
      <c r="AY48" s="415"/>
      <c r="AZ48" s="417"/>
      <c r="BA48" s="415"/>
      <c r="BB48" s="417"/>
      <c r="BC48" s="415"/>
      <c r="BD48" s="417"/>
      <c r="BE48" s="415"/>
      <c r="BF48" s="417"/>
      <c r="BG48" s="415"/>
      <c r="BH48" s="417"/>
      <c r="BI48" s="415"/>
      <c r="BJ48" s="417"/>
      <c r="BK48" s="415"/>
      <c r="BL48" s="417"/>
      <c r="BM48" s="415"/>
      <c r="BN48" s="417"/>
      <c r="BO48" s="415"/>
      <c r="BP48" s="417"/>
      <c r="BQ48" s="415"/>
      <c r="BR48" s="417"/>
      <c r="BS48" s="415"/>
      <c r="BT48" s="417"/>
      <c r="BU48" s="415"/>
      <c r="BV48" s="417"/>
      <c r="BW48" s="415"/>
      <c r="BX48" s="417"/>
      <c r="BY48" s="415"/>
      <c r="BZ48" s="417"/>
      <c r="CA48" s="415"/>
      <c r="CB48" s="417"/>
      <c r="CC48" s="415"/>
      <c r="CD48" s="417"/>
      <c r="CE48" s="415"/>
      <c r="CF48" s="417"/>
      <c r="CG48" s="415"/>
      <c r="CH48" s="417"/>
      <c r="CI48" s="415"/>
      <c r="CJ48" s="417"/>
      <c r="CK48" s="415"/>
      <c r="CL48" s="417"/>
      <c r="CM48" s="415"/>
      <c r="CN48" s="417"/>
      <c r="CO48" s="415"/>
      <c r="CP48" s="417"/>
      <c r="CQ48" s="415"/>
      <c r="CR48" s="417"/>
      <c r="CS48" s="415"/>
      <c r="CT48" s="417"/>
      <c r="CU48" s="415"/>
      <c r="CV48" s="417"/>
      <c r="CW48" s="415"/>
      <c r="CX48" s="417"/>
      <c r="CY48" s="415"/>
      <c r="CZ48" s="417"/>
      <c r="DA48" s="415"/>
      <c r="DB48" s="417"/>
      <c r="DC48" s="415"/>
      <c r="DD48" s="417"/>
      <c r="DE48" s="415"/>
      <c r="DF48" s="417"/>
      <c r="DG48" s="415"/>
      <c r="DH48" s="417"/>
      <c r="DI48" s="415"/>
      <c r="DJ48" s="417"/>
      <c r="DK48" s="415"/>
      <c r="DL48" s="417"/>
      <c r="DM48" s="415"/>
      <c r="DN48" s="417"/>
      <c r="DO48" s="415"/>
      <c r="DP48" s="417"/>
      <c r="DQ48" s="415"/>
      <c r="DR48" s="417"/>
      <c r="DS48" s="415"/>
      <c r="DT48" s="417"/>
      <c r="DU48" s="415"/>
      <c r="DV48" s="417"/>
      <c r="DW48" s="415"/>
      <c r="DX48" s="417"/>
      <c r="DY48" s="415"/>
      <c r="DZ48" s="417"/>
      <c r="EA48" s="415"/>
      <c r="EB48" s="417"/>
      <c r="EC48" s="415"/>
      <c r="ED48" s="417"/>
      <c r="EE48" s="415"/>
      <c r="EF48" s="417"/>
      <c r="EG48" s="415"/>
      <c r="EH48" s="417"/>
      <c r="EI48" s="415"/>
      <c r="EJ48" s="417"/>
      <c r="EK48" s="415"/>
      <c r="EL48" s="417"/>
      <c r="EM48" s="415"/>
      <c r="EN48" s="417"/>
      <c r="EO48" s="415"/>
      <c r="EP48" s="417"/>
      <c r="EQ48" s="415"/>
      <c r="ER48" s="417"/>
      <c r="ES48" s="415"/>
      <c r="ET48" s="417"/>
      <c r="EU48" s="415"/>
      <c r="EV48" s="417"/>
      <c r="EW48" s="415"/>
      <c r="EX48" s="417"/>
      <c r="EY48" s="415"/>
      <c r="EZ48" s="417"/>
      <c r="FA48" s="415"/>
      <c r="FB48" s="417"/>
      <c r="FC48" s="415"/>
      <c r="FD48" s="417"/>
      <c r="FE48" s="415"/>
      <c r="FF48" s="417"/>
      <c r="FG48" s="415"/>
      <c r="FH48" s="417"/>
      <c r="FI48" s="415"/>
      <c r="FJ48" s="417"/>
      <c r="FK48" s="415"/>
      <c r="FL48" s="417"/>
      <c r="FM48" s="415"/>
      <c r="FN48" s="417"/>
      <c r="FO48" s="415"/>
      <c r="FP48" s="417"/>
      <c r="FQ48" s="415"/>
      <c r="FR48" s="417"/>
      <c r="FS48" s="415"/>
      <c r="FT48" s="417"/>
      <c r="FU48" s="415"/>
      <c r="FV48" s="417"/>
      <c r="FW48" s="415"/>
      <c r="FX48" s="417"/>
      <c r="FY48" s="415"/>
      <c r="FZ48" s="417"/>
      <c r="GA48" s="415"/>
      <c r="GB48" s="417"/>
      <c r="GC48" s="415"/>
      <c r="GD48" s="417"/>
      <c r="GE48" s="415"/>
      <c r="GF48" s="417"/>
      <c r="GG48" s="415"/>
      <c r="GH48" s="417"/>
      <c r="GI48" s="415"/>
      <c r="GJ48" s="417"/>
      <c r="GK48" s="415"/>
      <c r="GL48" s="417"/>
      <c r="GM48" s="415"/>
      <c r="GN48" s="417"/>
      <c r="GO48" s="415"/>
      <c r="GP48" s="417"/>
      <c r="GQ48" s="415"/>
      <c r="GR48" s="417"/>
      <c r="GS48" s="415"/>
      <c r="GT48" s="417"/>
      <c r="GU48" s="415"/>
      <c r="GV48" s="417"/>
      <c r="GW48" s="415"/>
      <c r="GX48" s="417"/>
      <c r="GY48" s="415"/>
      <c r="GZ48" s="417"/>
      <c r="HA48" s="415"/>
      <c r="HB48" s="417"/>
      <c r="HC48" s="415"/>
      <c r="HD48" s="417"/>
      <c r="HE48" s="415"/>
      <c r="HF48" s="417"/>
      <c r="HG48" s="415"/>
      <c r="HH48" s="417"/>
      <c r="HI48" s="415"/>
      <c r="HJ48" s="417"/>
      <c r="HK48" s="415"/>
      <c r="HL48" s="417"/>
      <c r="HM48" s="415"/>
      <c r="HN48" s="417"/>
      <c r="HO48" s="415"/>
      <c r="HP48" s="417"/>
      <c r="HQ48" s="415"/>
      <c r="HR48" s="417"/>
      <c r="HS48" s="415"/>
      <c r="HT48" s="417"/>
      <c r="HU48" s="415"/>
      <c r="HV48" s="417"/>
      <c r="HW48" s="415"/>
      <c r="HX48" s="417"/>
      <c r="HY48" s="415"/>
      <c r="HZ48" s="417"/>
      <c r="IA48" s="415"/>
      <c r="IB48" s="417"/>
      <c r="IC48" s="415"/>
      <c r="ID48" s="417"/>
      <c r="IE48" s="415"/>
      <c r="IF48" s="417"/>
      <c r="IG48" s="415"/>
      <c r="IH48" s="417"/>
      <c r="II48" s="415"/>
      <c r="IJ48" s="417"/>
      <c r="IK48" s="415"/>
      <c r="IL48" s="417"/>
      <c r="IM48" s="415"/>
      <c r="IN48" s="417"/>
      <c r="IO48" s="415"/>
      <c r="IP48" s="417"/>
      <c r="IQ48" s="415"/>
      <c r="IR48" s="417"/>
      <c r="IS48" s="415"/>
      <c r="IT48" s="417"/>
      <c r="IU48" s="415"/>
      <c r="IV48" s="417"/>
    </row>
    <row r="49" spans="1:256" s="418" customFormat="1" ht="13.5" x14ac:dyDescent="0.25">
      <c r="A49" s="415" t="s">
        <v>426</v>
      </c>
      <c r="B49" s="422">
        <v>10000</v>
      </c>
      <c r="C49" s="422">
        <f>+B49*(1+'Total Market Size'!C$136)</f>
        <v>10230</v>
      </c>
      <c r="D49" s="422">
        <f>+C49*(1+'Total Market Size'!D$136)</f>
        <v>10434.6</v>
      </c>
      <c r="E49" s="422">
        <f>+D49*(1+'Total Market Size'!E$136)</f>
        <v>10664.1612</v>
      </c>
      <c r="F49" s="422">
        <f>+E49*(1+'Total Market Size'!F$136)</f>
        <v>10909.4369076</v>
      </c>
      <c r="G49" s="422">
        <f>+F49*(1+'Total Market Size'!G$136)</f>
        <v>11182.172830289999</v>
      </c>
      <c r="H49" s="422">
        <f>+G49*(1+'Total Market Size'!H$136)</f>
        <v>11456.136064632105</v>
      </c>
      <c r="I49" s="422">
        <f>+H49*(1+'Total Market Size'!I$136)</f>
        <v>11731.083330183275</v>
      </c>
      <c r="J49" s="422">
        <f>+I49*(1+'Total Market Size'!J$136)</f>
        <v>12010.283113441637</v>
      </c>
      <c r="K49" s="422">
        <f>+J49*(1+'Total Market Size'!K$136)</f>
        <v>12286.519625050794</v>
      </c>
      <c r="L49" s="426">
        <f>+K49*(1+'Total Market Size'!L$136)</f>
        <v>12566.652272501951</v>
      </c>
      <c r="M49" s="601" t="s">
        <v>507</v>
      </c>
      <c r="N49" s="417">
        <f t="shared" si="0"/>
        <v>0</v>
      </c>
      <c r="O49" s="415"/>
      <c r="P49" s="417"/>
      <c r="Q49" s="415"/>
      <c r="R49" s="417"/>
      <c r="S49" s="415"/>
      <c r="T49" s="417"/>
      <c r="U49" s="415"/>
      <c r="V49" s="417"/>
      <c r="W49" s="415"/>
      <c r="X49" s="417"/>
      <c r="Y49" s="415"/>
      <c r="Z49" s="417"/>
      <c r="AA49" s="415"/>
      <c r="AB49" s="417"/>
      <c r="AC49" s="415"/>
      <c r="AD49" s="417"/>
      <c r="AE49" s="415"/>
      <c r="AF49" s="417"/>
      <c r="AG49" s="415"/>
      <c r="AH49" s="417"/>
      <c r="AI49" s="415"/>
      <c r="AJ49" s="417"/>
      <c r="AK49" s="415"/>
      <c r="AL49" s="417"/>
      <c r="AM49" s="415"/>
      <c r="AN49" s="417"/>
      <c r="AO49" s="415"/>
      <c r="AP49" s="417"/>
      <c r="AQ49" s="415"/>
      <c r="AR49" s="417"/>
      <c r="AS49" s="415"/>
      <c r="AT49" s="417"/>
      <c r="AU49" s="415"/>
      <c r="AV49" s="417"/>
      <c r="AW49" s="415"/>
      <c r="AX49" s="417"/>
      <c r="AY49" s="415"/>
      <c r="AZ49" s="417"/>
      <c r="BA49" s="415"/>
      <c r="BB49" s="417"/>
      <c r="BC49" s="415"/>
      <c r="BD49" s="417"/>
      <c r="BE49" s="415"/>
      <c r="BF49" s="417"/>
      <c r="BG49" s="415"/>
      <c r="BH49" s="417"/>
      <c r="BI49" s="415"/>
      <c r="BJ49" s="417"/>
      <c r="BK49" s="415"/>
      <c r="BL49" s="417"/>
      <c r="BM49" s="415"/>
      <c r="BN49" s="417"/>
      <c r="BO49" s="415"/>
      <c r="BP49" s="417"/>
      <c r="BQ49" s="415"/>
      <c r="BR49" s="417"/>
      <c r="BS49" s="415"/>
      <c r="BT49" s="417"/>
      <c r="BU49" s="415"/>
      <c r="BV49" s="417"/>
      <c r="BW49" s="415"/>
      <c r="BX49" s="417"/>
      <c r="BY49" s="415"/>
      <c r="BZ49" s="417"/>
      <c r="CA49" s="415"/>
      <c r="CB49" s="417"/>
      <c r="CC49" s="415"/>
      <c r="CD49" s="417"/>
      <c r="CE49" s="415"/>
      <c r="CF49" s="417"/>
      <c r="CG49" s="415"/>
      <c r="CH49" s="417"/>
      <c r="CI49" s="415"/>
      <c r="CJ49" s="417"/>
      <c r="CK49" s="415"/>
      <c r="CL49" s="417"/>
      <c r="CM49" s="415"/>
      <c r="CN49" s="417"/>
      <c r="CO49" s="415"/>
      <c r="CP49" s="417"/>
      <c r="CQ49" s="415"/>
      <c r="CR49" s="417"/>
      <c r="CS49" s="415"/>
      <c r="CT49" s="417"/>
      <c r="CU49" s="415"/>
      <c r="CV49" s="417"/>
      <c r="CW49" s="415"/>
      <c r="CX49" s="417"/>
      <c r="CY49" s="415"/>
      <c r="CZ49" s="417"/>
      <c r="DA49" s="415"/>
      <c r="DB49" s="417"/>
      <c r="DC49" s="415"/>
      <c r="DD49" s="417"/>
      <c r="DE49" s="415"/>
      <c r="DF49" s="417"/>
      <c r="DG49" s="415"/>
      <c r="DH49" s="417"/>
      <c r="DI49" s="415"/>
      <c r="DJ49" s="417"/>
      <c r="DK49" s="415"/>
      <c r="DL49" s="417"/>
      <c r="DM49" s="415"/>
      <c r="DN49" s="417"/>
      <c r="DO49" s="415"/>
      <c r="DP49" s="417"/>
      <c r="DQ49" s="415"/>
      <c r="DR49" s="417"/>
      <c r="DS49" s="415"/>
      <c r="DT49" s="417"/>
      <c r="DU49" s="415"/>
      <c r="DV49" s="417"/>
      <c r="DW49" s="415"/>
      <c r="DX49" s="417"/>
      <c r="DY49" s="415"/>
      <c r="DZ49" s="417"/>
      <c r="EA49" s="415"/>
      <c r="EB49" s="417"/>
      <c r="EC49" s="415"/>
      <c r="ED49" s="417"/>
      <c r="EE49" s="415"/>
      <c r="EF49" s="417"/>
      <c r="EG49" s="415"/>
      <c r="EH49" s="417"/>
      <c r="EI49" s="415"/>
      <c r="EJ49" s="417"/>
      <c r="EK49" s="415"/>
      <c r="EL49" s="417"/>
      <c r="EM49" s="415"/>
      <c r="EN49" s="417"/>
      <c r="EO49" s="415"/>
      <c r="EP49" s="417"/>
      <c r="EQ49" s="415"/>
      <c r="ER49" s="417"/>
      <c r="ES49" s="415"/>
      <c r="ET49" s="417"/>
      <c r="EU49" s="415"/>
      <c r="EV49" s="417"/>
      <c r="EW49" s="415"/>
      <c r="EX49" s="417"/>
      <c r="EY49" s="415"/>
      <c r="EZ49" s="417"/>
      <c r="FA49" s="415"/>
      <c r="FB49" s="417"/>
      <c r="FC49" s="415"/>
      <c r="FD49" s="417"/>
      <c r="FE49" s="415"/>
      <c r="FF49" s="417"/>
      <c r="FG49" s="415"/>
      <c r="FH49" s="417"/>
      <c r="FI49" s="415"/>
      <c r="FJ49" s="417"/>
      <c r="FK49" s="415"/>
      <c r="FL49" s="417"/>
      <c r="FM49" s="415"/>
      <c r="FN49" s="417"/>
      <c r="FO49" s="415"/>
      <c r="FP49" s="417"/>
      <c r="FQ49" s="415"/>
      <c r="FR49" s="417"/>
      <c r="FS49" s="415"/>
      <c r="FT49" s="417"/>
      <c r="FU49" s="415"/>
      <c r="FV49" s="417"/>
      <c r="FW49" s="415"/>
      <c r="FX49" s="417"/>
      <c r="FY49" s="415"/>
      <c r="FZ49" s="417"/>
      <c r="GA49" s="415"/>
      <c r="GB49" s="417"/>
      <c r="GC49" s="415"/>
      <c r="GD49" s="417"/>
      <c r="GE49" s="415"/>
      <c r="GF49" s="417"/>
      <c r="GG49" s="415"/>
      <c r="GH49" s="417"/>
      <c r="GI49" s="415"/>
      <c r="GJ49" s="417"/>
      <c r="GK49" s="415"/>
      <c r="GL49" s="417"/>
      <c r="GM49" s="415"/>
      <c r="GN49" s="417"/>
      <c r="GO49" s="415"/>
      <c r="GP49" s="417"/>
      <c r="GQ49" s="415"/>
      <c r="GR49" s="417"/>
      <c r="GS49" s="415"/>
      <c r="GT49" s="417"/>
      <c r="GU49" s="415"/>
      <c r="GV49" s="417"/>
      <c r="GW49" s="415"/>
      <c r="GX49" s="417"/>
      <c r="GY49" s="415"/>
      <c r="GZ49" s="417"/>
      <c r="HA49" s="415"/>
      <c r="HB49" s="417"/>
      <c r="HC49" s="415"/>
      <c r="HD49" s="417"/>
      <c r="HE49" s="415"/>
      <c r="HF49" s="417"/>
      <c r="HG49" s="415"/>
      <c r="HH49" s="417"/>
      <c r="HI49" s="415"/>
      <c r="HJ49" s="417"/>
      <c r="HK49" s="415"/>
      <c r="HL49" s="417"/>
      <c r="HM49" s="415"/>
      <c r="HN49" s="417"/>
      <c r="HO49" s="415"/>
      <c r="HP49" s="417"/>
      <c r="HQ49" s="415"/>
      <c r="HR49" s="417"/>
      <c r="HS49" s="415"/>
      <c r="HT49" s="417"/>
      <c r="HU49" s="415"/>
      <c r="HV49" s="417"/>
      <c r="HW49" s="415"/>
      <c r="HX49" s="417"/>
      <c r="HY49" s="415"/>
      <c r="HZ49" s="417"/>
      <c r="IA49" s="415"/>
      <c r="IB49" s="417"/>
      <c r="IC49" s="415"/>
      <c r="ID49" s="417"/>
      <c r="IE49" s="415"/>
      <c r="IF49" s="417"/>
      <c r="IG49" s="415"/>
      <c r="IH49" s="417"/>
      <c r="II49" s="415"/>
      <c r="IJ49" s="417"/>
      <c r="IK49" s="415"/>
      <c r="IL49" s="417"/>
      <c r="IM49" s="415"/>
      <c r="IN49" s="417"/>
      <c r="IO49" s="415"/>
      <c r="IP49" s="417"/>
      <c r="IQ49" s="415"/>
      <c r="IR49" s="417"/>
      <c r="IS49" s="415"/>
      <c r="IT49" s="417"/>
      <c r="IU49" s="415"/>
      <c r="IV49" s="417"/>
    </row>
    <row r="50" spans="1:256" s="418" customFormat="1" ht="13.5" x14ac:dyDescent="0.25">
      <c r="A50" s="415" t="s">
        <v>427</v>
      </c>
      <c r="B50" s="422">
        <v>50000</v>
      </c>
      <c r="C50" s="422">
        <f>+B50*(1+'Total Market Size'!C$136)</f>
        <v>51149.999999999993</v>
      </c>
      <c r="D50" s="422">
        <f>+C50*(1+'Total Market Size'!D$136)</f>
        <v>52172.999999999993</v>
      </c>
      <c r="E50" s="422">
        <f>+D50*(1+'Total Market Size'!E$136)</f>
        <v>53320.805999999997</v>
      </c>
      <c r="F50" s="422">
        <f>+E50*(1+'Total Market Size'!F$136)</f>
        <v>54547.184537999994</v>
      </c>
      <c r="G50" s="422">
        <f>+F50*(1+'Total Market Size'!G$136)</f>
        <v>55910.86415144999</v>
      </c>
      <c r="H50" s="422">
        <f>+G50*(1+'Total Market Size'!H$136)</f>
        <v>57280.680323160515</v>
      </c>
      <c r="I50" s="422">
        <f>+H50*(1+'Total Market Size'!I$136)</f>
        <v>58655.41665091637</v>
      </c>
      <c r="J50" s="422">
        <f>+I50*(1+'Total Market Size'!J$136)</f>
        <v>60051.415567208183</v>
      </c>
      <c r="K50" s="422">
        <f>+J50*(1+'Total Market Size'!K$136)</f>
        <v>61432.598125253964</v>
      </c>
      <c r="L50" s="426">
        <f>+K50*(1+'Total Market Size'!L$136)</f>
        <v>62833.261362509751</v>
      </c>
      <c r="M50" s="601" t="s">
        <v>507</v>
      </c>
      <c r="N50" s="417">
        <f t="shared" si="0"/>
        <v>0</v>
      </c>
      <c r="O50" s="415"/>
      <c r="P50" s="417"/>
      <c r="Q50" s="415"/>
      <c r="R50" s="417"/>
      <c r="S50" s="415"/>
      <c r="T50" s="417"/>
      <c r="U50" s="415"/>
      <c r="V50" s="417"/>
      <c r="W50" s="415"/>
      <c r="X50" s="417"/>
      <c r="Y50" s="415"/>
      <c r="Z50" s="417"/>
      <c r="AA50" s="415"/>
      <c r="AB50" s="417"/>
      <c r="AC50" s="415"/>
      <c r="AD50" s="417"/>
      <c r="AE50" s="415"/>
      <c r="AF50" s="417"/>
      <c r="AG50" s="415"/>
      <c r="AH50" s="417"/>
      <c r="AI50" s="415"/>
      <c r="AJ50" s="417"/>
      <c r="AK50" s="415"/>
      <c r="AL50" s="417"/>
      <c r="AM50" s="415"/>
      <c r="AN50" s="417"/>
      <c r="AO50" s="415"/>
      <c r="AP50" s="417"/>
      <c r="AQ50" s="415"/>
      <c r="AR50" s="417"/>
      <c r="AS50" s="415"/>
      <c r="AT50" s="417"/>
      <c r="AU50" s="415"/>
      <c r="AV50" s="417"/>
      <c r="AW50" s="415"/>
      <c r="AX50" s="417"/>
      <c r="AY50" s="415"/>
      <c r="AZ50" s="417"/>
      <c r="BA50" s="415"/>
      <c r="BB50" s="417"/>
      <c r="BC50" s="415"/>
      <c r="BD50" s="417"/>
      <c r="BE50" s="415"/>
      <c r="BF50" s="417"/>
      <c r="BG50" s="415"/>
      <c r="BH50" s="417"/>
      <c r="BI50" s="415"/>
      <c r="BJ50" s="417"/>
      <c r="BK50" s="415"/>
      <c r="BL50" s="417"/>
      <c r="BM50" s="415"/>
      <c r="BN50" s="417"/>
      <c r="BO50" s="415"/>
      <c r="BP50" s="417"/>
      <c r="BQ50" s="415"/>
      <c r="BR50" s="417"/>
      <c r="BS50" s="415"/>
      <c r="BT50" s="417"/>
      <c r="BU50" s="415"/>
      <c r="BV50" s="417"/>
      <c r="BW50" s="415"/>
      <c r="BX50" s="417"/>
      <c r="BY50" s="415"/>
      <c r="BZ50" s="417"/>
      <c r="CA50" s="415"/>
      <c r="CB50" s="417"/>
      <c r="CC50" s="415"/>
      <c r="CD50" s="417"/>
      <c r="CE50" s="415"/>
      <c r="CF50" s="417"/>
      <c r="CG50" s="415"/>
      <c r="CH50" s="417"/>
      <c r="CI50" s="415"/>
      <c r="CJ50" s="417"/>
      <c r="CK50" s="415"/>
      <c r="CL50" s="417"/>
      <c r="CM50" s="415"/>
      <c r="CN50" s="417"/>
      <c r="CO50" s="415"/>
      <c r="CP50" s="417"/>
      <c r="CQ50" s="415"/>
      <c r="CR50" s="417"/>
      <c r="CS50" s="415"/>
      <c r="CT50" s="417"/>
      <c r="CU50" s="415"/>
      <c r="CV50" s="417"/>
      <c r="CW50" s="415"/>
      <c r="CX50" s="417"/>
      <c r="CY50" s="415"/>
      <c r="CZ50" s="417"/>
      <c r="DA50" s="415"/>
      <c r="DB50" s="417"/>
      <c r="DC50" s="415"/>
      <c r="DD50" s="417"/>
      <c r="DE50" s="415"/>
      <c r="DF50" s="417"/>
      <c r="DG50" s="415"/>
      <c r="DH50" s="417"/>
      <c r="DI50" s="415"/>
      <c r="DJ50" s="417"/>
      <c r="DK50" s="415"/>
      <c r="DL50" s="417"/>
      <c r="DM50" s="415"/>
      <c r="DN50" s="417"/>
      <c r="DO50" s="415"/>
      <c r="DP50" s="417"/>
      <c r="DQ50" s="415"/>
      <c r="DR50" s="417"/>
      <c r="DS50" s="415"/>
      <c r="DT50" s="417"/>
      <c r="DU50" s="415"/>
      <c r="DV50" s="417"/>
      <c r="DW50" s="415"/>
      <c r="DX50" s="417"/>
      <c r="DY50" s="415"/>
      <c r="DZ50" s="417"/>
      <c r="EA50" s="415"/>
      <c r="EB50" s="417"/>
      <c r="EC50" s="415"/>
      <c r="ED50" s="417"/>
      <c r="EE50" s="415"/>
      <c r="EF50" s="417"/>
      <c r="EG50" s="415"/>
      <c r="EH50" s="417"/>
      <c r="EI50" s="415"/>
      <c r="EJ50" s="417"/>
      <c r="EK50" s="415"/>
      <c r="EL50" s="417"/>
      <c r="EM50" s="415"/>
      <c r="EN50" s="417"/>
      <c r="EO50" s="415"/>
      <c r="EP50" s="417"/>
      <c r="EQ50" s="415"/>
      <c r="ER50" s="417"/>
      <c r="ES50" s="415"/>
      <c r="ET50" s="417"/>
      <c r="EU50" s="415"/>
      <c r="EV50" s="417"/>
      <c r="EW50" s="415"/>
      <c r="EX50" s="417"/>
      <c r="EY50" s="415"/>
      <c r="EZ50" s="417"/>
      <c r="FA50" s="415"/>
      <c r="FB50" s="417"/>
      <c r="FC50" s="415"/>
      <c r="FD50" s="417"/>
      <c r="FE50" s="415"/>
      <c r="FF50" s="417"/>
      <c r="FG50" s="415"/>
      <c r="FH50" s="417"/>
      <c r="FI50" s="415"/>
      <c r="FJ50" s="417"/>
      <c r="FK50" s="415"/>
      <c r="FL50" s="417"/>
      <c r="FM50" s="415"/>
      <c r="FN50" s="417"/>
      <c r="FO50" s="415"/>
      <c r="FP50" s="417"/>
      <c r="FQ50" s="415"/>
      <c r="FR50" s="417"/>
      <c r="FS50" s="415"/>
      <c r="FT50" s="417"/>
      <c r="FU50" s="415"/>
      <c r="FV50" s="417"/>
      <c r="FW50" s="415"/>
      <c r="FX50" s="417"/>
      <c r="FY50" s="415"/>
      <c r="FZ50" s="417"/>
      <c r="GA50" s="415"/>
      <c r="GB50" s="417"/>
      <c r="GC50" s="415"/>
      <c r="GD50" s="417"/>
      <c r="GE50" s="415"/>
      <c r="GF50" s="417"/>
      <c r="GG50" s="415"/>
      <c r="GH50" s="417"/>
      <c r="GI50" s="415"/>
      <c r="GJ50" s="417"/>
      <c r="GK50" s="415"/>
      <c r="GL50" s="417"/>
      <c r="GM50" s="415"/>
      <c r="GN50" s="417"/>
      <c r="GO50" s="415"/>
      <c r="GP50" s="417"/>
      <c r="GQ50" s="415"/>
      <c r="GR50" s="417"/>
      <c r="GS50" s="415"/>
      <c r="GT50" s="417"/>
      <c r="GU50" s="415"/>
      <c r="GV50" s="417"/>
      <c r="GW50" s="415"/>
      <c r="GX50" s="417"/>
      <c r="GY50" s="415"/>
      <c r="GZ50" s="417"/>
      <c r="HA50" s="415"/>
      <c r="HB50" s="417"/>
      <c r="HC50" s="415"/>
      <c r="HD50" s="417"/>
      <c r="HE50" s="415"/>
      <c r="HF50" s="417"/>
      <c r="HG50" s="415"/>
      <c r="HH50" s="417"/>
      <c r="HI50" s="415"/>
      <c r="HJ50" s="417"/>
      <c r="HK50" s="415"/>
      <c r="HL50" s="417"/>
      <c r="HM50" s="415"/>
      <c r="HN50" s="417"/>
      <c r="HO50" s="415"/>
      <c r="HP50" s="417"/>
      <c r="HQ50" s="415"/>
      <c r="HR50" s="417"/>
      <c r="HS50" s="415"/>
      <c r="HT50" s="417"/>
      <c r="HU50" s="415"/>
      <c r="HV50" s="417"/>
      <c r="HW50" s="415"/>
      <c r="HX50" s="417"/>
      <c r="HY50" s="415"/>
      <c r="HZ50" s="417"/>
      <c r="IA50" s="415"/>
      <c r="IB50" s="417"/>
      <c r="IC50" s="415"/>
      <c r="ID50" s="417"/>
      <c r="IE50" s="415"/>
      <c r="IF50" s="417"/>
      <c r="IG50" s="415"/>
      <c r="IH50" s="417"/>
      <c r="II50" s="415"/>
      <c r="IJ50" s="417"/>
      <c r="IK50" s="415"/>
      <c r="IL50" s="417"/>
      <c r="IM50" s="415"/>
      <c r="IN50" s="417"/>
      <c r="IO50" s="415"/>
      <c r="IP50" s="417"/>
      <c r="IQ50" s="415"/>
      <c r="IR50" s="417"/>
      <c r="IS50" s="415"/>
      <c r="IT50" s="417"/>
      <c r="IU50" s="415"/>
      <c r="IV50" s="417"/>
    </row>
    <row r="51" spans="1:256" s="418" customFormat="1" ht="13.5" x14ac:dyDescent="0.25">
      <c r="A51" s="415" t="s">
        <v>428</v>
      </c>
      <c r="B51" s="421">
        <v>0</v>
      </c>
      <c r="C51" s="421">
        <f>+B51*(1+'Total Market Size'!C$136)</f>
        <v>0</v>
      </c>
      <c r="D51" s="421">
        <f>+C51*(1+'Total Market Size'!D$136)</f>
        <v>0</v>
      </c>
      <c r="E51" s="421">
        <f>+D51*(1+'Total Market Size'!E$136)</f>
        <v>0</v>
      </c>
      <c r="F51" s="421">
        <f>+E51*(1+'Total Market Size'!F$136)</f>
        <v>0</v>
      </c>
      <c r="G51" s="421">
        <f>+F51*(1+'Total Market Size'!G$136)</f>
        <v>0</v>
      </c>
      <c r="H51" s="421">
        <f>+G51*(1+'Total Market Size'!H$136)</f>
        <v>0</v>
      </c>
      <c r="I51" s="421">
        <f>+H51*(1+'Total Market Size'!I$136)</f>
        <v>0</v>
      </c>
      <c r="J51" s="421">
        <f>+I51*(1+'Total Market Size'!J$136)</f>
        <v>0</v>
      </c>
      <c r="K51" s="421">
        <f>+J51*(1+'Total Market Size'!K$136)</f>
        <v>0</v>
      </c>
      <c r="L51" s="425">
        <f>+K51*(1+'Total Market Size'!L$136)</f>
        <v>0</v>
      </c>
      <c r="M51" s="601" t="s">
        <v>507</v>
      </c>
      <c r="N51" s="417">
        <f t="shared" si="0"/>
        <v>0</v>
      </c>
      <c r="O51" s="415"/>
      <c r="P51" s="417"/>
      <c r="Q51" s="415"/>
      <c r="R51" s="417"/>
      <c r="S51" s="415"/>
      <c r="T51" s="417"/>
      <c r="U51" s="415"/>
      <c r="V51" s="417"/>
      <c r="W51" s="415"/>
      <c r="X51" s="417"/>
      <c r="Y51" s="415"/>
      <c r="Z51" s="417"/>
      <c r="AA51" s="415"/>
      <c r="AB51" s="417"/>
      <c r="AC51" s="415"/>
      <c r="AD51" s="417"/>
      <c r="AE51" s="415"/>
      <c r="AF51" s="417"/>
      <c r="AG51" s="415"/>
      <c r="AH51" s="417"/>
      <c r="AI51" s="415"/>
      <c r="AJ51" s="417"/>
      <c r="AK51" s="415"/>
      <c r="AL51" s="417"/>
      <c r="AM51" s="415"/>
      <c r="AN51" s="417"/>
      <c r="AO51" s="415"/>
      <c r="AP51" s="417"/>
      <c r="AQ51" s="415"/>
      <c r="AR51" s="417"/>
      <c r="AS51" s="415"/>
      <c r="AT51" s="417"/>
      <c r="AU51" s="415"/>
      <c r="AV51" s="417"/>
      <c r="AW51" s="415"/>
      <c r="AX51" s="417"/>
      <c r="AY51" s="415"/>
      <c r="AZ51" s="417"/>
      <c r="BA51" s="415"/>
      <c r="BB51" s="417"/>
      <c r="BC51" s="415"/>
      <c r="BD51" s="417"/>
      <c r="BE51" s="415"/>
      <c r="BF51" s="417"/>
      <c r="BG51" s="415"/>
      <c r="BH51" s="417"/>
      <c r="BI51" s="415"/>
      <c r="BJ51" s="417"/>
      <c r="BK51" s="415"/>
      <c r="BL51" s="417"/>
      <c r="BM51" s="415"/>
      <c r="BN51" s="417"/>
      <c r="BO51" s="415"/>
      <c r="BP51" s="417"/>
      <c r="BQ51" s="415"/>
      <c r="BR51" s="417"/>
      <c r="BS51" s="415"/>
      <c r="BT51" s="417"/>
      <c r="BU51" s="415"/>
      <c r="BV51" s="417"/>
      <c r="BW51" s="415"/>
      <c r="BX51" s="417"/>
      <c r="BY51" s="415"/>
      <c r="BZ51" s="417"/>
      <c r="CA51" s="415"/>
      <c r="CB51" s="417"/>
      <c r="CC51" s="415"/>
      <c r="CD51" s="417"/>
      <c r="CE51" s="415"/>
      <c r="CF51" s="417"/>
      <c r="CG51" s="415"/>
      <c r="CH51" s="417"/>
      <c r="CI51" s="415"/>
      <c r="CJ51" s="417"/>
      <c r="CK51" s="415"/>
      <c r="CL51" s="417"/>
      <c r="CM51" s="415"/>
      <c r="CN51" s="417"/>
      <c r="CO51" s="415"/>
      <c r="CP51" s="417"/>
      <c r="CQ51" s="415"/>
      <c r="CR51" s="417"/>
      <c r="CS51" s="415"/>
      <c r="CT51" s="417"/>
      <c r="CU51" s="415"/>
      <c r="CV51" s="417"/>
      <c r="CW51" s="415"/>
      <c r="CX51" s="417"/>
      <c r="CY51" s="415"/>
      <c r="CZ51" s="417"/>
      <c r="DA51" s="415"/>
      <c r="DB51" s="417"/>
      <c r="DC51" s="415"/>
      <c r="DD51" s="417"/>
      <c r="DE51" s="415"/>
      <c r="DF51" s="417"/>
      <c r="DG51" s="415"/>
      <c r="DH51" s="417"/>
      <c r="DI51" s="415"/>
      <c r="DJ51" s="417"/>
      <c r="DK51" s="415"/>
      <c r="DL51" s="417"/>
      <c r="DM51" s="415"/>
      <c r="DN51" s="417"/>
      <c r="DO51" s="415"/>
      <c r="DP51" s="417"/>
      <c r="DQ51" s="415"/>
      <c r="DR51" s="417"/>
      <c r="DS51" s="415"/>
      <c r="DT51" s="417"/>
      <c r="DU51" s="415"/>
      <c r="DV51" s="417"/>
      <c r="DW51" s="415"/>
      <c r="DX51" s="417"/>
      <c r="DY51" s="415"/>
      <c r="DZ51" s="417"/>
      <c r="EA51" s="415"/>
      <c r="EB51" s="417"/>
      <c r="EC51" s="415"/>
      <c r="ED51" s="417"/>
      <c r="EE51" s="415"/>
      <c r="EF51" s="417"/>
      <c r="EG51" s="415"/>
      <c r="EH51" s="417"/>
      <c r="EI51" s="415"/>
      <c r="EJ51" s="417"/>
      <c r="EK51" s="415"/>
      <c r="EL51" s="417"/>
      <c r="EM51" s="415"/>
      <c r="EN51" s="417"/>
      <c r="EO51" s="415"/>
      <c r="EP51" s="417"/>
      <c r="EQ51" s="415"/>
      <c r="ER51" s="417"/>
      <c r="ES51" s="415"/>
      <c r="ET51" s="417"/>
      <c r="EU51" s="415"/>
      <c r="EV51" s="417"/>
      <c r="EW51" s="415"/>
      <c r="EX51" s="417"/>
      <c r="EY51" s="415"/>
      <c r="EZ51" s="417"/>
      <c r="FA51" s="415"/>
      <c r="FB51" s="417"/>
      <c r="FC51" s="415"/>
      <c r="FD51" s="417"/>
      <c r="FE51" s="415"/>
      <c r="FF51" s="417"/>
      <c r="FG51" s="415"/>
      <c r="FH51" s="417"/>
      <c r="FI51" s="415"/>
      <c r="FJ51" s="417"/>
      <c r="FK51" s="415"/>
      <c r="FL51" s="417"/>
      <c r="FM51" s="415"/>
      <c r="FN51" s="417"/>
      <c r="FO51" s="415"/>
      <c r="FP51" s="417"/>
      <c r="FQ51" s="415"/>
      <c r="FR51" s="417"/>
      <c r="FS51" s="415"/>
      <c r="FT51" s="417"/>
      <c r="FU51" s="415"/>
      <c r="FV51" s="417"/>
      <c r="FW51" s="415"/>
      <c r="FX51" s="417"/>
      <c r="FY51" s="415"/>
      <c r="FZ51" s="417"/>
      <c r="GA51" s="415"/>
      <c r="GB51" s="417"/>
      <c r="GC51" s="415"/>
      <c r="GD51" s="417"/>
      <c r="GE51" s="415"/>
      <c r="GF51" s="417"/>
      <c r="GG51" s="415"/>
      <c r="GH51" s="417"/>
      <c r="GI51" s="415"/>
      <c r="GJ51" s="417"/>
      <c r="GK51" s="415"/>
      <c r="GL51" s="417"/>
      <c r="GM51" s="415"/>
      <c r="GN51" s="417"/>
      <c r="GO51" s="415"/>
      <c r="GP51" s="417"/>
      <c r="GQ51" s="415"/>
      <c r="GR51" s="417"/>
      <c r="GS51" s="415"/>
      <c r="GT51" s="417"/>
      <c r="GU51" s="415"/>
      <c r="GV51" s="417"/>
      <c r="GW51" s="415"/>
      <c r="GX51" s="417"/>
      <c r="GY51" s="415"/>
      <c r="GZ51" s="417"/>
      <c r="HA51" s="415"/>
      <c r="HB51" s="417"/>
      <c r="HC51" s="415"/>
      <c r="HD51" s="417"/>
      <c r="HE51" s="415"/>
      <c r="HF51" s="417"/>
      <c r="HG51" s="415"/>
      <c r="HH51" s="417"/>
      <c r="HI51" s="415"/>
      <c r="HJ51" s="417"/>
      <c r="HK51" s="415"/>
      <c r="HL51" s="417"/>
      <c r="HM51" s="415"/>
      <c r="HN51" s="417"/>
      <c r="HO51" s="415"/>
      <c r="HP51" s="417"/>
      <c r="HQ51" s="415"/>
      <c r="HR51" s="417"/>
      <c r="HS51" s="415"/>
      <c r="HT51" s="417"/>
      <c r="HU51" s="415"/>
      <c r="HV51" s="417"/>
      <c r="HW51" s="415"/>
      <c r="HX51" s="417"/>
      <c r="HY51" s="415"/>
      <c r="HZ51" s="417"/>
      <c r="IA51" s="415"/>
      <c r="IB51" s="417"/>
      <c r="IC51" s="415"/>
      <c r="ID51" s="417"/>
      <c r="IE51" s="415"/>
      <c r="IF51" s="417"/>
      <c r="IG51" s="415"/>
      <c r="IH51" s="417"/>
      <c r="II51" s="415"/>
      <c r="IJ51" s="417"/>
      <c r="IK51" s="415"/>
      <c r="IL51" s="417"/>
      <c r="IM51" s="415"/>
      <c r="IN51" s="417"/>
      <c r="IO51" s="415"/>
      <c r="IP51" s="417"/>
      <c r="IQ51" s="415"/>
      <c r="IR51" s="417"/>
      <c r="IS51" s="415"/>
      <c r="IT51" s="417"/>
      <c r="IU51" s="415"/>
      <c r="IV51" s="417"/>
    </row>
    <row r="52" spans="1:256" s="418" customFormat="1" ht="13.5" x14ac:dyDescent="0.25">
      <c r="A52" s="416" t="s">
        <v>429</v>
      </c>
      <c r="B52" s="422">
        <f>SUM(B48:B51)</f>
        <v>60000</v>
      </c>
      <c r="C52" s="422">
        <f>+B52*(1+'Total Market Size'!C$136)</f>
        <v>61379.999999999993</v>
      </c>
      <c r="D52" s="422">
        <f>+C52*(1+'Total Market Size'!D$136)</f>
        <v>62607.599999999991</v>
      </c>
      <c r="E52" s="422">
        <f>+D52*(1+'Total Market Size'!E$136)</f>
        <v>63984.967199999992</v>
      </c>
      <c r="F52" s="422">
        <f>+E52*(1+'Total Market Size'!F$136)</f>
        <v>65456.621445599987</v>
      </c>
      <c r="G52" s="422">
        <f>+F52*(1+'Total Market Size'!G$136)</f>
        <v>67093.036981739977</v>
      </c>
      <c r="H52" s="422">
        <f>+G52*(1+'Total Market Size'!H$136)</f>
        <v>68736.816387792598</v>
      </c>
      <c r="I52" s="422">
        <f>+H52*(1+'Total Market Size'!I$136)</f>
        <v>70386.499981099623</v>
      </c>
      <c r="J52" s="422">
        <f>+I52*(1+'Total Market Size'!J$136)</f>
        <v>72061.698680649803</v>
      </c>
      <c r="K52" s="422">
        <f>+J52*(1+'Total Market Size'!K$136)</f>
        <v>73719.117750304737</v>
      </c>
      <c r="L52" s="426">
        <f>+K52*(1+'Total Market Size'!L$136)</f>
        <v>75399.913635011675</v>
      </c>
      <c r="M52" s="601"/>
      <c r="N52" s="417">
        <f t="shared" si="0"/>
        <v>0</v>
      </c>
      <c r="O52" s="416"/>
      <c r="P52" s="417"/>
      <c r="Q52" s="416"/>
      <c r="R52" s="417"/>
      <c r="S52" s="416"/>
      <c r="T52" s="417"/>
      <c r="U52" s="416"/>
      <c r="V52" s="417"/>
      <c r="W52" s="416"/>
      <c r="X52" s="417"/>
      <c r="Y52" s="416"/>
      <c r="Z52" s="417"/>
      <c r="AA52" s="416"/>
      <c r="AB52" s="417"/>
      <c r="AC52" s="416"/>
      <c r="AD52" s="417"/>
      <c r="AE52" s="416"/>
      <c r="AF52" s="417"/>
      <c r="AG52" s="416"/>
      <c r="AH52" s="417"/>
      <c r="AI52" s="416"/>
      <c r="AJ52" s="417"/>
      <c r="AK52" s="416"/>
      <c r="AL52" s="417"/>
      <c r="AM52" s="416"/>
      <c r="AN52" s="417"/>
      <c r="AO52" s="416"/>
      <c r="AP52" s="417"/>
      <c r="AQ52" s="416"/>
      <c r="AR52" s="417"/>
      <c r="AS52" s="416"/>
      <c r="AT52" s="417"/>
      <c r="AU52" s="416"/>
      <c r="AV52" s="417"/>
      <c r="AW52" s="416"/>
      <c r="AX52" s="417"/>
      <c r="AY52" s="416"/>
      <c r="AZ52" s="417"/>
      <c r="BA52" s="416"/>
      <c r="BB52" s="417"/>
      <c r="BC52" s="416"/>
      <c r="BD52" s="417"/>
      <c r="BE52" s="416"/>
      <c r="BF52" s="417"/>
      <c r="BG52" s="416"/>
      <c r="BH52" s="417"/>
      <c r="BI52" s="416"/>
      <c r="BJ52" s="417"/>
      <c r="BK52" s="416"/>
      <c r="BL52" s="417"/>
      <c r="BM52" s="416"/>
      <c r="BN52" s="417"/>
      <c r="BO52" s="416"/>
      <c r="BP52" s="417"/>
      <c r="BQ52" s="416"/>
      <c r="BR52" s="417"/>
      <c r="BS52" s="416"/>
      <c r="BT52" s="417"/>
      <c r="BU52" s="416"/>
      <c r="BV52" s="417"/>
      <c r="BW52" s="416"/>
      <c r="BX52" s="417"/>
      <c r="BY52" s="416"/>
      <c r="BZ52" s="417"/>
      <c r="CA52" s="416"/>
      <c r="CB52" s="417"/>
      <c r="CC52" s="416"/>
      <c r="CD52" s="417"/>
      <c r="CE52" s="416"/>
      <c r="CF52" s="417"/>
      <c r="CG52" s="416"/>
      <c r="CH52" s="417"/>
      <c r="CI52" s="416"/>
      <c r="CJ52" s="417"/>
      <c r="CK52" s="416"/>
      <c r="CL52" s="417"/>
      <c r="CM52" s="416"/>
      <c r="CN52" s="417"/>
      <c r="CO52" s="416"/>
      <c r="CP52" s="417"/>
      <c r="CQ52" s="416"/>
      <c r="CR52" s="417"/>
      <c r="CS52" s="416"/>
      <c r="CT52" s="417"/>
      <c r="CU52" s="416"/>
      <c r="CV52" s="417"/>
      <c r="CW52" s="416"/>
      <c r="CX52" s="417"/>
      <c r="CY52" s="416"/>
      <c r="CZ52" s="417"/>
      <c r="DA52" s="416"/>
      <c r="DB52" s="417"/>
      <c r="DC52" s="416"/>
      <c r="DD52" s="417"/>
      <c r="DE52" s="416"/>
      <c r="DF52" s="417"/>
      <c r="DG52" s="416"/>
      <c r="DH52" s="417"/>
      <c r="DI52" s="416"/>
      <c r="DJ52" s="417"/>
      <c r="DK52" s="416"/>
      <c r="DL52" s="417"/>
      <c r="DM52" s="416"/>
      <c r="DN52" s="417"/>
      <c r="DO52" s="416"/>
      <c r="DP52" s="417"/>
      <c r="DQ52" s="416"/>
      <c r="DR52" s="417"/>
      <c r="DS52" s="416"/>
      <c r="DT52" s="417"/>
      <c r="DU52" s="416"/>
      <c r="DV52" s="417"/>
      <c r="DW52" s="416"/>
      <c r="DX52" s="417"/>
      <c r="DY52" s="416"/>
      <c r="DZ52" s="417"/>
      <c r="EA52" s="416"/>
      <c r="EB52" s="417"/>
      <c r="EC52" s="416"/>
      <c r="ED52" s="417"/>
      <c r="EE52" s="416"/>
      <c r="EF52" s="417"/>
      <c r="EG52" s="416"/>
      <c r="EH52" s="417"/>
      <c r="EI52" s="416"/>
      <c r="EJ52" s="417"/>
      <c r="EK52" s="416"/>
      <c r="EL52" s="417"/>
      <c r="EM52" s="416"/>
      <c r="EN52" s="417"/>
      <c r="EO52" s="416"/>
      <c r="EP52" s="417"/>
      <c r="EQ52" s="416"/>
      <c r="ER52" s="417"/>
      <c r="ES52" s="416"/>
      <c r="ET52" s="417"/>
      <c r="EU52" s="416"/>
      <c r="EV52" s="417"/>
      <c r="EW52" s="416"/>
      <c r="EX52" s="417"/>
      <c r="EY52" s="416"/>
      <c r="EZ52" s="417"/>
      <c r="FA52" s="416"/>
      <c r="FB52" s="417"/>
      <c r="FC52" s="416"/>
      <c r="FD52" s="417"/>
      <c r="FE52" s="416"/>
      <c r="FF52" s="417"/>
      <c r="FG52" s="416"/>
      <c r="FH52" s="417"/>
      <c r="FI52" s="416"/>
      <c r="FJ52" s="417"/>
      <c r="FK52" s="416"/>
      <c r="FL52" s="417"/>
      <c r="FM52" s="416"/>
      <c r="FN52" s="417"/>
      <c r="FO52" s="416"/>
      <c r="FP52" s="417"/>
      <c r="FQ52" s="416"/>
      <c r="FR52" s="417"/>
      <c r="FS52" s="416"/>
      <c r="FT52" s="417"/>
      <c r="FU52" s="416"/>
      <c r="FV52" s="417"/>
      <c r="FW52" s="416"/>
      <c r="FX52" s="417"/>
      <c r="FY52" s="416"/>
      <c r="FZ52" s="417"/>
      <c r="GA52" s="416"/>
      <c r="GB52" s="417"/>
      <c r="GC52" s="416"/>
      <c r="GD52" s="417"/>
      <c r="GE52" s="416"/>
      <c r="GF52" s="417"/>
      <c r="GG52" s="416"/>
      <c r="GH52" s="417"/>
      <c r="GI52" s="416"/>
      <c r="GJ52" s="417"/>
      <c r="GK52" s="416"/>
      <c r="GL52" s="417"/>
      <c r="GM52" s="416"/>
      <c r="GN52" s="417"/>
      <c r="GO52" s="416"/>
      <c r="GP52" s="417"/>
      <c r="GQ52" s="416"/>
      <c r="GR52" s="417"/>
      <c r="GS52" s="416"/>
      <c r="GT52" s="417"/>
      <c r="GU52" s="416"/>
      <c r="GV52" s="417"/>
      <c r="GW52" s="416"/>
      <c r="GX52" s="417"/>
      <c r="GY52" s="416"/>
      <c r="GZ52" s="417"/>
      <c r="HA52" s="416"/>
      <c r="HB52" s="417"/>
      <c r="HC52" s="416"/>
      <c r="HD52" s="417"/>
      <c r="HE52" s="416"/>
      <c r="HF52" s="417"/>
      <c r="HG52" s="416"/>
      <c r="HH52" s="417"/>
      <c r="HI52" s="416"/>
      <c r="HJ52" s="417"/>
      <c r="HK52" s="416"/>
      <c r="HL52" s="417"/>
      <c r="HM52" s="416"/>
      <c r="HN52" s="417"/>
      <c r="HO52" s="416"/>
      <c r="HP52" s="417"/>
      <c r="HQ52" s="416"/>
      <c r="HR52" s="417"/>
      <c r="HS52" s="416"/>
      <c r="HT52" s="417"/>
      <c r="HU52" s="416"/>
      <c r="HV52" s="417"/>
      <c r="HW52" s="416"/>
      <c r="HX52" s="417"/>
      <c r="HY52" s="416"/>
      <c r="HZ52" s="417"/>
      <c r="IA52" s="416"/>
      <c r="IB52" s="417"/>
      <c r="IC52" s="416"/>
      <c r="ID52" s="417"/>
      <c r="IE52" s="416"/>
      <c r="IF52" s="417"/>
      <c r="IG52" s="416"/>
      <c r="IH52" s="417"/>
      <c r="II52" s="416"/>
      <c r="IJ52" s="417"/>
      <c r="IK52" s="416"/>
      <c r="IL52" s="417"/>
      <c r="IM52" s="416"/>
      <c r="IN52" s="417"/>
      <c r="IO52" s="416"/>
      <c r="IP52" s="417"/>
      <c r="IQ52" s="416"/>
      <c r="IR52" s="417"/>
      <c r="IS52" s="416"/>
      <c r="IT52" s="417"/>
      <c r="IU52" s="416"/>
      <c r="IV52" s="417"/>
    </row>
    <row r="53" spans="1:256" s="418" customFormat="1" ht="13.5" x14ac:dyDescent="0.25">
      <c r="A53" s="416" t="s">
        <v>430</v>
      </c>
      <c r="B53" s="422">
        <v>0</v>
      </c>
      <c r="C53" s="422">
        <f>+B53*(1+'Total Market Size'!C$136)</f>
        <v>0</v>
      </c>
      <c r="D53" s="422">
        <f>+C53*(1+'Total Market Size'!D$136)</f>
        <v>0</v>
      </c>
      <c r="E53" s="422">
        <f>+D53*(1+'Total Market Size'!E$136)</f>
        <v>0</v>
      </c>
      <c r="F53" s="422">
        <f>+E53*(1+'Total Market Size'!F$136)</f>
        <v>0</v>
      </c>
      <c r="G53" s="422">
        <f>+F53*(1+'Total Market Size'!G$136)</f>
        <v>0</v>
      </c>
      <c r="H53" s="422">
        <f>+G53*(1+'Total Market Size'!H$136)</f>
        <v>0</v>
      </c>
      <c r="I53" s="422">
        <f>+H53*(1+'Total Market Size'!I$136)</f>
        <v>0</v>
      </c>
      <c r="J53" s="422">
        <f>+I53*(1+'Total Market Size'!J$136)</f>
        <v>0</v>
      </c>
      <c r="K53" s="422">
        <f>+J53*(1+'Total Market Size'!K$136)</f>
        <v>0</v>
      </c>
      <c r="L53" s="426">
        <f>+K53*(1+'Total Market Size'!L$136)</f>
        <v>0</v>
      </c>
      <c r="M53" s="601"/>
      <c r="N53" s="417">
        <f t="shared" si="0"/>
        <v>0</v>
      </c>
      <c r="O53" s="416"/>
      <c r="P53" s="417"/>
      <c r="Q53" s="416"/>
      <c r="R53" s="417"/>
      <c r="S53" s="416"/>
      <c r="T53" s="417"/>
      <c r="U53" s="416"/>
      <c r="V53" s="417"/>
      <c r="W53" s="416"/>
      <c r="X53" s="417"/>
      <c r="Y53" s="416"/>
      <c r="Z53" s="417"/>
      <c r="AA53" s="416"/>
      <c r="AB53" s="417"/>
      <c r="AC53" s="416"/>
      <c r="AD53" s="417"/>
      <c r="AE53" s="416"/>
      <c r="AF53" s="417"/>
      <c r="AG53" s="416"/>
      <c r="AH53" s="417"/>
      <c r="AI53" s="416"/>
      <c r="AJ53" s="417"/>
      <c r="AK53" s="416"/>
      <c r="AL53" s="417"/>
      <c r="AM53" s="416"/>
      <c r="AN53" s="417"/>
      <c r="AO53" s="416"/>
      <c r="AP53" s="417"/>
      <c r="AQ53" s="416"/>
      <c r="AR53" s="417"/>
      <c r="AS53" s="416"/>
      <c r="AT53" s="417"/>
      <c r="AU53" s="416"/>
      <c r="AV53" s="417"/>
      <c r="AW53" s="416"/>
      <c r="AX53" s="417"/>
      <c r="AY53" s="416"/>
      <c r="AZ53" s="417"/>
      <c r="BA53" s="416"/>
      <c r="BB53" s="417"/>
      <c r="BC53" s="416"/>
      <c r="BD53" s="417"/>
      <c r="BE53" s="416"/>
      <c r="BF53" s="417"/>
      <c r="BG53" s="416"/>
      <c r="BH53" s="417"/>
      <c r="BI53" s="416"/>
      <c r="BJ53" s="417"/>
      <c r="BK53" s="416"/>
      <c r="BL53" s="417"/>
      <c r="BM53" s="416"/>
      <c r="BN53" s="417"/>
      <c r="BO53" s="416"/>
      <c r="BP53" s="417"/>
      <c r="BQ53" s="416"/>
      <c r="BR53" s="417"/>
      <c r="BS53" s="416"/>
      <c r="BT53" s="417"/>
      <c r="BU53" s="416"/>
      <c r="BV53" s="417"/>
      <c r="BW53" s="416"/>
      <c r="BX53" s="417"/>
      <c r="BY53" s="416"/>
      <c r="BZ53" s="417"/>
      <c r="CA53" s="416"/>
      <c r="CB53" s="417"/>
      <c r="CC53" s="416"/>
      <c r="CD53" s="417"/>
      <c r="CE53" s="416"/>
      <c r="CF53" s="417"/>
      <c r="CG53" s="416"/>
      <c r="CH53" s="417"/>
      <c r="CI53" s="416"/>
      <c r="CJ53" s="417"/>
      <c r="CK53" s="416"/>
      <c r="CL53" s="417"/>
      <c r="CM53" s="416"/>
      <c r="CN53" s="417"/>
      <c r="CO53" s="416"/>
      <c r="CP53" s="417"/>
      <c r="CQ53" s="416"/>
      <c r="CR53" s="417"/>
      <c r="CS53" s="416"/>
      <c r="CT53" s="417"/>
      <c r="CU53" s="416"/>
      <c r="CV53" s="417"/>
      <c r="CW53" s="416"/>
      <c r="CX53" s="417"/>
      <c r="CY53" s="416"/>
      <c r="CZ53" s="417"/>
      <c r="DA53" s="416"/>
      <c r="DB53" s="417"/>
      <c r="DC53" s="416"/>
      <c r="DD53" s="417"/>
      <c r="DE53" s="416"/>
      <c r="DF53" s="417"/>
      <c r="DG53" s="416"/>
      <c r="DH53" s="417"/>
      <c r="DI53" s="416"/>
      <c r="DJ53" s="417"/>
      <c r="DK53" s="416"/>
      <c r="DL53" s="417"/>
      <c r="DM53" s="416"/>
      <c r="DN53" s="417"/>
      <c r="DO53" s="416"/>
      <c r="DP53" s="417"/>
      <c r="DQ53" s="416"/>
      <c r="DR53" s="417"/>
      <c r="DS53" s="416"/>
      <c r="DT53" s="417"/>
      <c r="DU53" s="416"/>
      <c r="DV53" s="417"/>
      <c r="DW53" s="416"/>
      <c r="DX53" s="417"/>
      <c r="DY53" s="416"/>
      <c r="DZ53" s="417"/>
      <c r="EA53" s="416"/>
      <c r="EB53" s="417"/>
      <c r="EC53" s="416"/>
      <c r="ED53" s="417"/>
      <c r="EE53" s="416"/>
      <c r="EF53" s="417"/>
      <c r="EG53" s="416"/>
      <c r="EH53" s="417"/>
      <c r="EI53" s="416"/>
      <c r="EJ53" s="417"/>
      <c r="EK53" s="416"/>
      <c r="EL53" s="417"/>
      <c r="EM53" s="416"/>
      <c r="EN53" s="417"/>
      <c r="EO53" s="416"/>
      <c r="EP53" s="417"/>
      <c r="EQ53" s="416"/>
      <c r="ER53" s="417"/>
      <c r="ES53" s="416"/>
      <c r="ET53" s="417"/>
      <c r="EU53" s="416"/>
      <c r="EV53" s="417"/>
      <c r="EW53" s="416"/>
      <c r="EX53" s="417"/>
      <c r="EY53" s="416"/>
      <c r="EZ53" s="417"/>
      <c r="FA53" s="416"/>
      <c r="FB53" s="417"/>
      <c r="FC53" s="416"/>
      <c r="FD53" s="417"/>
      <c r="FE53" s="416"/>
      <c r="FF53" s="417"/>
      <c r="FG53" s="416"/>
      <c r="FH53" s="417"/>
      <c r="FI53" s="416"/>
      <c r="FJ53" s="417"/>
      <c r="FK53" s="416"/>
      <c r="FL53" s="417"/>
      <c r="FM53" s="416"/>
      <c r="FN53" s="417"/>
      <c r="FO53" s="416"/>
      <c r="FP53" s="417"/>
      <c r="FQ53" s="416"/>
      <c r="FR53" s="417"/>
      <c r="FS53" s="416"/>
      <c r="FT53" s="417"/>
      <c r="FU53" s="416"/>
      <c r="FV53" s="417"/>
      <c r="FW53" s="416"/>
      <c r="FX53" s="417"/>
      <c r="FY53" s="416"/>
      <c r="FZ53" s="417"/>
      <c r="GA53" s="416"/>
      <c r="GB53" s="417"/>
      <c r="GC53" s="416"/>
      <c r="GD53" s="417"/>
      <c r="GE53" s="416"/>
      <c r="GF53" s="417"/>
      <c r="GG53" s="416"/>
      <c r="GH53" s="417"/>
      <c r="GI53" s="416"/>
      <c r="GJ53" s="417"/>
      <c r="GK53" s="416"/>
      <c r="GL53" s="417"/>
      <c r="GM53" s="416"/>
      <c r="GN53" s="417"/>
      <c r="GO53" s="416"/>
      <c r="GP53" s="417"/>
      <c r="GQ53" s="416"/>
      <c r="GR53" s="417"/>
      <c r="GS53" s="416"/>
      <c r="GT53" s="417"/>
      <c r="GU53" s="416"/>
      <c r="GV53" s="417"/>
      <c r="GW53" s="416"/>
      <c r="GX53" s="417"/>
      <c r="GY53" s="416"/>
      <c r="GZ53" s="417"/>
      <c r="HA53" s="416"/>
      <c r="HB53" s="417"/>
      <c r="HC53" s="416"/>
      <c r="HD53" s="417"/>
      <c r="HE53" s="416"/>
      <c r="HF53" s="417"/>
      <c r="HG53" s="416"/>
      <c r="HH53" s="417"/>
      <c r="HI53" s="416"/>
      <c r="HJ53" s="417"/>
      <c r="HK53" s="416"/>
      <c r="HL53" s="417"/>
      <c r="HM53" s="416"/>
      <c r="HN53" s="417"/>
      <c r="HO53" s="416"/>
      <c r="HP53" s="417"/>
      <c r="HQ53" s="416"/>
      <c r="HR53" s="417"/>
      <c r="HS53" s="416"/>
      <c r="HT53" s="417"/>
      <c r="HU53" s="416"/>
      <c r="HV53" s="417"/>
      <c r="HW53" s="416"/>
      <c r="HX53" s="417"/>
      <c r="HY53" s="416"/>
      <c r="HZ53" s="417"/>
      <c r="IA53" s="416"/>
      <c r="IB53" s="417"/>
      <c r="IC53" s="416"/>
      <c r="ID53" s="417"/>
      <c r="IE53" s="416"/>
      <c r="IF53" s="417"/>
      <c r="IG53" s="416"/>
      <c r="IH53" s="417"/>
      <c r="II53" s="416"/>
      <c r="IJ53" s="417"/>
      <c r="IK53" s="416"/>
      <c r="IL53" s="417"/>
      <c r="IM53" s="416"/>
      <c r="IN53" s="417"/>
      <c r="IO53" s="416"/>
      <c r="IP53" s="417"/>
      <c r="IQ53" s="416"/>
      <c r="IR53" s="417"/>
      <c r="IS53" s="416"/>
      <c r="IT53" s="417"/>
      <c r="IU53" s="416"/>
      <c r="IV53" s="417"/>
    </row>
    <row r="54" spans="1:256" s="418" customFormat="1" ht="13.5" x14ac:dyDescent="0.25">
      <c r="A54" s="415" t="s">
        <v>431</v>
      </c>
      <c r="B54" s="422">
        <v>12000</v>
      </c>
      <c r="C54" s="422">
        <f>+B54*(1+'Total Market Size'!C$136)</f>
        <v>12275.999999999998</v>
      </c>
      <c r="D54" s="422">
        <f>+C54*(1+'Total Market Size'!D$136)</f>
        <v>12521.519999999999</v>
      </c>
      <c r="E54" s="422">
        <f>+D54*(1+'Total Market Size'!E$136)</f>
        <v>12796.993439999998</v>
      </c>
      <c r="F54" s="422">
        <f>+E54*(1+'Total Market Size'!F$136)</f>
        <v>13091.324289119997</v>
      </c>
      <c r="G54" s="422">
        <f>+F54*(1+'Total Market Size'!G$136)</f>
        <v>13418.607396347996</v>
      </c>
      <c r="H54" s="422">
        <f>+G54*(1+'Total Market Size'!H$136)</f>
        <v>13747.363277558521</v>
      </c>
      <c r="I54" s="422">
        <f>+H54*(1+'Total Market Size'!I$136)</f>
        <v>14077.299996219926</v>
      </c>
      <c r="J54" s="422">
        <f>+I54*(1+'Total Market Size'!J$136)</f>
        <v>14412.339736129961</v>
      </c>
      <c r="K54" s="422">
        <f>+J54*(1+'Total Market Size'!K$136)</f>
        <v>14743.82355006095</v>
      </c>
      <c r="L54" s="426">
        <f>+K54*(1+'Total Market Size'!L$136)</f>
        <v>15079.982727002338</v>
      </c>
      <c r="M54" s="601" t="s">
        <v>506</v>
      </c>
      <c r="N54" s="417">
        <f t="shared" si="0"/>
        <v>1</v>
      </c>
      <c r="O54" s="415"/>
      <c r="P54" s="417"/>
      <c r="Q54" s="415"/>
      <c r="R54" s="417"/>
      <c r="S54" s="415"/>
      <c r="T54" s="417"/>
      <c r="U54" s="415"/>
      <c r="V54" s="417"/>
      <c r="W54" s="415"/>
      <c r="X54" s="417"/>
      <c r="Y54" s="415"/>
      <c r="Z54" s="417"/>
      <c r="AA54" s="415"/>
      <c r="AB54" s="417"/>
      <c r="AC54" s="415"/>
      <c r="AD54" s="417"/>
      <c r="AE54" s="415"/>
      <c r="AF54" s="417"/>
      <c r="AG54" s="415"/>
      <c r="AH54" s="417"/>
      <c r="AI54" s="415"/>
      <c r="AJ54" s="417"/>
      <c r="AK54" s="415"/>
      <c r="AL54" s="417"/>
      <c r="AM54" s="415"/>
      <c r="AN54" s="417"/>
      <c r="AO54" s="415"/>
      <c r="AP54" s="417"/>
      <c r="AQ54" s="415"/>
      <c r="AR54" s="417"/>
      <c r="AS54" s="415"/>
      <c r="AT54" s="417"/>
      <c r="AU54" s="415"/>
      <c r="AV54" s="417"/>
      <c r="AW54" s="415"/>
      <c r="AX54" s="417"/>
      <c r="AY54" s="415"/>
      <c r="AZ54" s="417"/>
      <c r="BA54" s="415"/>
      <c r="BB54" s="417"/>
      <c r="BC54" s="415"/>
      <c r="BD54" s="417"/>
      <c r="BE54" s="415"/>
      <c r="BF54" s="417"/>
      <c r="BG54" s="415"/>
      <c r="BH54" s="417"/>
      <c r="BI54" s="415"/>
      <c r="BJ54" s="417"/>
      <c r="BK54" s="415"/>
      <c r="BL54" s="417"/>
      <c r="BM54" s="415"/>
      <c r="BN54" s="417"/>
      <c r="BO54" s="415"/>
      <c r="BP54" s="417"/>
      <c r="BQ54" s="415"/>
      <c r="BR54" s="417"/>
      <c r="BS54" s="415"/>
      <c r="BT54" s="417"/>
      <c r="BU54" s="415"/>
      <c r="BV54" s="417"/>
      <c r="BW54" s="415"/>
      <c r="BX54" s="417"/>
      <c r="BY54" s="415"/>
      <c r="BZ54" s="417"/>
      <c r="CA54" s="415"/>
      <c r="CB54" s="417"/>
      <c r="CC54" s="415"/>
      <c r="CD54" s="417"/>
      <c r="CE54" s="415"/>
      <c r="CF54" s="417"/>
      <c r="CG54" s="415"/>
      <c r="CH54" s="417"/>
      <c r="CI54" s="415"/>
      <c r="CJ54" s="417"/>
      <c r="CK54" s="415"/>
      <c r="CL54" s="417"/>
      <c r="CM54" s="415"/>
      <c r="CN54" s="417"/>
      <c r="CO54" s="415"/>
      <c r="CP54" s="417"/>
      <c r="CQ54" s="415"/>
      <c r="CR54" s="417"/>
      <c r="CS54" s="415"/>
      <c r="CT54" s="417"/>
      <c r="CU54" s="415"/>
      <c r="CV54" s="417"/>
      <c r="CW54" s="415"/>
      <c r="CX54" s="417"/>
      <c r="CY54" s="415"/>
      <c r="CZ54" s="417"/>
      <c r="DA54" s="415"/>
      <c r="DB54" s="417"/>
      <c r="DC54" s="415"/>
      <c r="DD54" s="417"/>
      <c r="DE54" s="415"/>
      <c r="DF54" s="417"/>
      <c r="DG54" s="415"/>
      <c r="DH54" s="417"/>
      <c r="DI54" s="415"/>
      <c r="DJ54" s="417"/>
      <c r="DK54" s="415"/>
      <c r="DL54" s="417"/>
      <c r="DM54" s="415"/>
      <c r="DN54" s="417"/>
      <c r="DO54" s="415"/>
      <c r="DP54" s="417"/>
      <c r="DQ54" s="415"/>
      <c r="DR54" s="417"/>
      <c r="DS54" s="415"/>
      <c r="DT54" s="417"/>
      <c r="DU54" s="415"/>
      <c r="DV54" s="417"/>
      <c r="DW54" s="415"/>
      <c r="DX54" s="417"/>
      <c r="DY54" s="415"/>
      <c r="DZ54" s="417"/>
      <c r="EA54" s="415"/>
      <c r="EB54" s="417"/>
      <c r="EC54" s="415"/>
      <c r="ED54" s="417"/>
      <c r="EE54" s="415"/>
      <c r="EF54" s="417"/>
      <c r="EG54" s="415"/>
      <c r="EH54" s="417"/>
      <c r="EI54" s="415"/>
      <c r="EJ54" s="417"/>
      <c r="EK54" s="415"/>
      <c r="EL54" s="417"/>
      <c r="EM54" s="415"/>
      <c r="EN54" s="417"/>
      <c r="EO54" s="415"/>
      <c r="EP54" s="417"/>
      <c r="EQ54" s="415"/>
      <c r="ER54" s="417"/>
      <c r="ES54" s="415"/>
      <c r="ET54" s="417"/>
      <c r="EU54" s="415"/>
      <c r="EV54" s="417"/>
      <c r="EW54" s="415"/>
      <c r="EX54" s="417"/>
      <c r="EY54" s="415"/>
      <c r="EZ54" s="417"/>
      <c r="FA54" s="415"/>
      <c r="FB54" s="417"/>
      <c r="FC54" s="415"/>
      <c r="FD54" s="417"/>
      <c r="FE54" s="415"/>
      <c r="FF54" s="417"/>
      <c r="FG54" s="415"/>
      <c r="FH54" s="417"/>
      <c r="FI54" s="415"/>
      <c r="FJ54" s="417"/>
      <c r="FK54" s="415"/>
      <c r="FL54" s="417"/>
      <c r="FM54" s="415"/>
      <c r="FN54" s="417"/>
      <c r="FO54" s="415"/>
      <c r="FP54" s="417"/>
      <c r="FQ54" s="415"/>
      <c r="FR54" s="417"/>
      <c r="FS54" s="415"/>
      <c r="FT54" s="417"/>
      <c r="FU54" s="415"/>
      <c r="FV54" s="417"/>
      <c r="FW54" s="415"/>
      <c r="FX54" s="417"/>
      <c r="FY54" s="415"/>
      <c r="FZ54" s="417"/>
      <c r="GA54" s="415"/>
      <c r="GB54" s="417"/>
      <c r="GC54" s="415"/>
      <c r="GD54" s="417"/>
      <c r="GE54" s="415"/>
      <c r="GF54" s="417"/>
      <c r="GG54" s="415"/>
      <c r="GH54" s="417"/>
      <c r="GI54" s="415"/>
      <c r="GJ54" s="417"/>
      <c r="GK54" s="415"/>
      <c r="GL54" s="417"/>
      <c r="GM54" s="415"/>
      <c r="GN54" s="417"/>
      <c r="GO54" s="415"/>
      <c r="GP54" s="417"/>
      <c r="GQ54" s="415"/>
      <c r="GR54" s="417"/>
      <c r="GS54" s="415"/>
      <c r="GT54" s="417"/>
      <c r="GU54" s="415"/>
      <c r="GV54" s="417"/>
      <c r="GW54" s="415"/>
      <c r="GX54" s="417"/>
      <c r="GY54" s="415"/>
      <c r="GZ54" s="417"/>
      <c r="HA54" s="415"/>
      <c r="HB54" s="417"/>
      <c r="HC54" s="415"/>
      <c r="HD54" s="417"/>
      <c r="HE54" s="415"/>
      <c r="HF54" s="417"/>
      <c r="HG54" s="415"/>
      <c r="HH54" s="417"/>
      <c r="HI54" s="415"/>
      <c r="HJ54" s="417"/>
      <c r="HK54" s="415"/>
      <c r="HL54" s="417"/>
      <c r="HM54" s="415"/>
      <c r="HN54" s="417"/>
      <c r="HO54" s="415"/>
      <c r="HP54" s="417"/>
      <c r="HQ54" s="415"/>
      <c r="HR54" s="417"/>
      <c r="HS54" s="415"/>
      <c r="HT54" s="417"/>
      <c r="HU54" s="415"/>
      <c r="HV54" s="417"/>
      <c r="HW54" s="415"/>
      <c r="HX54" s="417"/>
      <c r="HY54" s="415"/>
      <c r="HZ54" s="417"/>
      <c r="IA54" s="415"/>
      <c r="IB54" s="417"/>
      <c r="IC54" s="415"/>
      <c r="ID54" s="417"/>
      <c r="IE54" s="415"/>
      <c r="IF54" s="417"/>
      <c r="IG54" s="415"/>
      <c r="IH54" s="417"/>
      <c r="II54" s="415"/>
      <c r="IJ54" s="417"/>
      <c r="IK54" s="415"/>
      <c r="IL54" s="417"/>
      <c r="IM54" s="415"/>
      <c r="IN54" s="417"/>
      <c r="IO54" s="415"/>
      <c r="IP54" s="417"/>
      <c r="IQ54" s="415"/>
      <c r="IR54" s="417"/>
      <c r="IS54" s="415"/>
      <c r="IT54" s="417"/>
      <c r="IU54" s="415"/>
      <c r="IV54" s="417"/>
    </row>
    <row r="55" spans="1:256" s="418" customFormat="1" ht="13.5" x14ac:dyDescent="0.25">
      <c r="A55" s="415" t="s">
        <v>432</v>
      </c>
      <c r="B55" s="422">
        <v>2096</v>
      </c>
      <c r="C55" s="422">
        <f>+B55*(1+'Total Market Size'!C$136)</f>
        <v>2144.2079999999996</v>
      </c>
      <c r="D55" s="422">
        <f>+C55*(1+'Total Market Size'!D$136)</f>
        <v>2187.0921599999997</v>
      </c>
      <c r="E55" s="422">
        <f>+D55*(1+'Total Market Size'!E$136)</f>
        <v>2235.2081875199997</v>
      </c>
      <c r="F55" s="422">
        <f>+E55*(1+'Total Market Size'!F$136)</f>
        <v>2286.6179758329595</v>
      </c>
      <c r="G55" s="422">
        <f>+F55*(1+'Total Market Size'!G$136)</f>
        <v>2343.7834252287835</v>
      </c>
      <c r="H55" s="422">
        <f>+G55*(1+'Total Market Size'!H$136)</f>
        <v>2401.2061191468888</v>
      </c>
      <c r="I55" s="422">
        <f>+H55*(1+'Total Market Size'!I$136)</f>
        <v>2458.8350660064143</v>
      </c>
      <c r="J55" s="422">
        <f>+I55*(1+'Total Market Size'!J$136)</f>
        <v>2517.3553405773669</v>
      </c>
      <c r="K55" s="422">
        <f>+J55*(1+'Total Market Size'!K$136)</f>
        <v>2575.2545134106463</v>
      </c>
      <c r="L55" s="426">
        <f>+K55*(1+'Total Market Size'!L$136)</f>
        <v>2633.970316316409</v>
      </c>
      <c r="M55" s="601" t="s">
        <v>506</v>
      </c>
      <c r="N55" s="417">
        <f t="shared" si="0"/>
        <v>1</v>
      </c>
      <c r="O55" s="415"/>
      <c r="P55" s="417"/>
      <c r="Q55" s="415"/>
      <c r="R55" s="417"/>
      <c r="S55" s="415"/>
      <c r="T55" s="417"/>
      <c r="U55" s="415"/>
      <c r="V55" s="417"/>
      <c r="W55" s="415"/>
      <c r="X55" s="417"/>
      <c r="Y55" s="415"/>
      <c r="Z55" s="417"/>
      <c r="AA55" s="415"/>
      <c r="AB55" s="417"/>
      <c r="AC55" s="415"/>
      <c r="AD55" s="417"/>
      <c r="AE55" s="415"/>
      <c r="AF55" s="417"/>
      <c r="AG55" s="415"/>
      <c r="AH55" s="417"/>
      <c r="AI55" s="415"/>
      <c r="AJ55" s="417"/>
      <c r="AK55" s="415"/>
      <c r="AL55" s="417"/>
      <c r="AM55" s="415"/>
      <c r="AN55" s="417"/>
      <c r="AO55" s="415"/>
      <c r="AP55" s="417"/>
      <c r="AQ55" s="415"/>
      <c r="AR55" s="417"/>
      <c r="AS55" s="415"/>
      <c r="AT55" s="417"/>
      <c r="AU55" s="415"/>
      <c r="AV55" s="417"/>
      <c r="AW55" s="415"/>
      <c r="AX55" s="417"/>
      <c r="AY55" s="415"/>
      <c r="AZ55" s="417"/>
      <c r="BA55" s="415"/>
      <c r="BB55" s="417"/>
      <c r="BC55" s="415"/>
      <c r="BD55" s="417"/>
      <c r="BE55" s="415"/>
      <c r="BF55" s="417"/>
      <c r="BG55" s="415"/>
      <c r="BH55" s="417"/>
      <c r="BI55" s="415"/>
      <c r="BJ55" s="417"/>
      <c r="BK55" s="415"/>
      <c r="BL55" s="417"/>
      <c r="BM55" s="415"/>
      <c r="BN55" s="417"/>
      <c r="BO55" s="415"/>
      <c r="BP55" s="417"/>
      <c r="BQ55" s="415"/>
      <c r="BR55" s="417"/>
      <c r="BS55" s="415"/>
      <c r="BT55" s="417"/>
      <c r="BU55" s="415"/>
      <c r="BV55" s="417"/>
      <c r="BW55" s="415"/>
      <c r="BX55" s="417"/>
      <c r="BY55" s="415"/>
      <c r="BZ55" s="417"/>
      <c r="CA55" s="415"/>
      <c r="CB55" s="417"/>
      <c r="CC55" s="415"/>
      <c r="CD55" s="417"/>
      <c r="CE55" s="415"/>
      <c r="CF55" s="417"/>
      <c r="CG55" s="415"/>
      <c r="CH55" s="417"/>
      <c r="CI55" s="415"/>
      <c r="CJ55" s="417"/>
      <c r="CK55" s="415"/>
      <c r="CL55" s="417"/>
      <c r="CM55" s="415"/>
      <c r="CN55" s="417"/>
      <c r="CO55" s="415"/>
      <c r="CP55" s="417"/>
      <c r="CQ55" s="415"/>
      <c r="CR55" s="417"/>
      <c r="CS55" s="415"/>
      <c r="CT55" s="417"/>
      <c r="CU55" s="415"/>
      <c r="CV55" s="417"/>
      <c r="CW55" s="415"/>
      <c r="CX55" s="417"/>
      <c r="CY55" s="415"/>
      <c r="CZ55" s="417"/>
      <c r="DA55" s="415"/>
      <c r="DB55" s="417"/>
      <c r="DC55" s="415"/>
      <c r="DD55" s="417"/>
      <c r="DE55" s="415"/>
      <c r="DF55" s="417"/>
      <c r="DG55" s="415"/>
      <c r="DH55" s="417"/>
      <c r="DI55" s="415"/>
      <c r="DJ55" s="417"/>
      <c r="DK55" s="415"/>
      <c r="DL55" s="417"/>
      <c r="DM55" s="415"/>
      <c r="DN55" s="417"/>
      <c r="DO55" s="415"/>
      <c r="DP55" s="417"/>
      <c r="DQ55" s="415"/>
      <c r="DR55" s="417"/>
      <c r="DS55" s="415"/>
      <c r="DT55" s="417"/>
      <c r="DU55" s="415"/>
      <c r="DV55" s="417"/>
      <c r="DW55" s="415"/>
      <c r="DX55" s="417"/>
      <c r="DY55" s="415"/>
      <c r="DZ55" s="417"/>
      <c r="EA55" s="415"/>
      <c r="EB55" s="417"/>
      <c r="EC55" s="415"/>
      <c r="ED55" s="417"/>
      <c r="EE55" s="415"/>
      <c r="EF55" s="417"/>
      <c r="EG55" s="415"/>
      <c r="EH55" s="417"/>
      <c r="EI55" s="415"/>
      <c r="EJ55" s="417"/>
      <c r="EK55" s="415"/>
      <c r="EL55" s="417"/>
      <c r="EM55" s="415"/>
      <c r="EN55" s="417"/>
      <c r="EO55" s="415"/>
      <c r="EP55" s="417"/>
      <c r="EQ55" s="415"/>
      <c r="ER55" s="417"/>
      <c r="ES55" s="415"/>
      <c r="ET55" s="417"/>
      <c r="EU55" s="415"/>
      <c r="EV55" s="417"/>
      <c r="EW55" s="415"/>
      <c r="EX55" s="417"/>
      <c r="EY55" s="415"/>
      <c r="EZ55" s="417"/>
      <c r="FA55" s="415"/>
      <c r="FB55" s="417"/>
      <c r="FC55" s="415"/>
      <c r="FD55" s="417"/>
      <c r="FE55" s="415"/>
      <c r="FF55" s="417"/>
      <c r="FG55" s="415"/>
      <c r="FH55" s="417"/>
      <c r="FI55" s="415"/>
      <c r="FJ55" s="417"/>
      <c r="FK55" s="415"/>
      <c r="FL55" s="417"/>
      <c r="FM55" s="415"/>
      <c r="FN55" s="417"/>
      <c r="FO55" s="415"/>
      <c r="FP55" s="417"/>
      <c r="FQ55" s="415"/>
      <c r="FR55" s="417"/>
      <c r="FS55" s="415"/>
      <c r="FT55" s="417"/>
      <c r="FU55" s="415"/>
      <c r="FV55" s="417"/>
      <c r="FW55" s="415"/>
      <c r="FX55" s="417"/>
      <c r="FY55" s="415"/>
      <c r="FZ55" s="417"/>
      <c r="GA55" s="415"/>
      <c r="GB55" s="417"/>
      <c r="GC55" s="415"/>
      <c r="GD55" s="417"/>
      <c r="GE55" s="415"/>
      <c r="GF55" s="417"/>
      <c r="GG55" s="415"/>
      <c r="GH55" s="417"/>
      <c r="GI55" s="415"/>
      <c r="GJ55" s="417"/>
      <c r="GK55" s="415"/>
      <c r="GL55" s="417"/>
      <c r="GM55" s="415"/>
      <c r="GN55" s="417"/>
      <c r="GO55" s="415"/>
      <c r="GP55" s="417"/>
      <c r="GQ55" s="415"/>
      <c r="GR55" s="417"/>
      <c r="GS55" s="415"/>
      <c r="GT55" s="417"/>
      <c r="GU55" s="415"/>
      <c r="GV55" s="417"/>
      <c r="GW55" s="415"/>
      <c r="GX55" s="417"/>
      <c r="GY55" s="415"/>
      <c r="GZ55" s="417"/>
      <c r="HA55" s="415"/>
      <c r="HB55" s="417"/>
      <c r="HC55" s="415"/>
      <c r="HD55" s="417"/>
      <c r="HE55" s="415"/>
      <c r="HF55" s="417"/>
      <c r="HG55" s="415"/>
      <c r="HH55" s="417"/>
      <c r="HI55" s="415"/>
      <c r="HJ55" s="417"/>
      <c r="HK55" s="415"/>
      <c r="HL55" s="417"/>
      <c r="HM55" s="415"/>
      <c r="HN55" s="417"/>
      <c r="HO55" s="415"/>
      <c r="HP55" s="417"/>
      <c r="HQ55" s="415"/>
      <c r="HR55" s="417"/>
      <c r="HS55" s="415"/>
      <c r="HT55" s="417"/>
      <c r="HU55" s="415"/>
      <c r="HV55" s="417"/>
      <c r="HW55" s="415"/>
      <c r="HX55" s="417"/>
      <c r="HY55" s="415"/>
      <c r="HZ55" s="417"/>
      <c r="IA55" s="415"/>
      <c r="IB55" s="417"/>
      <c r="IC55" s="415"/>
      <c r="ID55" s="417"/>
      <c r="IE55" s="415"/>
      <c r="IF55" s="417"/>
      <c r="IG55" s="415"/>
      <c r="IH55" s="417"/>
      <c r="II55" s="415"/>
      <c r="IJ55" s="417"/>
      <c r="IK55" s="415"/>
      <c r="IL55" s="417"/>
      <c r="IM55" s="415"/>
      <c r="IN55" s="417"/>
      <c r="IO55" s="415"/>
      <c r="IP55" s="417"/>
      <c r="IQ55" s="415"/>
      <c r="IR55" s="417"/>
      <c r="IS55" s="415"/>
      <c r="IT55" s="417"/>
      <c r="IU55" s="415"/>
      <c r="IV55" s="417"/>
    </row>
    <row r="56" spans="1:256" s="418" customFormat="1" ht="13.5" x14ac:dyDescent="0.25">
      <c r="A56" s="416" t="s">
        <v>433</v>
      </c>
      <c r="B56" s="423">
        <f>SUM(B53:B55)</f>
        <v>14096</v>
      </c>
      <c r="C56" s="423">
        <f>+B56*(1+'Total Market Size'!C$136)</f>
        <v>14420.207999999999</v>
      </c>
      <c r="D56" s="423">
        <f>+C56*(1+'Total Market Size'!D$136)</f>
        <v>14708.612159999999</v>
      </c>
      <c r="E56" s="423">
        <f>+D56*(1+'Total Market Size'!E$136)</f>
        <v>15032.201627519999</v>
      </c>
      <c r="F56" s="423">
        <f>+E56*(1+'Total Market Size'!F$136)</f>
        <v>15377.942264952957</v>
      </c>
      <c r="G56" s="423">
        <f>+F56*(1+'Total Market Size'!G$136)</f>
        <v>15762.390821576779</v>
      </c>
      <c r="H56" s="423">
        <f>+G56*(1+'Total Market Size'!H$136)</f>
        <v>16148.569396705409</v>
      </c>
      <c r="I56" s="423">
        <f>+H56*(1+'Total Market Size'!I$136)</f>
        <v>16536.135062226338</v>
      </c>
      <c r="J56" s="423">
        <f>+I56*(1+'Total Market Size'!J$136)</f>
        <v>16929.695076707325</v>
      </c>
      <c r="K56" s="423">
        <f>+J56*(1+'Total Market Size'!K$136)</f>
        <v>17319.078063471592</v>
      </c>
      <c r="L56" s="427">
        <f>+K56*(1+'Total Market Size'!L$136)</f>
        <v>17713.953043318743</v>
      </c>
      <c r="M56" s="601"/>
      <c r="N56" s="417">
        <f t="shared" si="0"/>
        <v>0</v>
      </c>
      <c r="O56" s="416"/>
      <c r="P56" s="417"/>
      <c r="Q56" s="416"/>
      <c r="R56" s="417"/>
      <c r="S56" s="416"/>
      <c r="T56" s="417"/>
      <c r="U56" s="416"/>
      <c r="V56" s="417"/>
      <c r="W56" s="416"/>
      <c r="X56" s="417"/>
      <c r="Y56" s="416"/>
      <c r="Z56" s="417"/>
      <c r="AA56" s="416"/>
      <c r="AB56" s="417"/>
      <c r="AC56" s="416"/>
      <c r="AD56" s="417"/>
      <c r="AE56" s="416"/>
      <c r="AF56" s="417"/>
      <c r="AG56" s="416"/>
      <c r="AH56" s="417"/>
      <c r="AI56" s="416"/>
      <c r="AJ56" s="417"/>
      <c r="AK56" s="416"/>
      <c r="AL56" s="417"/>
      <c r="AM56" s="416"/>
      <c r="AN56" s="417"/>
      <c r="AO56" s="416"/>
      <c r="AP56" s="417"/>
      <c r="AQ56" s="416"/>
      <c r="AR56" s="417"/>
      <c r="AS56" s="416"/>
      <c r="AT56" s="417"/>
      <c r="AU56" s="416"/>
      <c r="AV56" s="417"/>
      <c r="AW56" s="416"/>
      <c r="AX56" s="417"/>
      <c r="AY56" s="416"/>
      <c r="AZ56" s="417"/>
      <c r="BA56" s="416"/>
      <c r="BB56" s="417"/>
      <c r="BC56" s="416"/>
      <c r="BD56" s="417"/>
      <c r="BE56" s="416"/>
      <c r="BF56" s="417"/>
      <c r="BG56" s="416"/>
      <c r="BH56" s="417"/>
      <c r="BI56" s="416"/>
      <c r="BJ56" s="417"/>
      <c r="BK56" s="416"/>
      <c r="BL56" s="417"/>
      <c r="BM56" s="416"/>
      <c r="BN56" s="417"/>
      <c r="BO56" s="416"/>
      <c r="BP56" s="417"/>
      <c r="BQ56" s="416"/>
      <c r="BR56" s="417"/>
      <c r="BS56" s="416"/>
      <c r="BT56" s="417"/>
      <c r="BU56" s="416"/>
      <c r="BV56" s="417"/>
      <c r="BW56" s="416"/>
      <c r="BX56" s="417"/>
      <c r="BY56" s="416"/>
      <c r="BZ56" s="417"/>
      <c r="CA56" s="416"/>
      <c r="CB56" s="417"/>
      <c r="CC56" s="416"/>
      <c r="CD56" s="417"/>
      <c r="CE56" s="416"/>
      <c r="CF56" s="417"/>
      <c r="CG56" s="416"/>
      <c r="CH56" s="417"/>
      <c r="CI56" s="416"/>
      <c r="CJ56" s="417"/>
      <c r="CK56" s="416"/>
      <c r="CL56" s="417"/>
      <c r="CM56" s="416"/>
      <c r="CN56" s="417"/>
      <c r="CO56" s="416"/>
      <c r="CP56" s="417"/>
      <c r="CQ56" s="416"/>
      <c r="CR56" s="417"/>
      <c r="CS56" s="416"/>
      <c r="CT56" s="417"/>
      <c r="CU56" s="416"/>
      <c r="CV56" s="417"/>
      <c r="CW56" s="416"/>
      <c r="CX56" s="417"/>
      <c r="CY56" s="416"/>
      <c r="CZ56" s="417"/>
      <c r="DA56" s="416"/>
      <c r="DB56" s="417"/>
      <c r="DC56" s="416"/>
      <c r="DD56" s="417"/>
      <c r="DE56" s="416"/>
      <c r="DF56" s="417"/>
      <c r="DG56" s="416"/>
      <c r="DH56" s="417"/>
      <c r="DI56" s="416"/>
      <c r="DJ56" s="417"/>
      <c r="DK56" s="416"/>
      <c r="DL56" s="417"/>
      <c r="DM56" s="416"/>
      <c r="DN56" s="417"/>
      <c r="DO56" s="416"/>
      <c r="DP56" s="417"/>
      <c r="DQ56" s="416"/>
      <c r="DR56" s="417"/>
      <c r="DS56" s="416"/>
      <c r="DT56" s="417"/>
      <c r="DU56" s="416"/>
      <c r="DV56" s="417"/>
      <c r="DW56" s="416"/>
      <c r="DX56" s="417"/>
      <c r="DY56" s="416"/>
      <c r="DZ56" s="417"/>
      <c r="EA56" s="416"/>
      <c r="EB56" s="417"/>
      <c r="EC56" s="416"/>
      <c r="ED56" s="417"/>
      <c r="EE56" s="416"/>
      <c r="EF56" s="417"/>
      <c r="EG56" s="416"/>
      <c r="EH56" s="417"/>
      <c r="EI56" s="416"/>
      <c r="EJ56" s="417"/>
      <c r="EK56" s="416"/>
      <c r="EL56" s="417"/>
      <c r="EM56" s="416"/>
      <c r="EN56" s="417"/>
      <c r="EO56" s="416"/>
      <c r="EP56" s="417"/>
      <c r="EQ56" s="416"/>
      <c r="ER56" s="417"/>
      <c r="ES56" s="416"/>
      <c r="ET56" s="417"/>
      <c r="EU56" s="416"/>
      <c r="EV56" s="417"/>
      <c r="EW56" s="416"/>
      <c r="EX56" s="417"/>
      <c r="EY56" s="416"/>
      <c r="EZ56" s="417"/>
      <c r="FA56" s="416"/>
      <c r="FB56" s="417"/>
      <c r="FC56" s="416"/>
      <c r="FD56" s="417"/>
      <c r="FE56" s="416"/>
      <c r="FF56" s="417"/>
      <c r="FG56" s="416"/>
      <c r="FH56" s="417"/>
      <c r="FI56" s="416"/>
      <c r="FJ56" s="417"/>
      <c r="FK56" s="416"/>
      <c r="FL56" s="417"/>
      <c r="FM56" s="416"/>
      <c r="FN56" s="417"/>
      <c r="FO56" s="416"/>
      <c r="FP56" s="417"/>
      <c r="FQ56" s="416"/>
      <c r="FR56" s="417"/>
      <c r="FS56" s="416"/>
      <c r="FT56" s="417"/>
      <c r="FU56" s="416"/>
      <c r="FV56" s="417"/>
      <c r="FW56" s="416"/>
      <c r="FX56" s="417"/>
      <c r="FY56" s="416"/>
      <c r="FZ56" s="417"/>
      <c r="GA56" s="416"/>
      <c r="GB56" s="417"/>
      <c r="GC56" s="416"/>
      <c r="GD56" s="417"/>
      <c r="GE56" s="416"/>
      <c r="GF56" s="417"/>
      <c r="GG56" s="416"/>
      <c r="GH56" s="417"/>
      <c r="GI56" s="416"/>
      <c r="GJ56" s="417"/>
      <c r="GK56" s="416"/>
      <c r="GL56" s="417"/>
      <c r="GM56" s="416"/>
      <c r="GN56" s="417"/>
      <c r="GO56" s="416"/>
      <c r="GP56" s="417"/>
      <c r="GQ56" s="416"/>
      <c r="GR56" s="417"/>
      <c r="GS56" s="416"/>
      <c r="GT56" s="417"/>
      <c r="GU56" s="416"/>
      <c r="GV56" s="417"/>
      <c r="GW56" s="416"/>
      <c r="GX56" s="417"/>
      <c r="GY56" s="416"/>
      <c r="GZ56" s="417"/>
      <c r="HA56" s="416"/>
      <c r="HB56" s="417"/>
      <c r="HC56" s="416"/>
      <c r="HD56" s="417"/>
      <c r="HE56" s="416"/>
      <c r="HF56" s="417"/>
      <c r="HG56" s="416"/>
      <c r="HH56" s="417"/>
      <c r="HI56" s="416"/>
      <c r="HJ56" s="417"/>
      <c r="HK56" s="416"/>
      <c r="HL56" s="417"/>
      <c r="HM56" s="416"/>
      <c r="HN56" s="417"/>
      <c r="HO56" s="416"/>
      <c r="HP56" s="417"/>
      <c r="HQ56" s="416"/>
      <c r="HR56" s="417"/>
      <c r="HS56" s="416"/>
      <c r="HT56" s="417"/>
      <c r="HU56" s="416"/>
      <c r="HV56" s="417"/>
      <c r="HW56" s="416"/>
      <c r="HX56" s="417"/>
      <c r="HY56" s="416"/>
      <c r="HZ56" s="417"/>
      <c r="IA56" s="416"/>
      <c r="IB56" s="417"/>
      <c r="IC56" s="416"/>
      <c r="ID56" s="417"/>
      <c r="IE56" s="416"/>
      <c r="IF56" s="417"/>
      <c r="IG56" s="416"/>
      <c r="IH56" s="417"/>
      <c r="II56" s="416"/>
      <c r="IJ56" s="417"/>
      <c r="IK56" s="416"/>
      <c r="IL56" s="417"/>
      <c r="IM56" s="416"/>
      <c r="IN56" s="417"/>
      <c r="IO56" s="416"/>
      <c r="IP56" s="417"/>
      <c r="IQ56" s="416"/>
      <c r="IR56" s="417"/>
      <c r="IS56" s="416"/>
      <c r="IT56" s="417"/>
      <c r="IU56" s="416"/>
      <c r="IV56" s="417"/>
    </row>
    <row r="57" spans="1:256" s="418" customFormat="1" ht="13.5" x14ac:dyDescent="0.25">
      <c r="A57" s="415" t="s">
        <v>434</v>
      </c>
      <c r="B57" s="422">
        <v>21000</v>
      </c>
      <c r="C57" s="422">
        <f>+B57*(1+'Total Market Size'!C$136)</f>
        <v>21482.999999999996</v>
      </c>
      <c r="D57" s="422">
        <f>+C57*(1+'Total Market Size'!D$136)</f>
        <v>21912.659999999996</v>
      </c>
      <c r="E57" s="422">
        <f>+D57*(1+'Total Market Size'!E$136)</f>
        <v>22394.738519999995</v>
      </c>
      <c r="F57" s="422">
        <f>+E57*(1+'Total Market Size'!F$136)</f>
        <v>22909.817505959993</v>
      </c>
      <c r="G57" s="422">
        <f>+F57*(1+'Total Market Size'!G$136)</f>
        <v>23482.562943608991</v>
      </c>
      <c r="H57" s="422">
        <f>+G57*(1+'Total Market Size'!H$136)</f>
        <v>24057.88573572741</v>
      </c>
      <c r="I57" s="422">
        <f>+H57*(1+'Total Market Size'!I$136)</f>
        <v>24635.274993384868</v>
      </c>
      <c r="J57" s="422">
        <f>+I57*(1+'Total Market Size'!J$136)</f>
        <v>25221.594538227429</v>
      </c>
      <c r="K57" s="422">
        <f>+J57*(1+'Total Market Size'!K$136)</f>
        <v>25801.691212606656</v>
      </c>
      <c r="L57" s="426">
        <f>+K57*(1+'Total Market Size'!L$136)</f>
        <v>26389.969772254088</v>
      </c>
      <c r="M57" s="601" t="s">
        <v>507</v>
      </c>
      <c r="N57" s="417">
        <f t="shared" si="0"/>
        <v>0</v>
      </c>
      <c r="O57" s="415"/>
      <c r="P57" s="417"/>
      <c r="Q57" s="415"/>
      <c r="R57" s="417"/>
      <c r="S57" s="415"/>
      <c r="T57" s="417"/>
      <c r="U57" s="415"/>
      <c r="V57" s="417"/>
      <c r="W57" s="415"/>
      <c r="X57" s="417"/>
      <c r="Y57" s="415"/>
      <c r="Z57" s="417"/>
      <c r="AA57" s="415"/>
      <c r="AB57" s="417"/>
      <c r="AC57" s="415"/>
      <c r="AD57" s="417"/>
      <c r="AE57" s="415"/>
      <c r="AF57" s="417"/>
      <c r="AG57" s="415"/>
      <c r="AH57" s="417"/>
      <c r="AI57" s="415"/>
      <c r="AJ57" s="417"/>
      <c r="AK57" s="415"/>
      <c r="AL57" s="417"/>
      <c r="AM57" s="415"/>
      <c r="AN57" s="417"/>
      <c r="AO57" s="415"/>
      <c r="AP57" s="417"/>
      <c r="AQ57" s="415"/>
      <c r="AR57" s="417"/>
      <c r="AS57" s="415"/>
      <c r="AT57" s="417"/>
      <c r="AU57" s="415"/>
      <c r="AV57" s="417"/>
      <c r="AW57" s="415"/>
      <c r="AX57" s="417"/>
      <c r="AY57" s="415"/>
      <c r="AZ57" s="417"/>
      <c r="BA57" s="415"/>
      <c r="BB57" s="417"/>
      <c r="BC57" s="415"/>
      <c r="BD57" s="417"/>
      <c r="BE57" s="415"/>
      <c r="BF57" s="417"/>
      <c r="BG57" s="415"/>
      <c r="BH57" s="417"/>
      <c r="BI57" s="415"/>
      <c r="BJ57" s="417"/>
      <c r="BK57" s="415"/>
      <c r="BL57" s="417"/>
      <c r="BM57" s="415"/>
      <c r="BN57" s="417"/>
      <c r="BO57" s="415"/>
      <c r="BP57" s="417"/>
      <c r="BQ57" s="415"/>
      <c r="BR57" s="417"/>
      <c r="BS57" s="415"/>
      <c r="BT57" s="417"/>
      <c r="BU57" s="415"/>
      <c r="BV57" s="417"/>
      <c r="BW57" s="415"/>
      <c r="BX57" s="417"/>
      <c r="BY57" s="415"/>
      <c r="BZ57" s="417"/>
      <c r="CA57" s="415"/>
      <c r="CB57" s="417"/>
      <c r="CC57" s="415"/>
      <c r="CD57" s="417"/>
      <c r="CE57" s="415"/>
      <c r="CF57" s="417"/>
      <c r="CG57" s="415"/>
      <c r="CH57" s="417"/>
      <c r="CI57" s="415"/>
      <c r="CJ57" s="417"/>
      <c r="CK57" s="415"/>
      <c r="CL57" s="417"/>
      <c r="CM57" s="415"/>
      <c r="CN57" s="417"/>
      <c r="CO57" s="415"/>
      <c r="CP57" s="417"/>
      <c r="CQ57" s="415"/>
      <c r="CR57" s="417"/>
      <c r="CS57" s="415"/>
      <c r="CT57" s="417"/>
      <c r="CU57" s="415"/>
      <c r="CV57" s="417"/>
      <c r="CW57" s="415"/>
      <c r="CX57" s="417"/>
      <c r="CY57" s="415"/>
      <c r="CZ57" s="417"/>
      <c r="DA57" s="415"/>
      <c r="DB57" s="417"/>
      <c r="DC57" s="415"/>
      <c r="DD57" s="417"/>
      <c r="DE57" s="415"/>
      <c r="DF57" s="417"/>
      <c r="DG57" s="415"/>
      <c r="DH57" s="417"/>
      <c r="DI57" s="415"/>
      <c r="DJ57" s="417"/>
      <c r="DK57" s="415"/>
      <c r="DL57" s="417"/>
      <c r="DM57" s="415"/>
      <c r="DN57" s="417"/>
      <c r="DO57" s="415"/>
      <c r="DP57" s="417"/>
      <c r="DQ57" s="415"/>
      <c r="DR57" s="417"/>
      <c r="DS57" s="415"/>
      <c r="DT57" s="417"/>
      <c r="DU57" s="415"/>
      <c r="DV57" s="417"/>
      <c r="DW57" s="415"/>
      <c r="DX57" s="417"/>
      <c r="DY57" s="415"/>
      <c r="DZ57" s="417"/>
      <c r="EA57" s="415"/>
      <c r="EB57" s="417"/>
      <c r="EC57" s="415"/>
      <c r="ED57" s="417"/>
      <c r="EE57" s="415"/>
      <c r="EF57" s="417"/>
      <c r="EG57" s="415"/>
      <c r="EH57" s="417"/>
      <c r="EI57" s="415"/>
      <c r="EJ57" s="417"/>
      <c r="EK57" s="415"/>
      <c r="EL57" s="417"/>
      <c r="EM57" s="415"/>
      <c r="EN57" s="417"/>
      <c r="EO57" s="415"/>
      <c r="EP57" s="417"/>
      <c r="EQ57" s="415"/>
      <c r="ER57" s="417"/>
      <c r="ES57" s="415"/>
      <c r="ET57" s="417"/>
      <c r="EU57" s="415"/>
      <c r="EV57" s="417"/>
      <c r="EW57" s="415"/>
      <c r="EX57" s="417"/>
      <c r="EY57" s="415"/>
      <c r="EZ57" s="417"/>
      <c r="FA57" s="415"/>
      <c r="FB57" s="417"/>
      <c r="FC57" s="415"/>
      <c r="FD57" s="417"/>
      <c r="FE57" s="415"/>
      <c r="FF57" s="417"/>
      <c r="FG57" s="415"/>
      <c r="FH57" s="417"/>
      <c r="FI57" s="415"/>
      <c r="FJ57" s="417"/>
      <c r="FK57" s="415"/>
      <c r="FL57" s="417"/>
      <c r="FM57" s="415"/>
      <c r="FN57" s="417"/>
      <c r="FO57" s="415"/>
      <c r="FP57" s="417"/>
      <c r="FQ57" s="415"/>
      <c r="FR57" s="417"/>
      <c r="FS57" s="415"/>
      <c r="FT57" s="417"/>
      <c r="FU57" s="415"/>
      <c r="FV57" s="417"/>
      <c r="FW57" s="415"/>
      <c r="FX57" s="417"/>
      <c r="FY57" s="415"/>
      <c r="FZ57" s="417"/>
      <c r="GA57" s="415"/>
      <c r="GB57" s="417"/>
      <c r="GC57" s="415"/>
      <c r="GD57" s="417"/>
      <c r="GE57" s="415"/>
      <c r="GF57" s="417"/>
      <c r="GG57" s="415"/>
      <c r="GH57" s="417"/>
      <c r="GI57" s="415"/>
      <c r="GJ57" s="417"/>
      <c r="GK57" s="415"/>
      <c r="GL57" s="417"/>
      <c r="GM57" s="415"/>
      <c r="GN57" s="417"/>
      <c r="GO57" s="415"/>
      <c r="GP57" s="417"/>
      <c r="GQ57" s="415"/>
      <c r="GR57" s="417"/>
      <c r="GS57" s="415"/>
      <c r="GT57" s="417"/>
      <c r="GU57" s="415"/>
      <c r="GV57" s="417"/>
      <c r="GW57" s="415"/>
      <c r="GX57" s="417"/>
      <c r="GY57" s="415"/>
      <c r="GZ57" s="417"/>
      <c r="HA57" s="415"/>
      <c r="HB57" s="417"/>
      <c r="HC57" s="415"/>
      <c r="HD57" s="417"/>
      <c r="HE57" s="415"/>
      <c r="HF57" s="417"/>
      <c r="HG57" s="415"/>
      <c r="HH57" s="417"/>
      <c r="HI57" s="415"/>
      <c r="HJ57" s="417"/>
      <c r="HK57" s="415"/>
      <c r="HL57" s="417"/>
      <c r="HM57" s="415"/>
      <c r="HN57" s="417"/>
      <c r="HO57" s="415"/>
      <c r="HP57" s="417"/>
      <c r="HQ57" s="415"/>
      <c r="HR57" s="417"/>
      <c r="HS57" s="415"/>
      <c r="HT57" s="417"/>
      <c r="HU57" s="415"/>
      <c r="HV57" s="417"/>
      <c r="HW57" s="415"/>
      <c r="HX57" s="417"/>
      <c r="HY57" s="415"/>
      <c r="HZ57" s="417"/>
      <c r="IA57" s="415"/>
      <c r="IB57" s="417"/>
      <c r="IC57" s="415"/>
      <c r="ID57" s="417"/>
      <c r="IE57" s="415"/>
      <c r="IF57" s="417"/>
      <c r="IG57" s="415"/>
      <c r="IH57" s="417"/>
      <c r="II57" s="415"/>
      <c r="IJ57" s="417"/>
      <c r="IK57" s="415"/>
      <c r="IL57" s="417"/>
      <c r="IM57" s="415"/>
      <c r="IN57" s="417"/>
      <c r="IO57" s="415"/>
      <c r="IP57" s="417"/>
      <c r="IQ57" s="415"/>
      <c r="IR57" s="417"/>
      <c r="IS57" s="415"/>
      <c r="IT57" s="417"/>
      <c r="IU57" s="415"/>
      <c r="IV57" s="417"/>
    </row>
    <row r="58" spans="1:256" s="418" customFormat="1" ht="13.5" x14ac:dyDescent="0.25">
      <c r="A58" s="415" t="s">
        <v>435</v>
      </c>
      <c r="B58" s="422">
        <v>0</v>
      </c>
      <c r="C58" s="422">
        <f>+B58*(1+'Total Market Size'!C$136)</f>
        <v>0</v>
      </c>
      <c r="D58" s="422">
        <f>+C58*(1+'Total Market Size'!D$136)</f>
        <v>0</v>
      </c>
      <c r="E58" s="422">
        <f>+D58*(1+'Total Market Size'!E$136)</f>
        <v>0</v>
      </c>
      <c r="F58" s="422">
        <f>+E58*(1+'Total Market Size'!F$136)</f>
        <v>0</v>
      </c>
      <c r="G58" s="422">
        <f>+F58*(1+'Total Market Size'!G$136)</f>
        <v>0</v>
      </c>
      <c r="H58" s="422">
        <f>+G58*(1+'Total Market Size'!H$136)</f>
        <v>0</v>
      </c>
      <c r="I58" s="422">
        <f>+H58*(1+'Total Market Size'!I$136)</f>
        <v>0</v>
      </c>
      <c r="J58" s="422">
        <f>+I58*(1+'Total Market Size'!J$136)</f>
        <v>0</v>
      </c>
      <c r="K58" s="422">
        <f>+J58*(1+'Total Market Size'!K$136)</f>
        <v>0</v>
      </c>
      <c r="L58" s="426">
        <f>+K58*(1+'Total Market Size'!L$136)</f>
        <v>0</v>
      </c>
      <c r="M58" s="601" t="s">
        <v>506</v>
      </c>
      <c r="N58" s="417">
        <f t="shared" si="0"/>
        <v>1</v>
      </c>
      <c r="O58" s="415"/>
      <c r="P58" s="417"/>
      <c r="Q58" s="415"/>
      <c r="R58" s="417"/>
      <c r="S58" s="415"/>
      <c r="T58" s="417"/>
      <c r="U58" s="415"/>
      <c r="V58" s="417"/>
      <c r="W58" s="415"/>
      <c r="X58" s="417"/>
      <c r="Y58" s="415"/>
      <c r="Z58" s="417"/>
      <c r="AA58" s="415"/>
      <c r="AB58" s="417"/>
      <c r="AC58" s="415"/>
      <c r="AD58" s="417"/>
      <c r="AE58" s="415"/>
      <c r="AF58" s="417"/>
      <c r="AG58" s="415"/>
      <c r="AH58" s="417"/>
      <c r="AI58" s="415"/>
      <c r="AJ58" s="417"/>
      <c r="AK58" s="415"/>
      <c r="AL58" s="417"/>
      <c r="AM58" s="415"/>
      <c r="AN58" s="417"/>
      <c r="AO58" s="415"/>
      <c r="AP58" s="417"/>
      <c r="AQ58" s="415"/>
      <c r="AR58" s="417"/>
      <c r="AS58" s="415"/>
      <c r="AT58" s="417"/>
      <c r="AU58" s="415"/>
      <c r="AV58" s="417"/>
      <c r="AW58" s="415"/>
      <c r="AX58" s="417"/>
      <c r="AY58" s="415"/>
      <c r="AZ58" s="417"/>
      <c r="BA58" s="415"/>
      <c r="BB58" s="417"/>
      <c r="BC58" s="415"/>
      <c r="BD58" s="417"/>
      <c r="BE58" s="415"/>
      <c r="BF58" s="417"/>
      <c r="BG58" s="415"/>
      <c r="BH58" s="417"/>
      <c r="BI58" s="415"/>
      <c r="BJ58" s="417"/>
      <c r="BK58" s="415"/>
      <c r="BL58" s="417"/>
      <c r="BM58" s="415"/>
      <c r="BN58" s="417"/>
      <c r="BO58" s="415"/>
      <c r="BP58" s="417"/>
      <c r="BQ58" s="415"/>
      <c r="BR58" s="417"/>
      <c r="BS58" s="415"/>
      <c r="BT58" s="417"/>
      <c r="BU58" s="415"/>
      <c r="BV58" s="417"/>
      <c r="BW58" s="415"/>
      <c r="BX58" s="417"/>
      <c r="BY58" s="415"/>
      <c r="BZ58" s="417"/>
      <c r="CA58" s="415"/>
      <c r="CB58" s="417"/>
      <c r="CC58" s="415"/>
      <c r="CD58" s="417"/>
      <c r="CE58" s="415"/>
      <c r="CF58" s="417"/>
      <c r="CG58" s="415"/>
      <c r="CH58" s="417"/>
      <c r="CI58" s="415"/>
      <c r="CJ58" s="417"/>
      <c r="CK58" s="415"/>
      <c r="CL58" s="417"/>
      <c r="CM58" s="415"/>
      <c r="CN58" s="417"/>
      <c r="CO58" s="415"/>
      <c r="CP58" s="417"/>
      <c r="CQ58" s="415"/>
      <c r="CR58" s="417"/>
      <c r="CS58" s="415"/>
      <c r="CT58" s="417"/>
      <c r="CU58" s="415"/>
      <c r="CV58" s="417"/>
      <c r="CW58" s="415"/>
      <c r="CX58" s="417"/>
      <c r="CY58" s="415"/>
      <c r="CZ58" s="417"/>
      <c r="DA58" s="415"/>
      <c r="DB58" s="417"/>
      <c r="DC58" s="415"/>
      <c r="DD58" s="417"/>
      <c r="DE58" s="415"/>
      <c r="DF58" s="417"/>
      <c r="DG58" s="415"/>
      <c r="DH58" s="417"/>
      <c r="DI58" s="415"/>
      <c r="DJ58" s="417"/>
      <c r="DK58" s="415"/>
      <c r="DL58" s="417"/>
      <c r="DM58" s="415"/>
      <c r="DN58" s="417"/>
      <c r="DO58" s="415"/>
      <c r="DP58" s="417"/>
      <c r="DQ58" s="415"/>
      <c r="DR58" s="417"/>
      <c r="DS58" s="415"/>
      <c r="DT58" s="417"/>
      <c r="DU58" s="415"/>
      <c r="DV58" s="417"/>
      <c r="DW58" s="415"/>
      <c r="DX58" s="417"/>
      <c r="DY58" s="415"/>
      <c r="DZ58" s="417"/>
      <c r="EA58" s="415"/>
      <c r="EB58" s="417"/>
      <c r="EC58" s="415"/>
      <c r="ED58" s="417"/>
      <c r="EE58" s="415"/>
      <c r="EF58" s="417"/>
      <c r="EG58" s="415"/>
      <c r="EH58" s="417"/>
      <c r="EI58" s="415"/>
      <c r="EJ58" s="417"/>
      <c r="EK58" s="415"/>
      <c r="EL58" s="417"/>
      <c r="EM58" s="415"/>
      <c r="EN58" s="417"/>
      <c r="EO58" s="415"/>
      <c r="EP58" s="417"/>
      <c r="EQ58" s="415"/>
      <c r="ER58" s="417"/>
      <c r="ES58" s="415"/>
      <c r="ET58" s="417"/>
      <c r="EU58" s="415"/>
      <c r="EV58" s="417"/>
      <c r="EW58" s="415"/>
      <c r="EX58" s="417"/>
      <c r="EY58" s="415"/>
      <c r="EZ58" s="417"/>
      <c r="FA58" s="415"/>
      <c r="FB58" s="417"/>
      <c r="FC58" s="415"/>
      <c r="FD58" s="417"/>
      <c r="FE58" s="415"/>
      <c r="FF58" s="417"/>
      <c r="FG58" s="415"/>
      <c r="FH58" s="417"/>
      <c r="FI58" s="415"/>
      <c r="FJ58" s="417"/>
      <c r="FK58" s="415"/>
      <c r="FL58" s="417"/>
      <c r="FM58" s="415"/>
      <c r="FN58" s="417"/>
      <c r="FO58" s="415"/>
      <c r="FP58" s="417"/>
      <c r="FQ58" s="415"/>
      <c r="FR58" s="417"/>
      <c r="FS58" s="415"/>
      <c r="FT58" s="417"/>
      <c r="FU58" s="415"/>
      <c r="FV58" s="417"/>
      <c r="FW58" s="415"/>
      <c r="FX58" s="417"/>
      <c r="FY58" s="415"/>
      <c r="FZ58" s="417"/>
      <c r="GA58" s="415"/>
      <c r="GB58" s="417"/>
      <c r="GC58" s="415"/>
      <c r="GD58" s="417"/>
      <c r="GE58" s="415"/>
      <c r="GF58" s="417"/>
      <c r="GG58" s="415"/>
      <c r="GH58" s="417"/>
      <c r="GI58" s="415"/>
      <c r="GJ58" s="417"/>
      <c r="GK58" s="415"/>
      <c r="GL58" s="417"/>
      <c r="GM58" s="415"/>
      <c r="GN58" s="417"/>
      <c r="GO58" s="415"/>
      <c r="GP58" s="417"/>
      <c r="GQ58" s="415"/>
      <c r="GR58" s="417"/>
      <c r="GS58" s="415"/>
      <c r="GT58" s="417"/>
      <c r="GU58" s="415"/>
      <c r="GV58" s="417"/>
      <c r="GW58" s="415"/>
      <c r="GX58" s="417"/>
      <c r="GY58" s="415"/>
      <c r="GZ58" s="417"/>
      <c r="HA58" s="415"/>
      <c r="HB58" s="417"/>
      <c r="HC58" s="415"/>
      <c r="HD58" s="417"/>
      <c r="HE58" s="415"/>
      <c r="HF58" s="417"/>
      <c r="HG58" s="415"/>
      <c r="HH58" s="417"/>
      <c r="HI58" s="415"/>
      <c r="HJ58" s="417"/>
      <c r="HK58" s="415"/>
      <c r="HL58" s="417"/>
      <c r="HM58" s="415"/>
      <c r="HN58" s="417"/>
      <c r="HO58" s="415"/>
      <c r="HP58" s="417"/>
      <c r="HQ58" s="415"/>
      <c r="HR58" s="417"/>
      <c r="HS58" s="415"/>
      <c r="HT58" s="417"/>
      <c r="HU58" s="415"/>
      <c r="HV58" s="417"/>
      <c r="HW58" s="415"/>
      <c r="HX58" s="417"/>
      <c r="HY58" s="415"/>
      <c r="HZ58" s="417"/>
      <c r="IA58" s="415"/>
      <c r="IB58" s="417"/>
      <c r="IC58" s="415"/>
      <c r="ID58" s="417"/>
      <c r="IE58" s="415"/>
      <c r="IF58" s="417"/>
      <c r="IG58" s="415"/>
      <c r="IH58" s="417"/>
      <c r="II58" s="415"/>
      <c r="IJ58" s="417"/>
      <c r="IK58" s="415"/>
      <c r="IL58" s="417"/>
      <c r="IM58" s="415"/>
      <c r="IN58" s="417"/>
      <c r="IO58" s="415"/>
      <c r="IP58" s="417"/>
      <c r="IQ58" s="415"/>
      <c r="IR58" s="417"/>
      <c r="IS58" s="415"/>
      <c r="IT58" s="417"/>
      <c r="IU58" s="415"/>
      <c r="IV58" s="417"/>
    </row>
    <row r="59" spans="1:256" s="418" customFormat="1" ht="13.5" x14ac:dyDescent="0.25">
      <c r="A59" s="415" t="s">
        <v>443</v>
      </c>
      <c r="B59" s="422">
        <v>203906.82134941255</v>
      </c>
      <c r="C59" s="422">
        <f>+B59*(1+'Total Market Size'!C$136)</f>
        <v>208596.67824044902</v>
      </c>
      <c r="D59" s="422">
        <f>+C59*(1+'Total Market Size'!D$136)</f>
        <v>212768.611805258</v>
      </c>
      <c r="E59" s="422">
        <f>+D59*(1+'Total Market Size'!E$136)</f>
        <v>217449.52126497368</v>
      </c>
      <c r="F59" s="422">
        <f>+E59*(1+'Total Market Size'!F$136)</f>
        <v>222450.86025406804</v>
      </c>
      <c r="G59" s="422">
        <f>+F59*(1+'Total Market Size'!G$136)</f>
        <v>228012.13176041972</v>
      </c>
      <c r="H59" s="422">
        <f>+G59*(1+'Total Market Size'!H$136)</f>
        <v>233598.42898855</v>
      </c>
      <c r="I59" s="422">
        <f>+H59*(1+'Total Market Size'!I$136)</f>
        <v>239204.79128427521</v>
      </c>
      <c r="J59" s="422">
        <f>+I59*(1+'Total Market Size'!J$136)</f>
        <v>244897.86531684097</v>
      </c>
      <c r="K59" s="422">
        <f>+J59*(1+'Total Market Size'!K$136)</f>
        <v>250530.51621912827</v>
      </c>
      <c r="L59" s="426">
        <f>+K59*(1+'Total Market Size'!L$136)</f>
        <v>256242.61198892439</v>
      </c>
      <c r="M59" s="601" t="s">
        <v>506</v>
      </c>
      <c r="N59" s="417">
        <f t="shared" si="0"/>
        <v>1</v>
      </c>
      <c r="O59" s="415"/>
      <c r="P59" s="417"/>
      <c r="Q59" s="415"/>
      <c r="R59" s="417"/>
      <c r="S59" s="415"/>
      <c r="T59" s="417"/>
      <c r="U59" s="415"/>
      <c r="V59" s="417"/>
      <c r="W59" s="415"/>
      <c r="X59" s="417"/>
      <c r="Y59" s="415"/>
      <c r="Z59" s="417"/>
      <c r="AA59" s="415"/>
      <c r="AB59" s="417"/>
      <c r="AC59" s="415"/>
      <c r="AD59" s="417"/>
      <c r="AE59" s="415"/>
      <c r="AF59" s="417"/>
      <c r="AG59" s="415"/>
      <c r="AH59" s="417"/>
      <c r="AI59" s="415"/>
      <c r="AJ59" s="417"/>
      <c r="AK59" s="415"/>
      <c r="AL59" s="417"/>
      <c r="AM59" s="415"/>
      <c r="AN59" s="417"/>
      <c r="AO59" s="415"/>
      <c r="AP59" s="417"/>
      <c r="AQ59" s="415"/>
      <c r="AR59" s="417"/>
      <c r="AS59" s="415"/>
      <c r="AT59" s="417"/>
      <c r="AU59" s="415"/>
      <c r="AV59" s="417"/>
      <c r="AW59" s="415"/>
      <c r="AX59" s="417"/>
      <c r="AY59" s="415"/>
      <c r="AZ59" s="417"/>
      <c r="BA59" s="415"/>
      <c r="BB59" s="417"/>
      <c r="BC59" s="415"/>
      <c r="BD59" s="417"/>
      <c r="BE59" s="415"/>
      <c r="BF59" s="417"/>
      <c r="BG59" s="415"/>
      <c r="BH59" s="417"/>
      <c r="BI59" s="415"/>
      <c r="BJ59" s="417"/>
      <c r="BK59" s="415"/>
      <c r="BL59" s="417"/>
      <c r="BM59" s="415"/>
      <c r="BN59" s="417"/>
      <c r="BO59" s="415"/>
      <c r="BP59" s="417"/>
      <c r="BQ59" s="415"/>
      <c r="BR59" s="417"/>
      <c r="BS59" s="415"/>
      <c r="BT59" s="417"/>
      <c r="BU59" s="415"/>
      <c r="BV59" s="417"/>
      <c r="BW59" s="415"/>
      <c r="BX59" s="417"/>
      <c r="BY59" s="415"/>
      <c r="BZ59" s="417"/>
      <c r="CA59" s="415"/>
      <c r="CB59" s="417"/>
      <c r="CC59" s="415"/>
      <c r="CD59" s="417"/>
      <c r="CE59" s="415"/>
      <c r="CF59" s="417"/>
      <c r="CG59" s="415"/>
      <c r="CH59" s="417"/>
      <c r="CI59" s="415"/>
      <c r="CJ59" s="417"/>
      <c r="CK59" s="415"/>
      <c r="CL59" s="417"/>
      <c r="CM59" s="415"/>
      <c r="CN59" s="417"/>
      <c r="CO59" s="415"/>
      <c r="CP59" s="417"/>
      <c r="CQ59" s="415"/>
      <c r="CR59" s="417"/>
      <c r="CS59" s="415"/>
      <c r="CT59" s="417"/>
      <c r="CU59" s="415"/>
      <c r="CV59" s="417"/>
      <c r="CW59" s="415"/>
      <c r="CX59" s="417"/>
      <c r="CY59" s="415"/>
      <c r="CZ59" s="417"/>
      <c r="DA59" s="415"/>
      <c r="DB59" s="417"/>
      <c r="DC59" s="415"/>
      <c r="DD59" s="417"/>
      <c r="DE59" s="415"/>
      <c r="DF59" s="417"/>
      <c r="DG59" s="415"/>
      <c r="DH59" s="417"/>
      <c r="DI59" s="415"/>
      <c r="DJ59" s="417"/>
      <c r="DK59" s="415"/>
      <c r="DL59" s="417"/>
      <c r="DM59" s="415"/>
      <c r="DN59" s="417"/>
      <c r="DO59" s="415"/>
      <c r="DP59" s="417"/>
      <c r="DQ59" s="415"/>
      <c r="DR59" s="417"/>
      <c r="DS59" s="415"/>
      <c r="DT59" s="417"/>
      <c r="DU59" s="415"/>
      <c r="DV59" s="417"/>
      <c r="DW59" s="415"/>
      <c r="DX59" s="417"/>
      <c r="DY59" s="415"/>
      <c r="DZ59" s="417"/>
      <c r="EA59" s="415"/>
      <c r="EB59" s="417"/>
      <c r="EC59" s="415"/>
      <c r="ED59" s="417"/>
      <c r="EE59" s="415"/>
      <c r="EF59" s="417"/>
      <c r="EG59" s="415"/>
      <c r="EH59" s="417"/>
      <c r="EI59" s="415"/>
      <c r="EJ59" s="417"/>
      <c r="EK59" s="415"/>
      <c r="EL59" s="417"/>
      <c r="EM59" s="415"/>
      <c r="EN59" s="417"/>
      <c r="EO59" s="415"/>
      <c r="EP59" s="417"/>
      <c r="EQ59" s="415"/>
      <c r="ER59" s="417"/>
      <c r="ES59" s="415"/>
      <c r="ET59" s="417"/>
      <c r="EU59" s="415"/>
      <c r="EV59" s="417"/>
      <c r="EW59" s="415"/>
      <c r="EX59" s="417"/>
      <c r="EY59" s="415"/>
      <c r="EZ59" s="417"/>
      <c r="FA59" s="415"/>
      <c r="FB59" s="417"/>
      <c r="FC59" s="415"/>
      <c r="FD59" s="417"/>
      <c r="FE59" s="415"/>
      <c r="FF59" s="417"/>
      <c r="FG59" s="415"/>
      <c r="FH59" s="417"/>
      <c r="FI59" s="415"/>
      <c r="FJ59" s="417"/>
      <c r="FK59" s="415"/>
      <c r="FL59" s="417"/>
      <c r="FM59" s="415"/>
      <c r="FN59" s="417"/>
      <c r="FO59" s="415"/>
      <c r="FP59" s="417"/>
      <c r="FQ59" s="415"/>
      <c r="FR59" s="417"/>
      <c r="FS59" s="415"/>
      <c r="FT59" s="417"/>
      <c r="FU59" s="415"/>
      <c r="FV59" s="417"/>
      <c r="FW59" s="415"/>
      <c r="FX59" s="417"/>
      <c r="FY59" s="415"/>
      <c r="FZ59" s="417"/>
      <c r="GA59" s="415"/>
      <c r="GB59" s="417"/>
      <c r="GC59" s="415"/>
      <c r="GD59" s="417"/>
      <c r="GE59" s="415"/>
      <c r="GF59" s="417"/>
      <c r="GG59" s="415"/>
      <c r="GH59" s="417"/>
      <c r="GI59" s="415"/>
      <c r="GJ59" s="417"/>
      <c r="GK59" s="415"/>
      <c r="GL59" s="417"/>
      <c r="GM59" s="415"/>
      <c r="GN59" s="417"/>
      <c r="GO59" s="415"/>
      <c r="GP59" s="417"/>
      <c r="GQ59" s="415"/>
      <c r="GR59" s="417"/>
      <c r="GS59" s="415"/>
      <c r="GT59" s="417"/>
      <c r="GU59" s="415"/>
      <c r="GV59" s="417"/>
      <c r="GW59" s="415"/>
      <c r="GX59" s="417"/>
      <c r="GY59" s="415"/>
      <c r="GZ59" s="417"/>
      <c r="HA59" s="415"/>
      <c r="HB59" s="417"/>
      <c r="HC59" s="415"/>
      <c r="HD59" s="417"/>
      <c r="HE59" s="415"/>
      <c r="HF59" s="417"/>
      <c r="HG59" s="415"/>
      <c r="HH59" s="417"/>
      <c r="HI59" s="415"/>
      <c r="HJ59" s="417"/>
      <c r="HK59" s="415"/>
      <c r="HL59" s="417"/>
      <c r="HM59" s="415"/>
      <c r="HN59" s="417"/>
      <c r="HO59" s="415"/>
      <c r="HP59" s="417"/>
      <c r="HQ59" s="415"/>
      <c r="HR59" s="417"/>
      <c r="HS59" s="415"/>
      <c r="HT59" s="417"/>
      <c r="HU59" s="415"/>
      <c r="HV59" s="417"/>
      <c r="HW59" s="415"/>
      <c r="HX59" s="417"/>
      <c r="HY59" s="415"/>
      <c r="HZ59" s="417"/>
      <c r="IA59" s="415"/>
      <c r="IB59" s="417"/>
      <c r="IC59" s="415"/>
      <c r="ID59" s="417"/>
      <c r="IE59" s="415"/>
      <c r="IF59" s="417"/>
      <c r="IG59" s="415"/>
      <c r="IH59" s="417"/>
      <c r="II59" s="415"/>
      <c r="IJ59" s="417"/>
      <c r="IK59" s="415"/>
      <c r="IL59" s="417"/>
      <c r="IM59" s="415"/>
      <c r="IN59" s="417"/>
      <c r="IO59" s="415"/>
      <c r="IP59" s="417"/>
      <c r="IQ59" s="415"/>
      <c r="IR59" s="417"/>
      <c r="IS59" s="415"/>
      <c r="IT59" s="417"/>
      <c r="IU59" s="415"/>
      <c r="IV59" s="417"/>
    </row>
    <row r="60" spans="1:256" s="418" customFormat="1" ht="13.5" x14ac:dyDescent="0.25">
      <c r="A60" s="415" t="s">
        <v>444</v>
      </c>
      <c r="B60" s="422">
        <v>80000</v>
      </c>
      <c r="C60" s="422">
        <f>+B60*(1+'Total Market Size'!C$136)</f>
        <v>81840</v>
      </c>
      <c r="D60" s="422">
        <f>+C60*(1+'Total Market Size'!D$136)</f>
        <v>83476.800000000003</v>
      </c>
      <c r="E60" s="422">
        <f>+D60*(1+'Total Market Size'!E$136)</f>
        <v>85313.289600000004</v>
      </c>
      <c r="F60" s="422">
        <f>+E60*(1+'Total Market Size'!F$136)</f>
        <v>87275.495260800002</v>
      </c>
      <c r="G60" s="422">
        <f>+F60*(1+'Total Market Size'!G$136)</f>
        <v>89457.382642319993</v>
      </c>
      <c r="H60" s="422">
        <f>+G60*(1+'Total Market Size'!H$136)</f>
        <v>91649.088517056836</v>
      </c>
      <c r="I60" s="422">
        <f>+H60*(1+'Total Market Size'!I$136)</f>
        <v>93848.666641466203</v>
      </c>
      <c r="J60" s="422">
        <f>+I60*(1+'Total Market Size'!J$136)</f>
        <v>96082.264907533099</v>
      </c>
      <c r="K60" s="422">
        <f>+J60*(1+'Total Market Size'!K$136)</f>
        <v>98292.157000406354</v>
      </c>
      <c r="L60" s="426">
        <f>+K60*(1+'Total Market Size'!L$136)</f>
        <v>100533.21818001561</v>
      </c>
      <c r="M60" s="601" t="s">
        <v>506</v>
      </c>
      <c r="N60" s="417">
        <f t="shared" si="0"/>
        <v>1</v>
      </c>
      <c r="O60" s="415"/>
      <c r="P60" s="417"/>
      <c r="Q60" s="415"/>
      <c r="R60" s="417"/>
      <c r="S60" s="415"/>
      <c r="T60" s="417"/>
      <c r="U60" s="415"/>
      <c r="V60" s="417"/>
      <c r="W60" s="415"/>
      <c r="X60" s="417"/>
      <c r="Y60" s="415"/>
      <c r="Z60" s="417"/>
      <c r="AA60" s="415"/>
      <c r="AB60" s="417"/>
      <c r="AC60" s="415"/>
      <c r="AD60" s="417"/>
      <c r="AE60" s="415"/>
      <c r="AF60" s="417"/>
      <c r="AG60" s="415"/>
      <c r="AH60" s="417"/>
      <c r="AI60" s="415"/>
      <c r="AJ60" s="417"/>
      <c r="AK60" s="415"/>
      <c r="AL60" s="417"/>
      <c r="AM60" s="415"/>
      <c r="AN60" s="417"/>
      <c r="AO60" s="415"/>
      <c r="AP60" s="417"/>
      <c r="AQ60" s="415"/>
      <c r="AR60" s="417"/>
      <c r="AS60" s="415"/>
      <c r="AT60" s="417"/>
      <c r="AU60" s="415"/>
      <c r="AV60" s="417"/>
      <c r="AW60" s="415"/>
      <c r="AX60" s="417"/>
      <c r="AY60" s="415"/>
      <c r="AZ60" s="417"/>
      <c r="BA60" s="415"/>
      <c r="BB60" s="417"/>
      <c r="BC60" s="415"/>
      <c r="BD60" s="417"/>
      <c r="BE60" s="415"/>
      <c r="BF60" s="417"/>
      <c r="BG60" s="415"/>
      <c r="BH60" s="417"/>
      <c r="BI60" s="415"/>
      <c r="BJ60" s="417"/>
      <c r="BK60" s="415"/>
      <c r="BL60" s="417"/>
      <c r="BM60" s="415"/>
      <c r="BN60" s="417"/>
      <c r="BO60" s="415"/>
      <c r="BP60" s="417"/>
      <c r="BQ60" s="415"/>
      <c r="BR60" s="417"/>
      <c r="BS60" s="415"/>
      <c r="BT60" s="417"/>
      <c r="BU60" s="415"/>
      <c r="BV60" s="417"/>
      <c r="BW60" s="415"/>
      <c r="BX60" s="417"/>
      <c r="BY60" s="415"/>
      <c r="BZ60" s="417"/>
      <c r="CA60" s="415"/>
      <c r="CB60" s="417"/>
      <c r="CC60" s="415"/>
      <c r="CD60" s="417"/>
      <c r="CE60" s="415"/>
      <c r="CF60" s="417"/>
      <c r="CG60" s="415"/>
      <c r="CH60" s="417"/>
      <c r="CI60" s="415"/>
      <c r="CJ60" s="417"/>
      <c r="CK60" s="415"/>
      <c r="CL60" s="417"/>
      <c r="CM60" s="415"/>
      <c r="CN60" s="417"/>
      <c r="CO60" s="415"/>
      <c r="CP60" s="417"/>
      <c r="CQ60" s="415"/>
      <c r="CR60" s="417"/>
      <c r="CS60" s="415"/>
      <c r="CT60" s="417"/>
      <c r="CU60" s="415"/>
      <c r="CV60" s="417"/>
      <c r="CW60" s="415"/>
      <c r="CX60" s="417"/>
      <c r="CY60" s="415"/>
      <c r="CZ60" s="417"/>
      <c r="DA60" s="415"/>
      <c r="DB60" s="417"/>
      <c r="DC60" s="415"/>
      <c r="DD60" s="417"/>
      <c r="DE60" s="415"/>
      <c r="DF60" s="417"/>
      <c r="DG60" s="415"/>
      <c r="DH60" s="417"/>
      <c r="DI60" s="415"/>
      <c r="DJ60" s="417"/>
      <c r="DK60" s="415"/>
      <c r="DL60" s="417"/>
      <c r="DM60" s="415"/>
      <c r="DN60" s="417"/>
      <c r="DO60" s="415"/>
      <c r="DP60" s="417"/>
      <c r="DQ60" s="415"/>
      <c r="DR60" s="417"/>
      <c r="DS60" s="415"/>
      <c r="DT60" s="417"/>
      <c r="DU60" s="415"/>
      <c r="DV60" s="417"/>
      <c r="DW60" s="415"/>
      <c r="DX60" s="417"/>
      <c r="DY60" s="415"/>
      <c r="DZ60" s="417"/>
      <c r="EA60" s="415"/>
      <c r="EB60" s="417"/>
      <c r="EC60" s="415"/>
      <c r="ED60" s="417"/>
      <c r="EE60" s="415"/>
      <c r="EF60" s="417"/>
      <c r="EG60" s="415"/>
      <c r="EH60" s="417"/>
      <c r="EI60" s="415"/>
      <c r="EJ60" s="417"/>
      <c r="EK60" s="415"/>
      <c r="EL60" s="417"/>
      <c r="EM60" s="415"/>
      <c r="EN60" s="417"/>
      <c r="EO60" s="415"/>
      <c r="EP60" s="417"/>
      <c r="EQ60" s="415"/>
      <c r="ER60" s="417"/>
      <c r="ES60" s="415"/>
      <c r="ET60" s="417"/>
      <c r="EU60" s="415"/>
      <c r="EV60" s="417"/>
      <c r="EW60" s="415"/>
      <c r="EX60" s="417"/>
      <c r="EY60" s="415"/>
      <c r="EZ60" s="417"/>
      <c r="FA60" s="415"/>
      <c r="FB60" s="417"/>
      <c r="FC60" s="415"/>
      <c r="FD60" s="417"/>
      <c r="FE60" s="415"/>
      <c r="FF60" s="417"/>
      <c r="FG60" s="415"/>
      <c r="FH60" s="417"/>
      <c r="FI60" s="415"/>
      <c r="FJ60" s="417"/>
      <c r="FK60" s="415"/>
      <c r="FL60" s="417"/>
      <c r="FM60" s="415"/>
      <c r="FN60" s="417"/>
      <c r="FO60" s="415"/>
      <c r="FP60" s="417"/>
      <c r="FQ60" s="415"/>
      <c r="FR60" s="417"/>
      <c r="FS60" s="415"/>
      <c r="FT60" s="417"/>
      <c r="FU60" s="415"/>
      <c r="FV60" s="417"/>
      <c r="FW60" s="415"/>
      <c r="FX60" s="417"/>
      <c r="FY60" s="415"/>
      <c r="FZ60" s="417"/>
      <c r="GA60" s="415"/>
      <c r="GB60" s="417"/>
      <c r="GC60" s="415"/>
      <c r="GD60" s="417"/>
      <c r="GE60" s="415"/>
      <c r="GF60" s="417"/>
      <c r="GG60" s="415"/>
      <c r="GH60" s="417"/>
      <c r="GI60" s="415"/>
      <c r="GJ60" s="417"/>
      <c r="GK60" s="415"/>
      <c r="GL60" s="417"/>
      <c r="GM60" s="415"/>
      <c r="GN60" s="417"/>
      <c r="GO60" s="415"/>
      <c r="GP60" s="417"/>
      <c r="GQ60" s="415"/>
      <c r="GR60" s="417"/>
      <c r="GS60" s="415"/>
      <c r="GT60" s="417"/>
      <c r="GU60" s="415"/>
      <c r="GV60" s="417"/>
      <c r="GW60" s="415"/>
      <c r="GX60" s="417"/>
      <c r="GY60" s="415"/>
      <c r="GZ60" s="417"/>
      <c r="HA60" s="415"/>
      <c r="HB60" s="417"/>
      <c r="HC60" s="415"/>
      <c r="HD60" s="417"/>
      <c r="HE60" s="415"/>
      <c r="HF60" s="417"/>
      <c r="HG60" s="415"/>
      <c r="HH60" s="417"/>
      <c r="HI60" s="415"/>
      <c r="HJ60" s="417"/>
      <c r="HK60" s="415"/>
      <c r="HL60" s="417"/>
      <c r="HM60" s="415"/>
      <c r="HN60" s="417"/>
      <c r="HO60" s="415"/>
      <c r="HP60" s="417"/>
      <c r="HQ60" s="415"/>
      <c r="HR60" s="417"/>
      <c r="HS60" s="415"/>
      <c r="HT60" s="417"/>
      <c r="HU60" s="415"/>
      <c r="HV60" s="417"/>
      <c r="HW60" s="415"/>
      <c r="HX60" s="417"/>
      <c r="HY60" s="415"/>
      <c r="HZ60" s="417"/>
      <c r="IA60" s="415"/>
      <c r="IB60" s="417"/>
      <c r="IC60" s="415"/>
      <c r="ID60" s="417"/>
      <c r="IE60" s="415"/>
      <c r="IF60" s="417"/>
      <c r="IG60" s="415"/>
      <c r="IH60" s="417"/>
      <c r="II60" s="415"/>
      <c r="IJ60" s="417"/>
      <c r="IK60" s="415"/>
      <c r="IL60" s="417"/>
      <c r="IM60" s="415"/>
      <c r="IN60" s="417"/>
      <c r="IO60" s="415"/>
      <c r="IP60" s="417"/>
      <c r="IQ60" s="415"/>
      <c r="IR60" s="417"/>
      <c r="IS60" s="415"/>
      <c r="IT60" s="417"/>
      <c r="IU60" s="415"/>
      <c r="IV60" s="417"/>
    </row>
    <row r="61" spans="1:256" s="418" customFormat="1" ht="13.5" x14ac:dyDescent="0.25">
      <c r="A61" s="415" t="s">
        <v>436</v>
      </c>
      <c r="B61" s="421">
        <v>0</v>
      </c>
      <c r="C61" s="421">
        <f>+B61*(1+'Total Market Size'!C$136)</f>
        <v>0</v>
      </c>
      <c r="D61" s="421">
        <f>+C61*(1+'Total Market Size'!D$136)</f>
        <v>0</v>
      </c>
      <c r="E61" s="421">
        <f>+D61*(1+'Total Market Size'!E$136)</f>
        <v>0</v>
      </c>
      <c r="F61" s="421">
        <f>+E61*(1+'Total Market Size'!F$136)</f>
        <v>0</v>
      </c>
      <c r="G61" s="421">
        <f>+F61*(1+'Total Market Size'!G$136)</f>
        <v>0</v>
      </c>
      <c r="H61" s="421">
        <f>+G61*(1+'Total Market Size'!H$136)</f>
        <v>0</v>
      </c>
      <c r="I61" s="421">
        <f>+H61*(1+'Total Market Size'!I$136)</f>
        <v>0</v>
      </c>
      <c r="J61" s="421">
        <f>+I61*(1+'Total Market Size'!J$136)</f>
        <v>0</v>
      </c>
      <c r="K61" s="421">
        <f>+J61*(1+'Total Market Size'!K$136)</f>
        <v>0</v>
      </c>
      <c r="L61" s="425">
        <f>+K61*(1+'Total Market Size'!L$136)</f>
        <v>0</v>
      </c>
      <c r="M61" s="601" t="s">
        <v>506</v>
      </c>
      <c r="N61" s="417">
        <f t="shared" si="0"/>
        <v>1</v>
      </c>
      <c r="O61" s="415"/>
      <c r="P61" s="417"/>
      <c r="Q61" s="415"/>
      <c r="R61" s="417"/>
      <c r="S61" s="415"/>
      <c r="T61" s="417"/>
      <c r="U61" s="415"/>
      <c r="V61" s="417"/>
      <c r="W61" s="415"/>
      <c r="X61" s="417"/>
      <c r="Y61" s="415"/>
      <c r="Z61" s="417"/>
      <c r="AA61" s="415"/>
      <c r="AB61" s="417"/>
      <c r="AC61" s="415"/>
      <c r="AD61" s="417"/>
      <c r="AE61" s="415"/>
      <c r="AF61" s="417"/>
      <c r="AG61" s="415"/>
      <c r="AH61" s="417"/>
      <c r="AI61" s="415"/>
      <c r="AJ61" s="417"/>
      <c r="AK61" s="415"/>
      <c r="AL61" s="417"/>
      <c r="AM61" s="415"/>
      <c r="AN61" s="417"/>
      <c r="AO61" s="415"/>
      <c r="AP61" s="417"/>
      <c r="AQ61" s="415"/>
      <c r="AR61" s="417"/>
      <c r="AS61" s="415"/>
      <c r="AT61" s="417"/>
      <c r="AU61" s="415"/>
      <c r="AV61" s="417"/>
      <c r="AW61" s="415"/>
      <c r="AX61" s="417"/>
      <c r="AY61" s="415"/>
      <c r="AZ61" s="417"/>
      <c r="BA61" s="415"/>
      <c r="BB61" s="417"/>
      <c r="BC61" s="415"/>
      <c r="BD61" s="417"/>
      <c r="BE61" s="415"/>
      <c r="BF61" s="417"/>
      <c r="BG61" s="415"/>
      <c r="BH61" s="417"/>
      <c r="BI61" s="415"/>
      <c r="BJ61" s="417"/>
      <c r="BK61" s="415"/>
      <c r="BL61" s="417"/>
      <c r="BM61" s="415"/>
      <c r="BN61" s="417"/>
      <c r="BO61" s="415"/>
      <c r="BP61" s="417"/>
      <c r="BQ61" s="415"/>
      <c r="BR61" s="417"/>
      <c r="BS61" s="415"/>
      <c r="BT61" s="417"/>
      <c r="BU61" s="415"/>
      <c r="BV61" s="417"/>
      <c r="BW61" s="415"/>
      <c r="BX61" s="417"/>
      <c r="BY61" s="415"/>
      <c r="BZ61" s="417"/>
      <c r="CA61" s="415"/>
      <c r="CB61" s="417"/>
      <c r="CC61" s="415"/>
      <c r="CD61" s="417"/>
      <c r="CE61" s="415"/>
      <c r="CF61" s="417"/>
      <c r="CG61" s="415"/>
      <c r="CH61" s="417"/>
      <c r="CI61" s="415"/>
      <c r="CJ61" s="417"/>
      <c r="CK61" s="415"/>
      <c r="CL61" s="417"/>
      <c r="CM61" s="415"/>
      <c r="CN61" s="417"/>
      <c r="CO61" s="415"/>
      <c r="CP61" s="417"/>
      <c r="CQ61" s="415"/>
      <c r="CR61" s="417"/>
      <c r="CS61" s="415"/>
      <c r="CT61" s="417"/>
      <c r="CU61" s="415"/>
      <c r="CV61" s="417"/>
      <c r="CW61" s="415"/>
      <c r="CX61" s="417"/>
      <c r="CY61" s="415"/>
      <c r="CZ61" s="417"/>
      <c r="DA61" s="415"/>
      <c r="DB61" s="417"/>
      <c r="DC61" s="415"/>
      <c r="DD61" s="417"/>
      <c r="DE61" s="415"/>
      <c r="DF61" s="417"/>
      <c r="DG61" s="415"/>
      <c r="DH61" s="417"/>
      <c r="DI61" s="415"/>
      <c r="DJ61" s="417"/>
      <c r="DK61" s="415"/>
      <c r="DL61" s="417"/>
      <c r="DM61" s="415"/>
      <c r="DN61" s="417"/>
      <c r="DO61" s="415"/>
      <c r="DP61" s="417"/>
      <c r="DQ61" s="415"/>
      <c r="DR61" s="417"/>
      <c r="DS61" s="415"/>
      <c r="DT61" s="417"/>
      <c r="DU61" s="415"/>
      <c r="DV61" s="417"/>
      <c r="DW61" s="415"/>
      <c r="DX61" s="417"/>
      <c r="DY61" s="415"/>
      <c r="DZ61" s="417"/>
      <c r="EA61" s="415"/>
      <c r="EB61" s="417"/>
      <c r="EC61" s="415"/>
      <c r="ED61" s="417"/>
      <c r="EE61" s="415"/>
      <c r="EF61" s="417"/>
      <c r="EG61" s="415"/>
      <c r="EH61" s="417"/>
      <c r="EI61" s="415"/>
      <c r="EJ61" s="417"/>
      <c r="EK61" s="415"/>
      <c r="EL61" s="417"/>
      <c r="EM61" s="415"/>
      <c r="EN61" s="417"/>
      <c r="EO61" s="415"/>
      <c r="EP61" s="417"/>
      <c r="EQ61" s="415"/>
      <c r="ER61" s="417"/>
      <c r="ES61" s="415"/>
      <c r="ET61" s="417"/>
      <c r="EU61" s="415"/>
      <c r="EV61" s="417"/>
      <c r="EW61" s="415"/>
      <c r="EX61" s="417"/>
      <c r="EY61" s="415"/>
      <c r="EZ61" s="417"/>
      <c r="FA61" s="415"/>
      <c r="FB61" s="417"/>
      <c r="FC61" s="415"/>
      <c r="FD61" s="417"/>
      <c r="FE61" s="415"/>
      <c r="FF61" s="417"/>
      <c r="FG61" s="415"/>
      <c r="FH61" s="417"/>
      <c r="FI61" s="415"/>
      <c r="FJ61" s="417"/>
      <c r="FK61" s="415"/>
      <c r="FL61" s="417"/>
      <c r="FM61" s="415"/>
      <c r="FN61" s="417"/>
      <c r="FO61" s="415"/>
      <c r="FP61" s="417"/>
      <c r="FQ61" s="415"/>
      <c r="FR61" s="417"/>
      <c r="FS61" s="415"/>
      <c r="FT61" s="417"/>
      <c r="FU61" s="415"/>
      <c r="FV61" s="417"/>
      <c r="FW61" s="415"/>
      <c r="FX61" s="417"/>
      <c r="FY61" s="415"/>
      <c r="FZ61" s="417"/>
      <c r="GA61" s="415"/>
      <c r="GB61" s="417"/>
      <c r="GC61" s="415"/>
      <c r="GD61" s="417"/>
      <c r="GE61" s="415"/>
      <c r="GF61" s="417"/>
      <c r="GG61" s="415"/>
      <c r="GH61" s="417"/>
      <c r="GI61" s="415"/>
      <c r="GJ61" s="417"/>
      <c r="GK61" s="415"/>
      <c r="GL61" s="417"/>
      <c r="GM61" s="415"/>
      <c r="GN61" s="417"/>
      <c r="GO61" s="415"/>
      <c r="GP61" s="417"/>
      <c r="GQ61" s="415"/>
      <c r="GR61" s="417"/>
      <c r="GS61" s="415"/>
      <c r="GT61" s="417"/>
      <c r="GU61" s="415"/>
      <c r="GV61" s="417"/>
      <c r="GW61" s="415"/>
      <c r="GX61" s="417"/>
      <c r="GY61" s="415"/>
      <c r="GZ61" s="417"/>
      <c r="HA61" s="415"/>
      <c r="HB61" s="417"/>
      <c r="HC61" s="415"/>
      <c r="HD61" s="417"/>
      <c r="HE61" s="415"/>
      <c r="HF61" s="417"/>
      <c r="HG61" s="415"/>
      <c r="HH61" s="417"/>
      <c r="HI61" s="415"/>
      <c r="HJ61" s="417"/>
      <c r="HK61" s="415"/>
      <c r="HL61" s="417"/>
      <c r="HM61" s="415"/>
      <c r="HN61" s="417"/>
      <c r="HO61" s="415"/>
      <c r="HP61" s="417"/>
      <c r="HQ61" s="415"/>
      <c r="HR61" s="417"/>
      <c r="HS61" s="415"/>
      <c r="HT61" s="417"/>
      <c r="HU61" s="415"/>
      <c r="HV61" s="417"/>
      <c r="HW61" s="415"/>
      <c r="HX61" s="417"/>
      <c r="HY61" s="415"/>
      <c r="HZ61" s="417"/>
      <c r="IA61" s="415"/>
      <c r="IB61" s="417"/>
      <c r="IC61" s="415"/>
      <c r="ID61" s="417"/>
      <c r="IE61" s="415"/>
      <c r="IF61" s="417"/>
      <c r="IG61" s="415"/>
      <c r="IH61" s="417"/>
      <c r="II61" s="415"/>
      <c r="IJ61" s="417"/>
      <c r="IK61" s="415"/>
      <c r="IL61" s="417"/>
      <c r="IM61" s="415"/>
      <c r="IN61" s="417"/>
      <c r="IO61" s="415"/>
      <c r="IP61" s="417"/>
      <c r="IQ61" s="415"/>
      <c r="IR61" s="417"/>
      <c r="IS61" s="415"/>
      <c r="IT61" s="417"/>
      <c r="IU61" s="415"/>
      <c r="IV61" s="417"/>
    </row>
    <row r="62" spans="1:256" s="418" customFormat="1" ht="13.5" x14ac:dyDescent="0.25">
      <c r="A62" s="416" t="s">
        <v>437</v>
      </c>
      <c r="B62" s="422">
        <f>+SUM(B57:B61)+B56+B52+B47+B39+B35+B28</f>
        <v>1656956.2919223295</v>
      </c>
      <c r="C62" s="422">
        <f>+B62*(1+'Total Market Size'!C$136)</f>
        <v>1695066.286636543</v>
      </c>
      <c r="D62" s="422">
        <f>+C62*(1+'Total Market Size'!D$136)</f>
        <v>1728967.6123692738</v>
      </c>
      <c r="E62" s="422">
        <f>+D62*(1+'Total Market Size'!E$136)</f>
        <v>1767004.8998413978</v>
      </c>
      <c r="F62" s="422">
        <f>+E62*(1+'Total Market Size'!F$136)</f>
        <v>1807646.0125377497</v>
      </c>
      <c r="G62" s="422">
        <f>+F62*(1+'Total Market Size'!G$136)</f>
        <v>1852837.1628511932</v>
      </c>
      <c r="H62" s="422">
        <f>+G62*(1+'Total Market Size'!H$136)</f>
        <v>1898231.6733410475</v>
      </c>
      <c r="I62" s="422">
        <f>+H62*(1+'Total Market Size'!I$136)</f>
        <v>1943789.2335012327</v>
      </c>
      <c r="J62" s="422">
        <f>+I62*(1+'Total Market Size'!J$136)</f>
        <v>1990051.4172585621</v>
      </c>
      <c r="K62" s="422">
        <f>+J62*(1+'Total Market Size'!K$136)</f>
        <v>2035822.5998555089</v>
      </c>
      <c r="L62" s="426">
        <f>+K62*(1+'Total Market Size'!L$136)</f>
        <v>2082239.3551322143</v>
      </c>
      <c r="M62" s="601"/>
      <c r="N62" s="417">
        <f t="shared" si="0"/>
        <v>0</v>
      </c>
      <c r="O62" s="416"/>
      <c r="P62" s="417"/>
      <c r="Q62" s="416"/>
      <c r="R62" s="417"/>
      <c r="S62" s="416"/>
      <c r="T62" s="417"/>
      <c r="U62" s="416"/>
      <c r="V62" s="417"/>
      <c r="W62" s="416"/>
      <c r="X62" s="417"/>
      <c r="Y62" s="416"/>
      <c r="Z62" s="417"/>
      <c r="AA62" s="416"/>
      <c r="AB62" s="417"/>
      <c r="AC62" s="416"/>
      <c r="AD62" s="417"/>
      <c r="AE62" s="416"/>
      <c r="AF62" s="417"/>
      <c r="AG62" s="416"/>
      <c r="AH62" s="417"/>
      <c r="AI62" s="416"/>
      <c r="AJ62" s="417"/>
      <c r="AK62" s="416"/>
      <c r="AL62" s="417"/>
      <c r="AM62" s="416"/>
      <c r="AN62" s="417"/>
      <c r="AO62" s="416"/>
      <c r="AP62" s="417"/>
      <c r="AQ62" s="416"/>
      <c r="AR62" s="417"/>
      <c r="AS62" s="416"/>
      <c r="AT62" s="417"/>
      <c r="AU62" s="416"/>
      <c r="AV62" s="417"/>
      <c r="AW62" s="416"/>
      <c r="AX62" s="417"/>
      <c r="AY62" s="416"/>
      <c r="AZ62" s="417"/>
      <c r="BA62" s="416"/>
      <c r="BB62" s="417"/>
      <c r="BC62" s="416"/>
      <c r="BD62" s="417"/>
      <c r="BE62" s="416"/>
      <c r="BF62" s="417"/>
      <c r="BG62" s="416"/>
      <c r="BH62" s="417"/>
      <c r="BI62" s="416"/>
      <c r="BJ62" s="417"/>
      <c r="BK62" s="416"/>
      <c r="BL62" s="417"/>
      <c r="BM62" s="416"/>
      <c r="BN62" s="417"/>
      <c r="BO62" s="416"/>
      <c r="BP62" s="417"/>
      <c r="BQ62" s="416"/>
      <c r="BR62" s="417"/>
      <c r="BS62" s="416"/>
      <c r="BT62" s="417"/>
      <c r="BU62" s="416"/>
      <c r="BV62" s="417"/>
      <c r="BW62" s="416"/>
      <c r="BX62" s="417"/>
      <c r="BY62" s="416"/>
      <c r="BZ62" s="417"/>
      <c r="CA62" s="416"/>
      <c r="CB62" s="417"/>
      <c r="CC62" s="416"/>
      <c r="CD62" s="417"/>
      <c r="CE62" s="416"/>
      <c r="CF62" s="417"/>
      <c r="CG62" s="416"/>
      <c r="CH62" s="417"/>
      <c r="CI62" s="416"/>
      <c r="CJ62" s="417"/>
      <c r="CK62" s="416"/>
      <c r="CL62" s="417"/>
      <c r="CM62" s="416"/>
      <c r="CN62" s="417"/>
      <c r="CO62" s="416"/>
      <c r="CP62" s="417"/>
      <c r="CQ62" s="416"/>
      <c r="CR62" s="417"/>
      <c r="CS62" s="416"/>
      <c r="CT62" s="417"/>
      <c r="CU62" s="416"/>
      <c r="CV62" s="417"/>
      <c r="CW62" s="416"/>
      <c r="CX62" s="417"/>
      <c r="CY62" s="416"/>
      <c r="CZ62" s="417"/>
      <c r="DA62" s="416"/>
      <c r="DB62" s="417"/>
      <c r="DC62" s="416"/>
      <c r="DD62" s="417"/>
      <c r="DE62" s="416"/>
      <c r="DF62" s="417"/>
      <c r="DG62" s="416"/>
      <c r="DH62" s="417"/>
      <c r="DI62" s="416"/>
      <c r="DJ62" s="417"/>
      <c r="DK62" s="416"/>
      <c r="DL62" s="417"/>
      <c r="DM62" s="416"/>
      <c r="DN62" s="417"/>
      <c r="DO62" s="416"/>
      <c r="DP62" s="417"/>
      <c r="DQ62" s="416"/>
      <c r="DR62" s="417"/>
      <c r="DS62" s="416"/>
      <c r="DT62" s="417"/>
      <c r="DU62" s="416"/>
      <c r="DV62" s="417"/>
      <c r="DW62" s="416"/>
      <c r="DX62" s="417"/>
      <c r="DY62" s="416"/>
      <c r="DZ62" s="417"/>
      <c r="EA62" s="416"/>
      <c r="EB62" s="417"/>
      <c r="EC62" s="416"/>
      <c r="ED62" s="417"/>
      <c r="EE62" s="416"/>
      <c r="EF62" s="417"/>
      <c r="EG62" s="416"/>
      <c r="EH62" s="417"/>
      <c r="EI62" s="416"/>
      <c r="EJ62" s="417"/>
      <c r="EK62" s="416"/>
      <c r="EL62" s="417"/>
      <c r="EM62" s="416"/>
      <c r="EN62" s="417"/>
      <c r="EO62" s="416"/>
      <c r="EP62" s="417"/>
      <c r="EQ62" s="416"/>
      <c r="ER62" s="417"/>
      <c r="ES62" s="416"/>
      <c r="ET62" s="417"/>
      <c r="EU62" s="416"/>
      <c r="EV62" s="417"/>
      <c r="EW62" s="416"/>
      <c r="EX62" s="417"/>
      <c r="EY62" s="416"/>
      <c r="EZ62" s="417"/>
      <c r="FA62" s="416"/>
      <c r="FB62" s="417"/>
      <c r="FC62" s="416"/>
      <c r="FD62" s="417"/>
      <c r="FE62" s="416"/>
      <c r="FF62" s="417"/>
      <c r="FG62" s="416"/>
      <c r="FH62" s="417"/>
      <c r="FI62" s="416"/>
      <c r="FJ62" s="417"/>
      <c r="FK62" s="416"/>
      <c r="FL62" s="417"/>
      <c r="FM62" s="416"/>
      <c r="FN62" s="417"/>
      <c r="FO62" s="416"/>
      <c r="FP62" s="417"/>
      <c r="FQ62" s="416"/>
      <c r="FR62" s="417"/>
      <c r="FS62" s="416"/>
      <c r="FT62" s="417"/>
      <c r="FU62" s="416"/>
      <c r="FV62" s="417"/>
      <c r="FW62" s="416"/>
      <c r="FX62" s="417"/>
      <c r="FY62" s="416"/>
      <c r="FZ62" s="417"/>
      <c r="GA62" s="416"/>
      <c r="GB62" s="417"/>
      <c r="GC62" s="416"/>
      <c r="GD62" s="417"/>
      <c r="GE62" s="416"/>
      <c r="GF62" s="417"/>
      <c r="GG62" s="416"/>
      <c r="GH62" s="417"/>
      <c r="GI62" s="416"/>
      <c r="GJ62" s="417"/>
      <c r="GK62" s="416"/>
      <c r="GL62" s="417"/>
      <c r="GM62" s="416"/>
      <c r="GN62" s="417"/>
      <c r="GO62" s="416"/>
      <c r="GP62" s="417"/>
      <c r="GQ62" s="416"/>
      <c r="GR62" s="417"/>
      <c r="GS62" s="416"/>
      <c r="GT62" s="417"/>
      <c r="GU62" s="416"/>
      <c r="GV62" s="417"/>
      <c r="GW62" s="416"/>
      <c r="GX62" s="417"/>
      <c r="GY62" s="416"/>
      <c r="GZ62" s="417"/>
      <c r="HA62" s="416"/>
      <c r="HB62" s="417"/>
      <c r="HC62" s="416"/>
      <c r="HD62" s="417"/>
      <c r="HE62" s="416"/>
      <c r="HF62" s="417"/>
      <c r="HG62" s="416"/>
      <c r="HH62" s="417"/>
      <c r="HI62" s="416"/>
      <c r="HJ62" s="417"/>
      <c r="HK62" s="416"/>
      <c r="HL62" s="417"/>
      <c r="HM62" s="416"/>
      <c r="HN62" s="417"/>
      <c r="HO62" s="416"/>
      <c r="HP62" s="417"/>
      <c r="HQ62" s="416"/>
      <c r="HR62" s="417"/>
      <c r="HS62" s="416"/>
      <c r="HT62" s="417"/>
      <c r="HU62" s="416"/>
      <c r="HV62" s="417"/>
      <c r="HW62" s="416"/>
      <c r="HX62" s="417"/>
      <c r="HY62" s="416"/>
      <c r="HZ62" s="417"/>
      <c r="IA62" s="416"/>
      <c r="IB62" s="417"/>
      <c r="IC62" s="416"/>
      <c r="ID62" s="417"/>
      <c r="IE62" s="416"/>
      <c r="IF62" s="417"/>
      <c r="IG62" s="416"/>
      <c r="IH62" s="417"/>
      <c r="II62" s="416"/>
      <c r="IJ62" s="417"/>
      <c r="IK62" s="416"/>
      <c r="IL62" s="417"/>
      <c r="IM62" s="416"/>
      <c r="IN62" s="417"/>
      <c r="IO62" s="416"/>
      <c r="IP62" s="417"/>
      <c r="IQ62" s="416"/>
      <c r="IR62" s="417"/>
      <c r="IS62" s="416"/>
      <c r="IT62" s="417"/>
      <c r="IU62" s="416"/>
      <c r="IV62" s="417"/>
    </row>
    <row r="63" spans="1:256" s="418" customFormat="1" ht="13.5" x14ac:dyDescent="0.25">
      <c r="A63" s="415" t="s">
        <v>438</v>
      </c>
      <c r="B63" s="422">
        <v>0</v>
      </c>
      <c r="C63" s="422">
        <f>+B63*(1+'Total Market Size'!C$136)</f>
        <v>0</v>
      </c>
      <c r="D63" s="422">
        <f>+C63*(1+'Total Market Size'!D$136)</f>
        <v>0</v>
      </c>
      <c r="E63" s="422">
        <f>+D63*(1+'Total Market Size'!E$136)</f>
        <v>0</v>
      </c>
      <c r="F63" s="422">
        <f>+E63*(1+'Total Market Size'!F$136)</f>
        <v>0</v>
      </c>
      <c r="G63" s="422">
        <f>+F63*(1+'Total Market Size'!G$136)</f>
        <v>0</v>
      </c>
      <c r="H63" s="422">
        <f>+G63*(1+'Total Market Size'!H$136)</f>
        <v>0</v>
      </c>
      <c r="I63" s="422">
        <f>+H63*(1+'Total Market Size'!I$136)</f>
        <v>0</v>
      </c>
      <c r="J63" s="422">
        <f>+I63*(1+'Total Market Size'!J$136)</f>
        <v>0</v>
      </c>
      <c r="K63" s="422">
        <f>+J63*(1+'Total Market Size'!K$136)</f>
        <v>0</v>
      </c>
      <c r="L63" s="426">
        <f>+K63*(1+'Total Market Size'!L$136)</f>
        <v>0</v>
      </c>
      <c r="M63" s="601" t="s">
        <v>506</v>
      </c>
      <c r="N63" s="417">
        <f t="shared" si="0"/>
        <v>1</v>
      </c>
      <c r="O63" s="415"/>
      <c r="P63" s="417"/>
      <c r="Q63" s="415"/>
      <c r="R63" s="417"/>
      <c r="S63" s="415"/>
      <c r="T63" s="417"/>
      <c r="U63" s="415"/>
      <c r="V63" s="417"/>
      <c r="W63" s="415"/>
      <c r="X63" s="417"/>
      <c r="Y63" s="415"/>
      <c r="Z63" s="417"/>
      <c r="AA63" s="415"/>
      <c r="AB63" s="417"/>
      <c r="AC63" s="415"/>
      <c r="AD63" s="417"/>
      <c r="AE63" s="415"/>
      <c r="AF63" s="417"/>
      <c r="AG63" s="415"/>
      <c r="AH63" s="417"/>
      <c r="AI63" s="415"/>
      <c r="AJ63" s="417"/>
      <c r="AK63" s="415"/>
      <c r="AL63" s="417"/>
      <c r="AM63" s="415"/>
      <c r="AN63" s="417"/>
      <c r="AO63" s="415"/>
      <c r="AP63" s="417"/>
      <c r="AQ63" s="415"/>
      <c r="AR63" s="417"/>
      <c r="AS63" s="415"/>
      <c r="AT63" s="417"/>
      <c r="AU63" s="415"/>
      <c r="AV63" s="417"/>
      <c r="AW63" s="415"/>
      <c r="AX63" s="417"/>
      <c r="AY63" s="415"/>
      <c r="AZ63" s="417"/>
      <c r="BA63" s="415"/>
      <c r="BB63" s="417"/>
      <c r="BC63" s="415"/>
      <c r="BD63" s="417"/>
      <c r="BE63" s="415"/>
      <c r="BF63" s="417"/>
      <c r="BG63" s="415"/>
      <c r="BH63" s="417"/>
      <c r="BI63" s="415"/>
      <c r="BJ63" s="417"/>
      <c r="BK63" s="415"/>
      <c r="BL63" s="417"/>
      <c r="BM63" s="415"/>
      <c r="BN63" s="417"/>
      <c r="BO63" s="415"/>
      <c r="BP63" s="417"/>
      <c r="BQ63" s="415"/>
      <c r="BR63" s="417"/>
      <c r="BS63" s="415"/>
      <c r="BT63" s="417"/>
      <c r="BU63" s="415"/>
      <c r="BV63" s="417"/>
      <c r="BW63" s="415"/>
      <c r="BX63" s="417"/>
      <c r="BY63" s="415"/>
      <c r="BZ63" s="417"/>
      <c r="CA63" s="415"/>
      <c r="CB63" s="417"/>
      <c r="CC63" s="415"/>
      <c r="CD63" s="417"/>
      <c r="CE63" s="415"/>
      <c r="CF63" s="417"/>
      <c r="CG63" s="415"/>
      <c r="CH63" s="417"/>
      <c r="CI63" s="415"/>
      <c r="CJ63" s="417"/>
      <c r="CK63" s="415"/>
      <c r="CL63" s="417"/>
      <c r="CM63" s="415"/>
      <c r="CN63" s="417"/>
      <c r="CO63" s="415"/>
      <c r="CP63" s="417"/>
      <c r="CQ63" s="415"/>
      <c r="CR63" s="417"/>
      <c r="CS63" s="415"/>
      <c r="CT63" s="417"/>
      <c r="CU63" s="415"/>
      <c r="CV63" s="417"/>
      <c r="CW63" s="415"/>
      <c r="CX63" s="417"/>
      <c r="CY63" s="415"/>
      <c r="CZ63" s="417"/>
      <c r="DA63" s="415"/>
      <c r="DB63" s="417"/>
      <c r="DC63" s="415"/>
      <c r="DD63" s="417"/>
      <c r="DE63" s="415"/>
      <c r="DF63" s="417"/>
      <c r="DG63" s="415"/>
      <c r="DH63" s="417"/>
      <c r="DI63" s="415"/>
      <c r="DJ63" s="417"/>
      <c r="DK63" s="415"/>
      <c r="DL63" s="417"/>
      <c r="DM63" s="415"/>
      <c r="DN63" s="417"/>
      <c r="DO63" s="415"/>
      <c r="DP63" s="417"/>
      <c r="DQ63" s="415"/>
      <c r="DR63" s="417"/>
      <c r="DS63" s="415"/>
      <c r="DT63" s="417"/>
      <c r="DU63" s="415"/>
      <c r="DV63" s="417"/>
      <c r="DW63" s="415"/>
      <c r="DX63" s="417"/>
      <c r="DY63" s="415"/>
      <c r="DZ63" s="417"/>
      <c r="EA63" s="415"/>
      <c r="EB63" s="417"/>
      <c r="EC63" s="415"/>
      <c r="ED63" s="417"/>
      <c r="EE63" s="415"/>
      <c r="EF63" s="417"/>
      <c r="EG63" s="415"/>
      <c r="EH63" s="417"/>
      <c r="EI63" s="415"/>
      <c r="EJ63" s="417"/>
      <c r="EK63" s="415"/>
      <c r="EL63" s="417"/>
      <c r="EM63" s="415"/>
      <c r="EN63" s="417"/>
      <c r="EO63" s="415"/>
      <c r="EP63" s="417"/>
      <c r="EQ63" s="415"/>
      <c r="ER63" s="417"/>
      <c r="ES63" s="415"/>
      <c r="ET63" s="417"/>
      <c r="EU63" s="415"/>
      <c r="EV63" s="417"/>
      <c r="EW63" s="415"/>
      <c r="EX63" s="417"/>
      <c r="EY63" s="415"/>
      <c r="EZ63" s="417"/>
      <c r="FA63" s="415"/>
      <c r="FB63" s="417"/>
      <c r="FC63" s="415"/>
      <c r="FD63" s="417"/>
      <c r="FE63" s="415"/>
      <c r="FF63" s="417"/>
      <c r="FG63" s="415"/>
      <c r="FH63" s="417"/>
      <c r="FI63" s="415"/>
      <c r="FJ63" s="417"/>
      <c r="FK63" s="415"/>
      <c r="FL63" s="417"/>
      <c r="FM63" s="415"/>
      <c r="FN63" s="417"/>
      <c r="FO63" s="415"/>
      <c r="FP63" s="417"/>
      <c r="FQ63" s="415"/>
      <c r="FR63" s="417"/>
      <c r="FS63" s="415"/>
      <c r="FT63" s="417"/>
      <c r="FU63" s="415"/>
      <c r="FV63" s="417"/>
      <c r="FW63" s="415"/>
      <c r="FX63" s="417"/>
      <c r="FY63" s="415"/>
      <c r="FZ63" s="417"/>
      <c r="GA63" s="415"/>
      <c r="GB63" s="417"/>
      <c r="GC63" s="415"/>
      <c r="GD63" s="417"/>
      <c r="GE63" s="415"/>
      <c r="GF63" s="417"/>
      <c r="GG63" s="415"/>
      <c r="GH63" s="417"/>
      <c r="GI63" s="415"/>
      <c r="GJ63" s="417"/>
      <c r="GK63" s="415"/>
      <c r="GL63" s="417"/>
      <c r="GM63" s="415"/>
      <c r="GN63" s="417"/>
      <c r="GO63" s="415"/>
      <c r="GP63" s="417"/>
      <c r="GQ63" s="415"/>
      <c r="GR63" s="417"/>
      <c r="GS63" s="415"/>
      <c r="GT63" s="417"/>
      <c r="GU63" s="415"/>
      <c r="GV63" s="417"/>
      <c r="GW63" s="415"/>
      <c r="GX63" s="417"/>
      <c r="GY63" s="415"/>
      <c r="GZ63" s="417"/>
      <c r="HA63" s="415"/>
      <c r="HB63" s="417"/>
      <c r="HC63" s="415"/>
      <c r="HD63" s="417"/>
      <c r="HE63" s="415"/>
      <c r="HF63" s="417"/>
      <c r="HG63" s="415"/>
      <c r="HH63" s="417"/>
      <c r="HI63" s="415"/>
      <c r="HJ63" s="417"/>
      <c r="HK63" s="415"/>
      <c r="HL63" s="417"/>
      <c r="HM63" s="415"/>
      <c r="HN63" s="417"/>
      <c r="HO63" s="415"/>
      <c r="HP63" s="417"/>
      <c r="HQ63" s="415"/>
      <c r="HR63" s="417"/>
      <c r="HS63" s="415"/>
      <c r="HT63" s="417"/>
      <c r="HU63" s="415"/>
      <c r="HV63" s="417"/>
      <c r="HW63" s="415"/>
      <c r="HX63" s="417"/>
      <c r="HY63" s="415"/>
      <c r="HZ63" s="417"/>
      <c r="IA63" s="415"/>
      <c r="IB63" s="417"/>
      <c r="IC63" s="415"/>
      <c r="ID63" s="417"/>
      <c r="IE63" s="415"/>
      <c r="IF63" s="417"/>
      <c r="IG63" s="415"/>
      <c r="IH63" s="417"/>
      <c r="II63" s="415"/>
      <c r="IJ63" s="417"/>
      <c r="IK63" s="415"/>
      <c r="IL63" s="417"/>
      <c r="IM63" s="415"/>
      <c r="IN63" s="417"/>
      <c r="IO63" s="415"/>
      <c r="IP63" s="417"/>
      <c r="IQ63" s="415"/>
      <c r="IR63" s="417"/>
      <c r="IS63" s="415"/>
      <c r="IT63" s="417"/>
      <c r="IU63" s="415"/>
      <c r="IV63" s="417"/>
    </row>
    <row r="64" spans="1:256" s="418" customFormat="1" ht="13.5" x14ac:dyDescent="0.25">
      <c r="A64" s="415" t="s">
        <v>439</v>
      </c>
      <c r="B64" s="421">
        <v>0</v>
      </c>
      <c r="C64" s="421">
        <f>+B64*(1+'Total Market Size'!C$136)</f>
        <v>0</v>
      </c>
      <c r="D64" s="421">
        <f>+C64*(1+'Total Market Size'!D$136)</f>
        <v>0</v>
      </c>
      <c r="E64" s="421">
        <f>+D64*(1+'Total Market Size'!E$136)</f>
        <v>0</v>
      </c>
      <c r="F64" s="421">
        <f>+E64*(1+'Total Market Size'!F$136)</f>
        <v>0</v>
      </c>
      <c r="G64" s="421">
        <f>+F64*(1+'Total Market Size'!G$136)</f>
        <v>0</v>
      </c>
      <c r="H64" s="421">
        <f>+G64*(1+'Total Market Size'!H$136)</f>
        <v>0</v>
      </c>
      <c r="I64" s="421">
        <f>+H64*(1+'Total Market Size'!I$136)</f>
        <v>0</v>
      </c>
      <c r="J64" s="421">
        <f>+I64*(1+'Total Market Size'!J$136)</f>
        <v>0</v>
      </c>
      <c r="K64" s="421">
        <f>+J64*(1+'Total Market Size'!K$136)</f>
        <v>0</v>
      </c>
      <c r="L64" s="425">
        <f>+K64*(1+'Total Market Size'!L$136)</f>
        <v>0</v>
      </c>
      <c r="M64" s="601" t="s">
        <v>506</v>
      </c>
      <c r="N64" s="417">
        <f t="shared" si="0"/>
        <v>1</v>
      </c>
      <c r="O64" s="415"/>
      <c r="P64" s="417"/>
      <c r="Q64" s="415"/>
      <c r="R64" s="417"/>
      <c r="S64" s="415"/>
      <c r="T64" s="417"/>
      <c r="U64" s="415"/>
      <c r="V64" s="417"/>
      <c r="W64" s="415"/>
      <c r="X64" s="417"/>
      <c r="Y64" s="415"/>
      <c r="Z64" s="417"/>
      <c r="AA64" s="415"/>
      <c r="AB64" s="417"/>
      <c r="AC64" s="415"/>
      <c r="AD64" s="417"/>
      <c r="AE64" s="415"/>
      <c r="AF64" s="417"/>
      <c r="AG64" s="415"/>
      <c r="AH64" s="417"/>
      <c r="AI64" s="415"/>
      <c r="AJ64" s="417"/>
      <c r="AK64" s="415"/>
      <c r="AL64" s="417"/>
      <c r="AM64" s="415"/>
      <c r="AN64" s="417"/>
      <c r="AO64" s="415"/>
      <c r="AP64" s="417"/>
      <c r="AQ64" s="415"/>
      <c r="AR64" s="417"/>
      <c r="AS64" s="415"/>
      <c r="AT64" s="417"/>
      <c r="AU64" s="415"/>
      <c r="AV64" s="417"/>
      <c r="AW64" s="415"/>
      <c r="AX64" s="417"/>
      <c r="AY64" s="415"/>
      <c r="AZ64" s="417"/>
      <c r="BA64" s="415"/>
      <c r="BB64" s="417"/>
      <c r="BC64" s="415"/>
      <c r="BD64" s="417"/>
      <c r="BE64" s="415"/>
      <c r="BF64" s="417"/>
      <c r="BG64" s="415"/>
      <c r="BH64" s="417"/>
      <c r="BI64" s="415"/>
      <c r="BJ64" s="417"/>
      <c r="BK64" s="415"/>
      <c r="BL64" s="417"/>
      <c r="BM64" s="415"/>
      <c r="BN64" s="417"/>
      <c r="BO64" s="415"/>
      <c r="BP64" s="417"/>
      <c r="BQ64" s="415"/>
      <c r="BR64" s="417"/>
      <c r="BS64" s="415"/>
      <c r="BT64" s="417"/>
      <c r="BU64" s="415"/>
      <c r="BV64" s="417"/>
      <c r="BW64" s="415"/>
      <c r="BX64" s="417"/>
      <c r="BY64" s="415"/>
      <c r="BZ64" s="417"/>
      <c r="CA64" s="415"/>
      <c r="CB64" s="417"/>
      <c r="CC64" s="415"/>
      <c r="CD64" s="417"/>
      <c r="CE64" s="415"/>
      <c r="CF64" s="417"/>
      <c r="CG64" s="415"/>
      <c r="CH64" s="417"/>
      <c r="CI64" s="415"/>
      <c r="CJ64" s="417"/>
      <c r="CK64" s="415"/>
      <c r="CL64" s="417"/>
      <c r="CM64" s="415"/>
      <c r="CN64" s="417"/>
      <c r="CO64" s="415"/>
      <c r="CP64" s="417"/>
      <c r="CQ64" s="415"/>
      <c r="CR64" s="417"/>
      <c r="CS64" s="415"/>
      <c r="CT64" s="417"/>
      <c r="CU64" s="415"/>
      <c r="CV64" s="417"/>
      <c r="CW64" s="415"/>
      <c r="CX64" s="417"/>
      <c r="CY64" s="415"/>
      <c r="CZ64" s="417"/>
      <c r="DA64" s="415"/>
      <c r="DB64" s="417"/>
      <c r="DC64" s="415"/>
      <c r="DD64" s="417"/>
      <c r="DE64" s="415"/>
      <c r="DF64" s="417"/>
      <c r="DG64" s="415"/>
      <c r="DH64" s="417"/>
      <c r="DI64" s="415"/>
      <c r="DJ64" s="417"/>
      <c r="DK64" s="415"/>
      <c r="DL64" s="417"/>
      <c r="DM64" s="415"/>
      <c r="DN64" s="417"/>
      <c r="DO64" s="415"/>
      <c r="DP64" s="417"/>
      <c r="DQ64" s="415"/>
      <c r="DR64" s="417"/>
      <c r="DS64" s="415"/>
      <c r="DT64" s="417"/>
      <c r="DU64" s="415"/>
      <c r="DV64" s="417"/>
      <c r="DW64" s="415"/>
      <c r="DX64" s="417"/>
      <c r="DY64" s="415"/>
      <c r="DZ64" s="417"/>
      <c r="EA64" s="415"/>
      <c r="EB64" s="417"/>
      <c r="EC64" s="415"/>
      <c r="ED64" s="417"/>
      <c r="EE64" s="415"/>
      <c r="EF64" s="417"/>
      <c r="EG64" s="415"/>
      <c r="EH64" s="417"/>
      <c r="EI64" s="415"/>
      <c r="EJ64" s="417"/>
      <c r="EK64" s="415"/>
      <c r="EL64" s="417"/>
      <c r="EM64" s="415"/>
      <c r="EN64" s="417"/>
      <c r="EO64" s="415"/>
      <c r="EP64" s="417"/>
      <c r="EQ64" s="415"/>
      <c r="ER64" s="417"/>
      <c r="ES64" s="415"/>
      <c r="ET64" s="417"/>
      <c r="EU64" s="415"/>
      <c r="EV64" s="417"/>
      <c r="EW64" s="415"/>
      <c r="EX64" s="417"/>
      <c r="EY64" s="415"/>
      <c r="EZ64" s="417"/>
      <c r="FA64" s="415"/>
      <c r="FB64" s="417"/>
      <c r="FC64" s="415"/>
      <c r="FD64" s="417"/>
      <c r="FE64" s="415"/>
      <c r="FF64" s="417"/>
      <c r="FG64" s="415"/>
      <c r="FH64" s="417"/>
      <c r="FI64" s="415"/>
      <c r="FJ64" s="417"/>
      <c r="FK64" s="415"/>
      <c r="FL64" s="417"/>
      <c r="FM64" s="415"/>
      <c r="FN64" s="417"/>
      <c r="FO64" s="415"/>
      <c r="FP64" s="417"/>
      <c r="FQ64" s="415"/>
      <c r="FR64" s="417"/>
      <c r="FS64" s="415"/>
      <c r="FT64" s="417"/>
      <c r="FU64" s="415"/>
      <c r="FV64" s="417"/>
      <c r="FW64" s="415"/>
      <c r="FX64" s="417"/>
      <c r="FY64" s="415"/>
      <c r="FZ64" s="417"/>
      <c r="GA64" s="415"/>
      <c r="GB64" s="417"/>
      <c r="GC64" s="415"/>
      <c r="GD64" s="417"/>
      <c r="GE64" s="415"/>
      <c r="GF64" s="417"/>
      <c r="GG64" s="415"/>
      <c r="GH64" s="417"/>
      <c r="GI64" s="415"/>
      <c r="GJ64" s="417"/>
      <c r="GK64" s="415"/>
      <c r="GL64" s="417"/>
      <c r="GM64" s="415"/>
      <c r="GN64" s="417"/>
      <c r="GO64" s="415"/>
      <c r="GP64" s="417"/>
      <c r="GQ64" s="415"/>
      <c r="GR64" s="417"/>
      <c r="GS64" s="415"/>
      <c r="GT64" s="417"/>
      <c r="GU64" s="415"/>
      <c r="GV64" s="417"/>
      <c r="GW64" s="415"/>
      <c r="GX64" s="417"/>
      <c r="GY64" s="415"/>
      <c r="GZ64" s="417"/>
      <c r="HA64" s="415"/>
      <c r="HB64" s="417"/>
      <c r="HC64" s="415"/>
      <c r="HD64" s="417"/>
      <c r="HE64" s="415"/>
      <c r="HF64" s="417"/>
      <c r="HG64" s="415"/>
      <c r="HH64" s="417"/>
      <c r="HI64" s="415"/>
      <c r="HJ64" s="417"/>
      <c r="HK64" s="415"/>
      <c r="HL64" s="417"/>
      <c r="HM64" s="415"/>
      <c r="HN64" s="417"/>
      <c r="HO64" s="415"/>
      <c r="HP64" s="417"/>
      <c r="HQ64" s="415"/>
      <c r="HR64" s="417"/>
      <c r="HS64" s="415"/>
      <c r="HT64" s="417"/>
      <c r="HU64" s="415"/>
      <c r="HV64" s="417"/>
      <c r="HW64" s="415"/>
      <c r="HX64" s="417"/>
      <c r="HY64" s="415"/>
      <c r="HZ64" s="417"/>
      <c r="IA64" s="415"/>
      <c r="IB64" s="417"/>
      <c r="IC64" s="415"/>
      <c r="ID64" s="417"/>
      <c r="IE64" s="415"/>
      <c r="IF64" s="417"/>
      <c r="IG64" s="415"/>
      <c r="IH64" s="417"/>
      <c r="II64" s="415"/>
      <c r="IJ64" s="417"/>
      <c r="IK64" s="415"/>
      <c r="IL64" s="417"/>
      <c r="IM64" s="415"/>
      <c r="IN64" s="417"/>
      <c r="IO64" s="415"/>
      <c r="IP64" s="417"/>
      <c r="IQ64" s="415"/>
      <c r="IR64" s="417"/>
      <c r="IS64" s="415"/>
      <c r="IT64" s="417"/>
      <c r="IU64" s="415"/>
      <c r="IV64" s="417"/>
    </row>
    <row r="65" spans="1:256" s="418" customFormat="1" ht="13.5" x14ac:dyDescent="0.25">
      <c r="A65" s="416" t="s">
        <v>440</v>
      </c>
      <c r="B65" s="422">
        <v>0</v>
      </c>
      <c r="C65" s="422">
        <f>+B65*(1+'Total Market Size'!C$136)</f>
        <v>0</v>
      </c>
      <c r="D65" s="422">
        <f>+C65*(1+'Total Market Size'!D$136)</f>
        <v>0</v>
      </c>
      <c r="E65" s="422">
        <f>+D65*(1+'Total Market Size'!E$136)</f>
        <v>0</v>
      </c>
      <c r="F65" s="422">
        <f>+E65*(1+'Total Market Size'!F$136)</f>
        <v>0</v>
      </c>
      <c r="G65" s="422">
        <f>+F65*(1+'Total Market Size'!G$136)</f>
        <v>0</v>
      </c>
      <c r="H65" s="422">
        <f>+G65*(1+'Total Market Size'!H$136)</f>
        <v>0</v>
      </c>
      <c r="I65" s="422">
        <f>+H65*(1+'Total Market Size'!I$136)</f>
        <v>0</v>
      </c>
      <c r="J65" s="422">
        <f>+I65*(1+'Total Market Size'!J$136)</f>
        <v>0</v>
      </c>
      <c r="K65" s="422">
        <f>+J65*(1+'Total Market Size'!K$136)</f>
        <v>0</v>
      </c>
      <c r="L65" s="426">
        <f>+K65*(1+'Total Market Size'!L$136)</f>
        <v>0</v>
      </c>
      <c r="M65" s="601"/>
      <c r="N65" s="417">
        <f t="shared" si="0"/>
        <v>0</v>
      </c>
      <c r="O65" s="416"/>
      <c r="P65" s="417"/>
      <c r="Q65" s="416"/>
      <c r="R65" s="417"/>
      <c r="S65" s="416"/>
      <c r="T65" s="417"/>
      <c r="U65" s="416"/>
      <c r="V65" s="417"/>
      <c r="W65" s="416"/>
      <c r="X65" s="417"/>
      <c r="Y65" s="416"/>
      <c r="Z65" s="417"/>
      <c r="AA65" s="416"/>
      <c r="AB65" s="417"/>
      <c r="AC65" s="416"/>
      <c r="AD65" s="417"/>
      <c r="AE65" s="416"/>
      <c r="AF65" s="417"/>
      <c r="AG65" s="416"/>
      <c r="AH65" s="417"/>
      <c r="AI65" s="416"/>
      <c r="AJ65" s="417"/>
      <c r="AK65" s="416"/>
      <c r="AL65" s="417"/>
      <c r="AM65" s="416"/>
      <c r="AN65" s="417"/>
      <c r="AO65" s="416"/>
      <c r="AP65" s="417"/>
      <c r="AQ65" s="416"/>
      <c r="AR65" s="417"/>
      <c r="AS65" s="416"/>
      <c r="AT65" s="417"/>
      <c r="AU65" s="416"/>
      <c r="AV65" s="417"/>
      <c r="AW65" s="416"/>
      <c r="AX65" s="417"/>
      <c r="AY65" s="416"/>
      <c r="AZ65" s="417"/>
      <c r="BA65" s="416"/>
      <c r="BB65" s="417"/>
      <c r="BC65" s="416"/>
      <c r="BD65" s="417"/>
      <c r="BE65" s="416"/>
      <c r="BF65" s="417"/>
      <c r="BG65" s="416"/>
      <c r="BH65" s="417"/>
      <c r="BI65" s="416"/>
      <c r="BJ65" s="417"/>
      <c r="BK65" s="416"/>
      <c r="BL65" s="417"/>
      <c r="BM65" s="416"/>
      <c r="BN65" s="417"/>
      <c r="BO65" s="416"/>
      <c r="BP65" s="417"/>
      <c r="BQ65" s="416"/>
      <c r="BR65" s="417"/>
      <c r="BS65" s="416"/>
      <c r="BT65" s="417"/>
      <c r="BU65" s="416"/>
      <c r="BV65" s="417"/>
      <c r="BW65" s="416"/>
      <c r="BX65" s="417"/>
      <c r="BY65" s="416"/>
      <c r="BZ65" s="417"/>
      <c r="CA65" s="416"/>
      <c r="CB65" s="417"/>
      <c r="CC65" s="416"/>
      <c r="CD65" s="417"/>
      <c r="CE65" s="416"/>
      <c r="CF65" s="417"/>
      <c r="CG65" s="416"/>
      <c r="CH65" s="417"/>
      <c r="CI65" s="416"/>
      <c r="CJ65" s="417"/>
      <c r="CK65" s="416"/>
      <c r="CL65" s="417"/>
      <c r="CM65" s="416"/>
      <c r="CN65" s="417"/>
      <c r="CO65" s="416"/>
      <c r="CP65" s="417"/>
      <c r="CQ65" s="416"/>
      <c r="CR65" s="417"/>
      <c r="CS65" s="416"/>
      <c r="CT65" s="417"/>
      <c r="CU65" s="416"/>
      <c r="CV65" s="417"/>
      <c r="CW65" s="416"/>
      <c r="CX65" s="417"/>
      <c r="CY65" s="416"/>
      <c r="CZ65" s="417"/>
      <c r="DA65" s="416"/>
      <c r="DB65" s="417"/>
      <c r="DC65" s="416"/>
      <c r="DD65" s="417"/>
      <c r="DE65" s="416"/>
      <c r="DF65" s="417"/>
      <c r="DG65" s="416"/>
      <c r="DH65" s="417"/>
      <c r="DI65" s="416"/>
      <c r="DJ65" s="417"/>
      <c r="DK65" s="416"/>
      <c r="DL65" s="417"/>
      <c r="DM65" s="416"/>
      <c r="DN65" s="417"/>
      <c r="DO65" s="416"/>
      <c r="DP65" s="417"/>
      <c r="DQ65" s="416"/>
      <c r="DR65" s="417"/>
      <c r="DS65" s="416"/>
      <c r="DT65" s="417"/>
      <c r="DU65" s="416"/>
      <c r="DV65" s="417"/>
      <c r="DW65" s="416"/>
      <c r="DX65" s="417"/>
      <c r="DY65" s="416"/>
      <c r="DZ65" s="417"/>
      <c r="EA65" s="416"/>
      <c r="EB65" s="417"/>
      <c r="EC65" s="416"/>
      <c r="ED65" s="417"/>
      <c r="EE65" s="416"/>
      <c r="EF65" s="417"/>
      <c r="EG65" s="416"/>
      <c r="EH65" s="417"/>
      <c r="EI65" s="416"/>
      <c r="EJ65" s="417"/>
      <c r="EK65" s="416"/>
      <c r="EL65" s="417"/>
      <c r="EM65" s="416"/>
      <c r="EN65" s="417"/>
      <c r="EO65" s="416"/>
      <c r="EP65" s="417"/>
      <c r="EQ65" s="416"/>
      <c r="ER65" s="417"/>
      <c r="ES65" s="416"/>
      <c r="ET65" s="417"/>
      <c r="EU65" s="416"/>
      <c r="EV65" s="417"/>
      <c r="EW65" s="416"/>
      <c r="EX65" s="417"/>
      <c r="EY65" s="416"/>
      <c r="EZ65" s="417"/>
      <c r="FA65" s="416"/>
      <c r="FB65" s="417"/>
      <c r="FC65" s="416"/>
      <c r="FD65" s="417"/>
      <c r="FE65" s="416"/>
      <c r="FF65" s="417"/>
      <c r="FG65" s="416"/>
      <c r="FH65" s="417"/>
      <c r="FI65" s="416"/>
      <c r="FJ65" s="417"/>
      <c r="FK65" s="416"/>
      <c r="FL65" s="417"/>
      <c r="FM65" s="416"/>
      <c r="FN65" s="417"/>
      <c r="FO65" s="416"/>
      <c r="FP65" s="417"/>
      <c r="FQ65" s="416"/>
      <c r="FR65" s="417"/>
      <c r="FS65" s="416"/>
      <c r="FT65" s="417"/>
      <c r="FU65" s="416"/>
      <c r="FV65" s="417"/>
      <c r="FW65" s="416"/>
      <c r="FX65" s="417"/>
      <c r="FY65" s="416"/>
      <c r="FZ65" s="417"/>
      <c r="GA65" s="416"/>
      <c r="GB65" s="417"/>
      <c r="GC65" s="416"/>
      <c r="GD65" s="417"/>
      <c r="GE65" s="416"/>
      <c r="GF65" s="417"/>
      <c r="GG65" s="416"/>
      <c r="GH65" s="417"/>
      <c r="GI65" s="416"/>
      <c r="GJ65" s="417"/>
      <c r="GK65" s="416"/>
      <c r="GL65" s="417"/>
      <c r="GM65" s="416"/>
      <c r="GN65" s="417"/>
      <c r="GO65" s="416"/>
      <c r="GP65" s="417"/>
      <c r="GQ65" s="416"/>
      <c r="GR65" s="417"/>
      <c r="GS65" s="416"/>
      <c r="GT65" s="417"/>
      <c r="GU65" s="416"/>
      <c r="GV65" s="417"/>
      <c r="GW65" s="416"/>
      <c r="GX65" s="417"/>
      <c r="GY65" s="416"/>
      <c r="GZ65" s="417"/>
      <c r="HA65" s="416"/>
      <c r="HB65" s="417"/>
      <c r="HC65" s="416"/>
      <c r="HD65" s="417"/>
      <c r="HE65" s="416"/>
      <c r="HF65" s="417"/>
      <c r="HG65" s="416"/>
      <c r="HH65" s="417"/>
      <c r="HI65" s="416"/>
      <c r="HJ65" s="417"/>
      <c r="HK65" s="416"/>
      <c r="HL65" s="417"/>
      <c r="HM65" s="416"/>
      <c r="HN65" s="417"/>
      <c r="HO65" s="416"/>
      <c r="HP65" s="417"/>
      <c r="HQ65" s="416"/>
      <c r="HR65" s="417"/>
      <c r="HS65" s="416"/>
      <c r="HT65" s="417"/>
      <c r="HU65" s="416"/>
      <c r="HV65" s="417"/>
      <c r="HW65" s="416"/>
      <c r="HX65" s="417"/>
      <c r="HY65" s="416"/>
      <c r="HZ65" s="417"/>
      <c r="IA65" s="416"/>
      <c r="IB65" s="417"/>
      <c r="IC65" s="416"/>
      <c r="ID65" s="417"/>
      <c r="IE65" s="416"/>
      <c r="IF65" s="417"/>
      <c r="IG65" s="416"/>
      <c r="IH65" s="417"/>
      <c r="II65" s="416"/>
      <c r="IJ65" s="417"/>
      <c r="IK65" s="416"/>
      <c r="IL65" s="417"/>
      <c r="IM65" s="416"/>
      <c r="IN65" s="417"/>
      <c r="IO65" s="416"/>
      <c r="IP65" s="417"/>
      <c r="IQ65" s="416"/>
      <c r="IR65" s="417"/>
      <c r="IS65" s="416"/>
      <c r="IT65" s="417"/>
      <c r="IU65" s="416"/>
      <c r="IV65" s="417"/>
    </row>
    <row r="66" spans="1:256" s="418" customFormat="1" ht="14.25" thickBot="1" x14ac:dyDescent="0.3">
      <c r="A66" s="416" t="s">
        <v>441</v>
      </c>
      <c r="B66" s="422">
        <v>0</v>
      </c>
      <c r="C66" s="422">
        <f>+B66*(1+'Total Market Size'!C$136)</f>
        <v>0</v>
      </c>
      <c r="D66" s="422">
        <f>+C66*(1+'Total Market Size'!D$136)</f>
        <v>0</v>
      </c>
      <c r="E66" s="422">
        <f>+D66*(1+'Total Market Size'!E$136)</f>
        <v>0</v>
      </c>
      <c r="F66" s="422">
        <f>+E66*(1+'Total Market Size'!F$136)</f>
        <v>0</v>
      </c>
      <c r="G66" s="422">
        <f>+F66*(1+'Total Market Size'!G$136)</f>
        <v>0</v>
      </c>
      <c r="H66" s="422">
        <f>+G66*(1+'Total Market Size'!H$136)</f>
        <v>0</v>
      </c>
      <c r="I66" s="422">
        <f>+H66*(1+'Total Market Size'!I$136)</f>
        <v>0</v>
      </c>
      <c r="J66" s="422">
        <f>+I66*(1+'Total Market Size'!J$136)</f>
        <v>0</v>
      </c>
      <c r="K66" s="422">
        <f>+J66*(1+'Total Market Size'!K$136)</f>
        <v>0</v>
      </c>
      <c r="L66" s="426">
        <f>+K66*(1+'Total Market Size'!L$136)</f>
        <v>0</v>
      </c>
      <c r="M66" s="601"/>
      <c r="N66" s="417">
        <f t="shared" si="0"/>
        <v>0</v>
      </c>
      <c r="O66" s="416"/>
      <c r="P66" s="417"/>
      <c r="Q66" s="416"/>
      <c r="R66" s="417"/>
      <c r="S66" s="416"/>
      <c r="T66" s="417"/>
      <c r="U66" s="416"/>
      <c r="V66" s="417"/>
      <c r="W66" s="416"/>
      <c r="X66" s="417"/>
      <c r="Y66" s="416"/>
      <c r="Z66" s="417"/>
      <c r="AA66" s="416"/>
      <c r="AB66" s="417"/>
      <c r="AC66" s="416"/>
      <c r="AD66" s="417"/>
      <c r="AE66" s="416"/>
      <c r="AF66" s="417"/>
      <c r="AG66" s="416"/>
      <c r="AH66" s="417"/>
      <c r="AI66" s="416"/>
      <c r="AJ66" s="417"/>
      <c r="AK66" s="416"/>
      <c r="AL66" s="417"/>
      <c r="AM66" s="416"/>
      <c r="AN66" s="417"/>
      <c r="AO66" s="416"/>
      <c r="AP66" s="417"/>
      <c r="AQ66" s="416"/>
      <c r="AR66" s="417"/>
      <c r="AS66" s="416"/>
      <c r="AT66" s="417"/>
      <c r="AU66" s="416"/>
      <c r="AV66" s="417"/>
      <c r="AW66" s="416"/>
      <c r="AX66" s="417"/>
      <c r="AY66" s="416"/>
      <c r="AZ66" s="417"/>
      <c r="BA66" s="416"/>
      <c r="BB66" s="417"/>
      <c r="BC66" s="416"/>
      <c r="BD66" s="417"/>
      <c r="BE66" s="416"/>
      <c r="BF66" s="417"/>
      <c r="BG66" s="416"/>
      <c r="BH66" s="417"/>
      <c r="BI66" s="416"/>
      <c r="BJ66" s="417"/>
      <c r="BK66" s="416"/>
      <c r="BL66" s="417"/>
      <c r="BM66" s="416"/>
      <c r="BN66" s="417"/>
      <c r="BO66" s="416"/>
      <c r="BP66" s="417"/>
      <c r="BQ66" s="416"/>
      <c r="BR66" s="417"/>
      <c r="BS66" s="416"/>
      <c r="BT66" s="417"/>
      <c r="BU66" s="416"/>
      <c r="BV66" s="417"/>
      <c r="BW66" s="416"/>
      <c r="BX66" s="417"/>
      <c r="BY66" s="416"/>
      <c r="BZ66" s="417"/>
      <c r="CA66" s="416"/>
      <c r="CB66" s="417"/>
      <c r="CC66" s="416"/>
      <c r="CD66" s="417"/>
      <c r="CE66" s="416"/>
      <c r="CF66" s="417"/>
      <c r="CG66" s="416"/>
      <c r="CH66" s="417"/>
      <c r="CI66" s="416"/>
      <c r="CJ66" s="417"/>
      <c r="CK66" s="416"/>
      <c r="CL66" s="417"/>
      <c r="CM66" s="416"/>
      <c r="CN66" s="417"/>
      <c r="CO66" s="416"/>
      <c r="CP66" s="417"/>
      <c r="CQ66" s="416"/>
      <c r="CR66" s="417"/>
      <c r="CS66" s="416"/>
      <c r="CT66" s="417"/>
      <c r="CU66" s="416"/>
      <c r="CV66" s="417"/>
      <c r="CW66" s="416"/>
      <c r="CX66" s="417"/>
      <c r="CY66" s="416"/>
      <c r="CZ66" s="417"/>
      <c r="DA66" s="416"/>
      <c r="DB66" s="417"/>
      <c r="DC66" s="416"/>
      <c r="DD66" s="417"/>
      <c r="DE66" s="416"/>
      <c r="DF66" s="417"/>
      <c r="DG66" s="416"/>
      <c r="DH66" s="417"/>
      <c r="DI66" s="416"/>
      <c r="DJ66" s="417"/>
      <c r="DK66" s="416"/>
      <c r="DL66" s="417"/>
      <c r="DM66" s="416"/>
      <c r="DN66" s="417"/>
      <c r="DO66" s="416"/>
      <c r="DP66" s="417"/>
      <c r="DQ66" s="416"/>
      <c r="DR66" s="417"/>
      <c r="DS66" s="416"/>
      <c r="DT66" s="417"/>
      <c r="DU66" s="416"/>
      <c r="DV66" s="417"/>
      <c r="DW66" s="416"/>
      <c r="DX66" s="417"/>
      <c r="DY66" s="416"/>
      <c r="DZ66" s="417"/>
      <c r="EA66" s="416"/>
      <c r="EB66" s="417"/>
      <c r="EC66" s="416"/>
      <c r="ED66" s="417"/>
      <c r="EE66" s="416"/>
      <c r="EF66" s="417"/>
      <c r="EG66" s="416"/>
      <c r="EH66" s="417"/>
      <c r="EI66" s="416"/>
      <c r="EJ66" s="417"/>
      <c r="EK66" s="416"/>
      <c r="EL66" s="417"/>
      <c r="EM66" s="416"/>
      <c r="EN66" s="417"/>
      <c r="EO66" s="416"/>
      <c r="EP66" s="417"/>
      <c r="EQ66" s="416"/>
      <c r="ER66" s="417"/>
      <c r="ES66" s="416"/>
      <c r="ET66" s="417"/>
      <c r="EU66" s="416"/>
      <c r="EV66" s="417"/>
      <c r="EW66" s="416"/>
      <c r="EX66" s="417"/>
      <c r="EY66" s="416"/>
      <c r="EZ66" s="417"/>
      <c r="FA66" s="416"/>
      <c r="FB66" s="417"/>
      <c r="FC66" s="416"/>
      <c r="FD66" s="417"/>
      <c r="FE66" s="416"/>
      <c r="FF66" s="417"/>
      <c r="FG66" s="416"/>
      <c r="FH66" s="417"/>
      <c r="FI66" s="416"/>
      <c r="FJ66" s="417"/>
      <c r="FK66" s="416"/>
      <c r="FL66" s="417"/>
      <c r="FM66" s="416"/>
      <c r="FN66" s="417"/>
      <c r="FO66" s="416"/>
      <c r="FP66" s="417"/>
      <c r="FQ66" s="416"/>
      <c r="FR66" s="417"/>
      <c r="FS66" s="416"/>
      <c r="FT66" s="417"/>
      <c r="FU66" s="416"/>
      <c r="FV66" s="417"/>
      <c r="FW66" s="416"/>
      <c r="FX66" s="417"/>
      <c r="FY66" s="416"/>
      <c r="FZ66" s="417"/>
      <c r="GA66" s="416"/>
      <c r="GB66" s="417"/>
      <c r="GC66" s="416"/>
      <c r="GD66" s="417"/>
      <c r="GE66" s="416"/>
      <c r="GF66" s="417"/>
      <c r="GG66" s="416"/>
      <c r="GH66" s="417"/>
      <c r="GI66" s="416"/>
      <c r="GJ66" s="417"/>
      <c r="GK66" s="416"/>
      <c r="GL66" s="417"/>
      <c r="GM66" s="416"/>
      <c r="GN66" s="417"/>
      <c r="GO66" s="416"/>
      <c r="GP66" s="417"/>
      <c r="GQ66" s="416"/>
      <c r="GR66" s="417"/>
      <c r="GS66" s="416"/>
      <c r="GT66" s="417"/>
      <c r="GU66" s="416"/>
      <c r="GV66" s="417"/>
      <c r="GW66" s="416"/>
      <c r="GX66" s="417"/>
      <c r="GY66" s="416"/>
      <c r="GZ66" s="417"/>
      <c r="HA66" s="416"/>
      <c r="HB66" s="417"/>
      <c r="HC66" s="416"/>
      <c r="HD66" s="417"/>
      <c r="HE66" s="416"/>
      <c r="HF66" s="417"/>
      <c r="HG66" s="416"/>
      <c r="HH66" s="417"/>
      <c r="HI66" s="416"/>
      <c r="HJ66" s="417"/>
      <c r="HK66" s="416"/>
      <c r="HL66" s="417"/>
      <c r="HM66" s="416"/>
      <c r="HN66" s="417"/>
      <c r="HO66" s="416"/>
      <c r="HP66" s="417"/>
      <c r="HQ66" s="416"/>
      <c r="HR66" s="417"/>
      <c r="HS66" s="416"/>
      <c r="HT66" s="417"/>
      <c r="HU66" s="416"/>
      <c r="HV66" s="417"/>
      <c r="HW66" s="416"/>
      <c r="HX66" s="417"/>
      <c r="HY66" s="416"/>
      <c r="HZ66" s="417"/>
      <c r="IA66" s="416"/>
      <c r="IB66" s="417"/>
      <c r="IC66" s="416"/>
      <c r="ID66" s="417"/>
      <c r="IE66" s="416"/>
      <c r="IF66" s="417"/>
      <c r="IG66" s="416"/>
      <c r="IH66" s="417"/>
      <c r="II66" s="416"/>
      <c r="IJ66" s="417"/>
      <c r="IK66" s="416"/>
      <c r="IL66" s="417"/>
      <c r="IM66" s="416"/>
      <c r="IN66" s="417"/>
      <c r="IO66" s="416"/>
      <c r="IP66" s="417"/>
      <c r="IQ66" s="416"/>
      <c r="IR66" s="417"/>
      <c r="IS66" s="416"/>
      <c r="IT66" s="417"/>
      <c r="IU66" s="416"/>
      <c r="IV66" s="417"/>
    </row>
    <row r="67" spans="1:256" s="418" customFormat="1" ht="14.25" thickBot="1" x14ac:dyDescent="0.3">
      <c r="A67" s="532" t="s">
        <v>442</v>
      </c>
      <c r="B67" s="533">
        <f>SUM(B62:B66)</f>
        <v>1656956.2919223295</v>
      </c>
      <c r="C67" s="533">
        <f t="shared" ref="C67:L67" si="1">SUM(C62:C66)</f>
        <v>1695066.286636543</v>
      </c>
      <c r="D67" s="533">
        <f t="shared" si="1"/>
        <v>1728967.6123692738</v>
      </c>
      <c r="E67" s="533">
        <f t="shared" si="1"/>
        <v>1767004.8998413978</v>
      </c>
      <c r="F67" s="533">
        <f t="shared" si="1"/>
        <v>1807646.0125377497</v>
      </c>
      <c r="G67" s="533">
        <f t="shared" si="1"/>
        <v>1852837.1628511932</v>
      </c>
      <c r="H67" s="533">
        <f t="shared" si="1"/>
        <v>1898231.6733410475</v>
      </c>
      <c r="I67" s="533">
        <f t="shared" si="1"/>
        <v>1943789.2335012327</v>
      </c>
      <c r="J67" s="533">
        <f t="shared" si="1"/>
        <v>1990051.4172585621</v>
      </c>
      <c r="K67" s="533">
        <f t="shared" si="1"/>
        <v>2035822.5998555089</v>
      </c>
      <c r="L67" s="534">
        <f t="shared" si="1"/>
        <v>2082239.3551322143</v>
      </c>
      <c r="M67" s="601"/>
      <c r="N67" s="417"/>
      <c r="O67" s="416"/>
      <c r="P67" s="417"/>
      <c r="Q67" s="416"/>
      <c r="R67" s="417"/>
      <c r="S67" s="416"/>
      <c r="T67" s="417"/>
      <c r="U67" s="416"/>
      <c r="V67" s="417"/>
      <c r="W67" s="416"/>
      <c r="X67" s="417"/>
      <c r="Y67" s="416"/>
      <c r="Z67" s="417"/>
      <c r="AA67" s="416"/>
      <c r="AB67" s="417"/>
      <c r="AC67" s="416"/>
      <c r="AD67" s="417"/>
      <c r="AE67" s="416"/>
      <c r="AF67" s="417"/>
      <c r="AG67" s="416"/>
      <c r="AH67" s="417"/>
      <c r="AI67" s="416"/>
      <c r="AJ67" s="417"/>
      <c r="AK67" s="416"/>
      <c r="AL67" s="417"/>
      <c r="AM67" s="416"/>
      <c r="AN67" s="417"/>
      <c r="AO67" s="416"/>
      <c r="AP67" s="417"/>
      <c r="AQ67" s="416"/>
      <c r="AR67" s="417"/>
      <c r="AS67" s="416"/>
      <c r="AT67" s="417"/>
      <c r="AU67" s="416"/>
      <c r="AV67" s="417"/>
      <c r="AW67" s="416"/>
      <c r="AX67" s="417"/>
      <c r="AY67" s="416"/>
      <c r="AZ67" s="417"/>
      <c r="BA67" s="416"/>
      <c r="BB67" s="417"/>
      <c r="BC67" s="416"/>
      <c r="BD67" s="417"/>
      <c r="BE67" s="416"/>
      <c r="BF67" s="417"/>
      <c r="BG67" s="416"/>
      <c r="BH67" s="417"/>
      <c r="BI67" s="416"/>
      <c r="BJ67" s="417"/>
      <c r="BK67" s="416"/>
      <c r="BL67" s="417"/>
      <c r="BM67" s="416"/>
      <c r="BN67" s="417"/>
      <c r="BO67" s="416"/>
      <c r="BP67" s="417"/>
      <c r="BQ67" s="416"/>
      <c r="BR67" s="417"/>
      <c r="BS67" s="416"/>
      <c r="BT67" s="417"/>
      <c r="BU67" s="416"/>
      <c r="BV67" s="417"/>
      <c r="BW67" s="416"/>
      <c r="BX67" s="417"/>
      <c r="BY67" s="416"/>
      <c r="BZ67" s="417"/>
      <c r="CA67" s="416"/>
      <c r="CB67" s="417"/>
      <c r="CC67" s="416"/>
      <c r="CD67" s="417"/>
      <c r="CE67" s="416"/>
      <c r="CF67" s="417"/>
      <c r="CG67" s="416"/>
      <c r="CH67" s="417"/>
      <c r="CI67" s="416"/>
      <c r="CJ67" s="417"/>
      <c r="CK67" s="416"/>
      <c r="CL67" s="417"/>
      <c r="CM67" s="416"/>
      <c r="CN67" s="417"/>
      <c r="CO67" s="416"/>
      <c r="CP67" s="417"/>
      <c r="CQ67" s="416"/>
      <c r="CR67" s="417"/>
      <c r="CS67" s="416"/>
      <c r="CT67" s="417"/>
      <c r="CU67" s="416"/>
      <c r="CV67" s="417"/>
      <c r="CW67" s="416"/>
      <c r="CX67" s="417"/>
      <c r="CY67" s="416"/>
      <c r="CZ67" s="417"/>
      <c r="DA67" s="416"/>
      <c r="DB67" s="417"/>
      <c r="DC67" s="416"/>
      <c r="DD67" s="417"/>
      <c r="DE67" s="416"/>
      <c r="DF67" s="417"/>
      <c r="DG67" s="416"/>
      <c r="DH67" s="417"/>
      <c r="DI67" s="416"/>
      <c r="DJ67" s="417"/>
      <c r="DK67" s="416"/>
      <c r="DL67" s="417"/>
      <c r="DM67" s="416"/>
      <c r="DN67" s="417"/>
      <c r="DO67" s="416"/>
      <c r="DP67" s="417"/>
      <c r="DQ67" s="416"/>
      <c r="DR67" s="417"/>
      <c r="DS67" s="416"/>
      <c r="DT67" s="417"/>
      <c r="DU67" s="416"/>
      <c r="DV67" s="417"/>
      <c r="DW67" s="416"/>
      <c r="DX67" s="417"/>
      <c r="DY67" s="416"/>
      <c r="DZ67" s="417"/>
      <c r="EA67" s="416"/>
      <c r="EB67" s="417"/>
      <c r="EC67" s="416"/>
      <c r="ED67" s="417"/>
      <c r="EE67" s="416"/>
      <c r="EF67" s="417"/>
      <c r="EG67" s="416"/>
      <c r="EH67" s="417"/>
      <c r="EI67" s="416"/>
      <c r="EJ67" s="417"/>
      <c r="EK67" s="416"/>
      <c r="EL67" s="417"/>
      <c r="EM67" s="416"/>
      <c r="EN67" s="417"/>
      <c r="EO67" s="416"/>
      <c r="EP67" s="417"/>
      <c r="EQ67" s="416"/>
      <c r="ER67" s="417"/>
      <c r="ES67" s="416"/>
      <c r="ET67" s="417"/>
      <c r="EU67" s="416"/>
      <c r="EV67" s="417"/>
      <c r="EW67" s="416"/>
      <c r="EX67" s="417"/>
      <c r="EY67" s="416"/>
      <c r="EZ67" s="417"/>
      <c r="FA67" s="416"/>
      <c r="FB67" s="417"/>
      <c r="FC67" s="416"/>
      <c r="FD67" s="417"/>
      <c r="FE67" s="416"/>
      <c r="FF67" s="417"/>
      <c r="FG67" s="416"/>
      <c r="FH67" s="417"/>
      <c r="FI67" s="416"/>
      <c r="FJ67" s="417"/>
      <c r="FK67" s="416"/>
      <c r="FL67" s="417"/>
      <c r="FM67" s="416"/>
      <c r="FN67" s="417"/>
      <c r="FO67" s="416"/>
      <c r="FP67" s="417"/>
      <c r="FQ67" s="416"/>
      <c r="FR67" s="417"/>
      <c r="FS67" s="416"/>
      <c r="FT67" s="417"/>
      <c r="FU67" s="416"/>
      <c r="FV67" s="417"/>
      <c r="FW67" s="416"/>
      <c r="FX67" s="417"/>
      <c r="FY67" s="416"/>
      <c r="FZ67" s="417"/>
      <c r="GA67" s="416"/>
      <c r="GB67" s="417"/>
      <c r="GC67" s="416"/>
      <c r="GD67" s="417"/>
      <c r="GE67" s="416"/>
      <c r="GF67" s="417"/>
      <c r="GG67" s="416"/>
      <c r="GH67" s="417"/>
      <c r="GI67" s="416"/>
      <c r="GJ67" s="417"/>
      <c r="GK67" s="416"/>
      <c r="GL67" s="417"/>
      <c r="GM67" s="416"/>
      <c r="GN67" s="417"/>
      <c r="GO67" s="416"/>
      <c r="GP67" s="417"/>
      <c r="GQ67" s="416"/>
      <c r="GR67" s="417"/>
      <c r="GS67" s="416"/>
      <c r="GT67" s="417"/>
      <c r="GU67" s="416"/>
      <c r="GV67" s="417"/>
      <c r="GW67" s="416"/>
      <c r="GX67" s="417"/>
      <c r="GY67" s="416"/>
      <c r="GZ67" s="417"/>
      <c r="HA67" s="416"/>
      <c r="HB67" s="417"/>
      <c r="HC67" s="416"/>
      <c r="HD67" s="417"/>
      <c r="HE67" s="416"/>
      <c r="HF67" s="417"/>
      <c r="HG67" s="416"/>
      <c r="HH67" s="417"/>
      <c r="HI67" s="416"/>
      <c r="HJ67" s="417"/>
      <c r="HK67" s="416"/>
      <c r="HL67" s="417"/>
      <c r="HM67" s="416"/>
      <c r="HN67" s="417"/>
      <c r="HO67" s="416"/>
      <c r="HP67" s="417"/>
      <c r="HQ67" s="416"/>
      <c r="HR67" s="417"/>
      <c r="HS67" s="416"/>
      <c r="HT67" s="417"/>
      <c r="HU67" s="416"/>
      <c r="HV67" s="417"/>
      <c r="HW67" s="416"/>
      <c r="HX67" s="417"/>
      <c r="HY67" s="416"/>
      <c r="HZ67" s="417"/>
      <c r="IA67" s="416"/>
      <c r="IB67" s="417"/>
      <c r="IC67" s="416"/>
      <c r="ID67" s="417"/>
      <c r="IE67" s="416"/>
      <c r="IF67" s="417"/>
      <c r="IG67" s="416"/>
      <c r="IH67" s="417"/>
      <c r="II67" s="416"/>
      <c r="IJ67" s="417"/>
      <c r="IK67" s="416"/>
      <c r="IL67" s="417"/>
      <c r="IM67" s="416"/>
      <c r="IN67" s="417"/>
      <c r="IO67" s="416"/>
      <c r="IP67" s="417"/>
      <c r="IQ67" s="416"/>
      <c r="IR67" s="417"/>
      <c r="IS67" s="416"/>
      <c r="IT67" s="417"/>
      <c r="IU67" s="416"/>
      <c r="IV67" s="417"/>
    </row>
    <row r="68" spans="1:256" s="418" customFormat="1" ht="13.5" x14ac:dyDescent="0.25">
      <c r="A68" s="535" t="s">
        <v>508</v>
      </c>
      <c r="B68" s="536">
        <f>SUMPRODUCT($N15:$N66,B15:B66)</f>
        <v>1369596.2919223295</v>
      </c>
      <c r="C68" s="536">
        <f t="shared" ref="C68:L68" si="2">SUMPRODUCT($N15:$N66,C15:C66)</f>
        <v>1401097.0066365427</v>
      </c>
      <c r="D68" s="536">
        <f t="shared" si="2"/>
        <v>1429118.9467692741</v>
      </c>
      <c r="E68" s="536">
        <f t="shared" si="2"/>
        <v>1460559.5635981977</v>
      </c>
      <c r="F68" s="536">
        <f t="shared" si="2"/>
        <v>1494152.433560956</v>
      </c>
      <c r="G68" s="536">
        <f t="shared" si="2"/>
        <v>1531506.2443999799</v>
      </c>
      <c r="H68" s="536">
        <f t="shared" si="2"/>
        <v>1569028.1473877798</v>
      </c>
      <c r="I68" s="536">
        <f t="shared" si="2"/>
        <v>1606684.8229250871</v>
      </c>
      <c r="J68" s="536">
        <f t="shared" si="2"/>
        <v>1644923.9217107035</v>
      </c>
      <c r="K68" s="536">
        <f t="shared" si="2"/>
        <v>1682757.1719100496</v>
      </c>
      <c r="L68" s="537">
        <f t="shared" si="2"/>
        <v>1721124.0354295988</v>
      </c>
      <c r="M68" s="601"/>
      <c r="N68" s="417"/>
      <c r="O68" s="416"/>
      <c r="P68" s="417"/>
      <c r="Q68" s="416"/>
      <c r="R68" s="417"/>
      <c r="S68" s="416"/>
      <c r="T68" s="417"/>
      <c r="U68" s="416"/>
      <c r="V68" s="417"/>
      <c r="W68" s="416"/>
      <c r="X68" s="417"/>
      <c r="Y68" s="416"/>
      <c r="Z68" s="417"/>
      <c r="AA68" s="416"/>
      <c r="AB68" s="417"/>
      <c r="AC68" s="416"/>
      <c r="AD68" s="417"/>
      <c r="AE68" s="416"/>
      <c r="AF68" s="417"/>
      <c r="AG68" s="416"/>
      <c r="AH68" s="417"/>
      <c r="AI68" s="416"/>
      <c r="AJ68" s="417"/>
      <c r="AK68" s="416"/>
      <c r="AL68" s="417"/>
      <c r="AM68" s="416"/>
      <c r="AN68" s="417"/>
      <c r="AO68" s="416"/>
      <c r="AP68" s="417"/>
      <c r="AQ68" s="416"/>
      <c r="AR68" s="417"/>
      <c r="AS68" s="416"/>
      <c r="AT68" s="417"/>
      <c r="AU68" s="416"/>
      <c r="AV68" s="417"/>
      <c r="AW68" s="416"/>
      <c r="AX68" s="417"/>
      <c r="AY68" s="416"/>
      <c r="AZ68" s="417"/>
      <c r="BA68" s="416"/>
      <c r="BB68" s="417"/>
      <c r="BC68" s="416"/>
      <c r="BD68" s="417"/>
      <c r="BE68" s="416"/>
      <c r="BF68" s="417"/>
      <c r="BG68" s="416"/>
      <c r="BH68" s="417"/>
      <c r="BI68" s="416"/>
      <c r="BJ68" s="417"/>
      <c r="BK68" s="416"/>
      <c r="BL68" s="417"/>
      <c r="BM68" s="416"/>
      <c r="BN68" s="417"/>
      <c r="BO68" s="416"/>
      <c r="BP68" s="417"/>
      <c r="BQ68" s="416"/>
      <c r="BR68" s="417"/>
      <c r="BS68" s="416"/>
      <c r="BT68" s="417"/>
      <c r="BU68" s="416"/>
      <c r="BV68" s="417"/>
      <c r="BW68" s="416"/>
      <c r="BX68" s="417"/>
      <c r="BY68" s="416"/>
      <c r="BZ68" s="417"/>
      <c r="CA68" s="416"/>
      <c r="CB68" s="417"/>
      <c r="CC68" s="416"/>
      <c r="CD68" s="417"/>
      <c r="CE68" s="416"/>
      <c r="CF68" s="417"/>
      <c r="CG68" s="416"/>
      <c r="CH68" s="417"/>
      <c r="CI68" s="416"/>
      <c r="CJ68" s="417"/>
      <c r="CK68" s="416"/>
      <c r="CL68" s="417"/>
      <c r="CM68" s="416"/>
      <c r="CN68" s="417"/>
      <c r="CO68" s="416"/>
      <c r="CP68" s="417"/>
      <c r="CQ68" s="416"/>
      <c r="CR68" s="417"/>
      <c r="CS68" s="416"/>
      <c r="CT68" s="417"/>
      <c r="CU68" s="416"/>
      <c r="CV68" s="417"/>
      <c r="CW68" s="416"/>
      <c r="CX68" s="417"/>
      <c r="CY68" s="416"/>
      <c r="CZ68" s="417"/>
      <c r="DA68" s="416"/>
      <c r="DB68" s="417"/>
      <c r="DC68" s="416"/>
      <c r="DD68" s="417"/>
      <c r="DE68" s="416"/>
      <c r="DF68" s="417"/>
      <c r="DG68" s="416"/>
      <c r="DH68" s="417"/>
      <c r="DI68" s="416"/>
      <c r="DJ68" s="417"/>
      <c r="DK68" s="416"/>
      <c r="DL68" s="417"/>
      <c r="DM68" s="416"/>
      <c r="DN68" s="417"/>
      <c r="DO68" s="416"/>
      <c r="DP68" s="417"/>
      <c r="DQ68" s="416"/>
      <c r="DR68" s="417"/>
      <c r="DS68" s="416"/>
      <c r="DT68" s="417"/>
      <c r="DU68" s="416"/>
      <c r="DV68" s="417"/>
      <c r="DW68" s="416"/>
      <c r="DX68" s="417"/>
      <c r="DY68" s="416"/>
      <c r="DZ68" s="417"/>
      <c r="EA68" s="416"/>
      <c r="EB68" s="417"/>
      <c r="EC68" s="416"/>
      <c r="ED68" s="417"/>
      <c r="EE68" s="416"/>
      <c r="EF68" s="417"/>
      <c r="EG68" s="416"/>
      <c r="EH68" s="417"/>
      <c r="EI68" s="416"/>
      <c r="EJ68" s="417"/>
      <c r="EK68" s="416"/>
      <c r="EL68" s="417"/>
      <c r="EM68" s="416"/>
      <c r="EN68" s="417"/>
      <c r="EO68" s="416"/>
      <c r="EP68" s="417"/>
      <c r="EQ68" s="416"/>
      <c r="ER68" s="417"/>
      <c r="ES68" s="416"/>
      <c r="ET68" s="417"/>
      <c r="EU68" s="416"/>
      <c r="EV68" s="417"/>
      <c r="EW68" s="416"/>
      <c r="EX68" s="417"/>
      <c r="EY68" s="416"/>
      <c r="EZ68" s="417"/>
      <c r="FA68" s="416"/>
      <c r="FB68" s="417"/>
      <c r="FC68" s="416"/>
      <c r="FD68" s="417"/>
      <c r="FE68" s="416"/>
      <c r="FF68" s="417"/>
      <c r="FG68" s="416"/>
      <c r="FH68" s="417"/>
      <c r="FI68" s="416"/>
      <c r="FJ68" s="417"/>
      <c r="FK68" s="416"/>
      <c r="FL68" s="417"/>
      <c r="FM68" s="416"/>
      <c r="FN68" s="417"/>
      <c r="FO68" s="416"/>
      <c r="FP68" s="417"/>
      <c r="FQ68" s="416"/>
      <c r="FR68" s="417"/>
      <c r="FS68" s="416"/>
      <c r="FT68" s="417"/>
      <c r="FU68" s="416"/>
      <c r="FV68" s="417"/>
      <c r="FW68" s="416"/>
      <c r="FX68" s="417"/>
      <c r="FY68" s="416"/>
      <c r="FZ68" s="417"/>
      <c r="GA68" s="416"/>
      <c r="GB68" s="417"/>
      <c r="GC68" s="416"/>
      <c r="GD68" s="417"/>
      <c r="GE68" s="416"/>
      <c r="GF68" s="417"/>
      <c r="GG68" s="416"/>
      <c r="GH68" s="417"/>
      <c r="GI68" s="416"/>
      <c r="GJ68" s="417"/>
      <c r="GK68" s="416"/>
      <c r="GL68" s="417"/>
      <c r="GM68" s="416"/>
      <c r="GN68" s="417"/>
      <c r="GO68" s="416"/>
      <c r="GP68" s="417"/>
      <c r="GQ68" s="416"/>
      <c r="GR68" s="417"/>
      <c r="GS68" s="416"/>
      <c r="GT68" s="417"/>
      <c r="GU68" s="416"/>
      <c r="GV68" s="417"/>
      <c r="GW68" s="416"/>
      <c r="GX68" s="417"/>
      <c r="GY68" s="416"/>
      <c r="GZ68" s="417"/>
      <c r="HA68" s="416"/>
      <c r="HB68" s="417"/>
      <c r="HC68" s="416"/>
      <c r="HD68" s="417"/>
      <c r="HE68" s="416"/>
      <c r="HF68" s="417"/>
      <c r="HG68" s="416"/>
      <c r="HH68" s="417"/>
      <c r="HI68" s="416"/>
      <c r="HJ68" s="417"/>
      <c r="HK68" s="416"/>
      <c r="HL68" s="417"/>
      <c r="HM68" s="416"/>
      <c r="HN68" s="417"/>
      <c r="HO68" s="416"/>
      <c r="HP68" s="417"/>
      <c r="HQ68" s="416"/>
      <c r="HR68" s="417"/>
      <c r="HS68" s="416"/>
      <c r="HT68" s="417"/>
      <c r="HU68" s="416"/>
      <c r="HV68" s="417"/>
      <c r="HW68" s="416"/>
      <c r="HX68" s="417"/>
      <c r="HY68" s="416"/>
      <c r="HZ68" s="417"/>
      <c r="IA68" s="416"/>
      <c r="IB68" s="417"/>
      <c r="IC68" s="416"/>
      <c r="ID68" s="417"/>
      <c r="IE68" s="416"/>
      <c r="IF68" s="417"/>
      <c r="IG68" s="416"/>
      <c r="IH68" s="417"/>
      <c r="II68" s="416"/>
      <c r="IJ68" s="417"/>
      <c r="IK68" s="416"/>
      <c r="IL68" s="417"/>
      <c r="IM68" s="416"/>
      <c r="IN68" s="417"/>
      <c r="IO68" s="416"/>
      <c r="IP68" s="417"/>
      <c r="IQ68" s="416"/>
      <c r="IR68" s="417"/>
      <c r="IS68" s="416"/>
      <c r="IT68" s="417"/>
      <c r="IU68" s="416"/>
      <c r="IV68" s="417"/>
    </row>
    <row r="69" spans="1:256" s="418" customFormat="1" ht="14.25" thickBot="1" x14ac:dyDescent="0.3">
      <c r="A69" s="538" t="s">
        <v>509</v>
      </c>
      <c r="B69" s="539">
        <f>+B67-B68</f>
        <v>287360</v>
      </c>
      <c r="C69" s="539">
        <f t="shared" ref="C69:L69" si="3">+C67-C68</f>
        <v>293969.28000000026</v>
      </c>
      <c r="D69" s="539">
        <f t="shared" si="3"/>
        <v>299848.66559999972</v>
      </c>
      <c r="E69" s="539">
        <f t="shared" si="3"/>
        <v>306445.33624320012</v>
      </c>
      <c r="F69" s="539">
        <f t="shared" si="3"/>
        <v>313493.57897679368</v>
      </c>
      <c r="G69" s="539">
        <f t="shared" si="3"/>
        <v>321330.91845121328</v>
      </c>
      <c r="H69" s="539">
        <f t="shared" si="3"/>
        <v>329203.5259532677</v>
      </c>
      <c r="I69" s="539">
        <f t="shared" si="3"/>
        <v>337104.41057614563</v>
      </c>
      <c r="J69" s="539">
        <f t="shared" si="3"/>
        <v>345127.49554785853</v>
      </c>
      <c r="K69" s="539">
        <f t="shared" si="3"/>
        <v>353065.42794545926</v>
      </c>
      <c r="L69" s="540">
        <f t="shared" si="3"/>
        <v>361115.3197026155</v>
      </c>
      <c r="M69" s="602"/>
      <c r="N69" s="417"/>
      <c r="O69" s="416"/>
      <c r="P69" s="417"/>
      <c r="Q69" s="416"/>
      <c r="R69" s="417"/>
      <c r="S69" s="416"/>
      <c r="T69" s="417"/>
      <c r="U69" s="416"/>
      <c r="V69" s="417"/>
      <c r="W69" s="416"/>
      <c r="X69" s="417"/>
      <c r="Y69" s="416"/>
      <c r="Z69" s="417"/>
      <c r="AA69" s="416"/>
      <c r="AB69" s="417"/>
      <c r="AC69" s="416"/>
      <c r="AD69" s="417"/>
      <c r="AE69" s="416"/>
      <c r="AF69" s="417"/>
      <c r="AG69" s="416"/>
      <c r="AH69" s="417"/>
      <c r="AI69" s="416"/>
      <c r="AJ69" s="417"/>
      <c r="AK69" s="416"/>
      <c r="AL69" s="417"/>
      <c r="AM69" s="416"/>
      <c r="AN69" s="417"/>
      <c r="AO69" s="416"/>
      <c r="AP69" s="417"/>
      <c r="AQ69" s="416"/>
      <c r="AR69" s="417"/>
      <c r="AS69" s="416"/>
      <c r="AT69" s="417"/>
      <c r="AU69" s="416"/>
      <c r="AV69" s="417"/>
      <c r="AW69" s="416"/>
      <c r="AX69" s="417"/>
      <c r="AY69" s="416"/>
      <c r="AZ69" s="417"/>
      <c r="BA69" s="416"/>
      <c r="BB69" s="417"/>
      <c r="BC69" s="416"/>
      <c r="BD69" s="417"/>
      <c r="BE69" s="416"/>
      <c r="BF69" s="417"/>
      <c r="BG69" s="416"/>
      <c r="BH69" s="417"/>
      <c r="BI69" s="416"/>
      <c r="BJ69" s="417"/>
      <c r="BK69" s="416"/>
      <c r="BL69" s="417"/>
      <c r="BM69" s="416"/>
      <c r="BN69" s="417"/>
      <c r="BO69" s="416"/>
      <c r="BP69" s="417"/>
      <c r="BQ69" s="416"/>
      <c r="BR69" s="417"/>
      <c r="BS69" s="416"/>
      <c r="BT69" s="417"/>
      <c r="BU69" s="416"/>
      <c r="BV69" s="417"/>
      <c r="BW69" s="416"/>
      <c r="BX69" s="417"/>
      <c r="BY69" s="416"/>
      <c r="BZ69" s="417"/>
      <c r="CA69" s="416"/>
      <c r="CB69" s="417"/>
      <c r="CC69" s="416"/>
      <c r="CD69" s="417"/>
      <c r="CE69" s="416"/>
      <c r="CF69" s="417"/>
      <c r="CG69" s="416"/>
      <c r="CH69" s="417"/>
      <c r="CI69" s="416"/>
      <c r="CJ69" s="417"/>
      <c r="CK69" s="416"/>
      <c r="CL69" s="417"/>
      <c r="CM69" s="416"/>
      <c r="CN69" s="417"/>
      <c r="CO69" s="416"/>
      <c r="CP69" s="417"/>
      <c r="CQ69" s="416"/>
      <c r="CR69" s="417"/>
      <c r="CS69" s="416"/>
      <c r="CT69" s="417"/>
      <c r="CU69" s="416"/>
      <c r="CV69" s="417"/>
      <c r="CW69" s="416"/>
      <c r="CX69" s="417"/>
      <c r="CY69" s="416"/>
      <c r="CZ69" s="417"/>
      <c r="DA69" s="416"/>
      <c r="DB69" s="417"/>
      <c r="DC69" s="416"/>
      <c r="DD69" s="417"/>
      <c r="DE69" s="416"/>
      <c r="DF69" s="417"/>
      <c r="DG69" s="416"/>
      <c r="DH69" s="417"/>
      <c r="DI69" s="416"/>
      <c r="DJ69" s="417"/>
      <c r="DK69" s="416"/>
      <c r="DL69" s="417"/>
      <c r="DM69" s="416"/>
      <c r="DN69" s="417"/>
      <c r="DO69" s="416"/>
      <c r="DP69" s="417"/>
      <c r="DQ69" s="416"/>
      <c r="DR69" s="417"/>
      <c r="DS69" s="416"/>
      <c r="DT69" s="417"/>
      <c r="DU69" s="416"/>
      <c r="DV69" s="417"/>
      <c r="DW69" s="416"/>
      <c r="DX69" s="417"/>
      <c r="DY69" s="416"/>
      <c r="DZ69" s="417"/>
      <c r="EA69" s="416"/>
      <c r="EB69" s="417"/>
      <c r="EC69" s="416"/>
      <c r="ED69" s="417"/>
      <c r="EE69" s="416"/>
      <c r="EF69" s="417"/>
      <c r="EG69" s="416"/>
      <c r="EH69" s="417"/>
      <c r="EI69" s="416"/>
      <c r="EJ69" s="417"/>
      <c r="EK69" s="416"/>
      <c r="EL69" s="417"/>
      <c r="EM69" s="416"/>
      <c r="EN69" s="417"/>
      <c r="EO69" s="416"/>
      <c r="EP69" s="417"/>
      <c r="EQ69" s="416"/>
      <c r="ER69" s="417"/>
      <c r="ES69" s="416"/>
      <c r="ET69" s="417"/>
      <c r="EU69" s="416"/>
      <c r="EV69" s="417"/>
      <c r="EW69" s="416"/>
      <c r="EX69" s="417"/>
      <c r="EY69" s="416"/>
      <c r="EZ69" s="417"/>
      <c r="FA69" s="416"/>
      <c r="FB69" s="417"/>
      <c r="FC69" s="416"/>
      <c r="FD69" s="417"/>
      <c r="FE69" s="416"/>
      <c r="FF69" s="417"/>
      <c r="FG69" s="416"/>
      <c r="FH69" s="417"/>
      <c r="FI69" s="416"/>
      <c r="FJ69" s="417"/>
      <c r="FK69" s="416"/>
      <c r="FL69" s="417"/>
      <c r="FM69" s="416"/>
      <c r="FN69" s="417"/>
      <c r="FO69" s="416"/>
      <c r="FP69" s="417"/>
      <c r="FQ69" s="416"/>
      <c r="FR69" s="417"/>
      <c r="FS69" s="416"/>
      <c r="FT69" s="417"/>
      <c r="FU69" s="416"/>
      <c r="FV69" s="417"/>
      <c r="FW69" s="416"/>
      <c r="FX69" s="417"/>
      <c r="FY69" s="416"/>
      <c r="FZ69" s="417"/>
      <c r="GA69" s="416"/>
      <c r="GB69" s="417"/>
      <c r="GC69" s="416"/>
      <c r="GD69" s="417"/>
      <c r="GE69" s="416"/>
      <c r="GF69" s="417"/>
      <c r="GG69" s="416"/>
      <c r="GH69" s="417"/>
      <c r="GI69" s="416"/>
      <c r="GJ69" s="417"/>
      <c r="GK69" s="416"/>
      <c r="GL69" s="417"/>
      <c r="GM69" s="416"/>
      <c r="GN69" s="417"/>
      <c r="GO69" s="416"/>
      <c r="GP69" s="417"/>
      <c r="GQ69" s="416"/>
      <c r="GR69" s="417"/>
      <c r="GS69" s="416"/>
      <c r="GT69" s="417"/>
      <c r="GU69" s="416"/>
      <c r="GV69" s="417"/>
      <c r="GW69" s="416"/>
      <c r="GX69" s="417"/>
      <c r="GY69" s="416"/>
      <c r="GZ69" s="417"/>
      <c r="HA69" s="416"/>
      <c r="HB69" s="417"/>
      <c r="HC69" s="416"/>
      <c r="HD69" s="417"/>
      <c r="HE69" s="416"/>
      <c r="HF69" s="417"/>
      <c r="HG69" s="416"/>
      <c r="HH69" s="417"/>
      <c r="HI69" s="416"/>
      <c r="HJ69" s="417"/>
      <c r="HK69" s="416"/>
      <c r="HL69" s="417"/>
      <c r="HM69" s="416"/>
      <c r="HN69" s="417"/>
      <c r="HO69" s="416"/>
      <c r="HP69" s="417"/>
      <c r="HQ69" s="416"/>
      <c r="HR69" s="417"/>
      <c r="HS69" s="416"/>
      <c r="HT69" s="417"/>
      <c r="HU69" s="416"/>
      <c r="HV69" s="417"/>
      <c r="HW69" s="416"/>
      <c r="HX69" s="417"/>
      <c r="HY69" s="416"/>
      <c r="HZ69" s="417"/>
      <c r="IA69" s="416"/>
      <c r="IB69" s="417"/>
      <c r="IC69" s="416"/>
      <c r="ID69" s="417"/>
      <c r="IE69" s="416"/>
      <c r="IF69" s="417"/>
      <c r="IG69" s="416"/>
      <c r="IH69" s="417"/>
      <c r="II69" s="416"/>
      <c r="IJ69" s="417"/>
      <c r="IK69" s="416"/>
      <c r="IL69" s="417"/>
      <c r="IM69" s="416"/>
      <c r="IN69" s="417"/>
      <c r="IO69" s="416"/>
      <c r="IP69" s="417"/>
      <c r="IQ69" s="416"/>
      <c r="IR69" s="417"/>
      <c r="IS69" s="416"/>
      <c r="IT69" s="417"/>
      <c r="IU69" s="416"/>
      <c r="IV69" s="417"/>
    </row>
    <row r="70" spans="1:256" s="122" customForma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25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256" ht="26.25" x14ac:dyDescent="0.4">
      <c r="A72" s="145" t="s">
        <v>446</v>
      </c>
      <c r="M72" s="30"/>
    </row>
    <row r="73" spans="1:256" x14ac:dyDescent="0.2">
      <c r="M73" s="30"/>
    </row>
    <row r="74" spans="1:256" x14ac:dyDescent="0.2">
      <c r="A74" s="122" t="s">
        <v>360</v>
      </c>
      <c r="F74" s="122" t="s">
        <v>361</v>
      </c>
      <c r="M74" s="30"/>
    </row>
    <row r="75" spans="1:256" x14ac:dyDescent="0.2">
      <c r="M75" s="30"/>
    </row>
    <row r="76" spans="1:256" s="122" customFormat="1" x14ac:dyDescent="0.2">
      <c r="A76" t="s">
        <v>366</v>
      </c>
      <c r="B76"/>
      <c r="C76"/>
      <c r="D76"/>
      <c r="E76"/>
      <c r="F76" t="s">
        <v>363</v>
      </c>
      <c r="G76"/>
      <c r="H76"/>
      <c r="I76"/>
      <c r="J76"/>
      <c r="K76"/>
      <c r="L76"/>
      <c r="M76" s="35"/>
    </row>
    <row r="77" spans="1:256" x14ac:dyDescent="0.2">
      <c r="A77" t="s">
        <v>371</v>
      </c>
      <c r="F77" t="s">
        <v>362</v>
      </c>
      <c r="M77" s="30"/>
    </row>
    <row r="78" spans="1:256" x14ac:dyDescent="0.2">
      <c r="A78" t="s">
        <v>372</v>
      </c>
      <c r="F78" t="s">
        <v>365</v>
      </c>
      <c r="M78" s="30"/>
    </row>
    <row r="79" spans="1:256" x14ac:dyDescent="0.2">
      <c r="A79" t="s">
        <v>373</v>
      </c>
      <c r="F79" t="s">
        <v>364</v>
      </c>
      <c r="M79" s="30"/>
    </row>
    <row r="80" spans="1:256" x14ac:dyDescent="0.2">
      <c r="A80" t="s">
        <v>374</v>
      </c>
      <c r="F80" t="s">
        <v>367</v>
      </c>
      <c r="M80" s="30"/>
    </row>
    <row r="81" spans="1:13" x14ac:dyDescent="0.2">
      <c r="A81" t="s">
        <v>375</v>
      </c>
      <c r="F81" t="s">
        <v>368</v>
      </c>
      <c r="M81" s="30"/>
    </row>
    <row r="82" spans="1:13" s="122" customFormat="1" x14ac:dyDescent="0.2">
      <c r="A82"/>
      <c r="B82"/>
      <c r="C82"/>
      <c r="D82"/>
      <c r="E82"/>
      <c r="F82" t="s">
        <v>369</v>
      </c>
      <c r="G82"/>
      <c r="H82"/>
      <c r="I82"/>
      <c r="J82"/>
      <c r="K82"/>
      <c r="L82"/>
      <c r="M82" s="35"/>
    </row>
    <row r="83" spans="1:13" x14ac:dyDescent="0.2">
      <c r="F83" t="s">
        <v>370</v>
      </c>
      <c r="M83" s="30"/>
    </row>
    <row r="84" spans="1:13" ht="13.5" thickBot="1" x14ac:dyDescent="0.25">
      <c r="M84" s="30"/>
    </row>
    <row r="85" spans="1:13" ht="13.5" thickBot="1" x14ac:dyDescent="0.25">
      <c r="A85" s="392"/>
      <c r="B85" s="193">
        <v>2001</v>
      </c>
      <c r="C85" s="193">
        <v>2002</v>
      </c>
      <c r="D85" s="193">
        <v>2003</v>
      </c>
      <c r="E85" s="193">
        <v>2004</v>
      </c>
      <c r="F85" s="193">
        <v>2005</v>
      </c>
      <c r="G85" s="193">
        <v>2006</v>
      </c>
      <c r="H85" s="193">
        <v>2007</v>
      </c>
      <c r="I85" s="193">
        <v>2008</v>
      </c>
      <c r="J85" s="193">
        <v>2009</v>
      </c>
      <c r="K85" s="193">
        <v>2010</v>
      </c>
      <c r="L85" s="75">
        <v>2011</v>
      </c>
      <c r="M85" s="30"/>
    </row>
    <row r="86" spans="1:13" ht="13.5" x14ac:dyDescent="0.25">
      <c r="A86" s="415" t="s">
        <v>392</v>
      </c>
      <c r="B86" s="420">
        <v>1530105.2083333335</v>
      </c>
      <c r="C86" s="420">
        <f>+B86*(1+'Total Market Size'!C$136)</f>
        <v>1565297.628125</v>
      </c>
      <c r="D86" s="420">
        <f>+C86*(1+'Total Market Size'!D$136)</f>
        <v>1596603.5806875001</v>
      </c>
      <c r="E86" s="420">
        <f>+D86*(1+'Total Market Size'!E$136)</f>
        <v>1631728.8594626251</v>
      </c>
      <c r="F86" s="420">
        <f>+E86*(1+'Total Market Size'!F$136)</f>
        <v>1669258.6232302655</v>
      </c>
      <c r="G86" s="420">
        <f>+F86*(1+'Total Market Size'!G$136)</f>
        <v>1710990.088811022</v>
      </c>
      <c r="H86" s="420">
        <f>+G86*(1+'Total Market Size'!H$136)</f>
        <v>1752909.345986892</v>
      </c>
      <c r="I86" s="420">
        <f>+H86*(1+'Total Market Size'!I$136)</f>
        <v>1794979.1702905775</v>
      </c>
      <c r="J86" s="420">
        <f>+I86*(1+'Total Market Size'!J$136)</f>
        <v>1837699.6745434932</v>
      </c>
      <c r="K86" s="420">
        <f>+J86*(1+'Total Market Size'!K$136)</f>
        <v>1879966.7670579934</v>
      </c>
      <c r="L86" s="424">
        <f>+K86*(1+'Total Market Size'!L$136)</f>
        <v>1922830.0093469156</v>
      </c>
      <c r="M86" s="30"/>
    </row>
    <row r="87" spans="1:13" ht="13.5" x14ac:dyDescent="0.25">
      <c r="A87" s="415" t="s">
        <v>393</v>
      </c>
      <c r="B87" s="421">
        <v>30000</v>
      </c>
      <c r="C87" s="421">
        <f>+B87*(1+'Total Market Size'!C$136)</f>
        <v>30689.999999999996</v>
      </c>
      <c r="D87" s="421">
        <f>+C87*(1+'Total Market Size'!D$136)</f>
        <v>31303.799999999996</v>
      </c>
      <c r="E87" s="421">
        <f>+D87*(1+'Total Market Size'!E$136)</f>
        <v>31992.483599999996</v>
      </c>
      <c r="F87" s="421">
        <f>+E87*(1+'Total Market Size'!F$136)</f>
        <v>32728.310722799994</v>
      </c>
      <c r="G87" s="421">
        <f>+F87*(1+'Total Market Size'!G$136)</f>
        <v>33546.518490869988</v>
      </c>
      <c r="H87" s="421">
        <f>+G87*(1+'Total Market Size'!H$136)</f>
        <v>34368.408193896299</v>
      </c>
      <c r="I87" s="421">
        <f>+H87*(1+'Total Market Size'!I$136)</f>
        <v>35193.249990549812</v>
      </c>
      <c r="J87" s="421">
        <f>+I87*(1+'Total Market Size'!J$136)</f>
        <v>36030.849340324901</v>
      </c>
      <c r="K87" s="421">
        <f>+J87*(1+'Total Market Size'!K$136)</f>
        <v>36859.558875152368</v>
      </c>
      <c r="L87" s="425">
        <f>+K87*(1+'Total Market Size'!L$136)</f>
        <v>37699.956817505838</v>
      </c>
      <c r="M87" s="30"/>
    </row>
    <row r="88" spans="1:13" s="122" customFormat="1" ht="13.5" x14ac:dyDescent="0.25">
      <c r="A88" s="414" t="s">
        <v>394</v>
      </c>
      <c r="B88" s="422">
        <v>1560105.2083333335</v>
      </c>
      <c r="C88" s="422">
        <f>+B88*(1+'Total Market Size'!C$136)</f>
        <v>1595987.628125</v>
      </c>
      <c r="D88" s="422">
        <f>+C88*(1+'Total Market Size'!D$136)</f>
        <v>1627907.3806875001</v>
      </c>
      <c r="E88" s="422">
        <f>+D88*(1+'Total Market Size'!E$136)</f>
        <v>1663721.3430626253</v>
      </c>
      <c r="F88" s="422">
        <f>+E88*(1+'Total Market Size'!F$136)</f>
        <v>1701986.9339530654</v>
      </c>
      <c r="G88" s="422">
        <f>+F88*(1+'Total Market Size'!G$136)</f>
        <v>1744536.607301892</v>
      </c>
      <c r="H88" s="422">
        <f>+G88*(1+'Total Market Size'!H$136)</f>
        <v>1787277.7541807883</v>
      </c>
      <c r="I88" s="422">
        <f>+H88*(1+'Total Market Size'!I$136)</f>
        <v>1830172.4202811273</v>
      </c>
      <c r="J88" s="422">
        <f>+I88*(1+'Total Market Size'!J$136)</f>
        <v>1873730.5238838182</v>
      </c>
      <c r="K88" s="422">
        <f>+J88*(1+'Total Market Size'!K$136)</f>
        <v>1916826.3259331458</v>
      </c>
      <c r="L88" s="426">
        <f>+K88*(1+'Total Market Size'!L$136)</f>
        <v>1960529.9661644215</v>
      </c>
      <c r="M88" s="35"/>
    </row>
    <row r="89" spans="1:13" ht="13.5" x14ac:dyDescent="0.25">
      <c r="A89" s="419" t="s">
        <v>395</v>
      </c>
      <c r="B89" s="422">
        <v>208269.83697916672</v>
      </c>
      <c r="C89" s="422">
        <f>+B89*(1+'Total Market Size'!C$136)</f>
        <v>213060.04322968752</v>
      </c>
      <c r="D89" s="422">
        <f>+C89*(1+'Total Market Size'!D$136)</f>
        <v>217321.24409428128</v>
      </c>
      <c r="E89" s="422">
        <f>+D89*(1+'Total Market Size'!E$136)</f>
        <v>222102.31146435547</v>
      </c>
      <c r="F89" s="422">
        <f>+E89*(1+'Total Market Size'!F$136)</f>
        <v>227210.66462803562</v>
      </c>
      <c r="G89" s="422">
        <f>+F89*(1+'Total Market Size'!G$136)</f>
        <v>232890.9312437365</v>
      </c>
      <c r="H89" s="422">
        <f>+G89*(1+'Total Market Size'!H$136)</f>
        <v>238596.75905920804</v>
      </c>
      <c r="I89" s="422">
        <f>+H89*(1+'Total Market Size'!I$136)</f>
        <v>244323.08127662903</v>
      </c>
      <c r="J89" s="422">
        <f>+I89*(1+'Total Market Size'!J$136)</f>
        <v>250137.9706110128</v>
      </c>
      <c r="K89" s="422">
        <f>+J89*(1+'Total Market Size'!K$136)</f>
        <v>255891.14393506607</v>
      </c>
      <c r="L89" s="426">
        <f>+K89*(1+'Total Market Size'!L$136)</f>
        <v>261725.46201678555</v>
      </c>
      <c r="M89" s="30"/>
    </row>
    <row r="90" spans="1:13" ht="13.5" x14ac:dyDescent="0.25">
      <c r="A90" s="415" t="s">
        <v>396</v>
      </c>
      <c r="B90" s="421">
        <v>95812.104166666672</v>
      </c>
      <c r="C90" s="421">
        <f>+B90*(1+'Total Market Size'!C$136)</f>
        <v>98015.782562499997</v>
      </c>
      <c r="D90" s="421">
        <f>+C90*(1+'Total Market Size'!D$136)</f>
        <v>99976.098213749996</v>
      </c>
      <c r="E90" s="421">
        <f>+D90*(1+'Total Market Size'!E$136)</f>
        <v>102175.5723744525</v>
      </c>
      <c r="F90" s="421">
        <f>+E90*(1+'Total Market Size'!F$136)</f>
        <v>104525.6105390649</v>
      </c>
      <c r="G90" s="421">
        <f>+F90*(1+'Total Market Size'!G$136)</f>
        <v>107138.75080254152</v>
      </c>
      <c r="H90" s="421">
        <f>+G90*(1+'Total Market Size'!H$136)</f>
        <v>109763.65019720378</v>
      </c>
      <c r="I90" s="421">
        <f>+H90*(1+'Total Market Size'!I$136)</f>
        <v>112397.97780193668</v>
      </c>
      <c r="J90" s="421">
        <f>+I90*(1+'Total Market Size'!J$136)</f>
        <v>115073.04967362278</v>
      </c>
      <c r="K90" s="421">
        <f>+J90*(1+'Total Market Size'!K$136)</f>
        <v>117719.72981611609</v>
      </c>
      <c r="L90" s="425">
        <f>+K90*(1+'Total Market Size'!L$136)</f>
        <v>120403.73965592352</v>
      </c>
      <c r="M90" s="30"/>
    </row>
    <row r="91" spans="1:13" ht="13.5" x14ac:dyDescent="0.25">
      <c r="A91" s="416" t="s">
        <v>397</v>
      </c>
      <c r="B91" s="422">
        <v>304081.94114583341</v>
      </c>
      <c r="C91" s="422">
        <f>+B91*(1+'Total Market Size'!C$136)</f>
        <v>311075.82579218753</v>
      </c>
      <c r="D91" s="422">
        <f>+C91*(1+'Total Market Size'!D$136)</f>
        <v>317297.34230803128</v>
      </c>
      <c r="E91" s="422">
        <f>+D91*(1+'Total Market Size'!E$136)</f>
        <v>324277.88383880799</v>
      </c>
      <c r="F91" s="422">
        <f>+E91*(1+'Total Market Size'!F$136)</f>
        <v>331736.27516710054</v>
      </c>
      <c r="G91" s="422">
        <f>+F91*(1+'Total Market Size'!G$136)</f>
        <v>340029.68204627803</v>
      </c>
      <c r="H91" s="422">
        <f>+G91*(1+'Total Market Size'!H$136)</f>
        <v>348360.40925641183</v>
      </c>
      <c r="I91" s="422">
        <f>+H91*(1+'Total Market Size'!I$136)</f>
        <v>356721.05907856574</v>
      </c>
      <c r="J91" s="422">
        <f>+I91*(1+'Total Market Size'!J$136)</f>
        <v>365211.0202846356</v>
      </c>
      <c r="K91" s="422">
        <f>+J91*(1+'Total Market Size'!K$136)</f>
        <v>373610.87375118217</v>
      </c>
      <c r="L91" s="426">
        <f>+K91*(1+'Total Market Size'!L$136)</f>
        <v>382129.20167270908</v>
      </c>
      <c r="M91" s="30"/>
    </row>
    <row r="92" spans="1:13" ht="13.5" x14ac:dyDescent="0.25">
      <c r="A92" s="415" t="s">
        <v>398</v>
      </c>
      <c r="B92" s="422">
        <v>30000</v>
      </c>
      <c r="C92" s="422">
        <f>+B92*(1+'Total Market Size'!C$136)</f>
        <v>30689.999999999996</v>
      </c>
      <c r="D92" s="422">
        <f>+C92*(1+'Total Market Size'!D$136)</f>
        <v>31303.799999999996</v>
      </c>
      <c r="E92" s="422">
        <f>+D92*(1+'Total Market Size'!E$136)</f>
        <v>31992.483599999996</v>
      </c>
      <c r="F92" s="422">
        <f>+E92*(1+'Total Market Size'!F$136)</f>
        <v>32728.310722799994</v>
      </c>
      <c r="G92" s="422">
        <f>+F92*(1+'Total Market Size'!G$136)</f>
        <v>33546.518490869988</v>
      </c>
      <c r="H92" s="422">
        <f>+G92*(1+'Total Market Size'!H$136)</f>
        <v>34368.408193896299</v>
      </c>
      <c r="I92" s="422">
        <f>+H92*(1+'Total Market Size'!I$136)</f>
        <v>35193.249990549812</v>
      </c>
      <c r="J92" s="422">
        <f>+I92*(1+'Total Market Size'!J$136)</f>
        <v>36030.849340324901</v>
      </c>
      <c r="K92" s="422">
        <f>+J92*(1+'Total Market Size'!K$136)</f>
        <v>36859.558875152368</v>
      </c>
      <c r="L92" s="426">
        <f>+K92*(1+'Total Market Size'!L$136)</f>
        <v>37699.956817505838</v>
      </c>
      <c r="M92" s="30"/>
    </row>
    <row r="93" spans="1:13" ht="13.5" x14ac:dyDescent="0.25">
      <c r="A93" s="415" t="s">
        <v>399</v>
      </c>
      <c r="B93" s="422">
        <v>2400</v>
      </c>
      <c r="C93" s="422">
        <f>+B93*(1+'Total Market Size'!C$136)</f>
        <v>2455.1999999999998</v>
      </c>
      <c r="D93" s="422">
        <f>+C93*(1+'Total Market Size'!D$136)</f>
        <v>2504.3039999999996</v>
      </c>
      <c r="E93" s="422">
        <f>+D93*(1+'Total Market Size'!E$136)</f>
        <v>2559.3986879999998</v>
      </c>
      <c r="F93" s="422">
        <f>+E93*(1+'Total Market Size'!F$136)</f>
        <v>2618.2648578239996</v>
      </c>
      <c r="G93" s="422">
        <f>+F93*(1+'Total Market Size'!G$136)</f>
        <v>2683.7214792695995</v>
      </c>
      <c r="H93" s="422">
        <f>+G93*(1+'Total Market Size'!H$136)</f>
        <v>2749.4726555117045</v>
      </c>
      <c r="I93" s="422">
        <f>+H93*(1+'Total Market Size'!I$136)</f>
        <v>2815.4599992439853</v>
      </c>
      <c r="J93" s="422">
        <f>+I93*(1+'Total Market Size'!J$136)</f>
        <v>2882.4679472259922</v>
      </c>
      <c r="K93" s="422">
        <f>+J93*(1+'Total Market Size'!K$136)</f>
        <v>2948.7647100121899</v>
      </c>
      <c r="L93" s="426">
        <f>+K93*(1+'Total Market Size'!L$136)</f>
        <v>3015.9965454004678</v>
      </c>
      <c r="M93" s="30"/>
    </row>
    <row r="94" spans="1:13" s="122" customFormat="1" ht="13.5" x14ac:dyDescent="0.25">
      <c r="A94" s="415" t="s">
        <v>400</v>
      </c>
      <c r="B94" s="422">
        <v>20000</v>
      </c>
      <c r="C94" s="422">
        <f>+B94*(1+'Total Market Size'!C$136)</f>
        <v>20460</v>
      </c>
      <c r="D94" s="422">
        <f>+C94*(1+'Total Market Size'!D$136)</f>
        <v>20869.2</v>
      </c>
      <c r="E94" s="422">
        <f>+D94*(1+'Total Market Size'!E$136)</f>
        <v>21328.322400000001</v>
      </c>
      <c r="F94" s="422">
        <f>+E94*(1+'Total Market Size'!F$136)</f>
        <v>21818.873815200001</v>
      </c>
      <c r="G94" s="422">
        <f>+F94*(1+'Total Market Size'!G$136)</f>
        <v>22364.345660579998</v>
      </c>
      <c r="H94" s="422">
        <f>+G94*(1+'Total Market Size'!H$136)</f>
        <v>22912.272129264209</v>
      </c>
      <c r="I94" s="422">
        <f>+H94*(1+'Total Market Size'!I$136)</f>
        <v>23462.166660366551</v>
      </c>
      <c r="J94" s="422">
        <f>+I94*(1+'Total Market Size'!J$136)</f>
        <v>24020.566226883275</v>
      </c>
      <c r="K94" s="422">
        <f>+J94*(1+'Total Market Size'!K$136)</f>
        <v>24573.039250101589</v>
      </c>
      <c r="L94" s="426">
        <f>+K94*(1+'Total Market Size'!L$136)</f>
        <v>25133.304545003903</v>
      </c>
      <c r="M94" s="35"/>
    </row>
    <row r="95" spans="1:13" ht="13.5" x14ac:dyDescent="0.25">
      <c r="A95" s="415" t="s">
        <v>401</v>
      </c>
      <c r="B95" s="422">
        <v>24570</v>
      </c>
      <c r="C95" s="422">
        <f>+B95*(1+'Total Market Size'!C$136)</f>
        <v>25135.109999999997</v>
      </c>
      <c r="D95" s="422">
        <f>+C95*(1+'Total Market Size'!D$136)</f>
        <v>25637.812199999997</v>
      </c>
      <c r="E95" s="422">
        <f>+D95*(1+'Total Market Size'!E$136)</f>
        <v>26201.844068399998</v>
      </c>
      <c r="F95" s="422">
        <f>+E95*(1+'Total Market Size'!F$136)</f>
        <v>26804.486481973196</v>
      </c>
      <c r="G95" s="422">
        <f>+F95*(1+'Total Market Size'!G$136)</f>
        <v>27474.598644022524</v>
      </c>
      <c r="H95" s="422">
        <f>+G95*(1+'Total Market Size'!H$136)</f>
        <v>28147.726310801074</v>
      </c>
      <c r="I95" s="422">
        <f>+H95*(1+'Total Market Size'!I$136)</f>
        <v>28823.271742260302</v>
      </c>
      <c r="J95" s="422">
        <f>+I95*(1+'Total Market Size'!J$136)</f>
        <v>29509.265609726099</v>
      </c>
      <c r="K95" s="422">
        <f>+J95*(1+'Total Market Size'!K$136)</f>
        <v>30187.978718749797</v>
      </c>
      <c r="L95" s="426">
        <f>+K95*(1+'Total Market Size'!L$136)</f>
        <v>30876.264633537288</v>
      </c>
      <c r="M95" s="30"/>
    </row>
    <row r="96" spans="1:13" ht="13.5" x14ac:dyDescent="0.25">
      <c r="A96" s="415" t="s">
        <v>402</v>
      </c>
      <c r="B96" s="422">
        <v>630000</v>
      </c>
      <c r="C96" s="422">
        <f>+B96*(1+'Total Market Size'!C$136)</f>
        <v>644490</v>
      </c>
      <c r="D96" s="422">
        <f>+C96*(1+'Total Market Size'!D$136)</f>
        <v>657379.80000000005</v>
      </c>
      <c r="E96" s="422">
        <f>+D96*(1+'Total Market Size'!E$136)</f>
        <v>671842.15560000006</v>
      </c>
      <c r="F96" s="422">
        <f>+E96*(1+'Total Market Size'!F$136)</f>
        <v>687294.52517879999</v>
      </c>
      <c r="G96" s="422">
        <f>+F96*(1+'Total Market Size'!G$136)</f>
        <v>704476.8883082699</v>
      </c>
      <c r="H96" s="422">
        <f>+G96*(1+'Total Market Size'!H$136)</f>
        <v>721736.57207182248</v>
      </c>
      <c r="I96" s="422">
        <f>+H96*(1+'Total Market Size'!I$136)</f>
        <v>739058.24980154622</v>
      </c>
      <c r="J96" s="422">
        <f>+I96*(1+'Total Market Size'!J$136)</f>
        <v>756647.83614682301</v>
      </c>
      <c r="K96" s="422">
        <f>+J96*(1+'Total Market Size'!K$136)</f>
        <v>774050.73637819989</v>
      </c>
      <c r="L96" s="426">
        <f>+K96*(1+'Total Market Size'!L$136)</f>
        <v>791699.09316762281</v>
      </c>
      <c r="M96" s="30"/>
    </row>
    <row r="97" spans="1:13" ht="13.5" x14ac:dyDescent="0.25">
      <c r="A97" s="415" t="s">
        <v>403</v>
      </c>
      <c r="B97" s="422">
        <v>6000</v>
      </c>
      <c r="C97" s="422">
        <f>+B97*(1+'Total Market Size'!C$136)</f>
        <v>6137.9999999999991</v>
      </c>
      <c r="D97" s="422">
        <f>+C97*(1+'Total Market Size'!D$136)</f>
        <v>6260.7599999999993</v>
      </c>
      <c r="E97" s="422">
        <f>+D97*(1+'Total Market Size'!E$136)</f>
        <v>6398.4967199999992</v>
      </c>
      <c r="F97" s="422">
        <f>+E97*(1+'Total Market Size'!F$136)</f>
        <v>6545.6621445599985</v>
      </c>
      <c r="G97" s="422">
        <f>+F97*(1+'Total Market Size'!G$136)</f>
        <v>6709.3036981739979</v>
      </c>
      <c r="H97" s="422">
        <f>+G97*(1+'Total Market Size'!H$136)</f>
        <v>6873.6816387792605</v>
      </c>
      <c r="I97" s="422">
        <f>+H97*(1+'Total Market Size'!I$136)</f>
        <v>7038.6499981099632</v>
      </c>
      <c r="J97" s="422">
        <f>+I97*(1+'Total Market Size'!J$136)</f>
        <v>7206.1698680649806</v>
      </c>
      <c r="K97" s="422">
        <f>+J97*(1+'Total Market Size'!K$136)</f>
        <v>7371.9117750304749</v>
      </c>
      <c r="L97" s="426">
        <f>+K97*(1+'Total Market Size'!L$136)</f>
        <v>7539.991363501169</v>
      </c>
      <c r="M97" s="30"/>
    </row>
    <row r="98" spans="1:13" s="122" customFormat="1" ht="13.5" x14ac:dyDescent="0.25">
      <c r="A98" s="415" t="s">
        <v>404</v>
      </c>
      <c r="B98" s="421">
        <v>0</v>
      </c>
      <c r="C98" s="421">
        <f>+B98*(1+'Total Market Size'!C$136)</f>
        <v>0</v>
      </c>
      <c r="D98" s="421">
        <f>+C98*(1+'Total Market Size'!D$136)</f>
        <v>0</v>
      </c>
      <c r="E98" s="421">
        <f>+D98*(1+'Total Market Size'!E$136)</f>
        <v>0</v>
      </c>
      <c r="F98" s="421">
        <f>+E98*(1+'Total Market Size'!F$136)</f>
        <v>0</v>
      </c>
      <c r="G98" s="421">
        <f>+F98*(1+'Total Market Size'!G$136)</f>
        <v>0</v>
      </c>
      <c r="H98" s="421">
        <f>+G98*(1+'Total Market Size'!H$136)</f>
        <v>0</v>
      </c>
      <c r="I98" s="421">
        <f>+H98*(1+'Total Market Size'!I$136)</f>
        <v>0</v>
      </c>
      <c r="J98" s="421">
        <f>+I98*(1+'Total Market Size'!J$136)</f>
        <v>0</v>
      </c>
      <c r="K98" s="421">
        <f>+J98*(1+'Total Market Size'!K$136)</f>
        <v>0</v>
      </c>
      <c r="L98" s="425">
        <f>+K98*(1+'Total Market Size'!L$136)</f>
        <v>0</v>
      </c>
      <c r="M98" s="35"/>
    </row>
    <row r="99" spans="1:13" ht="13.5" x14ac:dyDescent="0.25">
      <c r="A99" s="416" t="s">
        <v>405</v>
      </c>
      <c r="B99" s="422">
        <v>712970</v>
      </c>
      <c r="C99" s="422">
        <f>+B99*(1+'Total Market Size'!C$136)</f>
        <v>729368.30999999994</v>
      </c>
      <c r="D99" s="422">
        <f>+C99*(1+'Total Market Size'!D$136)</f>
        <v>743955.67619999999</v>
      </c>
      <c r="E99" s="422">
        <f>+D99*(1+'Total Market Size'!E$136)</f>
        <v>760322.7010764</v>
      </c>
      <c r="F99" s="422">
        <f>+E99*(1+'Total Market Size'!F$136)</f>
        <v>777810.12320115708</v>
      </c>
      <c r="G99" s="422">
        <f>+F99*(1+'Total Market Size'!G$136)</f>
        <v>797255.37628118589</v>
      </c>
      <c r="H99" s="422">
        <f>+G99*(1+'Total Market Size'!H$136)</f>
        <v>816788.13300007489</v>
      </c>
      <c r="I99" s="422">
        <f>+H99*(1+'Total Market Size'!I$136)</f>
        <v>836391.04819207673</v>
      </c>
      <c r="J99" s="422">
        <f>+I99*(1+'Total Market Size'!J$136)</f>
        <v>856297.15513904823</v>
      </c>
      <c r="K99" s="422">
        <f>+J99*(1+'Total Market Size'!K$136)</f>
        <v>875991.98970724631</v>
      </c>
      <c r="L99" s="426">
        <f>+K99*(1+'Total Market Size'!L$136)</f>
        <v>895964.60707257141</v>
      </c>
      <c r="M99" s="30"/>
    </row>
    <row r="100" spans="1:13" ht="13.5" x14ac:dyDescent="0.25">
      <c r="A100" s="415" t="s">
        <v>406</v>
      </c>
      <c r="B100" s="422">
        <v>0</v>
      </c>
      <c r="C100" s="422">
        <f>+B100*(1+'Total Market Size'!C$136)</f>
        <v>0</v>
      </c>
      <c r="D100" s="422">
        <f>+C100*(1+'Total Market Size'!D$136)</f>
        <v>0</v>
      </c>
      <c r="E100" s="422">
        <f>+D100*(1+'Total Market Size'!E$136)</f>
        <v>0</v>
      </c>
      <c r="F100" s="422">
        <f>+E100*(1+'Total Market Size'!F$136)</f>
        <v>0</v>
      </c>
      <c r="G100" s="422">
        <f>+F100*(1+'Total Market Size'!G$136)</f>
        <v>0</v>
      </c>
      <c r="H100" s="422">
        <f>+G100*(1+'Total Market Size'!H$136)</f>
        <v>0</v>
      </c>
      <c r="I100" s="422">
        <f>+H100*(1+'Total Market Size'!I$136)</f>
        <v>0</v>
      </c>
      <c r="J100" s="422">
        <f>+I100*(1+'Total Market Size'!J$136)</f>
        <v>0</v>
      </c>
      <c r="K100" s="422">
        <f>+J100*(1+'Total Market Size'!K$136)</f>
        <v>0</v>
      </c>
      <c r="L100" s="426">
        <f>+K100*(1+'Total Market Size'!L$136)</f>
        <v>0</v>
      </c>
      <c r="M100" s="30"/>
    </row>
    <row r="101" spans="1:13" ht="13.5" x14ac:dyDescent="0.25">
      <c r="A101" s="415" t="s">
        <v>407</v>
      </c>
      <c r="B101" s="422">
        <v>0</v>
      </c>
      <c r="C101" s="422">
        <f>+B101*(1+'Total Market Size'!C$136)</f>
        <v>0</v>
      </c>
      <c r="D101" s="422">
        <f>+C101*(1+'Total Market Size'!D$136)</f>
        <v>0</v>
      </c>
      <c r="E101" s="422">
        <f>+D101*(1+'Total Market Size'!E$136)</f>
        <v>0</v>
      </c>
      <c r="F101" s="422">
        <f>+E101*(1+'Total Market Size'!F$136)</f>
        <v>0</v>
      </c>
      <c r="G101" s="422">
        <f>+F101*(1+'Total Market Size'!G$136)</f>
        <v>0</v>
      </c>
      <c r="H101" s="422">
        <f>+G101*(1+'Total Market Size'!H$136)</f>
        <v>0</v>
      </c>
      <c r="I101" s="422">
        <f>+H101*(1+'Total Market Size'!I$136)</f>
        <v>0</v>
      </c>
      <c r="J101" s="422">
        <f>+I101*(1+'Total Market Size'!J$136)</f>
        <v>0</v>
      </c>
      <c r="K101" s="422">
        <f>+J101*(1+'Total Market Size'!K$136)</f>
        <v>0</v>
      </c>
      <c r="L101" s="426">
        <f>+K101*(1+'Total Market Size'!L$136)</f>
        <v>0</v>
      </c>
    </row>
    <row r="102" spans="1:13" ht="13.5" x14ac:dyDescent="0.25">
      <c r="A102" s="415" t="s">
        <v>408</v>
      </c>
      <c r="B102" s="422">
        <v>20000</v>
      </c>
      <c r="C102" s="422">
        <f>+B102*(1+'Total Market Size'!C$136)</f>
        <v>20460</v>
      </c>
      <c r="D102" s="422">
        <f>+C102*(1+'Total Market Size'!D$136)</f>
        <v>20869.2</v>
      </c>
      <c r="E102" s="422">
        <f>+D102*(1+'Total Market Size'!E$136)</f>
        <v>21328.322400000001</v>
      </c>
      <c r="F102" s="422">
        <f>+E102*(1+'Total Market Size'!F$136)</f>
        <v>21818.873815200001</v>
      </c>
      <c r="G102" s="422">
        <f>+F102*(1+'Total Market Size'!G$136)</f>
        <v>22364.345660579998</v>
      </c>
      <c r="H102" s="422">
        <f>+G102*(1+'Total Market Size'!H$136)</f>
        <v>22912.272129264209</v>
      </c>
      <c r="I102" s="422">
        <f>+H102*(1+'Total Market Size'!I$136)</f>
        <v>23462.166660366551</v>
      </c>
      <c r="J102" s="422">
        <f>+I102*(1+'Total Market Size'!J$136)</f>
        <v>24020.566226883275</v>
      </c>
      <c r="K102" s="422">
        <f>+J102*(1+'Total Market Size'!K$136)</f>
        <v>24573.039250101589</v>
      </c>
      <c r="L102" s="426">
        <f>+K102*(1+'Total Market Size'!L$136)</f>
        <v>25133.304545003903</v>
      </c>
    </row>
    <row r="103" spans="1:13" ht="13.5" x14ac:dyDescent="0.25">
      <c r="A103" s="415" t="s">
        <v>409</v>
      </c>
      <c r="B103" s="422">
        <v>100000</v>
      </c>
      <c r="C103" s="422">
        <f>+B103*(1+'Total Market Size'!C$136)</f>
        <v>102299.99999999999</v>
      </c>
      <c r="D103" s="422">
        <f>+C103*(1+'Total Market Size'!D$136)</f>
        <v>104345.99999999999</v>
      </c>
      <c r="E103" s="422">
        <f>+D103*(1+'Total Market Size'!E$136)</f>
        <v>106641.61199999999</v>
      </c>
      <c r="F103" s="422">
        <f>+E103*(1+'Total Market Size'!F$136)</f>
        <v>109094.36907599999</v>
      </c>
      <c r="G103" s="422">
        <f>+F103*(1+'Total Market Size'!G$136)</f>
        <v>111821.72830289998</v>
      </c>
      <c r="H103" s="422">
        <f>+G103*(1+'Total Market Size'!H$136)</f>
        <v>114561.36064632103</v>
      </c>
      <c r="I103" s="422">
        <f>+H103*(1+'Total Market Size'!I$136)</f>
        <v>117310.83330183274</v>
      </c>
      <c r="J103" s="422">
        <f>+I103*(1+'Total Market Size'!J$136)</f>
        <v>120102.83113441637</v>
      </c>
      <c r="K103" s="422">
        <f>+J103*(1+'Total Market Size'!K$136)</f>
        <v>122865.19625050793</v>
      </c>
      <c r="L103" s="426">
        <f>+K103*(1+'Total Market Size'!L$136)</f>
        <v>125666.5227250195</v>
      </c>
    </row>
    <row r="104" spans="1:13" ht="13.5" x14ac:dyDescent="0.25">
      <c r="A104" s="415" t="s">
        <v>410</v>
      </c>
      <c r="B104" s="422">
        <v>30000</v>
      </c>
      <c r="C104" s="422">
        <f>+B104*(1+'Total Market Size'!C$136)</f>
        <v>30689.999999999996</v>
      </c>
      <c r="D104" s="422">
        <f>+C104*(1+'Total Market Size'!D$136)</f>
        <v>31303.799999999996</v>
      </c>
      <c r="E104" s="422">
        <f>+D104*(1+'Total Market Size'!E$136)</f>
        <v>31992.483599999996</v>
      </c>
      <c r="F104" s="422">
        <f>+E104*(1+'Total Market Size'!F$136)</f>
        <v>32728.310722799994</v>
      </c>
      <c r="G104" s="422">
        <f>+F104*(1+'Total Market Size'!G$136)</f>
        <v>33546.518490869988</v>
      </c>
      <c r="H104" s="422">
        <f>+G104*(1+'Total Market Size'!H$136)</f>
        <v>34368.408193896299</v>
      </c>
      <c r="I104" s="422">
        <f>+H104*(1+'Total Market Size'!I$136)</f>
        <v>35193.249990549812</v>
      </c>
      <c r="J104" s="422">
        <f>+I104*(1+'Total Market Size'!J$136)</f>
        <v>36030.849340324901</v>
      </c>
      <c r="K104" s="422">
        <f>+J104*(1+'Total Market Size'!K$136)</f>
        <v>36859.558875152368</v>
      </c>
      <c r="L104" s="426">
        <f>+K104*(1+'Total Market Size'!L$136)</f>
        <v>37699.956817505838</v>
      </c>
    </row>
    <row r="105" spans="1:13" ht="13.5" x14ac:dyDescent="0.25">
      <c r="A105" s="415" t="s">
        <v>411</v>
      </c>
      <c r="B105" s="421">
        <v>0</v>
      </c>
      <c r="C105" s="421">
        <f>+B105*(1+'Total Market Size'!C$136)</f>
        <v>0</v>
      </c>
      <c r="D105" s="421">
        <f>+C105*(1+'Total Market Size'!D$136)</f>
        <v>0</v>
      </c>
      <c r="E105" s="421">
        <f>+D105*(1+'Total Market Size'!E$136)</f>
        <v>0</v>
      </c>
      <c r="F105" s="421">
        <f>+E105*(1+'Total Market Size'!F$136)</f>
        <v>0</v>
      </c>
      <c r="G105" s="421">
        <f>+F105*(1+'Total Market Size'!G$136)</f>
        <v>0</v>
      </c>
      <c r="H105" s="421">
        <f>+G105*(1+'Total Market Size'!H$136)</f>
        <v>0</v>
      </c>
      <c r="I105" s="421">
        <f>+H105*(1+'Total Market Size'!I$136)</f>
        <v>0</v>
      </c>
      <c r="J105" s="421">
        <f>+I105*(1+'Total Market Size'!J$136)</f>
        <v>0</v>
      </c>
      <c r="K105" s="421">
        <f>+J105*(1+'Total Market Size'!K$136)</f>
        <v>0</v>
      </c>
      <c r="L105" s="425">
        <f>+K105*(1+'Total Market Size'!L$136)</f>
        <v>0</v>
      </c>
    </row>
    <row r="106" spans="1:13" ht="13.5" x14ac:dyDescent="0.25">
      <c r="A106" s="416" t="s">
        <v>412</v>
      </c>
      <c r="B106" s="422">
        <v>150000</v>
      </c>
      <c r="C106" s="422">
        <f>+B106*(1+'Total Market Size'!C$136)</f>
        <v>153450</v>
      </c>
      <c r="D106" s="422">
        <f>+C106*(1+'Total Market Size'!D$136)</f>
        <v>156519</v>
      </c>
      <c r="E106" s="422">
        <f>+D106*(1+'Total Market Size'!E$136)</f>
        <v>159962.41800000001</v>
      </c>
      <c r="F106" s="422">
        <f>+E106*(1+'Total Market Size'!F$136)</f>
        <v>163641.553614</v>
      </c>
      <c r="G106" s="422">
        <f>+F106*(1+'Total Market Size'!G$136)</f>
        <v>167732.59245435</v>
      </c>
      <c r="H106" s="422">
        <f>+G106*(1+'Total Market Size'!H$136)</f>
        <v>171842.04096948158</v>
      </c>
      <c r="I106" s="422">
        <f>+H106*(1+'Total Market Size'!I$136)</f>
        <v>175966.24995274915</v>
      </c>
      <c r="J106" s="422">
        <f>+I106*(1+'Total Market Size'!J$136)</f>
        <v>180154.24670162459</v>
      </c>
      <c r="K106" s="422">
        <f>+J106*(1+'Total Market Size'!K$136)</f>
        <v>184297.79437576194</v>
      </c>
      <c r="L106" s="426">
        <f>+K106*(1+'Total Market Size'!L$136)</f>
        <v>188499.78408752929</v>
      </c>
    </row>
    <row r="107" spans="1:13" ht="13.5" x14ac:dyDescent="0.25">
      <c r="A107" s="415" t="s">
        <v>413</v>
      </c>
      <c r="B107" s="422">
        <v>36000</v>
      </c>
      <c r="C107" s="422">
        <f>+B107*(1+'Total Market Size'!C$136)</f>
        <v>36828</v>
      </c>
      <c r="D107" s="422">
        <f>+C107*(1+'Total Market Size'!D$136)</f>
        <v>37564.559999999998</v>
      </c>
      <c r="E107" s="422">
        <f>+D107*(1+'Total Market Size'!E$136)</f>
        <v>38390.980319999995</v>
      </c>
      <c r="F107" s="422">
        <f>+E107*(1+'Total Market Size'!F$136)</f>
        <v>39273.972867359989</v>
      </c>
      <c r="G107" s="422">
        <f>+F107*(1+'Total Market Size'!G$136)</f>
        <v>40255.822189043989</v>
      </c>
      <c r="H107" s="422">
        <f>+G107*(1+'Total Market Size'!H$136)</f>
        <v>41242.089832675563</v>
      </c>
      <c r="I107" s="422">
        <f>+H107*(1+'Total Market Size'!I$136)</f>
        <v>42231.899988659781</v>
      </c>
      <c r="J107" s="422">
        <f>+I107*(1+'Total Market Size'!J$136)</f>
        <v>43237.019208389887</v>
      </c>
      <c r="K107" s="422">
        <f>+J107*(1+'Total Market Size'!K$136)</f>
        <v>44231.470650182848</v>
      </c>
      <c r="L107" s="426">
        <f>+K107*(1+'Total Market Size'!L$136)</f>
        <v>45239.948181007014</v>
      </c>
    </row>
    <row r="108" spans="1:13" ht="13.5" x14ac:dyDescent="0.25">
      <c r="A108" s="415" t="s">
        <v>414</v>
      </c>
      <c r="B108" s="422">
        <v>25000</v>
      </c>
      <c r="C108" s="422">
        <f>+B108*(1+'Total Market Size'!C$136)</f>
        <v>25574.999999999996</v>
      </c>
      <c r="D108" s="422">
        <f>+C108*(1+'Total Market Size'!D$136)</f>
        <v>26086.499999999996</v>
      </c>
      <c r="E108" s="422">
        <f>+D108*(1+'Total Market Size'!E$136)</f>
        <v>26660.402999999998</v>
      </c>
      <c r="F108" s="422">
        <f>+E108*(1+'Total Market Size'!F$136)</f>
        <v>27273.592268999997</v>
      </c>
      <c r="G108" s="422">
        <f>+F108*(1+'Total Market Size'!G$136)</f>
        <v>27955.432075724995</v>
      </c>
      <c r="H108" s="422">
        <f>+G108*(1+'Total Market Size'!H$136)</f>
        <v>28640.340161580258</v>
      </c>
      <c r="I108" s="422">
        <f>+H108*(1+'Total Market Size'!I$136)</f>
        <v>29327.708325458185</v>
      </c>
      <c r="J108" s="422">
        <f>+I108*(1+'Total Market Size'!J$136)</f>
        <v>30025.707783604092</v>
      </c>
      <c r="K108" s="422">
        <f>+J108*(1+'Total Market Size'!K$136)</f>
        <v>30716.299062626982</v>
      </c>
      <c r="L108" s="426">
        <f>+K108*(1+'Total Market Size'!L$136)</f>
        <v>31416.630681254876</v>
      </c>
    </row>
    <row r="109" spans="1:13" ht="13.5" x14ac:dyDescent="0.25">
      <c r="A109" s="415" t="s">
        <v>415</v>
      </c>
      <c r="B109" s="421">
        <v>50000</v>
      </c>
      <c r="C109" s="421">
        <f>+B109*(1+'Total Market Size'!C$136)</f>
        <v>51149.999999999993</v>
      </c>
      <c r="D109" s="421">
        <f>+C109*(1+'Total Market Size'!D$136)</f>
        <v>52172.999999999993</v>
      </c>
      <c r="E109" s="421">
        <f>+D109*(1+'Total Market Size'!E$136)</f>
        <v>53320.805999999997</v>
      </c>
      <c r="F109" s="421">
        <f>+E109*(1+'Total Market Size'!F$136)</f>
        <v>54547.184537999994</v>
      </c>
      <c r="G109" s="421">
        <f>+F109*(1+'Total Market Size'!G$136)</f>
        <v>55910.86415144999</v>
      </c>
      <c r="H109" s="421">
        <f>+G109*(1+'Total Market Size'!H$136)</f>
        <v>57280.680323160515</v>
      </c>
      <c r="I109" s="421">
        <f>+H109*(1+'Total Market Size'!I$136)</f>
        <v>58655.41665091637</v>
      </c>
      <c r="J109" s="421">
        <f>+I109*(1+'Total Market Size'!J$136)</f>
        <v>60051.415567208183</v>
      </c>
      <c r="K109" s="421">
        <f>+J109*(1+'Total Market Size'!K$136)</f>
        <v>61432.598125253964</v>
      </c>
      <c r="L109" s="425">
        <f>+K109*(1+'Total Market Size'!L$136)</f>
        <v>62833.261362509751</v>
      </c>
    </row>
    <row r="110" spans="1:13" ht="13.5" x14ac:dyDescent="0.25">
      <c r="A110" s="416" t="s">
        <v>416</v>
      </c>
      <c r="B110" s="422">
        <v>111000</v>
      </c>
      <c r="C110" s="422">
        <f>+B110*(1+'Total Market Size'!C$136)</f>
        <v>113552.99999999999</v>
      </c>
      <c r="D110" s="422">
        <f>+C110*(1+'Total Market Size'!D$136)</f>
        <v>115824.05999999998</v>
      </c>
      <c r="E110" s="422">
        <f>+D110*(1+'Total Market Size'!E$136)</f>
        <v>118372.18931999999</v>
      </c>
      <c r="F110" s="422">
        <f>+E110*(1+'Total Market Size'!F$136)</f>
        <v>121094.74967435998</v>
      </c>
      <c r="G110" s="422">
        <f>+F110*(1+'Total Market Size'!G$136)</f>
        <v>124122.11841621896</v>
      </c>
      <c r="H110" s="422">
        <f>+G110*(1+'Total Market Size'!H$136)</f>
        <v>127163.11031741631</v>
      </c>
      <c r="I110" s="422">
        <f>+H110*(1+'Total Market Size'!I$136)</f>
        <v>130215.0249650343</v>
      </c>
      <c r="J110" s="422">
        <f>+I110*(1+'Total Market Size'!J$136)</f>
        <v>133314.14255920213</v>
      </c>
      <c r="K110" s="422">
        <f>+J110*(1+'Total Market Size'!K$136)</f>
        <v>136380.36783806377</v>
      </c>
      <c r="L110" s="426">
        <f>+K110*(1+'Total Market Size'!L$136)</f>
        <v>139489.84022477161</v>
      </c>
    </row>
    <row r="111" spans="1:13" ht="13.5" x14ac:dyDescent="0.25">
      <c r="A111" s="415" t="s">
        <v>417</v>
      </c>
      <c r="B111" s="422">
        <v>0</v>
      </c>
      <c r="C111" s="422">
        <f>+B111*(1+'Total Market Size'!C$136)</f>
        <v>0</v>
      </c>
      <c r="D111" s="422">
        <f>+C111*(1+'Total Market Size'!D$136)</f>
        <v>0</v>
      </c>
      <c r="E111" s="422">
        <f>+D111*(1+'Total Market Size'!E$136)</f>
        <v>0</v>
      </c>
      <c r="F111" s="422">
        <f>+E111*(1+'Total Market Size'!F$136)</f>
        <v>0</v>
      </c>
      <c r="G111" s="422">
        <f>+F111*(1+'Total Market Size'!G$136)</f>
        <v>0</v>
      </c>
      <c r="H111" s="422">
        <f>+G111*(1+'Total Market Size'!H$136)</f>
        <v>0</v>
      </c>
      <c r="I111" s="422">
        <f>+H111*(1+'Total Market Size'!I$136)</f>
        <v>0</v>
      </c>
      <c r="J111" s="422">
        <f>+I111*(1+'Total Market Size'!J$136)</f>
        <v>0</v>
      </c>
      <c r="K111" s="422">
        <f>+J111*(1+'Total Market Size'!K$136)</f>
        <v>0</v>
      </c>
      <c r="L111" s="426">
        <f>+K111*(1+'Total Market Size'!L$136)</f>
        <v>0</v>
      </c>
    </row>
    <row r="112" spans="1:13" ht="13.5" x14ac:dyDescent="0.25">
      <c r="A112" s="415" t="s">
        <v>418</v>
      </c>
      <c r="B112" s="422">
        <v>0</v>
      </c>
      <c r="C112" s="422">
        <f>+B112*(1+'Total Market Size'!C$136)</f>
        <v>0</v>
      </c>
      <c r="D112" s="422">
        <f>+C112*(1+'Total Market Size'!D$136)</f>
        <v>0</v>
      </c>
      <c r="E112" s="422">
        <f>+D112*(1+'Total Market Size'!E$136)</f>
        <v>0</v>
      </c>
      <c r="F112" s="422">
        <f>+E112*(1+'Total Market Size'!F$136)</f>
        <v>0</v>
      </c>
      <c r="G112" s="422">
        <f>+F112*(1+'Total Market Size'!G$136)</f>
        <v>0</v>
      </c>
      <c r="H112" s="422">
        <f>+G112*(1+'Total Market Size'!H$136)</f>
        <v>0</v>
      </c>
      <c r="I112" s="422">
        <f>+H112*(1+'Total Market Size'!I$136)</f>
        <v>0</v>
      </c>
      <c r="J112" s="422">
        <f>+I112*(1+'Total Market Size'!J$136)</f>
        <v>0</v>
      </c>
      <c r="K112" s="422">
        <f>+J112*(1+'Total Market Size'!K$136)</f>
        <v>0</v>
      </c>
      <c r="L112" s="426">
        <f>+K112*(1+'Total Market Size'!L$136)</f>
        <v>0</v>
      </c>
    </row>
    <row r="113" spans="1:12" ht="13.5" x14ac:dyDescent="0.25">
      <c r="A113" s="415" t="s">
        <v>419</v>
      </c>
      <c r="B113" s="422">
        <v>27600</v>
      </c>
      <c r="C113" s="422">
        <f>+B113*(1+'Total Market Size'!C$136)</f>
        <v>28234.799999999999</v>
      </c>
      <c r="D113" s="422">
        <f>+C113*(1+'Total Market Size'!D$136)</f>
        <v>28799.495999999999</v>
      </c>
      <c r="E113" s="422">
        <f>+D113*(1+'Total Market Size'!E$136)</f>
        <v>29433.084911999998</v>
      </c>
      <c r="F113" s="422">
        <f>+E113*(1+'Total Market Size'!F$136)</f>
        <v>30110.045864975997</v>
      </c>
      <c r="G113" s="422">
        <f>+F113*(1+'Total Market Size'!G$136)</f>
        <v>30862.797011600393</v>
      </c>
      <c r="H113" s="422">
        <f>+G113*(1+'Total Market Size'!H$136)</f>
        <v>31618.935538384601</v>
      </c>
      <c r="I113" s="422">
        <f>+H113*(1+'Total Market Size'!I$136)</f>
        <v>32377.789991305832</v>
      </c>
      <c r="J113" s="422">
        <f>+I113*(1+'Total Market Size'!J$136)</f>
        <v>33148.381393098913</v>
      </c>
      <c r="K113" s="422">
        <f>+J113*(1+'Total Market Size'!K$136)</f>
        <v>33910.794165140185</v>
      </c>
      <c r="L113" s="426">
        <f>+K113*(1+'Total Market Size'!L$136)</f>
        <v>34683.960272105382</v>
      </c>
    </row>
    <row r="114" spans="1:12" ht="13.5" x14ac:dyDescent="0.25">
      <c r="A114" s="415" t="s">
        <v>420</v>
      </c>
      <c r="B114" s="422">
        <v>360</v>
      </c>
      <c r="C114" s="422">
        <f>+B114*(1+'Total Market Size'!C$136)</f>
        <v>368.28</v>
      </c>
      <c r="D114" s="422">
        <f>+C114*(1+'Total Market Size'!D$136)</f>
        <v>375.6456</v>
      </c>
      <c r="E114" s="422">
        <f>+D114*(1+'Total Market Size'!E$136)</f>
        <v>383.9098032</v>
      </c>
      <c r="F114" s="422">
        <f>+E114*(1+'Total Market Size'!F$136)</f>
        <v>392.73972867359998</v>
      </c>
      <c r="G114" s="422">
        <f>+F114*(1+'Total Market Size'!G$136)</f>
        <v>402.55822189043994</v>
      </c>
      <c r="H114" s="422">
        <f>+G114*(1+'Total Market Size'!H$136)</f>
        <v>412.42089832675572</v>
      </c>
      <c r="I114" s="422">
        <f>+H114*(1+'Total Market Size'!I$136)</f>
        <v>422.31899988659785</v>
      </c>
      <c r="J114" s="422">
        <f>+I114*(1+'Total Market Size'!J$136)</f>
        <v>432.37019208389887</v>
      </c>
      <c r="K114" s="422">
        <f>+J114*(1+'Total Market Size'!K$136)</f>
        <v>442.31470650182848</v>
      </c>
      <c r="L114" s="426">
        <f>+K114*(1+'Total Market Size'!L$136)</f>
        <v>452.39948181007014</v>
      </c>
    </row>
    <row r="115" spans="1:12" ht="13.5" x14ac:dyDescent="0.25">
      <c r="A115" s="415" t="s">
        <v>421</v>
      </c>
      <c r="B115" s="422">
        <v>0</v>
      </c>
      <c r="C115" s="422">
        <f>+B115*(1+'Total Market Size'!C$136)</f>
        <v>0</v>
      </c>
      <c r="D115" s="422">
        <f>+C115*(1+'Total Market Size'!D$136)</f>
        <v>0</v>
      </c>
      <c r="E115" s="422">
        <f>+D115*(1+'Total Market Size'!E$136)</f>
        <v>0</v>
      </c>
      <c r="F115" s="422">
        <f>+E115*(1+'Total Market Size'!F$136)</f>
        <v>0</v>
      </c>
      <c r="G115" s="422">
        <f>+F115*(1+'Total Market Size'!G$136)</f>
        <v>0</v>
      </c>
      <c r="H115" s="422">
        <f>+G115*(1+'Total Market Size'!H$136)</f>
        <v>0</v>
      </c>
      <c r="I115" s="422">
        <f>+H115*(1+'Total Market Size'!I$136)</f>
        <v>0</v>
      </c>
      <c r="J115" s="422">
        <f>+I115*(1+'Total Market Size'!J$136)</f>
        <v>0</v>
      </c>
      <c r="K115" s="422">
        <f>+J115*(1+'Total Market Size'!K$136)</f>
        <v>0</v>
      </c>
      <c r="L115" s="426">
        <f>+K115*(1+'Total Market Size'!L$136)</f>
        <v>0</v>
      </c>
    </row>
    <row r="116" spans="1:12" ht="13.5" x14ac:dyDescent="0.25">
      <c r="A116" s="415" t="s">
        <v>422</v>
      </c>
      <c r="B116" s="422">
        <v>1200</v>
      </c>
      <c r="C116" s="422">
        <f>+B116*(1+'Total Market Size'!C$136)</f>
        <v>1227.5999999999999</v>
      </c>
      <c r="D116" s="422">
        <f>+C116*(1+'Total Market Size'!D$136)</f>
        <v>1252.1519999999998</v>
      </c>
      <c r="E116" s="422">
        <f>+D116*(1+'Total Market Size'!E$136)</f>
        <v>1279.6993439999999</v>
      </c>
      <c r="F116" s="422">
        <f>+E116*(1+'Total Market Size'!F$136)</f>
        <v>1309.1324289119998</v>
      </c>
      <c r="G116" s="422">
        <f>+F116*(1+'Total Market Size'!G$136)</f>
        <v>1341.8607396347998</v>
      </c>
      <c r="H116" s="422">
        <f>+G116*(1+'Total Market Size'!H$136)</f>
        <v>1374.7363277558522</v>
      </c>
      <c r="I116" s="422">
        <f>+H116*(1+'Total Market Size'!I$136)</f>
        <v>1407.7299996219926</v>
      </c>
      <c r="J116" s="422">
        <f>+I116*(1+'Total Market Size'!J$136)</f>
        <v>1441.2339736129961</v>
      </c>
      <c r="K116" s="422">
        <f>+J116*(1+'Total Market Size'!K$136)</f>
        <v>1474.3823550060949</v>
      </c>
      <c r="L116" s="426">
        <f>+K116*(1+'Total Market Size'!L$136)</f>
        <v>1507.9982727002339</v>
      </c>
    </row>
    <row r="117" spans="1:12" ht="13.5" x14ac:dyDescent="0.25">
      <c r="A117" s="415" t="s">
        <v>423</v>
      </c>
      <c r="B117" s="421">
        <v>300</v>
      </c>
      <c r="C117" s="421">
        <f>+B117*(1+'Total Market Size'!C$136)</f>
        <v>306.89999999999998</v>
      </c>
      <c r="D117" s="421">
        <f>+C117*(1+'Total Market Size'!D$136)</f>
        <v>313.03799999999995</v>
      </c>
      <c r="E117" s="421">
        <f>+D117*(1+'Total Market Size'!E$136)</f>
        <v>319.92483599999997</v>
      </c>
      <c r="F117" s="421">
        <f>+E117*(1+'Total Market Size'!F$136)</f>
        <v>327.28310722799995</v>
      </c>
      <c r="G117" s="421">
        <f>+F117*(1+'Total Market Size'!G$136)</f>
        <v>335.46518490869994</v>
      </c>
      <c r="H117" s="421">
        <f>+G117*(1+'Total Market Size'!H$136)</f>
        <v>343.68408193896306</v>
      </c>
      <c r="I117" s="421">
        <f>+H117*(1+'Total Market Size'!I$136)</f>
        <v>351.93249990549816</v>
      </c>
      <c r="J117" s="421">
        <f>+I117*(1+'Total Market Size'!J$136)</f>
        <v>360.30849340324903</v>
      </c>
      <c r="K117" s="421">
        <f>+J117*(1+'Total Market Size'!K$136)</f>
        <v>368.59558875152374</v>
      </c>
      <c r="L117" s="425">
        <f>+K117*(1+'Total Market Size'!L$136)</f>
        <v>376.99956817505847</v>
      </c>
    </row>
    <row r="118" spans="1:12" ht="13.5" x14ac:dyDescent="0.25">
      <c r="A118" s="416" t="s">
        <v>424</v>
      </c>
      <c r="B118" s="422">
        <v>29460</v>
      </c>
      <c r="C118" s="422">
        <f>+B118*(1+'Total Market Size'!C$136)</f>
        <v>30137.579999999998</v>
      </c>
      <c r="D118" s="422">
        <f>+C118*(1+'Total Market Size'!D$136)</f>
        <v>30740.331599999998</v>
      </c>
      <c r="E118" s="422">
        <f>+D118*(1+'Total Market Size'!E$136)</f>
        <v>31416.618895199997</v>
      </c>
      <c r="F118" s="422">
        <f>+E118*(1+'Total Market Size'!F$136)</f>
        <v>32139.201129789595</v>
      </c>
      <c r="G118" s="422">
        <f>+F118*(1+'Total Market Size'!G$136)</f>
        <v>32942.681158034335</v>
      </c>
      <c r="H118" s="422">
        <f>+G118*(1+'Total Market Size'!H$136)</f>
        <v>33749.776846406174</v>
      </c>
      <c r="I118" s="422">
        <f>+H118*(1+'Total Market Size'!I$136)</f>
        <v>34559.771490719926</v>
      </c>
      <c r="J118" s="422">
        <f>+I118*(1+'Total Market Size'!J$136)</f>
        <v>35382.29405219906</v>
      </c>
      <c r="K118" s="422">
        <f>+J118*(1+'Total Market Size'!K$136)</f>
        <v>36196.086815399634</v>
      </c>
      <c r="L118" s="426">
        <f>+K118*(1+'Total Market Size'!L$136)</f>
        <v>37021.357594790745</v>
      </c>
    </row>
    <row r="119" spans="1:12" ht="13.5" x14ac:dyDescent="0.25">
      <c r="A119" s="415" t="s">
        <v>425</v>
      </c>
      <c r="B119" s="422">
        <v>640000</v>
      </c>
      <c r="C119" s="422">
        <f>+B119*(1+'Total Market Size'!C$136)</f>
        <v>654720</v>
      </c>
      <c r="D119" s="422">
        <f>+C119*(1+'Total Market Size'!D$136)</f>
        <v>667814.40000000002</v>
      </c>
      <c r="E119" s="422">
        <f>+D119*(1+'Total Market Size'!E$136)</f>
        <v>682506.31680000003</v>
      </c>
      <c r="F119" s="422">
        <f>+E119*(1+'Total Market Size'!F$136)</f>
        <v>698203.96208640002</v>
      </c>
      <c r="G119" s="422">
        <f>+F119*(1+'Total Market Size'!G$136)</f>
        <v>715659.06113855995</v>
      </c>
      <c r="H119" s="422">
        <f>+G119*(1+'Total Market Size'!H$136)</f>
        <v>733192.70813645469</v>
      </c>
      <c r="I119" s="422">
        <f>+H119*(1+'Total Market Size'!I$136)</f>
        <v>750789.33313172963</v>
      </c>
      <c r="J119" s="422">
        <f>+I119*(1+'Total Market Size'!J$136)</f>
        <v>768658.11926026479</v>
      </c>
      <c r="K119" s="422">
        <f>+J119*(1+'Total Market Size'!K$136)</f>
        <v>786337.25600325083</v>
      </c>
      <c r="L119" s="426">
        <f>+K119*(1+'Total Market Size'!L$136)</f>
        <v>804265.74544012488</v>
      </c>
    </row>
    <row r="120" spans="1:12" ht="13.5" x14ac:dyDescent="0.25">
      <c r="A120" s="415" t="s">
        <v>426</v>
      </c>
      <c r="B120" s="422">
        <v>10000</v>
      </c>
      <c r="C120" s="422">
        <f>+B120*(1+'Total Market Size'!C$136)</f>
        <v>10230</v>
      </c>
      <c r="D120" s="422">
        <f>+C120*(1+'Total Market Size'!D$136)</f>
        <v>10434.6</v>
      </c>
      <c r="E120" s="422">
        <f>+D120*(1+'Total Market Size'!E$136)</f>
        <v>10664.1612</v>
      </c>
      <c r="F120" s="422">
        <f>+E120*(1+'Total Market Size'!F$136)</f>
        <v>10909.4369076</v>
      </c>
      <c r="G120" s="422">
        <f>+F120*(1+'Total Market Size'!G$136)</f>
        <v>11182.172830289999</v>
      </c>
      <c r="H120" s="422">
        <f>+G120*(1+'Total Market Size'!H$136)</f>
        <v>11456.136064632105</v>
      </c>
      <c r="I120" s="422">
        <f>+H120*(1+'Total Market Size'!I$136)</f>
        <v>11731.083330183275</v>
      </c>
      <c r="J120" s="422">
        <f>+I120*(1+'Total Market Size'!J$136)</f>
        <v>12010.283113441637</v>
      </c>
      <c r="K120" s="422">
        <f>+J120*(1+'Total Market Size'!K$136)</f>
        <v>12286.519625050794</v>
      </c>
      <c r="L120" s="426">
        <f>+K120*(1+'Total Market Size'!L$136)</f>
        <v>12566.652272501951</v>
      </c>
    </row>
    <row r="121" spans="1:12" ht="13.5" x14ac:dyDescent="0.25">
      <c r="A121" s="415" t="s">
        <v>427</v>
      </c>
      <c r="B121" s="422">
        <v>100000</v>
      </c>
      <c r="C121" s="422">
        <f>+B121*(1+'Total Market Size'!C$136)</f>
        <v>102299.99999999999</v>
      </c>
      <c r="D121" s="422">
        <f>+C121*(1+'Total Market Size'!D$136)</f>
        <v>104345.99999999999</v>
      </c>
      <c r="E121" s="422">
        <f>+D121*(1+'Total Market Size'!E$136)</f>
        <v>106641.61199999999</v>
      </c>
      <c r="F121" s="422">
        <f>+E121*(1+'Total Market Size'!F$136)</f>
        <v>109094.36907599999</v>
      </c>
      <c r="G121" s="422">
        <f>+F121*(1+'Total Market Size'!G$136)</f>
        <v>111821.72830289998</v>
      </c>
      <c r="H121" s="422">
        <f>+G121*(1+'Total Market Size'!H$136)</f>
        <v>114561.36064632103</v>
      </c>
      <c r="I121" s="422">
        <f>+H121*(1+'Total Market Size'!I$136)</f>
        <v>117310.83330183274</v>
      </c>
      <c r="J121" s="422">
        <f>+I121*(1+'Total Market Size'!J$136)</f>
        <v>120102.83113441637</v>
      </c>
      <c r="K121" s="422">
        <f>+J121*(1+'Total Market Size'!K$136)</f>
        <v>122865.19625050793</v>
      </c>
      <c r="L121" s="426">
        <f>+K121*(1+'Total Market Size'!L$136)</f>
        <v>125666.5227250195</v>
      </c>
    </row>
    <row r="122" spans="1:12" ht="13.5" x14ac:dyDescent="0.25">
      <c r="A122" s="415" t="s">
        <v>428</v>
      </c>
      <c r="B122" s="421">
        <v>0</v>
      </c>
      <c r="C122" s="421">
        <f>+B122*(1+'Total Market Size'!C$136)</f>
        <v>0</v>
      </c>
      <c r="D122" s="421">
        <f>+C122*(1+'Total Market Size'!D$136)</f>
        <v>0</v>
      </c>
      <c r="E122" s="421">
        <f>+D122*(1+'Total Market Size'!E$136)</f>
        <v>0</v>
      </c>
      <c r="F122" s="421">
        <f>+E122*(1+'Total Market Size'!F$136)</f>
        <v>0</v>
      </c>
      <c r="G122" s="421">
        <f>+F122*(1+'Total Market Size'!G$136)</f>
        <v>0</v>
      </c>
      <c r="H122" s="421">
        <f>+G122*(1+'Total Market Size'!H$136)</f>
        <v>0</v>
      </c>
      <c r="I122" s="421">
        <f>+H122*(1+'Total Market Size'!I$136)</f>
        <v>0</v>
      </c>
      <c r="J122" s="421">
        <f>+I122*(1+'Total Market Size'!J$136)</f>
        <v>0</v>
      </c>
      <c r="K122" s="421">
        <f>+J122*(1+'Total Market Size'!K$136)</f>
        <v>0</v>
      </c>
      <c r="L122" s="425">
        <f>+K122*(1+'Total Market Size'!L$136)</f>
        <v>0</v>
      </c>
    </row>
    <row r="123" spans="1:12" ht="13.5" x14ac:dyDescent="0.25">
      <c r="A123" s="416" t="s">
        <v>429</v>
      </c>
      <c r="B123" s="422">
        <v>750000</v>
      </c>
      <c r="C123" s="422">
        <f>+B123*(1+'Total Market Size'!C$136)</f>
        <v>767249.99999999988</v>
      </c>
      <c r="D123" s="422">
        <f>+C123*(1+'Total Market Size'!D$136)</f>
        <v>782594.99999999988</v>
      </c>
      <c r="E123" s="422">
        <f>+D123*(1+'Total Market Size'!E$136)</f>
        <v>799812.08999999985</v>
      </c>
      <c r="F123" s="422">
        <f>+E123*(1+'Total Market Size'!F$136)</f>
        <v>818207.76806999976</v>
      </c>
      <c r="G123" s="422">
        <f>+F123*(1+'Total Market Size'!G$136)</f>
        <v>838662.96227174962</v>
      </c>
      <c r="H123" s="422">
        <f>+G123*(1+'Total Market Size'!H$136)</f>
        <v>859210.20484740741</v>
      </c>
      <c r="I123" s="422">
        <f>+H123*(1+'Total Market Size'!I$136)</f>
        <v>879831.24976374523</v>
      </c>
      <c r="J123" s="422">
        <f>+I123*(1+'Total Market Size'!J$136)</f>
        <v>900771.23350812239</v>
      </c>
      <c r="K123" s="422">
        <f>+J123*(1+'Total Market Size'!K$136)</f>
        <v>921488.97187880916</v>
      </c>
      <c r="L123" s="426">
        <f>+K123*(1+'Total Market Size'!L$136)</f>
        <v>942498.92043764598</v>
      </c>
    </row>
    <row r="124" spans="1:12" ht="13.5" x14ac:dyDescent="0.25">
      <c r="A124" s="416" t="s">
        <v>430</v>
      </c>
      <c r="B124" s="422">
        <v>0</v>
      </c>
      <c r="C124" s="422">
        <f>+B124*(1+'Total Market Size'!C$136)</f>
        <v>0</v>
      </c>
      <c r="D124" s="422">
        <f>+C124*(1+'Total Market Size'!D$136)</f>
        <v>0</v>
      </c>
      <c r="E124" s="422">
        <f>+D124*(1+'Total Market Size'!E$136)</f>
        <v>0</v>
      </c>
      <c r="F124" s="422">
        <f>+E124*(1+'Total Market Size'!F$136)</f>
        <v>0</v>
      </c>
      <c r="G124" s="422">
        <f>+F124*(1+'Total Market Size'!G$136)</f>
        <v>0</v>
      </c>
      <c r="H124" s="422">
        <f>+G124*(1+'Total Market Size'!H$136)</f>
        <v>0</v>
      </c>
      <c r="I124" s="422">
        <f>+H124*(1+'Total Market Size'!I$136)</f>
        <v>0</v>
      </c>
      <c r="J124" s="422">
        <f>+I124*(1+'Total Market Size'!J$136)</f>
        <v>0</v>
      </c>
      <c r="K124" s="422">
        <f>+J124*(1+'Total Market Size'!K$136)</f>
        <v>0</v>
      </c>
      <c r="L124" s="426">
        <f>+K124*(1+'Total Market Size'!L$136)</f>
        <v>0</v>
      </c>
    </row>
    <row r="125" spans="1:12" ht="13.5" x14ac:dyDescent="0.25">
      <c r="A125" s="415" t="s">
        <v>431</v>
      </c>
      <c r="B125" s="422">
        <v>12000</v>
      </c>
      <c r="C125" s="422">
        <f>+B125*(1+'Total Market Size'!C$136)</f>
        <v>12275.999999999998</v>
      </c>
      <c r="D125" s="422">
        <f>+C125*(1+'Total Market Size'!D$136)</f>
        <v>12521.519999999999</v>
      </c>
      <c r="E125" s="422">
        <f>+D125*(1+'Total Market Size'!E$136)</f>
        <v>12796.993439999998</v>
      </c>
      <c r="F125" s="422">
        <f>+E125*(1+'Total Market Size'!F$136)</f>
        <v>13091.324289119997</v>
      </c>
      <c r="G125" s="422">
        <f>+F125*(1+'Total Market Size'!G$136)</f>
        <v>13418.607396347996</v>
      </c>
      <c r="H125" s="422">
        <f>+G125*(1+'Total Market Size'!H$136)</f>
        <v>13747.363277558521</v>
      </c>
      <c r="I125" s="422">
        <f>+H125*(1+'Total Market Size'!I$136)</f>
        <v>14077.299996219926</v>
      </c>
      <c r="J125" s="422">
        <f>+I125*(1+'Total Market Size'!J$136)</f>
        <v>14412.339736129961</v>
      </c>
      <c r="K125" s="422">
        <f>+J125*(1+'Total Market Size'!K$136)</f>
        <v>14743.82355006095</v>
      </c>
      <c r="L125" s="426">
        <f>+K125*(1+'Total Market Size'!L$136)</f>
        <v>15079.982727002338</v>
      </c>
    </row>
    <row r="126" spans="1:12" ht="13.5" x14ac:dyDescent="0.25">
      <c r="A126" s="415" t="s">
        <v>432</v>
      </c>
      <c r="B126" s="422">
        <v>2096</v>
      </c>
      <c r="C126" s="422">
        <f>+B126*(1+'Total Market Size'!C$136)</f>
        <v>2144.2079999999996</v>
      </c>
      <c r="D126" s="422">
        <f>+C126*(1+'Total Market Size'!D$136)</f>
        <v>2187.0921599999997</v>
      </c>
      <c r="E126" s="422">
        <f>+D126*(1+'Total Market Size'!E$136)</f>
        <v>2235.2081875199997</v>
      </c>
      <c r="F126" s="422">
        <f>+E126*(1+'Total Market Size'!F$136)</f>
        <v>2286.6179758329595</v>
      </c>
      <c r="G126" s="422">
        <f>+F126*(1+'Total Market Size'!G$136)</f>
        <v>2343.7834252287835</v>
      </c>
      <c r="H126" s="422">
        <f>+G126*(1+'Total Market Size'!H$136)</f>
        <v>2401.2061191468888</v>
      </c>
      <c r="I126" s="422">
        <f>+H126*(1+'Total Market Size'!I$136)</f>
        <v>2458.8350660064143</v>
      </c>
      <c r="J126" s="422">
        <f>+I126*(1+'Total Market Size'!J$136)</f>
        <v>2517.3553405773669</v>
      </c>
      <c r="K126" s="422">
        <f>+J126*(1+'Total Market Size'!K$136)</f>
        <v>2575.2545134106463</v>
      </c>
      <c r="L126" s="426">
        <f>+K126*(1+'Total Market Size'!L$136)</f>
        <v>2633.970316316409</v>
      </c>
    </row>
    <row r="127" spans="1:12" ht="13.5" x14ac:dyDescent="0.25">
      <c r="A127" s="416" t="s">
        <v>433</v>
      </c>
      <c r="B127" s="423">
        <v>14096</v>
      </c>
      <c r="C127" s="423">
        <f>+B127*(1+'Total Market Size'!C$136)</f>
        <v>14420.207999999999</v>
      </c>
      <c r="D127" s="423">
        <f>+C127*(1+'Total Market Size'!D$136)</f>
        <v>14708.612159999999</v>
      </c>
      <c r="E127" s="423">
        <f>+D127*(1+'Total Market Size'!E$136)</f>
        <v>15032.201627519999</v>
      </c>
      <c r="F127" s="423">
        <f>+E127*(1+'Total Market Size'!F$136)</f>
        <v>15377.942264952957</v>
      </c>
      <c r="G127" s="423">
        <f>+F127*(1+'Total Market Size'!G$136)</f>
        <v>15762.390821576779</v>
      </c>
      <c r="H127" s="423">
        <f>+G127*(1+'Total Market Size'!H$136)</f>
        <v>16148.569396705409</v>
      </c>
      <c r="I127" s="423">
        <f>+H127*(1+'Total Market Size'!I$136)</f>
        <v>16536.135062226338</v>
      </c>
      <c r="J127" s="423">
        <f>+I127*(1+'Total Market Size'!J$136)</f>
        <v>16929.695076707325</v>
      </c>
      <c r="K127" s="423">
        <f>+J127*(1+'Total Market Size'!K$136)</f>
        <v>17319.078063471592</v>
      </c>
      <c r="L127" s="427">
        <f>+K127*(1+'Total Market Size'!L$136)</f>
        <v>17713.953043318743</v>
      </c>
    </row>
    <row r="128" spans="1:12" ht="13.5" x14ac:dyDescent="0.25">
      <c r="A128" s="415" t="s">
        <v>434</v>
      </c>
      <c r="B128" s="422">
        <v>21000</v>
      </c>
      <c r="C128" s="422">
        <f>+B128*(1+'Total Market Size'!C$136)</f>
        <v>21482.999999999996</v>
      </c>
      <c r="D128" s="422">
        <f>+C128*(1+'Total Market Size'!D$136)</f>
        <v>21912.659999999996</v>
      </c>
      <c r="E128" s="422">
        <f>+D128*(1+'Total Market Size'!E$136)</f>
        <v>22394.738519999995</v>
      </c>
      <c r="F128" s="422">
        <f>+E128*(1+'Total Market Size'!F$136)</f>
        <v>22909.817505959993</v>
      </c>
      <c r="G128" s="422">
        <f>+F128*(1+'Total Market Size'!G$136)</f>
        <v>23482.562943608991</v>
      </c>
      <c r="H128" s="422">
        <f>+G128*(1+'Total Market Size'!H$136)</f>
        <v>24057.88573572741</v>
      </c>
      <c r="I128" s="422">
        <f>+H128*(1+'Total Market Size'!I$136)</f>
        <v>24635.274993384868</v>
      </c>
      <c r="J128" s="422">
        <f>+I128*(1+'Total Market Size'!J$136)</f>
        <v>25221.594538227429</v>
      </c>
      <c r="K128" s="422">
        <f>+J128*(1+'Total Market Size'!K$136)</f>
        <v>25801.691212606656</v>
      </c>
      <c r="L128" s="426">
        <f>+K128*(1+'Total Market Size'!L$136)</f>
        <v>26389.969772254088</v>
      </c>
    </row>
    <row r="129" spans="1:16" ht="13.5" x14ac:dyDescent="0.25">
      <c r="A129" s="415" t="s">
        <v>435</v>
      </c>
      <c r="B129" s="422">
        <v>0</v>
      </c>
      <c r="C129" s="422">
        <f>+B129*(1+'Total Market Size'!C$136)</f>
        <v>0</v>
      </c>
      <c r="D129" s="422">
        <f>+C129*(1+'Total Market Size'!D$136)</f>
        <v>0</v>
      </c>
      <c r="E129" s="422">
        <f>+D129*(1+'Total Market Size'!E$136)</f>
        <v>0</v>
      </c>
      <c r="F129" s="422">
        <f>+E129*(1+'Total Market Size'!F$136)</f>
        <v>0</v>
      </c>
      <c r="G129" s="422">
        <f>+F129*(1+'Total Market Size'!G$136)</f>
        <v>0</v>
      </c>
      <c r="H129" s="422">
        <f>+G129*(1+'Total Market Size'!H$136)</f>
        <v>0</v>
      </c>
      <c r="I129" s="422">
        <f>+H129*(1+'Total Market Size'!I$136)</f>
        <v>0</v>
      </c>
      <c r="J129" s="422">
        <f>+I129*(1+'Total Market Size'!J$136)</f>
        <v>0</v>
      </c>
      <c r="K129" s="422">
        <f>+J129*(1+'Total Market Size'!K$136)</f>
        <v>0</v>
      </c>
      <c r="L129" s="426">
        <f>+K129*(1+'Total Market Size'!L$136)</f>
        <v>0</v>
      </c>
    </row>
    <row r="130" spans="1:16" ht="13.5" x14ac:dyDescent="0.25">
      <c r="A130" s="415" t="s">
        <v>443</v>
      </c>
      <c r="B130" s="422">
        <v>203906.82134941255</v>
      </c>
      <c r="C130" s="422">
        <f>+B130*(1+'Total Market Size'!C$136)</f>
        <v>208596.67824044902</v>
      </c>
      <c r="D130" s="422">
        <f>+C130*(1+'Total Market Size'!D$136)</f>
        <v>212768.611805258</v>
      </c>
      <c r="E130" s="422">
        <f>+D130*(1+'Total Market Size'!E$136)</f>
        <v>217449.52126497368</v>
      </c>
      <c r="F130" s="422">
        <f>+E130*(1+'Total Market Size'!F$136)</f>
        <v>222450.86025406804</v>
      </c>
      <c r="G130" s="422">
        <f>+F130*(1+'Total Market Size'!G$136)</f>
        <v>228012.13176041972</v>
      </c>
      <c r="H130" s="422">
        <f>+G130*(1+'Total Market Size'!H$136)</f>
        <v>233598.42898855</v>
      </c>
      <c r="I130" s="422">
        <f>+H130*(1+'Total Market Size'!I$136)</f>
        <v>239204.79128427521</v>
      </c>
      <c r="J130" s="422">
        <f>+I130*(1+'Total Market Size'!J$136)</f>
        <v>244897.86531684097</v>
      </c>
      <c r="K130" s="422">
        <f>+J130*(1+'Total Market Size'!K$136)</f>
        <v>250530.51621912827</v>
      </c>
      <c r="L130" s="426">
        <f>+K130*(1+'Total Market Size'!L$136)</f>
        <v>256242.61198892439</v>
      </c>
    </row>
    <row r="131" spans="1:16" ht="13.5" x14ac:dyDescent="0.25">
      <c r="A131" s="415" t="s">
        <v>444</v>
      </c>
      <c r="B131" s="422">
        <v>122400</v>
      </c>
      <c r="C131" s="422">
        <f>+B131*(1+'Total Market Size'!C$136)</f>
        <v>125215.19999999998</v>
      </c>
      <c r="D131" s="422">
        <f>+C131*(1+'Total Market Size'!D$136)</f>
        <v>127719.50399999999</v>
      </c>
      <c r="E131" s="422">
        <f>+D131*(1+'Total Market Size'!E$136)</f>
        <v>130529.33308799998</v>
      </c>
      <c r="F131" s="422">
        <f>+E131*(1+'Total Market Size'!F$136)</f>
        <v>133531.50774902396</v>
      </c>
      <c r="G131" s="422">
        <f>+F131*(1+'Total Market Size'!G$136)</f>
        <v>136869.79544274954</v>
      </c>
      <c r="H131" s="422">
        <f>+G131*(1+'Total Market Size'!H$136)</f>
        <v>140223.10543109689</v>
      </c>
      <c r="I131" s="422">
        <f>+H131*(1+'Total Market Size'!I$136)</f>
        <v>143588.45996144321</v>
      </c>
      <c r="J131" s="422">
        <f>+I131*(1+'Total Market Size'!J$136)</f>
        <v>147005.86530852556</v>
      </c>
      <c r="K131" s="422">
        <f>+J131*(1+'Total Market Size'!K$136)</f>
        <v>150387.00021062163</v>
      </c>
      <c r="L131" s="426">
        <f>+K131*(1+'Total Market Size'!L$136)</f>
        <v>153815.82381542379</v>
      </c>
    </row>
    <row r="132" spans="1:16" ht="13.5" x14ac:dyDescent="0.25">
      <c r="A132" s="415" t="s">
        <v>436</v>
      </c>
      <c r="B132" s="421">
        <v>355200</v>
      </c>
      <c r="C132" s="421">
        <f>+B132*(1+'Total Market Size'!C$136)</f>
        <v>363369.6</v>
      </c>
      <c r="D132" s="421">
        <f>+C132*(1+'Total Market Size'!D$136)</f>
        <v>370636.99199999997</v>
      </c>
      <c r="E132" s="421">
        <f>+D132*(1+'Total Market Size'!E$136)</f>
        <v>378791.00582399999</v>
      </c>
      <c r="F132" s="421">
        <f>+E132*(1+'Total Market Size'!F$136)</f>
        <v>387503.19895795197</v>
      </c>
      <c r="G132" s="421">
        <f>+F132*(1+'Total Market Size'!G$136)</f>
        <v>397190.77893190074</v>
      </c>
      <c r="H132" s="421">
        <f>+G132*(1+'Total Market Size'!H$136)</f>
        <v>406921.95301573229</v>
      </c>
      <c r="I132" s="421">
        <f>+H132*(1+'Total Market Size'!I$136)</f>
        <v>416688.07988810987</v>
      </c>
      <c r="J132" s="421">
        <f>+I132*(1+'Total Market Size'!J$136)</f>
        <v>426605.2561894469</v>
      </c>
      <c r="K132" s="421">
        <f>+J132*(1+'Total Market Size'!K$136)</f>
        <v>436417.17708180414</v>
      </c>
      <c r="L132" s="425">
        <f>+K132*(1+'Total Market Size'!L$136)</f>
        <v>446367.48871926923</v>
      </c>
    </row>
    <row r="133" spans="1:16" ht="13.5" x14ac:dyDescent="0.25">
      <c r="A133" s="416" t="s">
        <v>437</v>
      </c>
      <c r="B133" s="422">
        <v>4334219.9708285788</v>
      </c>
      <c r="C133" s="422">
        <f>+B133*(1+'Total Market Size'!C$136)</f>
        <v>4433907.0301576359</v>
      </c>
      <c r="D133" s="422">
        <f>+C133*(1+'Total Market Size'!D$136)</f>
        <v>4522585.170760789</v>
      </c>
      <c r="E133" s="422">
        <f>+D133*(1+'Total Market Size'!E$136)</f>
        <v>4622082.0445175264</v>
      </c>
      <c r="F133" s="422">
        <f>+E133*(1+'Total Market Size'!F$136)</f>
        <v>4728389.9315414289</v>
      </c>
      <c r="G133" s="422">
        <f>+F133*(1+'Total Market Size'!G$136)</f>
        <v>4846599.6798299644</v>
      </c>
      <c r="H133" s="422">
        <f>+G133*(1+'Total Market Size'!H$136)</f>
        <v>4965341.3719857987</v>
      </c>
      <c r="I133" s="422">
        <f>+H133*(1+'Total Market Size'!I$136)</f>
        <v>5084509.5649134582</v>
      </c>
      <c r="J133" s="422">
        <f>+I133*(1+'Total Market Size'!J$136)</f>
        <v>5205520.8925583987</v>
      </c>
      <c r="K133" s="422">
        <f>+J133*(1+'Total Market Size'!K$136)</f>
        <v>5325247.8730872413</v>
      </c>
      <c r="L133" s="426">
        <f>+K133*(1+'Total Market Size'!L$136)</f>
        <v>5446663.5245936299</v>
      </c>
    </row>
    <row r="134" spans="1:16" ht="13.5" x14ac:dyDescent="0.25">
      <c r="A134" s="415" t="s">
        <v>438</v>
      </c>
      <c r="B134" s="422"/>
      <c r="C134" s="422"/>
      <c r="D134" s="422"/>
      <c r="E134" s="422"/>
      <c r="F134" s="422"/>
      <c r="G134" s="422"/>
      <c r="H134" s="422"/>
      <c r="I134" s="422"/>
      <c r="J134" s="422"/>
      <c r="K134" s="422"/>
      <c r="L134" s="426"/>
    </row>
    <row r="135" spans="1:16" ht="13.5" x14ac:dyDescent="0.25">
      <c r="A135" s="415" t="s">
        <v>439</v>
      </c>
      <c r="B135" s="421">
        <v>0</v>
      </c>
      <c r="C135" s="421">
        <f>+B135*(1+'Total Market Size'!C$136)</f>
        <v>0</v>
      </c>
      <c r="D135" s="421">
        <f>+C135*(1+'Total Market Size'!D$136)</f>
        <v>0</v>
      </c>
      <c r="E135" s="421">
        <f>+D135*(1+'Total Market Size'!E$136)</f>
        <v>0</v>
      </c>
      <c r="F135" s="421">
        <f>+E135*(1+'Total Market Size'!F$136)</f>
        <v>0</v>
      </c>
      <c r="G135" s="421">
        <f>+F135*(1+'Total Market Size'!G$136)</f>
        <v>0</v>
      </c>
      <c r="H135" s="421">
        <f>+G135*(1+'Total Market Size'!H$136)</f>
        <v>0</v>
      </c>
      <c r="I135" s="421">
        <f>+H135*(1+'Total Market Size'!I$136)</f>
        <v>0</v>
      </c>
      <c r="J135" s="421">
        <f>+I135*(1+'Total Market Size'!J$136)</f>
        <v>0</v>
      </c>
      <c r="K135" s="421">
        <f>+J135*(1+'Total Market Size'!K$136)</f>
        <v>0</v>
      </c>
      <c r="L135" s="425">
        <f>+K135*(1+'Total Market Size'!L$136)</f>
        <v>0</v>
      </c>
    </row>
    <row r="136" spans="1:16" ht="13.5" x14ac:dyDescent="0.25">
      <c r="A136" s="416" t="s">
        <v>440</v>
      </c>
      <c r="B136" s="422">
        <v>0</v>
      </c>
      <c r="C136" s="422">
        <f>+B136*(1+'Total Market Size'!C$136)</f>
        <v>0</v>
      </c>
      <c r="D136" s="422">
        <f>+C136*(1+'Total Market Size'!D$136)</f>
        <v>0</v>
      </c>
      <c r="E136" s="422">
        <f>+D136*(1+'Total Market Size'!E$136)</f>
        <v>0</v>
      </c>
      <c r="F136" s="422">
        <f>+E136*(1+'Total Market Size'!F$136)</f>
        <v>0</v>
      </c>
      <c r="G136" s="422">
        <f>+F136*(1+'Total Market Size'!G$136)</f>
        <v>0</v>
      </c>
      <c r="H136" s="422">
        <f>+G136*(1+'Total Market Size'!H$136)</f>
        <v>0</v>
      </c>
      <c r="I136" s="422">
        <f>+H136*(1+'Total Market Size'!I$136)</f>
        <v>0</v>
      </c>
      <c r="J136" s="422">
        <f>+I136*(1+'Total Market Size'!J$136)</f>
        <v>0</v>
      </c>
      <c r="K136" s="422">
        <f>+J136*(1+'Total Market Size'!K$136)</f>
        <v>0</v>
      </c>
      <c r="L136" s="426">
        <f>+K136*(1+'Total Market Size'!L$136)</f>
        <v>0</v>
      </c>
    </row>
    <row r="137" spans="1:16" ht="14.25" thickBot="1" x14ac:dyDescent="0.3">
      <c r="A137" s="416" t="s">
        <v>441</v>
      </c>
      <c r="B137" s="422">
        <v>0</v>
      </c>
      <c r="C137" s="422">
        <f>+B137*(1+'Total Market Size'!C$136)</f>
        <v>0</v>
      </c>
      <c r="D137" s="422">
        <f>+C137*(1+'Total Market Size'!D$136)</f>
        <v>0</v>
      </c>
      <c r="E137" s="422">
        <f>+D137*(1+'Total Market Size'!E$136)</f>
        <v>0</v>
      </c>
      <c r="F137" s="422">
        <f>+E137*(1+'Total Market Size'!F$136)</f>
        <v>0</v>
      </c>
      <c r="G137" s="422">
        <f>+F137*(1+'Total Market Size'!G$136)</f>
        <v>0</v>
      </c>
      <c r="H137" s="422">
        <f>+G137*(1+'Total Market Size'!H$136)</f>
        <v>0</v>
      </c>
      <c r="I137" s="422">
        <f>+H137*(1+'Total Market Size'!I$136)</f>
        <v>0</v>
      </c>
      <c r="J137" s="422">
        <f>+I137*(1+'Total Market Size'!J$136)</f>
        <v>0</v>
      </c>
      <c r="K137" s="422">
        <f>+J137*(1+'Total Market Size'!K$136)</f>
        <v>0</v>
      </c>
      <c r="L137" s="426">
        <f>+K137*(1+'Total Market Size'!L$136)</f>
        <v>0</v>
      </c>
    </row>
    <row r="138" spans="1:16" ht="14.25" thickBot="1" x14ac:dyDescent="0.3">
      <c r="A138" s="428" t="s">
        <v>442</v>
      </c>
      <c r="B138" s="429">
        <v>4334219.9708285788</v>
      </c>
      <c r="C138" s="429">
        <f t="shared" ref="C138:L138" si="4">SUM(C133:C137)</f>
        <v>4433907.0301576359</v>
      </c>
      <c r="D138" s="429">
        <f t="shared" si="4"/>
        <v>4522585.170760789</v>
      </c>
      <c r="E138" s="429">
        <f t="shared" si="4"/>
        <v>4622082.0445175264</v>
      </c>
      <c r="F138" s="429">
        <f t="shared" si="4"/>
        <v>4728389.9315414289</v>
      </c>
      <c r="G138" s="429">
        <f t="shared" si="4"/>
        <v>4846599.6798299644</v>
      </c>
      <c r="H138" s="429">
        <f t="shared" si="4"/>
        <v>4965341.3719857987</v>
      </c>
      <c r="I138" s="429">
        <f t="shared" si="4"/>
        <v>5084509.5649134582</v>
      </c>
      <c r="J138" s="429">
        <f t="shared" si="4"/>
        <v>5205520.8925583987</v>
      </c>
      <c r="K138" s="429">
        <f t="shared" si="4"/>
        <v>5325247.8730872413</v>
      </c>
      <c r="L138" s="430">
        <f t="shared" si="4"/>
        <v>5446663.5245936299</v>
      </c>
    </row>
    <row r="141" spans="1:16" ht="27.75" x14ac:dyDescent="0.4">
      <c r="A141" s="542" t="s">
        <v>520</v>
      </c>
      <c r="B141" s="542"/>
      <c r="C141" s="542"/>
      <c r="D141" s="542"/>
      <c r="E141" s="543"/>
      <c r="F141" s="543"/>
      <c r="G141" s="543"/>
      <c r="H141" s="544"/>
      <c r="I141" s="545"/>
      <c r="J141" s="545"/>
      <c r="K141" s="545"/>
      <c r="L141" s="545"/>
      <c r="M141" s="545"/>
      <c r="N141" s="545"/>
      <c r="O141" s="545"/>
      <c r="P141" s="545"/>
    </row>
    <row r="142" spans="1:16" ht="27.75" x14ac:dyDescent="0.4">
      <c r="A142" s="542" t="s">
        <v>521</v>
      </c>
      <c r="B142" s="542"/>
      <c r="C142" s="542"/>
      <c r="D142" s="542"/>
      <c r="E142" s="543"/>
      <c r="F142" s="543"/>
      <c r="G142" s="543"/>
      <c r="H142" s="544"/>
      <c r="I142" s="545"/>
      <c r="J142" s="545"/>
      <c r="K142" s="545"/>
      <c r="L142" s="545"/>
      <c r="M142" s="545"/>
      <c r="N142" s="545"/>
      <c r="O142" s="545"/>
      <c r="P142" s="546"/>
    </row>
    <row r="143" spans="1:16" x14ac:dyDescent="0.2">
      <c r="A143" s="547"/>
      <c r="B143" s="552"/>
      <c r="C143" s="553"/>
      <c r="D143" s="554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53"/>
      <c r="P143" s="553"/>
    </row>
    <row r="144" spans="1:16" x14ac:dyDescent="0.2">
      <c r="A144" s="547" t="s">
        <v>522</v>
      </c>
      <c r="B144" s="548"/>
      <c r="C144" s="547"/>
      <c r="D144" s="554"/>
      <c r="E144" s="553"/>
      <c r="F144" s="553"/>
      <c r="G144" s="553"/>
      <c r="H144" s="555"/>
      <c r="I144" s="553"/>
      <c r="J144" s="553"/>
      <c r="K144" s="553"/>
      <c r="L144" s="553"/>
      <c r="M144" s="553"/>
      <c r="N144" s="556"/>
      <c r="O144" s="558"/>
      <c r="P144" s="553"/>
    </row>
    <row r="145" spans="1:16" ht="13.5" thickBot="1" x14ac:dyDescent="0.25">
      <c r="A145" s="547"/>
      <c r="B145" s="547"/>
      <c r="C145" s="548"/>
      <c r="D145" s="557"/>
      <c r="E145" s="559"/>
      <c r="F145" s="559"/>
      <c r="G145" s="559"/>
      <c r="H145" s="560"/>
      <c r="I145" s="559"/>
      <c r="J145" s="559"/>
      <c r="K145" s="559"/>
      <c r="L145" s="559"/>
      <c r="M145" s="559"/>
      <c r="N145" s="561"/>
      <c r="O145" s="559"/>
      <c r="P145" s="559"/>
    </row>
    <row r="146" spans="1:16" x14ac:dyDescent="0.2">
      <c r="A146" s="565" t="s">
        <v>515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2"/>
      <c r="N146" s="562"/>
      <c r="O146" s="562"/>
      <c r="P146" s="115"/>
    </row>
    <row r="147" spans="1:16" ht="13.5" thickBot="1" x14ac:dyDescent="0.25">
      <c r="A147" s="566" t="s">
        <v>516</v>
      </c>
      <c r="B147" s="567">
        <v>2001</v>
      </c>
      <c r="C147" s="567">
        <v>2002</v>
      </c>
      <c r="D147" s="567">
        <v>2003</v>
      </c>
      <c r="E147" s="567">
        <v>2004</v>
      </c>
      <c r="F147" s="567">
        <v>2005</v>
      </c>
      <c r="G147" s="567">
        <v>2006</v>
      </c>
      <c r="H147" s="567">
        <v>2007</v>
      </c>
      <c r="I147" s="567">
        <v>2008</v>
      </c>
      <c r="J147" s="567">
        <v>2009</v>
      </c>
      <c r="K147" s="567">
        <v>2010</v>
      </c>
      <c r="L147" s="567">
        <v>2011</v>
      </c>
    </row>
    <row r="148" spans="1:16" ht="13.5" x14ac:dyDescent="0.25">
      <c r="A148" s="415" t="s">
        <v>392</v>
      </c>
      <c r="B148" s="426">
        <v>795825</v>
      </c>
      <c r="C148" s="426">
        <f>+B148*(1+'Total Market Size'!B$136)</f>
        <v>818108.1</v>
      </c>
      <c r="D148" s="426">
        <f>+C148*(1+'Total Market Size'!C$136)</f>
        <v>836924.58629999985</v>
      </c>
      <c r="E148" s="426">
        <f>+D148*(1+'Total Market Size'!D$136)</f>
        <v>853663.07802599983</v>
      </c>
      <c r="F148" s="426">
        <f>+E148*(1+'Total Market Size'!E$136)</f>
        <v>872443.66574257181</v>
      </c>
      <c r="G148" s="426">
        <f>+F148*(1+'Total Market Size'!F$136)</f>
        <v>892509.87005465094</v>
      </c>
      <c r="H148" s="426">
        <f>+G148*(1+'Total Market Size'!G$136)</f>
        <v>914822.61680601712</v>
      </c>
      <c r="I148" s="426">
        <f>+H148*(1+'Total Market Size'!H$136)</f>
        <v>937235.77091776452</v>
      </c>
      <c r="J148" s="426">
        <f>+I148*(1+'Total Market Size'!I$136)</f>
        <v>959729.42941979086</v>
      </c>
      <c r="K148" s="426">
        <f>+J148*(1+'Total Market Size'!J$136)</f>
        <v>982570.98983998189</v>
      </c>
      <c r="L148" s="426">
        <f>+K148*(1+'Total Market Size'!K$136)</f>
        <v>1005170.1226063013</v>
      </c>
    </row>
    <row r="149" spans="1:16" ht="13.5" x14ac:dyDescent="0.25">
      <c r="A149" s="415" t="s">
        <v>393</v>
      </c>
      <c r="B149" s="426">
        <v>0</v>
      </c>
      <c r="C149" s="426">
        <f>+B149*(1+'Total Market Size'!B$136)</f>
        <v>0</v>
      </c>
      <c r="D149" s="426">
        <f>+C149*(1+'Total Market Size'!C$136)</f>
        <v>0</v>
      </c>
      <c r="E149" s="426">
        <f>+D149*(1+'Total Market Size'!D$136)</f>
        <v>0</v>
      </c>
      <c r="F149" s="426">
        <f>+E149*(1+'Total Market Size'!E$136)</f>
        <v>0</v>
      </c>
      <c r="G149" s="426">
        <f>+F149*(1+'Total Market Size'!F$136)</f>
        <v>0</v>
      </c>
      <c r="H149" s="426">
        <f>+G149*(1+'Total Market Size'!G$136)</f>
        <v>0</v>
      </c>
      <c r="I149" s="426">
        <f>+H149*(1+'Total Market Size'!H$136)</f>
        <v>0</v>
      </c>
      <c r="J149" s="426">
        <f>+I149*(1+'Total Market Size'!I$136)</f>
        <v>0</v>
      </c>
      <c r="K149" s="426">
        <f>+J149*(1+'Total Market Size'!J$136)</f>
        <v>0</v>
      </c>
      <c r="L149" s="426">
        <f>+K149*(1+'Total Market Size'!K$136)</f>
        <v>0</v>
      </c>
    </row>
    <row r="150" spans="1:16" ht="13.5" x14ac:dyDescent="0.25">
      <c r="A150" s="414" t="s">
        <v>394</v>
      </c>
      <c r="B150" s="427">
        <v>795825</v>
      </c>
      <c r="C150" s="427">
        <f>+B150*(1+'Total Market Size'!B$136)</f>
        <v>818108.1</v>
      </c>
      <c r="D150" s="427">
        <f>+C150*(1+'Total Market Size'!C$136)</f>
        <v>836924.58629999985</v>
      </c>
      <c r="E150" s="427">
        <f>+D150*(1+'Total Market Size'!D$136)</f>
        <v>853663.07802599983</v>
      </c>
      <c r="F150" s="427">
        <f>+E150*(1+'Total Market Size'!E$136)</f>
        <v>872443.66574257181</v>
      </c>
      <c r="G150" s="427">
        <f>+F150*(1+'Total Market Size'!F$136)</f>
        <v>892509.87005465094</v>
      </c>
      <c r="H150" s="427">
        <f>+G150*(1+'Total Market Size'!G$136)</f>
        <v>914822.61680601712</v>
      </c>
      <c r="I150" s="427">
        <f>+H150*(1+'Total Market Size'!H$136)</f>
        <v>937235.77091776452</v>
      </c>
      <c r="J150" s="427">
        <f>+I150*(1+'Total Market Size'!I$136)</f>
        <v>959729.42941979086</v>
      </c>
      <c r="K150" s="427">
        <f>+J150*(1+'Total Market Size'!J$136)</f>
        <v>982570.98983998189</v>
      </c>
      <c r="L150" s="427">
        <f>+K150*(1+'Total Market Size'!K$136)</f>
        <v>1005170.1226063013</v>
      </c>
    </row>
    <row r="151" spans="1:16" ht="13.5" x14ac:dyDescent="0.25">
      <c r="A151" s="419" t="s">
        <v>395</v>
      </c>
      <c r="B151" s="426">
        <v>112809.63749999998</v>
      </c>
      <c r="C151" s="426">
        <f>+B151*(1+'Total Market Size'!B$136)</f>
        <v>115968.30734999999</v>
      </c>
      <c r="D151" s="426">
        <f>+C151*(1+'Total Market Size'!C$136)</f>
        <v>118635.57841904998</v>
      </c>
      <c r="E151" s="426">
        <f>+D151*(1+'Total Market Size'!D$136)</f>
        <v>121008.28998743098</v>
      </c>
      <c r="F151" s="426">
        <f>+E151*(1+'Total Market Size'!E$136)</f>
        <v>123670.47236715446</v>
      </c>
      <c r="G151" s="426">
        <f>+F151*(1+'Total Market Size'!F$136)</f>
        <v>126514.89323159901</v>
      </c>
      <c r="H151" s="426">
        <f>+G151*(1+'Total Market Size'!G$136)</f>
        <v>129677.76556238897</v>
      </c>
      <c r="I151" s="426">
        <f>+H151*(1+'Total Market Size'!H$136)</f>
        <v>132854.87081866749</v>
      </c>
      <c r="J151" s="426">
        <f>+I151*(1+'Total Market Size'!I$136)</f>
        <v>136043.38771831553</v>
      </c>
      <c r="K151" s="426">
        <f>+J151*(1+'Total Market Size'!J$136)</f>
        <v>139281.22034601145</v>
      </c>
      <c r="L151" s="426">
        <f>+K151*(1+'Total Market Size'!K$136)</f>
        <v>142484.68841396971</v>
      </c>
    </row>
    <row r="152" spans="1:16" ht="13.5" x14ac:dyDescent="0.25">
      <c r="A152" s="415" t="s">
        <v>396</v>
      </c>
      <c r="B152" s="426">
        <v>55676.5</v>
      </c>
      <c r="C152" s="426">
        <f>+B152*(1+'Total Market Size'!B$136)</f>
        <v>57235.442000000003</v>
      </c>
      <c r="D152" s="426">
        <f>+C152*(1+'Total Market Size'!C$136)</f>
        <v>58551.857165999994</v>
      </c>
      <c r="E152" s="426">
        <f>+D152*(1+'Total Market Size'!D$136)</f>
        <v>59722.894309319992</v>
      </c>
      <c r="F152" s="426">
        <f>+E152*(1+'Total Market Size'!E$136)</f>
        <v>61036.797984125034</v>
      </c>
      <c r="G152" s="426">
        <f>+F152*(1+'Total Market Size'!F$136)</f>
        <v>62440.644337759906</v>
      </c>
      <c r="H152" s="426">
        <f>+G152*(1+'Total Market Size'!G$136)</f>
        <v>64001.660446203896</v>
      </c>
      <c r="I152" s="426">
        <f>+H152*(1+'Total Market Size'!H$136)</f>
        <v>65569.701127135893</v>
      </c>
      <c r="J152" s="426">
        <f>+I152*(1+'Total Market Size'!I$136)</f>
        <v>67143.373954187162</v>
      </c>
      <c r="K152" s="426">
        <f>+J152*(1+'Total Market Size'!J$136)</f>
        <v>68741.386254296813</v>
      </c>
      <c r="L152" s="426">
        <f>+K152*(1+'Total Market Size'!K$136)</f>
        <v>70322.438138145633</v>
      </c>
    </row>
    <row r="153" spans="1:16" ht="13.5" x14ac:dyDescent="0.25">
      <c r="A153" s="416" t="s">
        <v>397</v>
      </c>
      <c r="B153" s="427">
        <v>168486.13749999995</v>
      </c>
      <c r="C153" s="427">
        <f>+B153*(1+'Total Market Size'!B$136)</f>
        <v>173203.74934999997</v>
      </c>
      <c r="D153" s="427">
        <f>+C153*(1+'Total Market Size'!C$136)</f>
        <v>177187.43558504994</v>
      </c>
      <c r="E153" s="427">
        <f>+D153*(1+'Total Market Size'!D$136)</f>
        <v>180731.18429675093</v>
      </c>
      <c r="F153" s="427">
        <f>+E153*(1+'Total Market Size'!E$136)</f>
        <v>184707.27035127944</v>
      </c>
      <c r="G153" s="427">
        <f>+F153*(1+'Total Market Size'!F$136)</f>
        <v>188955.53756935886</v>
      </c>
      <c r="H153" s="427">
        <f>+G153*(1+'Total Market Size'!G$136)</f>
        <v>193679.42600859283</v>
      </c>
      <c r="I153" s="427">
        <f>+H153*(1+'Total Market Size'!H$136)</f>
        <v>198424.57194580336</v>
      </c>
      <c r="J153" s="427">
        <f>+I153*(1+'Total Market Size'!I$136)</f>
        <v>203186.76167250265</v>
      </c>
      <c r="K153" s="427">
        <f>+J153*(1+'Total Market Size'!J$136)</f>
        <v>208022.60660030821</v>
      </c>
      <c r="L153" s="427">
        <f>+K153*(1+'Total Market Size'!K$136)</f>
        <v>212807.12655211528</v>
      </c>
    </row>
    <row r="154" spans="1:16" ht="13.5" x14ac:dyDescent="0.25">
      <c r="A154" s="415" t="s">
        <v>398</v>
      </c>
      <c r="B154" s="426">
        <v>60000</v>
      </c>
      <c r="C154" s="426">
        <f>+B154*(1+'Total Market Size'!B$136)</f>
        <v>61680</v>
      </c>
      <c r="D154" s="426">
        <f>+C154*(1+'Total Market Size'!C$136)</f>
        <v>63098.639999999992</v>
      </c>
      <c r="E154" s="426">
        <f>+D154*(1+'Total Market Size'!D$136)</f>
        <v>64360.612799999995</v>
      </c>
      <c r="F154" s="426">
        <f>+E154*(1+'Total Market Size'!E$136)</f>
        <v>65776.546281599993</v>
      </c>
      <c r="G154" s="426">
        <f>+F154*(1+'Total Market Size'!F$136)</f>
        <v>67289.406846076788</v>
      </c>
      <c r="H154" s="426">
        <f>+G154*(1+'Total Market Size'!G$136)</f>
        <v>68971.642017228703</v>
      </c>
      <c r="I154" s="426">
        <f>+H154*(1+'Total Market Size'!H$136)</f>
        <v>70661.447246650801</v>
      </c>
      <c r="J154" s="426">
        <f>+I154*(1+'Total Market Size'!I$136)</f>
        <v>72357.321980570428</v>
      </c>
      <c r="K154" s="426">
        <f>+J154*(1+'Total Market Size'!J$136)</f>
        <v>74079.426243708003</v>
      </c>
      <c r="L154" s="426">
        <f>+K154*(1+'Total Market Size'!K$136)</f>
        <v>75783.253047313279</v>
      </c>
    </row>
    <row r="155" spans="1:16" ht="13.5" x14ac:dyDescent="0.25">
      <c r="A155" s="415" t="s">
        <v>399</v>
      </c>
      <c r="B155" s="426">
        <v>2400</v>
      </c>
      <c r="C155" s="426">
        <f>+B155*(1+'Total Market Size'!B$136)</f>
        <v>2467.2000000000003</v>
      </c>
      <c r="D155" s="426">
        <f>+C155*(1+'Total Market Size'!C$136)</f>
        <v>2523.9456</v>
      </c>
      <c r="E155" s="426">
        <f>+D155*(1+'Total Market Size'!D$136)</f>
        <v>2574.424512</v>
      </c>
      <c r="F155" s="426">
        <f>+E155*(1+'Total Market Size'!E$136)</f>
        <v>2631.0618512640003</v>
      </c>
      <c r="G155" s="426">
        <f>+F155*(1+'Total Market Size'!F$136)</f>
        <v>2691.5762738430722</v>
      </c>
      <c r="H155" s="426">
        <f>+G155*(1+'Total Market Size'!G$136)</f>
        <v>2758.8656806891486</v>
      </c>
      <c r="I155" s="426">
        <f>+H155*(1+'Total Market Size'!H$136)</f>
        <v>2826.4578898660325</v>
      </c>
      <c r="J155" s="426">
        <f>+I155*(1+'Total Market Size'!I$136)</f>
        <v>2894.2928792228172</v>
      </c>
      <c r="K155" s="426">
        <f>+J155*(1+'Total Market Size'!J$136)</f>
        <v>2963.1770497483203</v>
      </c>
      <c r="L155" s="426">
        <f>+K155*(1+'Total Market Size'!K$136)</f>
        <v>3031.3301218925312</v>
      </c>
    </row>
    <row r="156" spans="1:16" ht="13.5" x14ac:dyDescent="0.25">
      <c r="A156" s="415" t="s">
        <v>400</v>
      </c>
      <c r="B156" s="426">
        <v>5280</v>
      </c>
      <c r="C156" s="426">
        <f>+B156*(1+'Total Market Size'!B$136)</f>
        <v>5427.84</v>
      </c>
      <c r="D156" s="426">
        <f>+C156*(1+'Total Market Size'!C$136)</f>
        <v>5552.6803199999995</v>
      </c>
      <c r="E156" s="426">
        <f>+D156*(1+'Total Market Size'!D$136)</f>
        <v>5663.7339263999993</v>
      </c>
      <c r="F156" s="426">
        <f>+E156*(1+'Total Market Size'!E$136)</f>
        <v>5788.3360727807994</v>
      </c>
      <c r="G156" s="426">
        <f>+F156*(1+'Total Market Size'!F$136)</f>
        <v>5921.4678024547575</v>
      </c>
      <c r="H156" s="426">
        <f>+G156*(1+'Total Market Size'!G$136)</f>
        <v>6069.5044975161263</v>
      </c>
      <c r="I156" s="426">
        <f>+H156*(1+'Total Market Size'!H$136)</f>
        <v>6218.2073577052715</v>
      </c>
      <c r="J156" s="426">
        <f>+I156*(1+'Total Market Size'!I$136)</f>
        <v>6367.4443342901977</v>
      </c>
      <c r="K156" s="426">
        <f>+J156*(1+'Total Market Size'!J$136)</f>
        <v>6518.9895094463045</v>
      </c>
      <c r="L156" s="426">
        <f>+K156*(1+'Total Market Size'!K$136)</f>
        <v>6668.9262681635691</v>
      </c>
    </row>
    <row r="157" spans="1:16" ht="13.5" x14ac:dyDescent="0.25">
      <c r="A157" s="415" t="s">
        <v>401</v>
      </c>
      <c r="B157" s="426">
        <v>8580</v>
      </c>
      <c r="C157" s="426">
        <f>+B157*(1+'Total Market Size'!B$136)</f>
        <v>8820.24</v>
      </c>
      <c r="D157" s="426">
        <f>+C157*(1+'Total Market Size'!C$136)</f>
        <v>9023.1055199999992</v>
      </c>
      <c r="E157" s="426">
        <f>+D157*(1+'Total Market Size'!D$136)</f>
        <v>9203.567630399999</v>
      </c>
      <c r="F157" s="426">
        <f>+E157*(1+'Total Market Size'!E$136)</f>
        <v>9406.0461182687995</v>
      </c>
      <c r="G157" s="426">
        <f>+F157*(1+'Total Market Size'!F$136)</f>
        <v>9622.3851789889814</v>
      </c>
      <c r="H157" s="426">
        <f>+G157*(1+'Total Market Size'!G$136)</f>
        <v>9862.9448084637042</v>
      </c>
      <c r="I157" s="426">
        <f>+H157*(1+'Total Market Size'!H$136)</f>
        <v>10104.586956271065</v>
      </c>
      <c r="J157" s="426">
        <f>+I157*(1+'Total Market Size'!I$136)</f>
        <v>10347.097043221571</v>
      </c>
      <c r="K157" s="426">
        <f>+J157*(1+'Total Market Size'!J$136)</f>
        <v>10593.357952850245</v>
      </c>
      <c r="L157" s="426">
        <f>+K157*(1+'Total Market Size'!K$136)</f>
        <v>10837.0051857658</v>
      </c>
    </row>
    <row r="158" spans="1:16" ht="13.5" x14ac:dyDescent="0.25">
      <c r="A158" s="415" t="s">
        <v>402</v>
      </c>
      <c r="B158" s="426">
        <v>15000</v>
      </c>
      <c r="C158" s="426">
        <f>+B158*(1+'Total Market Size'!B$136)</f>
        <v>15420</v>
      </c>
      <c r="D158" s="426">
        <f>+C158*(1+'Total Market Size'!C$136)</f>
        <v>15774.659999999998</v>
      </c>
      <c r="E158" s="426">
        <f>+D158*(1+'Total Market Size'!D$136)</f>
        <v>16090.153199999999</v>
      </c>
      <c r="F158" s="426">
        <f>+E158*(1+'Total Market Size'!E$136)</f>
        <v>16444.136570399998</v>
      </c>
      <c r="G158" s="426">
        <f>+F158*(1+'Total Market Size'!F$136)</f>
        <v>16822.351711519197</v>
      </c>
      <c r="H158" s="426">
        <f>+G158*(1+'Total Market Size'!G$136)</f>
        <v>17242.910504307176</v>
      </c>
      <c r="I158" s="426">
        <f>+H158*(1+'Total Market Size'!H$136)</f>
        <v>17665.3618116627</v>
      </c>
      <c r="J158" s="426">
        <f>+I158*(1+'Total Market Size'!I$136)</f>
        <v>18089.330495142607</v>
      </c>
      <c r="K158" s="426">
        <f>+J158*(1+'Total Market Size'!J$136)</f>
        <v>18519.856560927001</v>
      </c>
      <c r="L158" s="426">
        <f>+K158*(1+'Total Market Size'!K$136)</f>
        <v>18945.81326182832</v>
      </c>
    </row>
    <row r="159" spans="1:16" ht="13.5" x14ac:dyDescent="0.25">
      <c r="A159" s="415" t="s">
        <v>403</v>
      </c>
      <c r="B159" s="426">
        <v>6000</v>
      </c>
      <c r="C159" s="426">
        <f>+B159*(1+'Total Market Size'!B$136)</f>
        <v>6168</v>
      </c>
      <c r="D159" s="426">
        <f>+C159*(1+'Total Market Size'!C$136)</f>
        <v>6309.8639999999996</v>
      </c>
      <c r="E159" s="426">
        <f>+D159*(1+'Total Market Size'!D$136)</f>
        <v>6436.0612799999999</v>
      </c>
      <c r="F159" s="426">
        <f>+E159*(1+'Total Market Size'!E$136)</f>
        <v>6577.6546281600004</v>
      </c>
      <c r="G159" s="426">
        <f>+F159*(1+'Total Market Size'!F$136)</f>
        <v>6728.9406846076799</v>
      </c>
      <c r="H159" s="426">
        <f>+G159*(1+'Total Market Size'!G$136)</f>
        <v>6897.1642017228714</v>
      </c>
      <c r="I159" s="426">
        <f>+H159*(1+'Total Market Size'!H$136)</f>
        <v>7066.1447246650814</v>
      </c>
      <c r="J159" s="426">
        <f>+I159*(1+'Total Market Size'!I$136)</f>
        <v>7235.7321980570432</v>
      </c>
      <c r="K159" s="426">
        <f>+J159*(1+'Total Market Size'!J$136)</f>
        <v>7407.9426243708012</v>
      </c>
      <c r="L159" s="426">
        <f>+K159*(1+'Total Market Size'!K$136)</f>
        <v>7578.3253047313292</v>
      </c>
    </row>
    <row r="160" spans="1:16" ht="13.5" x14ac:dyDescent="0.25">
      <c r="A160" s="415" t="s">
        <v>404</v>
      </c>
      <c r="B160" s="426">
        <v>13200</v>
      </c>
      <c r="C160" s="426">
        <f>+B160*(1+'Total Market Size'!B$136)</f>
        <v>13569.6</v>
      </c>
      <c r="D160" s="426">
        <f>+C160*(1+'Total Market Size'!C$136)</f>
        <v>13881.700799999999</v>
      </c>
      <c r="E160" s="426">
        <f>+D160*(1+'Total Market Size'!D$136)</f>
        <v>14159.334815999999</v>
      </c>
      <c r="F160" s="426">
        <f>+E160*(1+'Total Market Size'!E$136)</f>
        <v>14470.840181951999</v>
      </c>
      <c r="G160" s="426">
        <f>+F160*(1+'Total Market Size'!F$136)</f>
        <v>14803.669506136894</v>
      </c>
      <c r="H160" s="426">
        <f>+G160*(1+'Total Market Size'!G$136)</f>
        <v>15173.761243790315</v>
      </c>
      <c r="I160" s="426">
        <f>+H160*(1+'Total Market Size'!H$136)</f>
        <v>15545.518394263177</v>
      </c>
      <c r="J160" s="426">
        <f>+I160*(1+'Total Market Size'!I$136)</f>
        <v>15918.610835725494</v>
      </c>
      <c r="K160" s="426">
        <f>+J160*(1+'Total Market Size'!J$136)</f>
        <v>16297.473773615762</v>
      </c>
      <c r="L160" s="426">
        <f>+K160*(1+'Total Market Size'!K$136)</f>
        <v>16672.315670408923</v>
      </c>
    </row>
    <row r="161" spans="1:12" ht="13.5" x14ac:dyDescent="0.25">
      <c r="A161" s="416" t="s">
        <v>405</v>
      </c>
      <c r="B161" s="427">
        <v>110460</v>
      </c>
      <c r="C161" s="427">
        <f>+B161*(1+'Total Market Size'!B$136)</f>
        <v>113552.88</v>
      </c>
      <c r="D161" s="427">
        <f>+C161*(1+'Total Market Size'!C$136)</f>
        <v>116164.59624</v>
      </c>
      <c r="E161" s="427">
        <f>+D161*(1+'Total Market Size'!D$136)</f>
        <v>118487.8881648</v>
      </c>
      <c r="F161" s="427">
        <f>+E161*(1+'Total Market Size'!E$136)</f>
        <v>121094.6217044256</v>
      </c>
      <c r="G161" s="427">
        <f>+F161*(1+'Total Market Size'!F$136)</f>
        <v>123879.79800362738</v>
      </c>
      <c r="H161" s="427">
        <f>+G161*(1+'Total Market Size'!G$136)</f>
        <v>126976.79295371806</v>
      </c>
      <c r="I161" s="427">
        <f>+H161*(1+'Total Market Size'!H$136)</f>
        <v>130087.72438108415</v>
      </c>
      <c r="J161" s="427">
        <f>+I161*(1+'Total Market Size'!I$136)</f>
        <v>133209.82976623016</v>
      </c>
      <c r="K161" s="427">
        <f>+J161*(1+'Total Market Size'!J$136)</f>
        <v>136380.22371466644</v>
      </c>
      <c r="L161" s="427">
        <f>+K161*(1+'Total Market Size'!K$136)</f>
        <v>139516.96886010375</v>
      </c>
    </row>
    <row r="162" spans="1:12" ht="13.5" x14ac:dyDescent="0.25">
      <c r="A162" s="415" t="s">
        <v>406</v>
      </c>
      <c r="B162" s="426">
        <v>0</v>
      </c>
      <c r="C162" s="426">
        <f>+B162*(1+'Total Market Size'!B$136)</f>
        <v>0</v>
      </c>
      <c r="D162" s="426">
        <f>+C162*(1+'Total Market Size'!C$136)</f>
        <v>0</v>
      </c>
      <c r="E162" s="426">
        <f>+D162*(1+'Total Market Size'!D$136)</f>
        <v>0</v>
      </c>
      <c r="F162" s="426">
        <f>+E162*(1+'Total Market Size'!E$136)</f>
        <v>0</v>
      </c>
      <c r="G162" s="426">
        <f>+F162*(1+'Total Market Size'!F$136)</f>
        <v>0</v>
      </c>
      <c r="H162" s="426">
        <f>+G162*(1+'Total Market Size'!G$136)</f>
        <v>0</v>
      </c>
      <c r="I162" s="426">
        <f>+H162*(1+'Total Market Size'!H$136)</f>
        <v>0</v>
      </c>
      <c r="J162" s="426">
        <f>+I162*(1+'Total Market Size'!I$136)</f>
        <v>0</v>
      </c>
      <c r="K162" s="426">
        <f>+J162*(1+'Total Market Size'!J$136)</f>
        <v>0</v>
      </c>
      <c r="L162" s="426">
        <f>+K162*(1+'Total Market Size'!K$136)</f>
        <v>0</v>
      </c>
    </row>
    <row r="163" spans="1:12" ht="13.5" x14ac:dyDescent="0.25">
      <c r="A163" s="415" t="s">
        <v>407</v>
      </c>
      <c r="B163" s="426">
        <v>0</v>
      </c>
      <c r="C163" s="426">
        <f>+B163*(1+'Total Market Size'!B$136)</f>
        <v>0</v>
      </c>
      <c r="D163" s="426">
        <f>+C163*(1+'Total Market Size'!C$136)</f>
        <v>0</v>
      </c>
      <c r="E163" s="426">
        <f>+D163*(1+'Total Market Size'!D$136)</f>
        <v>0</v>
      </c>
      <c r="F163" s="426">
        <f>+E163*(1+'Total Market Size'!E$136)</f>
        <v>0</v>
      </c>
      <c r="G163" s="426">
        <f>+F163*(1+'Total Market Size'!F$136)</f>
        <v>0</v>
      </c>
      <c r="H163" s="426">
        <f>+G163*(1+'Total Market Size'!G$136)</f>
        <v>0</v>
      </c>
      <c r="I163" s="426">
        <f>+H163*(1+'Total Market Size'!H$136)</f>
        <v>0</v>
      </c>
      <c r="J163" s="426">
        <f>+I163*(1+'Total Market Size'!I$136)</f>
        <v>0</v>
      </c>
      <c r="K163" s="426">
        <f>+J163*(1+'Total Market Size'!J$136)</f>
        <v>0</v>
      </c>
      <c r="L163" s="426">
        <f>+K163*(1+'Total Market Size'!K$136)</f>
        <v>0</v>
      </c>
    </row>
    <row r="164" spans="1:12" ht="13.5" x14ac:dyDescent="0.25">
      <c r="A164" s="415" t="s">
        <v>408</v>
      </c>
      <c r="B164" s="426">
        <v>0</v>
      </c>
      <c r="C164" s="426">
        <f>+B164*(1+'Total Market Size'!B$136)</f>
        <v>0</v>
      </c>
      <c r="D164" s="426">
        <f>+C164*(1+'Total Market Size'!C$136)</f>
        <v>0</v>
      </c>
      <c r="E164" s="426">
        <f>+D164*(1+'Total Market Size'!D$136)</f>
        <v>0</v>
      </c>
      <c r="F164" s="426">
        <f>+E164*(1+'Total Market Size'!E$136)</f>
        <v>0</v>
      </c>
      <c r="G164" s="426">
        <f>+F164*(1+'Total Market Size'!F$136)</f>
        <v>0</v>
      </c>
      <c r="H164" s="426">
        <f>+G164*(1+'Total Market Size'!G$136)</f>
        <v>0</v>
      </c>
      <c r="I164" s="426">
        <f>+H164*(1+'Total Market Size'!H$136)</f>
        <v>0</v>
      </c>
      <c r="J164" s="426">
        <f>+I164*(1+'Total Market Size'!I$136)</f>
        <v>0</v>
      </c>
      <c r="K164" s="426">
        <f>+J164*(1+'Total Market Size'!J$136)</f>
        <v>0</v>
      </c>
      <c r="L164" s="426">
        <f>+K164*(1+'Total Market Size'!K$136)</f>
        <v>0</v>
      </c>
    </row>
    <row r="165" spans="1:12" ht="13.5" x14ac:dyDescent="0.25">
      <c r="A165" s="415" t="s">
        <v>409</v>
      </c>
      <c r="B165" s="426">
        <v>0</v>
      </c>
      <c r="C165" s="426">
        <f>+B165*(1+'Total Market Size'!B$136)</f>
        <v>0</v>
      </c>
      <c r="D165" s="426">
        <f>+C165*(1+'Total Market Size'!C$136)</f>
        <v>0</v>
      </c>
      <c r="E165" s="426">
        <f>+D165*(1+'Total Market Size'!D$136)</f>
        <v>0</v>
      </c>
      <c r="F165" s="426">
        <f>+E165*(1+'Total Market Size'!E$136)</f>
        <v>0</v>
      </c>
      <c r="G165" s="426">
        <f>+F165*(1+'Total Market Size'!F$136)</f>
        <v>0</v>
      </c>
      <c r="H165" s="426">
        <f>+G165*(1+'Total Market Size'!G$136)</f>
        <v>0</v>
      </c>
      <c r="I165" s="426">
        <f>+H165*(1+'Total Market Size'!H$136)</f>
        <v>0</v>
      </c>
      <c r="J165" s="426">
        <f>+I165*(1+'Total Market Size'!I$136)</f>
        <v>0</v>
      </c>
      <c r="K165" s="426">
        <f>+J165*(1+'Total Market Size'!J$136)</f>
        <v>0</v>
      </c>
      <c r="L165" s="426">
        <f>+K165*(1+'Total Market Size'!K$136)</f>
        <v>0</v>
      </c>
    </row>
    <row r="166" spans="1:12" ht="13.5" x14ac:dyDescent="0.25">
      <c r="A166" s="415" t="s">
        <v>410</v>
      </c>
      <c r="B166" s="426">
        <v>0</v>
      </c>
      <c r="C166" s="426">
        <f>+B166*(1+'Total Market Size'!B$136)</f>
        <v>0</v>
      </c>
      <c r="D166" s="426">
        <f>+C166*(1+'Total Market Size'!C$136)</f>
        <v>0</v>
      </c>
      <c r="E166" s="426">
        <f>+D166*(1+'Total Market Size'!D$136)</f>
        <v>0</v>
      </c>
      <c r="F166" s="426">
        <f>+E166*(1+'Total Market Size'!E$136)</f>
        <v>0</v>
      </c>
      <c r="G166" s="426">
        <f>+F166*(1+'Total Market Size'!F$136)</f>
        <v>0</v>
      </c>
      <c r="H166" s="426">
        <f>+G166*(1+'Total Market Size'!G$136)</f>
        <v>0</v>
      </c>
      <c r="I166" s="426">
        <f>+H166*(1+'Total Market Size'!H$136)</f>
        <v>0</v>
      </c>
      <c r="J166" s="426">
        <f>+I166*(1+'Total Market Size'!I$136)</f>
        <v>0</v>
      </c>
      <c r="K166" s="426">
        <f>+J166*(1+'Total Market Size'!J$136)</f>
        <v>0</v>
      </c>
      <c r="L166" s="426">
        <f>+K166*(1+'Total Market Size'!K$136)</f>
        <v>0</v>
      </c>
    </row>
    <row r="167" spans="1:12" ht="13.5" x14ac:dyDescent="0.25">
      <c r="A167" s="415" t="s">
        <v>411</v>
      </c>
      <c r="B167" s="426">
        <v>0</v>
      </c>
      <c r="C167" s="426">
        <f>+B167*(1+'Total Market Size'!B$136)</f>
        <v>0</v>
      </c>
      <c r="D167" s="426">
        <f>+C167*(1+'Total Market Size'!C$136)</f>
        <v>0</v>
      </c>
      <c r="E167" s="426">
        <f>+D167*(1+'Total Market Size'!D$136)</f>
        <v>0</v>
      </c>
      <c r="F167" s="426">
        <f>+E167*(1+'Total Market Size'!E$136)</f>
        <v>0</v>
      </c>
      <c r="G167" s="426">
        <f>+F167*(1+'Total Market Size'!F$136)</f>
        <v>0</v>
      </c>
      <c r="H167" s="426">
        <f>+G167*(1+'Total Market Size'!G$136)</f>
        <v>0</v>
      </c>
      <c r="I167" s="426">
        <f>+H167*(1+'Total Market Size'!H$136)</f>
        <v>0</v>
      </c>
      <c r="J167" s="426">
        <f>+I167*(1+'Total Market Size'!I$136)</f>
        <v>0</v>
      </c>
      <c r="K167" s="426">
        <f>+J167*(1+'Total Market Size'!J$136)</f>
        <v>0</v>
      </c>
      <c r="L167" s="426">
        <f>+K167*(1+'Total Market Size'!K$136)</f>
        <v>0</v>
      </c>
    </row>
    <row r="168" spans="1:12" ht="13.5" x14ac:dyDescent="0.25">
      <c r="A168" s="416" t="s">
        <v>412</v>
      </c>
      <c r="B168" s="427">
        <v>0</v>
      </c>
      <c r="C168" s="427">
        <f>+B168*(1+'Total Market Size'!B$136)</f>
        <v>0</v>
      </c>
      <c r="D168" s="427">
        <f>+C168*(1+'Total Market Size'!C$136)</f>
        <v>0</v>
      </c>
      <c r="E168" s="427">
        <f>+D168*(1+'Total Market Size'!D$136)</f>
        <v>0</v>
      </c>
      <c r="F168" s="427">
        <f>+E168*(1+'Total Market Size'!E$136)</f>
        <v>0</v>
      </c>
      <c r="G168" s="427">
        <f>+F168*(1+'Total Market Size'!F$136)</f>
        <v>0</v>
      </c>
      <c r="H168" s="427">
        <f>+G168*(1+'Total Market Size'!G$136)</f>
        <v>0</v>
      </c>
      <c r="I168" s="427">
        <f>+H168*(1+'Total Market Size'!H$136)</f>
        <v>0</v>
      </c>
      <c r="J168" s="427">
        <f>+I168*(1+'Total Market Size'!I$136)</f>
        <v>0</v>
      </c>
      <c r="K168" s="427">
        <f>+J168*(1+'Total Market Size'!J$136)</f>
        <v>0</v>
      </c>
      <c r="L168" s="427">
        <f>+K168*(1+'Total Market Size'!K$136)</f>
        <v>0</v>
      </c>
    </row>
    <row r="169" spans="1:12" ht="13.5" x14ac:dyDescent="0.25">
      <c r="A169" s="549" t="s">
        <v>413</v>
      </c>
      <c r="B169" s="426">
        <v>0</v>
      </c>
      <c r="C169" s="426">
        <f>+B169*(1+'Total Market Size'!B$136)</f>
        <v>0</v>
      </c>
      <c r="D169" s="426">
        <f>+C169*(1+'Total Market Size'!C$136)</f>
        <v>0</v>
      </c>
      <c r="E169" s="426">
        <f>+D169*(1+'Total Market Size'!D$136)</f>
        <v>0</v>
      </c>
      <c r="F169" s="426">
        <f>+E169*(1+'Total Market Size'!E$136)</f>
        <v>0</v>
      </c>
      <c r="G169" s="426">
        <f>+F169*(1+'Total Market Size'!F$136)</f>
        <v>0</v>
      </c>
      <c r="H169" s="426">
        <f>+G169*(1+'Total Market Size'!G$136)</f>
        <v>0</v>
      </c>
      <c r="I169" s="426">
        <f>+H169*(1+'Total Market Size'!H$136)</f>
        <v>0</v>
      </c>
      <c r="J169" s="426">
        <f>+I169*(1+'Total Market Size'!I$136)</f>
        <v>0</v>
      </c>
      <c r="K169" s="426">
        <f>+J169*(1+'Total Market Size'!J$136)</f>
        <v>0</v>
      </c>
      <c r="L169" s="426">
        <f>+K169*(1+'Total Market Size'!K$136)</f>
        <v>0</v>
      </c>
    </row>
    <row r="170" spans="1:12" ht="13.5" x14ac:dyDescent="0.25">
      <c r="A170" s="415" t="s">
        <v>414</v>
      </c>
      <c r="B170" s="426">
        <v>0</v>
      </c>
      <c r="C170" s="426">
        <f>+B170*(1+'Total Market Size'!B$136)</f>
        <v>0</v>
      </c>
      <c r="D170" s="426">
        <f>+C170*(1+'Total Market Size'!C$136)</f>
        <v>0</v>
      </c>
      <c r="E170" s="426">
        <f>+D170*(1+'Total Market Size'!D$136)</f>
        <v>0</v>
      </c>
      <c r="F170" s="426">
        <f>+E170*(1+'Total Market Size'!E$136)</f>
        <v>0</v>
      </c>
      <c r="G170" s="426">
        <f>+F170*(1+'Total Market Size'!F$136)</f>
        <v>0</v>
      </c>
      <c r="H170" s="426">
        <f>+G170*(1+'Total Market Size'!G$136)</f>
        <v>0</v>
      </c>
      <c r="I170" s="426">
        <f>+H170*(1+'Total Market Size'!H$136)</f>
        <v>0</v>
      </c>
      <c r="J170" s="426">
        <f>+I170*(1+'Total Market Size'!I$136)</f>
        <v>0</v>
      </c>
      <c r="K170" s="426">
        <f>+J170*(1+'Total Market Size'!J$136)</f>
        <v>0</v>
      </c>
      <c r="L170" s="426">
        <f>+K170*(1+'Total Market Size'!K$136)</f>
        <v>0</v>
      </c>
    </row>
    <row r="171" spans="1:12" ht="13.5" x14ac:dyDescent="0.25">
      <c r="A171" s="415" t="s">
        <v>415</v>
      </c>
      <c r="B171" s="426">
        <v>0</v>
      </c>
      <c r="C171" s="426">
        <f>+B171*(1+'Total Market Size'!B$136)</f>
        <v>0</v>
      </c>
      <c r="D171" s="426">
        <f>+C171*(1+'Total Market Size'!C$136)</f>
        <v>0</v>
      </c>
      <c r="E171" s="426">
        <f>+D171*(1+'Total Market Size'!D$136)</f>
        <v>0</v>
      </c>
      <c r="F171" s="426">
        <f>+E171*(1+'Total Market Size'!E$136)</f>
        <v>0</v>
      </c>
      <c r="G171" s="426">
        <f>+F171*(1+'Total Market Size'!F$136)</f>
        <v>0</v>
      </c>
      <c r="H171" s="426">
        <f>+G171*(1+'Total Market Size'!G$136)</f>
        <v>0</v>
      </c>
      <c r="I171" s="426">
        <f>+H171*(1+'Total Market Size'!H$136)</f>
        <v>0</v>
      </c>
      <c r="J171" s="426">
        <f>+I171*(1+'Total Market Size'!I$136)</f>
        <v>0</v>
      </c>
      <c r="K171" s="426">
        <f>+J171*(1+'Total Market Size'!J$136)</f>
        <v>0</v>
      </c>
      <c r="L171" s="426">
        <f>+K171*(1+'Total Market Size'!K$136)</f>
        <v>0</v>
      </c>
    </row>
    <row r="172" spans="1:12" ht="13.5" x14ac:dyDescent="0.25">
      <c r="A172" s="416" t="s">
        <v>416</v>
      </c>
      <c r="B172" s="427">
        <v>0</v>
      </c>
      <c r="C172" s="427">
        <f>+B172*(1+'Total Market Size'!B$136)</f>
        <v>0</v>
      </c>
      <c r="D172" s="427">
        <f>+C172*(1+'Total Market Size'!C$136)</f>
        <v>0</v>
      </c>
      <c r="E172" s="427">
        <f>+D172*(1+'Total Market Size'!D$136)</f>
        <v>0</v>
      </c>
      <c r="F172" s="427">
        <f>+E172*(1+'Total Market Size'!E$136)</f>
        <v>0</v>
      </c>
      <c r="G172" s="427">
        <f>+F172*(1+'Total Market Size'!F$136)</f>
        <v>0</v>
      </c>
      <c r="H172" s="427">
        <f>+G172*(1+'Total Market Size'!G$136)</f>
        <v>0</v>
      </c>
      <c r="I172" s="427">
        <f>+H172*(1+'Total Market Size'!H$136)</f>
        <v>0</v>
      </c>
      <c r="J172" s="427">
        <f>+I172*(1+'Total Market Size'!I$136)</f>
        <v>0</v>
      </c>
      <c r="K172" s="427">
        <f>+J172*(1+'Total Market Size'!J$136)</f>
        <v>0</v>
      </c>
      <c r="L172" s="427">
        <f>+K172*(1+'Total Market Size'!K$136)</f>
        <v>0</v>
      </c>
    </row>
    <row r="173" spans="1:12" ht="13.5" x14ac:dyDescent="0.25">
      <c r="A173" s="415" t="s">
        <v>417</v>
      </c>
      <c r="B173" s="426">
        <v>0</v>
      </c>
      <c r="C173" s="426">
        <f>+B173*(1+'Total Market Size'!B$136)</f>
        <v>0</v>
      </c>
      <c r="D173" s="426">
        <f>+C173*(1+'Total Market Size'!C$136)</f>
        <v>0</v>
      </c>
      <c r="E173" s="426">
        <f>+D173*(1+'Total Market Size'!D$136)</f>
        <v>0</v>
      </c>
      <c r="F173" s="426">
        <f>+E173*(1+'Total Market Size'!E$136)</f>
        <v>0</v>
      </c>
      <c r="G173" s="426">
        <f>+F173*(1+'Total Market Size'!F$136)</f>
        <v>0</v>
      </c>
      <c r="H173" s="426">
        <f>+G173*(1+'Total Market Size'!G$136)</f>
        <v>0</v>
      </c>
      <c r="I173" s="426">
        <f>+H173*(1+'Total Market Size'!H$136)</f>
        <v>0</v>
      </c>
      <c r="J173" s="426">
        <f>+I173*(1+'Total Market Size'!I$136)</f>
        <v>0</v>
      </c>
      <c r="K173" s="426">
        <f>+J173*(1+'Total Market Size'!J$136)</f>
        <v>0</v>
      </c>
      <c r="L173" s="426">
        <f>+K173*(1+'Total Market Size'!K$136)</f>
        <v>0</v>
      </c>
    </row>
    <row r="174" spans="1:12" ht="13.5" x14ac:dyDescent="0.25">
      <c r="A174" s="415" t="s">
        <v>418</v>
      </c>
      <c r="B174" s="426">
        <v>0</v>
      </c>
      <c r="C174" s="426">
        <f>+B174*(1+'Total Market Size'!B$136)</f>
        <v>0</v>
      </c>
      <c r="D174" s="426">
        <f>+C174*(1+'Total Market Size'!C$136)</f>
        <v>0</v>
      </c>
      <c r="E174" s="426">
        <f>+D174*(1+'Total Market Size'!D$136)</f>
        <v>0</v>
      </c>
      <c r="F174" s="426">
        <f>+E174*(1+'Total Market Size'!E$136)</f>
        <v>0</v>
      </c>
      <c r="G174" s="426">
        <f>+F174*(1+'Total Market Size'!F$136)</f>
        <v>0</v>
      </c>
      <c r="H174" s="426">
        <f>+G174*(1+'Total Market Size'!G$136)</f>
        <v>0</v>
      </c>
      <c r="I174" s="426">
        <f>+H174*(1+'Total Market Size'!H$136)</f>
        <v>0</v>
      </c>
      <c r="J174" s="426">
        <f>+I174*(1+'Total Market Size'!I$136)</f>
        <v>0</v>
      </c>
      <c r="K174" s="426">
        <f>+J174*(1+'Total Market Size'!J$136)</f>
        <v>0</v>
      </c>
      <c r="L174" s="426">
        <f>+K174*(1+'Total Market Size'!K$136)</f>
        <v>0</v>
      </c>
    </row>
    <row r="175" spans="1:12" ht="13.5" x14ac:dyDescent="0.25">
      <c r="A175" s="415" t="s">
        <v>419</v>
      </c>
      <c r="B175" s="426">
        <v>13200</v>
      </c>
      <c r="C175" s="426">
        <f>+B175*(1+'Total Market Size'!B$136)</f>
        <v>13569.6</v>
      </c>
      <c r="D175" s="426">
        <f>+C175*(1+'Total Market Size'!C$136)</f>
        <v>13881.700799999999</v>
      </c>
      <c r="E175" s="426">
        <f>+D175*(1+'Total Market Size'!D$136)</f>
        <v>14159.334815999999</v>
      </c>
      <c r="F175" s="426">
        <f>+E175*(1+'Total Market Size'!E$136)</f>
        <v>14470.840181951999</v>
      </c>
      <c r="G175" s="426">
        <f>+F175*(1+'Total Market Size'!F$136)</f>
        <v>14803.669506136894</v>
      </c>
      <c r="H175" s="426">
        <f>+G175*(1+'Total Market Size'!G$136)</f>
        <v>15173.761243790315</v>
      </c>
      <c r="I175" s="426">
        <f>+H175*(1+'Total Market Size'!H$136)</f>
        <v>15545.518394263177</v>
      </c>
      <c r="J175" s="426">
        <f>+I175*(1+'Total Market Size'!I$136)</f>
        <v>15918.610835725494</v>
      </c>
      <c r="K175" s="426">
        <f>+J175*(1+'Total Market Size'!J$136)</f>
        <v>16297.473773615762</v>
      </c>
      <c r="L175" s="426">
        <f>+K175*(1+'Total Market Size'!K$136)</f>
        <v>16672.315670408923</v>
      </c>
    </row>
    <row r="176" spans="1:12" ht="13.5" x14ac:dyDescent="0.25">
      <c r="A176" s="415" t="s">
        <v>420</v>
      </c>
      <c r="B176" s="426">
        <v>360</v>
      </c>
      <c r="C176" s="426">
        <f>+B176*(1+'Total Market Size'!B$136)</f>
        <v>370.08</v>
      </c>
      <c r="D176" s="426">
        <f>+C176*(1+'Total Market Size'!C$136)</f>
        <v>378.59183999999993</v>
      </c>
      <c r="E176" s="426">
        <f>+D176*(1+'Total Market Size'!D$136)</f>
        <v>386.16367679999996</v>
      </c>
      <c r="F176" s="426">
        <f>+E176*(1+'Total Market Size'!E$136)</f>
        <v>394.65927768959995</v>
      </c>
      <c r="G176" s="426">
        <f>+F176*(1+'Total Market Size'!F$136)</f>
        <v>403.73644107646072</v>
      </c>
      <c r="H176" s="426">
        <f>+G176*(1+'Total Market Size'!G$136)</f>
        <v>413.82985210337222</v>
      </c>
      <c r="I176" s="426">
        <f>+H176*(1+'Total Market Size'!H$136)</f>
        <v>423.96868347990483</v>
      </c>
      <c r="J176" s="426">
        <f>+I176*(1+'Total Market Size'!I$136)</f>
        <v>434.14393188342257</v>
      </c>
      <c r="K176" s="426">
        <f>+J176*(1+'Total Market Size'!J$136)</f>
        <v>444.47655746224802</v>
      </c>
      <c r="L176" s="426">
        <f>+K176*(1+'Total Market Size'!K$136)</f>
        <v>454.69951828387968</v>
      </c>
    </row>
    <row r="177" spans="1:12" ht="13.5" x14ac:dyDescent="0.25">
      <c r="A177" s="415" t="s">
        <v>421</v>
      </c>
      <c r="B177" s="426">
        <v>0</v>
      </c>
      <c r="C177" s="426">
        <f>+B177*(1+'Total Market Size'!B$136)</f>
        <v>0</v>
      </c>
      <c r="D177" s="426">
        <f>+C177*(1+'Total Market Size'!C$136)</f>
        <v>0</v>
      </c>
      <c r="E177" s="426">
        <f>+D177*(1+'Total Market Size'!D$136)</f>
        <v>0</v>
      </c>
      <c r="F177" s="426">
        <f>+E177*(1+'Total Market Size'!E$136)</f>
        <v>0</v>
      </c>
      <c r="G177" s="426">
        <f>+F177*(1+'Total Market Size'!F$136)</f>
        <v>0</v>
      </c>
      <c r="H177" s="426">
        <f>+G177*(1+'Total Market Size'!G$136)</f>
        <v>0</v>
      </c>
      <c r="I177" s="426">
        <f>+H177*(1+'Total Market Size'!H$136)</f>
        <v>0</v>
      </c>
      <c r="J177" s="426">
        <f>+I177*(1+'Total Market Size'!I$136)</f>
        <v>0</v>
      </c>
      <c r="K177" s="426">
        <f>+J177*(1+'Total Market Size'!J$136)</f>
        <v>0</v>
      </c>
      <c r="L177" s="426">
        <f>+K177*(1+'Total Market Size'!K$136)</f>
        <v>0</v>
      </c>
    </row>
    <row r="178" spans="1:12" ht="13.5" x14ac:dyDescent="0.25">
      <c r="A178" s="415" t="s">
        <v>422</v>
      </c>
      <c r="B178" s="426">
        <v>1200</v>
      </c>
      <c r="C178" s="426">
        <f>+B178*(1+'Total Market Size'!B$136)</f>
        <v>1233.6000000000001</v>
      </c>
      <c r="D178" s="426">
        <f>+C178*(1+'Total Market Size'!C$136)</f>
        <v>1261.9728</v>
      </c>
      <c r="E178" s="426">
        <f>+D178*(1+'Total Market Size'!D$136)</f>
        <v>1287.212256</v>
      </c>
      <c r="F178" s="426">
        <f>+E178*(1+'Total Market Size'!E$136)</f>
        <v>1315.5309256320002</v>
      </c>
      <c r="G178" s="426">
        <f>+F178*(1+'Total Market Size'!F$136)</f>
        <v>1345.7881369215361</v>
      </c>
      <c r="H178" s="426">
        <f>+G178*(1+'Total Market Size'!G$136)</f>
        <v>1379.4328403445743</v>
      </c>
      <c r="I178" s="426">
        <f>+H178*(1+'Total Market Size'!H$136)</f>
        <v>1413.2289449330162</v>
      </c>
      <c r="J178" s="426">
        <f>+I178*(1+'Total Market Size'!I$136)</f>
        <v>1447.1464396114086</v>
      </c>
      <c r="K178" s="426">
        <f>+J178*(1+'Total Market Size'!J$136)</f>
        <v>1481.5885248741602</v>
      </c>
      <c r="L178" s="426">
        <f>+K178*(1+'Total Market Size'!K$136)</f>
        <v>1515.6650609462656</v>
      </c>
    </row>
    <row r="179" spans="1:12" ht="13.5" x14ac:dyDescent="0.25">
      <c r="A179" s="415" t="s">
        <v>423</v>
      </c>
      <c r="B179" s="426">
        <v>1200</v>
      </c>
      <c r="C179" s="426">
        <f>+B179*(1+'Total Market Size'!B$136)</f>
        <v>1233.6000000000001</v>
      </c>
      <c r="D179" s="426">
        <f>+C179*(1+'Total Market Size'!C$136)</f>
        <v>1261.9728</v>
      </c>
      <c r="E179" s="426">
        <f>+D179*(1+'Total Market Size'!D$136)</f>
        <v>1287.212256</v>
      </c>
      <c r="F179" s="426">
        <f>+E179*(1+'Total Market Size'!E$136)</f>
        <v>1315.5309256320002</v>
      </c>
      <c r="G179" s="426">
        <f>+F179*(1+'Total Market Size'!F$136)</f>
        <v>1345.7881369215361</v>
      </c>
      <c r="H179" s="426">
        <f>+G179*(1+'Total Market Size'!G$136)</f>
        <v>1379.4328403445743</v>
      </c>
      <c r="I179" s="426">
        <f>+H179*(1+'Total Market Size'!H$136)</f>
        <v>1413.2289449330162</v>
      </c>
      <c r="J179" s="426">
        <f>+I179*(1+'Total Market Size'!I$136)</f>
        <v>1447.1464396114086</v>
      </c>
      <c r="K179" s="426">
        <f>+J179*(1+'Total Market Size'!J$136)</f>
        <v>1481.5885248741602</v>
      </c>
      <c r="L179" s="426">
        <f>+K179*(1+'Total Market Size'!K$136)</f>
        <v>1515.6650609462656</v>
      </c>
    </row>
    <row r="180" spans="1:12" ht="13.5" x14ac:dyDescent="0.25">
      <c r="A180" s="416" t="s">
        <v>424</v>
      </c>
      <c r="B180" s="427">
        <v>15960</v>
      </c>
      <c r="C180" s="427">
        <f>+B180*(1+'Total Market Size'!B$136)</f>
        <v>16406.88</v>
      </c>
      <c r="D180" s="427">
        <f>+C180*(1+'Total Market Size'!C$136)</f>
        <v>16784.238239999999</v>
      </c>
      <c r="E180" s="427">
        <f>+D180*(1+'Total Market Size'!D$136)</f>
        <v>17119.923004799999</v>
      </c>
      <c r="F180" s="427">
        <f>+E180*(1+'Total Market Size'!E$136)</f>
        <v>17496.561310905599</v>
      </c>
      <c r="G180" s="427">
        <f>+F180*(1+'Total Market Size'!F$136)</f>
        <v>17898.982221056427</v>
      </c>
      <c r="H180" s="427">
        <f>+G180*(1+'Total Market Size'!G$136)</f>
        <v>18346.456776582836</v>
      </c>
      <c r="I180" s="427">
        <f>+H180*(1+'Total Market Size'!H$136)</f>
        <v>18795.944967609114</v>
      </c>
      <c r="J180" s="427">
        <f>+I180*(1+'Total Market Size'!I$136)</f>
        <v>19247.047646831732</v>
      </c>
      <c r="K180" s="427">
        <f>+J180*(1+'Total Market Size'!J$136)</f>
        <v>19705.127380826329</v>
      </c>
      <c r="L180" s="427">
        <f>+K180*(1+'Total Market Size'!K$136)</f>
        <v>20158.345310585333</v>
      </c>
    </row>
    <row r="181" spans="1:12" ht="13.5" x14ac:dyDescent="0.25">
      <c r="A181" s="415" t="s">
        <v>425</v>
      </c>
      <c r="B181" s="426">
        <v>0</v>
      </c>
      <c r="C181" s="426">
        <f>+B181*(1+'Total Market Size'!B$136)</f>
        <v>0</v>
      </c>
      <c r="D181" s="426">
        <f>+C181*(1+'Total Market Size'!C$136)</f>
        <v>0</v>
      </c>
      <c r="E181" s="426">
        <f>+D181*(1+'Total Market Size'!D$136)</f>
        <v>0</v>
      </c>
      <c r="F181" s="426">
        <f>+E181*(1+'Total Market Size'!E$136)</f>
        <v>0</v>
      </c>
      <c r="G181" s="426">
        <f>+F181*(1+'Total Market Size'!F$136)</f>
        <v>0</v>
      </c>
      <c r="H181" s="426">
        <f>+G181*(1+'Total Market Size'!G$136)</f>
        <v>0</v>
      </c>
      <c r="I181" s="426">
        <f>+H181*(1+'Total Market Size'!H$136)</f>
        <v>0</v>
      </c>
      <c r="J181" s="426">
        <f>+I181*(1+'Total Market Size'!I$136)</f>
        <v>0</v>
      </c>
      <c r="K181" s="426">
        <f>+J181*(1+'Total Market Size'!J$136)</f>
        <v>0</v>
      </c>
      <c r="L181" s="426">
        <f>+K181*(1+'Total Market Size'!K$136)</f>
        <v>0</v>
      </c>
    </row>
    <row r="182" spans="1:12" ht="13.5" x14ac:dyDescent="0.25">
      <c r="A182" s="415" t="s">
        <v>426</v>
      </c>
      <c r="B182" s="426">
        <v>25000</v>
      </c>
      <c r="C182" s="426">
        <f>+B182*(1+'Total Market Size'!B$136)</f>
        <v>25700</v>
      </c>
      <c r="D182" s="426">
        <f>+C182*(1+'Total Market Size'!C$136)</f>
        <v>26291.1</v>
      </c>
      <c r="E182" s="426">
        <f>+D182*(1+'Total Market Size'!D$136)</f>
        <v>26816.921999999999</v>
      </c>
      <c r="F182" s="426">
        <f>+E182*(1+'Total Market Size'!E$136)</f>
        <v>27406.894283999998</v>
      </c>
      <c r="G182" s="426">
        <f>+F182*(1+'Total Market Size'!F$136)</f>
        <v>28037.252852531994</v>
      </c>
      <c r="H182" s="426">
        <f>+G182*(1+'Total Market Size'!G$136)</f>
        <v>28738.184173845293</v>
      </c>
      <c r="I182" s="426">
        <f>+H182*(1+'Total Market Size'!H$136)</f>
        <v>29442.269686104501</v>
      </c>
      <c r="J182" s="426">
        <f>+I182*(1+'Total Market Size'!I$136)</f>
        <v>30148.884158571011</v>
      </c>
      <c r="K182" s="426">
        <f>+J182*(1+'Total Market Size'!J$136)</f>
        <v>30866.427601545001</v>
      </c>
      <c r="L182" s="426">
        <f>+K182*(1+'Total Market Size'!K$136)</f>
        <v>31576.355436380534</v>
      </c>
    </row>
    <row r="183" spans="1:12" ht="13.5" x14ac:dyDescent="0.25">
      <c r="A183" s="415" t="s">
        <v>427</v>
      </c>
      <c r="B183" s="426">
        <v>0</v>
      </c>
      <c r="C183" s="426">
        <f>+B183*(1+'Total Market Size'!B$136)</f>
        <v>0</v>
      </c>
      <c r="D183" s="426">
        <f>+C183*(1+'Total Market Size'!C$136)</f>
        <v>0</v>
      </c>
      <c r="E183" s="426">
        <f>+D183*(1+'Total Market Size'!D$136)</f>
        <v>0</v>
      </c>
      <c r="F183" s="426">
        <f>+E183*(1+'Total Market Size'!E$136)</f>
        <v>0</v>
      </c>
      <c r="G183" s="426">
        <f>+F183*(1+'Total Market Size'!F$136)</f>
        <v>0</v>
      </c>
      <c r="H183" s="426">
        <f>+G183*(1+'Total Market Size'!G$136)</f>
        <v>0</v>
      </c>
      <c r="I183" s="426">
        <f>+H183*(1+'Total Market Size'!H$136)</f>
        <v>0</v>
      </c>
      <c r="J183" s="426">
        <f>+I183*(1+'Total Market Size'!I$136)</f>
        <v>0</v>
      </c>
      <c r="K183" s="426">
        <f>+J183*(1+'Total Market Size'!J$136)</f>
        <v>0</v>
      </c>
      <c r="L183" s="426">
        <f>+K183*(1+'Total Market Size'!K$136)</f>
        <v>0</v>
      </c>
    </row>
    <row r="184" spans="1:12" ht="13.5" x14ac:dyDescent="0.25">
      <c r="A184" s="415" t="s">
        <v>428</v>
      </c>
      <c r="B184" s="426">
        <v>0</v>
      </c>
      <c r="C184" s="426">
        <f>+B184*(1+'Total Market Size'!B$136)</f>
        <v>0</v>
      </c>
      <c r="D184" s="426">
        <f>+C184*(1+'Total Market Size'!C$136)</f>
        <v>0</v>
      </c>
      <c r="E184" s="426">
        <f>+D184*(1+'Total Market Size'!D$136)</f>
        <v>0</v>
      </c>
      <c r="F184" s="426">
        <f>+E184*(1+'Total Market Size'!E$136)</f>
        <v>0</v>
      </c>
      <c r="G184" s="426">
        <f>+F184*(1+'Total Market Size'!F$136)</f>
        <v>0</v>
      </c>
      <c r="H184" s="426">
        <f>+G184*(1+'Total Market Size'!G$136)</f>
        <v>0</v>
      </c>
      <c r="I184" s="426">
        <f>+H184*(1+'Total Market Size'!H$136)</f>
        <v>0</v>
      </c>
      <c r="J184" s="426">
        <f>+I184*(1+'Total Market Size'!I$136)</f>
        <v>0</v>
      </c>
      <c r="K184" s="426">
        <f>+J184*(1+'Total Market Size'!J$136)</f>
        <v>0</v>
      </c>
      <c r="L184" s="426">
        <f>+K184*(1+'Total Market Size'!K$136)</f>
        <v>0</v>
      </c>
    </row>
    <row r="185" spans="1:12" ht="13.5" x14ac:dyDescent="0.25">
      <c r="A185" s="416" t="s">
        <v>429</v>
      </c>
      <c r="B185" s="427">
        <v>25000</v>
      </c>
      <c r="C185" s="427">
        <f>+B185*(1+'Total Market Size'!B$136)</f>
        <v>25700</v>
      </c>
      <c r="D185" s="427">
        <f>+C185*(1+'Total Market Size'!C$136)</f>
        <v>26291.1</v>
      </c>
      <c r="E185" s="427">
        <f>+D185*(1+'Total Market Size'!D$136)</f>
        <v>26816.921999999999</v>
      </c>
      <c r="F185" s="427">
        <f>+E185*(1+'Total Market Size'!E$136)</f>
        <v>27406.894283999998</v>
      </c>
      <c r="G185" s="427">
        <f>+F185*(1+'Total Market Size'!F$136)</f>
        <v>28037.252852531994</v>
      </c>
      <c r="H185" s="427">
        <f>+G185*(1+'Total Market Size'!G$136)</f>
        <v>28738.184173845293</v>
      </c>
      <c r="I185" s="427">
        <f>+H185*(1+'Total Market Size'!H$136)</f>
        <v>29442.269686104501</v>
      </c>
      <c r="J185" s="427">
        <f>+I185*(1+'Total Market Size'!I$136)</f>
        <v>30148.884158571011</v>
      </c>
      <c r="K185" s="427">
        <f>+J185*(1+'Total Market Size'!J$136)</f>
        <v>30866.427601545001</v>
      </c>
      <c r="L185" s="427">
        <f>+K185*(1+'Total Market Size'!K$136)</f>
        <v>31576.355436380534</v>
      </c>
    </row>
    <row r="186" spans="1:12" ht="13.5" x14ac:dyDescent="0.25">
      <c r="A186" s="416" t="s">
        <v>430</v>
      </c>
      <c r="B186" s="426">
        <v>0</v>
      </c>
      <c r="C186" s="426">
        <f>+B186*(1+'Total Market Size'!B$136)</f>
        <v>0</v>
      </c>
      <c r="D186" s="426">
        <f>+C186*(1+'Total Market Size'!C$136)</f>
        <v>0</v>
      </c>
      <c r="E186" s="426">
        <f>+D186*(1+'Total Market Size'!D$136)</f>
        <v>0</v>
      </c>
      <c r="F186" s="426">
        <f>+E186*(1+'Total Market Size'!E$136)</f>
        <v>0</v>
      </c>
      <c r="G186" s="426">
        <f>+F186*(1+'Total Market Size'!F$136)</f>
        <v>0</v>
      </c>
      <c r="H186" s="426">
        <f>+G186*(1+'Total Market Size'!G$136)</f>
        <v>0</v>
      </c>
      <c r="I186" s="426">
        <f>+H186*(1+'Total Market Size'!H$136)</f>
        <v>0</v>
      </c>
      <c r="J186" s="426">
        <f>+I186*(1+'Total Market Size'!I$136)</f>
        <v>0</v>
      </c>
      <c r="K186" s="426">
        <f>+J186*(1+'Total Market Size'!J$136)</f>
        <v>0</v>
      </c>
      <c r="L186" s="426">
        <f>+K186*(1+'Total Market Size'!K$136)</f>
        <v>0</v>
      </c>
    </row>
    <row r="187" spans="1:12" ht="13.5" x14ac:dyDescent="0.25">
      <c r="A187" s="415" t="s">
        <v>431</v>
      </c>
      <c r="B187" s="426">
        <v>0</v>
      </c>
      <c r="C187" s="426">
        <f>+B187*(1+'Total Market Size'!B$136)</f>
        <v>0</v>
      </c>
      <c r="D187" s="426">
        <f>+C187*(1+'Total Market Size'!C$136)</f>
        <v>0</v>
      </c>
      <c r="E187" s="426">
        <f>+D187*(1+'Total Market Size'!D$136)</f>
        <v>0</v>
      </c>
      <c r="F187" s="426">
        <f>+E187*(1+'Total Market Size'!E$136)</f>
        <v>0</v>
      </c>
      <c r="G187" s="426">
        <f>+F187*(1+'Total Market Size'!F$136)</f>
        <v>0</v>
      </c>
      <c r="H187" s="426">
        <f>+G187*(1+'Total Market Size'!G$136)</f>
        <v>0</v>
      </c>
      <c r="I187" s="426">
        <f>+H187*(1+'Total Market Size'!H$136)</f>
        <v>0</v>
      </c>
      <c r="J187" s="426">
        <f>+I187*(1+'Total Market Size'!I$136)</f>
        <v>0</v>
      </c>
      <c r="K187" s="426">
        <f>+J187*(1+'Total Market Size'!J$136)</f>
        <v>0</v>
      </c>
      <c r="L187" s="426">
        <f>+K187*(1+'Total Market Size'!K$136)</f>
        <v>0</v>
      </c>
    </row>
    <row r="188" spans="1:12" ht="13.5" x14ac:dyDescent="0.25">
      <c r="A188" s="415" t="s">
        <v>432</v>
      </c>
      <c r="B188" s="426">
        <v>5000</v>
      </c>
      <c r="C188" s="426">
        <f>+B188*(1+'Total Market Size'!B$136)</f>
        <v>5140</v>
      </c>
      <c r="D188" s="426">
        <f>+C188*(1+'Total Market Size'!C$136)</f>
        <v>5258.2199999999993</v>
      </c>
      <c r="E188" s="426">
        <f>+D188*(1+'Total Market Size'!D$136)</f>
        <v>5363.384399999999</v>
      </c>
      <c r="F188" s="426">
        <f>+E188*(1+'Total Market Size'!E$136)</f>
        <v>5481.3788567999991</v>
      </c>
      <c r="G188" s="426">
        <f>+F188*(1+'Total Market Size'!F$136)</f>
        <v>5607.4505705063984</v>
      </c>
      <c r="H188" s="426">
        <f>+G188*(1+'Total Market Size'!G$136)</f>
        <v>5747.6368347690577</v>
      </c>
      <c r="I188" s="426">
        <f>+H188*(1+'Total Market Size'!H$136)</f>
        <v>5888.4539372208992</v>
      </c>
      <c r="J188" s="426">
        <f>+I188*(1+'Total Market Size'!I$136)</f>
        <v>6029.7768317142009</v>
      </c>
      <c r="K188" s="426">
        <f>+J188*(1+'Total Market Size'!J$136)</f>
        <v>6173.2855203089994</v>
      </c>
      <c r="L188" s="426">
        <f>+K188*(1+'Total Market Size'!K$136)</f>
        <v>6315.2710872761054</v>
      </c>
    </row>
    <row r="189" spans="1:12" ht="13.5" x14ac:dyDescent="0.25">
      <c r="A189" s="416" t="s">
        <v>433</v>
      </c>
      <c r="B189" s="427">
        <v>5000</v>
      </c>
      <c r="C189" s="427">
        <f>+B189*(1+'Total Market Size'!B$136)</f>
        <v>5140</v>
      </c>
      <c r="D189" s="427">
        <f>+C189*(1+'Total Market Size'!C$136)</f>
        <v>5258.2199999999993</v>
      </c>
      <c r="E189" s="427">
        <f>+D189*(1+'Total Market Size'!D$136)</f>
        <v>5363.384399999999</v>
      </c>
      <c r="F189" s="427">
        <f>+E189*(1+'Total Market Size'!E$136)</f>
        <v>5481.3788567999991</v>
      </c>
      <c r="G189" s="427">
        <f>+F189*(1+'Total Market Size'!F$136)</f>
        <v>5607.4505705063984</v>
      </c>
      <c r="H189" s="427">
        <f>+G189*(1+'Total Market Size'!G$136)</f>
        <v>5747.6368347690577</v>
      </c>
      <c r="I189" s="427">
        <f>+H189*(1+'Total Market Size'!H$136)</f>
        <v>5888.4539372208992</v>
      </c>
      <c r="J189" s="427">
        <f>+I189*(1+'Total Market Size'!I$136)</f>
        <v>6029.7768317142009</v>
      </c>
      <c r="K189" s="427">
        <f>+J189*(1+'Total Market Size'!J$136)</f>
        <v>6173.2855203089994</v>
      </c>
      <c r="L189" s="427">
        <f>+K189*(1+'Total Market Size'!K$136)</f>
        <v>6315.2710872761054</v>
      </c>
    </row>
    <row r="190" spans="1:12" ht="13.5" x14ac:dyDescent="0.25">
      <c r="A190" s="415" t="s">
        <v>434</v>
      </c>
      <c r="B190" s="426">
        <v>0</v>
      </c>
      <c r="C190" s="426">
        <f>+B190*(1+'Total Market Size'!B$136)</f>
        <v>0</v>
      </c>
      <c r="D190" s="426">
        <f>+C190*(1+'Total Market Size'!C$136)</f>
        <v>0</v>
      </c>
      <c r="E190" s="426">
        <f>+D190*(1+'Total Market Size'!D$136)</f>
        <v>0</v>
      </c>
      <c r="F190" s="426">
        <f>+E190*(1+'Total Market Size'!E$136)</f>
        <v>0</v>
      </c>
      <c r="G190" s="426">
        <f>+F190*(1+'Total Market Size'!F$136)</f>
        <v>0</v>
      </c>
      <c r="H190" s="426">
        <f>+G190*(1+'Total Market Size'!G$136)</f>
        <v>0</v>
      </c>
      <c r="I190" s="426">
        <f>+H190*(1+'Total Market Size'!H$136)</f>
        <v>0</v>
      </c>
      <c r="J190" s="426">
        <f>+I190*(1+'Total Market Size'!I$136)</f>
        <v>0</v>
      </c>
      <c r="K190" s="426">
        <f>+J190*(1+'Total Market Size'!J$136)</f>
        <v>0</v>
      </c>
      <c r="L190" s="426">
        <f>+K190*(1+'Total Market Size'!K$136)</f>
        <v>0</v>
      </c>
    </row>
    <row r="191" spans="1:12" ht="13.5" x14ac:dyDescent="0.25">
      <c r="A191" s="415" t="s">
        <v>435</v>
      </c>
      <c r="B191" s="426">
        <v>0</v>
      </c>
      <c r="C191" s="426">
        <f>+B191*(1+'Total Market Size'!B$136)</f>
        <v>0</v>
      </c>
      <c r="D191" s="426">
        <f>+C191*(1+'Total Market Size'!C$136)</f>
        <v>0</v>
      </c>
      <c r="E191" s="426">
        <f>+D191*(1+'Total Market Size'!D$136)</f>
        <v>0</v>
      </c>
      <c r="F191" s="426">
        <f>+E191*(1+'Total Market Size'!E$136)</f>
        <v>0</v>
      </c>
      <c r="G191" s="426">
        <f>+F191*(1+'Total Market Size'!F$136)</f>
        <v>0</v>
      </c>
      <c r="H191" s="426">
        <f>+G191*(1+'Total Market Size'!G$136)</f>
        <v>0</v>
      </c>
      <c r="I191" s="426">
        <f>+H191*(1+'Total Market Size'!H$136)</f>
        <v>0</v>
      </c>
      <c r="J191" s="426">
        <f>+I191*(1+'Total Market Size'!I$136)</f>
        <v>0</v>
      </c>
      <c r="K191" s="426">
        <f>+J191*(1+'Total Market Size'!J$136)</f>
        <v>0</v>
      </c>
      <c r="L191" s="426">
        <f>+K191*(1+'Total Market Size'!K$136)</f>
        <v>0</v>
      </c>
    </row>
    <row r="192" spans="1:12" ht="13.5" x14ac:dyDescent="0.25">
      <c r="A192" s="549" t="s">
        <v>517</v>
      </c>
      <c r="B192" s="426">
        <v>132000</v>
      </c>
      <c r="C192" s="426">
        <f>+B192*(1+'Total Market Size'!B$136)</f>
        <v>135696</v>
      </c>
      <c r="D192" s="426">
        <f>+C192*(1+'Total Market Size'!C$136)</f>
        <v>138817.008</v>
      </c>
      <c r="E192" s="426">
        <f>+D192*(1+'Total Market Size'!D$136)</f>
        <v>141593.34815999999</v>
      </c>
      <c r="F192" s="426">
        <f>+E192*(1+'Total Market Size'!E$136)</f>
        <v>144708.40181951999</v>
      </c>
      <c r="G192" s="426">
        <f>+F192*(1+'Total Market Size'!F$136)</f>
        <v>148036.69506136893</v>
      </c>
      <c r="H192" s="426">
        <f>+G192*(1+'Total Market Size'!G$136)</f>
        <v>151737.61243790312</v>
      </c>
      <c r="I192" s="426">
        <f>+H192*(1+'Total Market Size'!H$136)</f>
        <v>155455.18394263176</v>
      </c>
      <c r="J192" s="426">
        <f>+I192*(1+'Total Market Size'!I$136)</f>
        <v>159186.10835725494</v>
      </c>
      <c r="K192" s="426">
        <f>+J192*(1+'Total Market Size'!J$136)</f>
        <v>162974.73773615761</v>
      </c>
      <c r="L192" s="426">
        <f>+K192*(1+'Total Market Size'!K$136)</f>
        <v>166723.15670408923</v>
      </c>
    </row>
    <row r="193" spans="1:12" ht="13.5" x14ac:dyDescent="0.25">
      <c r="A193" s="549" t="s">
        <v>518</v>
      </c>
      <c r="B193" s="426">
        <v>85000</v>
      </c>
      <c r="C193" s="426">
        <f>+B193*(1+'Total Market Size'!B$136)</f>
        <v>87380</v>
      </c>
      <c r="D193" s="426">
        <f>+C193*(1+'Total Market Size'!C$136)</f>
        <v>89389.739999999991</v>
      </c>
      <c r="E193" s="426">
        <f>+D193*(1+'Total Market Size'!D$136)</f>
        <v>91177.534799999994</v>
      </c>
      <c r="F193" s="426">
        <f>+E193*(1+'Total Market Size'!E$136)</f>
        <v>93183.440565600002</v>
      </c>
      <c r="G193" s="426">
        <f>+F193*(1+'Total Market Size'!F$136)</f>
        <v>95326.659698608797</v>
      </c>
      <c r="H193" s="426">
        <f>+G193*(1+'Total Market Size'!G$136)</f>
        <v>97709.826191074011</v>
      </c>
      <c r="I193" s="426">
        <f>+H193*(1+'Total Market Size'!H$136)</f>
        <v>100103.71693275533</v>
      </c>
      <c r="J193" s="426">
        <f>+I193*(1+'Total Market Size'!I$136)</f>
        <v>102506.20613914146</v>
      </c>
      <c r="K193" s="426">
        <f>+J193*(1+'Total Market Size'!J$136)</f>
        <v>104945.85384525303</v>
      </c>
      <c r="L193" s="426">
        <f>+K193*(1+'Total Market Size'!K$136)</f>
        <v>107359.60848369384</v>
      </c>
    </row>
    <row r="194" spans="1:12" ht="13.5" x14ac:dyDescent="0.25">
      <c r="A194" s="549" t="s">
        <v>519</v>
      </c>
      <c r="B194" s="426">
        <v>326400</v>
      </c>
      <c r="C194" s="426">
        <f>+B194*(1+'Total Market Size'!B$136)</f>
        <v>335539.20000000001</v>
      </c>
      <c r="D194" s="426">
        <f>+C194*(1+'Total Market Size'!C$136)</f>
        <v>343256.60159999999</v>
      </c>
      <c r="E194" s="426">
        <f>+D194*(1+'Total Market Size'!D$136)</f>
        <v>350121.73363199999</v>
      </c>
      <c r="F194" s="426">
        <f>+E194*(1+'Total Market Size'!E$136)</f>
        <v>357824.41177190398</v>
      </c>
      <c r="G194" s="426">
        <f>+F194*(1+'Total Market Size'!F$136)</f>
        <v>366054.37324265775</v>
      </c>
      <c r="H194" s="426">
        <f>+G194*(1+'Total Market Size'!G$136)</f>
        <v>375205.73257372418</v>
      </c>
      <c r="I194" s="426">
        <f>+H194*(1+'Total Market Size'!H$136)</f>
        <v>384398.27302178042</v>
      </c>
      <c r="J194" s="426">
        <f>+I194*(1+'Total Market Size'!I$136)</f>
        <v>393623.83157430316</v>
      </c>
      <c r="K194" s="426">
        <f>+J194*(1+'Total Market Size'!J$136)</f>
        <v>402992.07876577158</v>
      </c>
      <c r="L194" s="426">
        <f>+K194*(1+'Total Market Size'!K$136)</f>
        <v>412260.89657738432</v>
      </c>
    </row>
    <row r="195" spans="1:12" ht="13.5" x14ac:dyDescent="0.25">
      <c r="A195" s="415" t="s">
        <v>436</v>
      </c>
      <c r="B195" s="426">
        <v>0</v>
      </c>
      <c r="C195" s="426">
        <f>+B195*(1+'Total Market Size'!B$136)</f>
        <v>0</v>
      </c>
      <c r="D195" s="426">
        <f>+C195*(1+'Total Market Size'!C$136)</f>
        <v>0</v>
      </c>
      <c r="E195" s="426">
        <f>+D195*(1+'Total Market Size'!D$136)</f>
        <v>0</v>
      </c>
      <c r="F195" s="426">
        <f>+E195*(1+'Total Market Size'!E$136)</f>
        <v>0</v>
      </c>
      <c r="G195" s="426">
        <f>+F195*(1+'Total Market Size'!F$136)</f>
        <v>0</v>
      </c>
      <c r="H195" s="426">
        <f>+G195*(1+'Total Market Size'!G$136)</f>
        <v>0</v>
      </c>
      <c r="I195" s="426">
        <f>+H195*(1+'Total Market Size'!H$136)</f>
        <v>0</v>
      </c>
      <c r="J195" s="426">
        <f>+I195*(1+'Total Market Size'!I$136)</f>
        <v>0</v>
      </c>
      <c r="K195" s="426">
        <f>+J195*(1+'Total Market Size'!J$136)</f>
        <v>0</v>
      </c>
      <c r="L195" s="426">
        <f>+K195*(1+'Total Market Size'!K$136)</f>
        <v>0</v>
      </c>
    </row>
    <row r="196" spans="1:12" ht="13.5" x14ac:dyDescent="0.25">
      <c r="A196" s="416" t="s">
        <v>437</v>
      </c>
      <c r="B196" s="427">
        <v>1664131.1375000002</v>
      </c>
      <c r="C196" s="427">
        <f>+B196*(1+'Total Market Size'!B$136)</f>
        <v>1710726.8093500002</v>
      </c>
      <c r="D196" s="427">
        <f>+C196*(1+'Total Market Size'!C$136)</f>
        <v>1750073.5259650501</v>
      </c>
      <c r="E196" s="427">
        <f>+D196*(1+'Total Market Size'!D$136)</f>
        <v>1785074.9964843511</v>
      </c>
      <c r="F196" s="427">
        <f>+E196*(1+'Total Market Size'!E$136)</f>
        <v>1824346.6464070068</v>
      </c>
      <c r="G196" s="427">
        <f>+F196*(1+'Total Market Size'!F$136)</f>
        <v>1866306.6192743678</v>
      </c>
      <c r="H196" s="427">
        <f>+G196*(1+'Total Market Size'!G$136)</f>
        <v>1912964.2847562269</v>
      </c>
      <c r="I196" s="427">
        <f>+H196*(1+'Total Market Size'!H$136)</f>
        <v>1959831.9097327543</v>
      </c>
      <c r="J196" s="427">
        <f>+I196*(1+'Total Market Size'!I$136)</f>
        <v>2006867.8755663405</v>
      </c>
      <c r="K196" s="427">
        <f>+J196*(1+'Total Market Size'!J$136)</f>
        <v>2054631.3310048196</v>
      </c>
      <c r="L196" s="427">
        <f>+K196*(1+'Total Market Size'!K$136)</f>
        <v>2101887.8516179305</v>
      </c>
    </row>
    <row r="197" spans="1:12" ht="13.5" x14ac:dyDescent="0.25">
      <c r="A197" s="415" t="s">
        <v>438</v>
      </c>
      <c r="B197" s="426">
        <v>0</v>
      </c>
      <c r="C197" s="426">
        <f>+B197*(1+'Total Market Size'!B$136)</f>
        <v>0</v>
      </c>
      <c r="D197" s="426">
        <f>+C197*(1+'Total Market Size'!C$136)</f>
        <v>0</v>
      </c>
      <c r="E197" s="426">
        <f>+D197*(1+'Total Market Size'!D$136)</f>
        <v>0</v>
      </c>
      <c r="F197" s="426">
        <f>+E197*(1+'Total Market Size'!E$136)</f>
        <v>0</v>
      </c>
      <c r="G197" s="426">
        <f>+F197*(1+'Total Market Size'!F$136)</f>
        <v>0</v>
      </c>
      <c r="H197" s="426">
        <f>+G197*(1+'Total Market Size'!G$136)</f>
        <v>0</v>
      </c>
      <c r="I197" s="426">
        <f>+H197*(1+'Total Market Size'!H$136)</f>
        <v>0</v>
      </c>
      <c r="J197" s="426">
        <f>+I197*(1+'Total Market Size'!I$136)</f>
        <v>0</v>
      </c>
      <c r="K197" s="426">
        <f>+J197*(1+'Total Market Size'!J$136)</f>
        <v>0</v>
      </c>
      <c r="L197" s="426">
        <f>+K197*(1+'Total Market Size'!K$136)</f>
        <v>0</v>
      </c>
    </row>
    <row r="198" spans="1:12" ht="13.5" x14ac:dyDescent="0.25">
      <c r="A198" s="415" t="s">
        <v>439</v>
      </c>
      <c r="B198" s="426">
        <v>0</v>
      </c>
      <c r="C198" s="426">
        <f>+B198*(1+'Total Market Size'!B$136)</f>
        <v>0</v>
      </c>
      <c r="D198" s="426">
        <f>+C198*(1+'Total Market Size'!C$136)</f>
        <v>0</v>
      </c>
      <c r="E198" s="426">
        <f>+D198*(1+'Total Market Size'!D$136)</f>
        <v>0</v>
      </c>
      <c r="F198" s="426">
        <f>+E198*(1+'Total Market Size'!E$136)</f>
        <v>0</v>
      </c>
      <c r="G198" s="426">
        <f>+F198*(1+'Total Market Size'!F$136)</f>
        <v>0</v>
      </c>
      <c r="H198" s="426">
        <f>+G198*(1+'Total Market Size'!G$136)</f>
        <v>0</v>
      </c>
      <c r="I198" s="426">
        <f>+H198*(1+'Total Market Size'!H$136)</f>
        <v>0</v>
      </c>
      <c r="J198" s="426">
        <f>+I198*(1+'Total Market Size'!I$136)</f>
        <v>0</v>
      </c>
      <c r="K198" s="426">
        <f>+J198*(1+'Total Market Size'!J$136)</f>
        <v>0</v>
      </c>
      <c r="L198" s="426">
        <f>+K198*(1+'Total Market Size'!K$136)</f>
        <v>0</v>
      </c>
    </row>
    <row r="199" spans="1:12" ht="13.5" x14ac:dyDescent="0.25">
      <c r="A199" s="416" t="s">
        <v>440</v>
      </c>
      <c r="B199" s="427">
        <v>0</v>
      </c>
      <c r="C199" s="427">
        <f>+B199*(1+'Total Market Size'!B$136)</f>
        <v>0</v>
      </c>
      <c r="D199" s="427">
        <f>+C199*(1+'Total Market Size'!C$136)</f>
        <v>0</v>
      </c>
      <c r="E199" s="427">
        <f>+D199*(1+'Total Market Size'!D$136)</f>
        <v>0</v>
      </c>
      <c r="F199" s="427">
        <f>+E199*(1+'Total Market Size'!E$136)</f>
        <v>0</v>
      </c>
      <c r="G199" s="427">
        <f>+F199*(1+'Total Market Size'!F$136)</f>
        <v>0</v>
      </c>
      <c r="H199" s="427">
        <f>+G199*(1+'Total Market Size'!G$136)</f>
        <v>0</v>
      </c>
      <c r="I199" s="427">
        <f>+H199*(1+'Total Market Size'!H$136)</f>
        <v>0</v>
      </c>
      <c r="J199" s="427">
        <f>+I199*(1+'Total Market Size'!I$136)</f>
        <v>0</v>
      </c>
      <c r="K199" s="427">
        <f>+J199*(1+'Total Market Size'!J$136)</f>
        <v>0</v>
      </c>
      <c r="L199" s="427">
        <f>+K199*(1+'Total Market Size'!K$136)</f>
        <v>0</v>
      </c>
    </row>
    <row r="200" spans="1:12" ht="13.5" x14ac:dyDescent="0.25">
      <c r="A200" s="550" t="s">
        <v>441</v>
      </c>
      <c r="B200" s="426">
        <v>0</v>
      </c>
      <c r="C200" s="426">
        <f>+B200*(1+'Total Market Size'!B$136)</f>
        <v>0</v>
      </c>
      <c r="D200" s="426">
        <f>+C200*(1+'Total Market Size'!C$136)</f>
        <v>0</v>
      </c>
      <c r="E200" s="426">
        <f>+D200*(1+'Total Market Size'!D$136)</f>
        <v>0</v>
      </c>
      <c r="F200" s="426">
        <f>+E200*(1+'Total Market Size'!E$136)</f>
        <v>0</v>
      </c>
      <c r="G200" s="426">
        <f>+F200*(1+'Total Market Size'!F$136)</f>
        <v>0</v>
      </c>
      <c r="H200" s="426">
        <f>+G200*(1+'Total Market Size'!G$136)</f>
        <v>0</v>
      </c>
      <c r="I200" s="426">
        <f>+H200*(1+'Total Market Size'!H$136)</f>
        <v>0</v>
      </c>
      <c r="J200" s="426">
        <f>+I200*(1+'Total Market Size'!I$136)</f>
        <v>0</v>
      </c>
      <c r="K200" s="426">
        <f>+J200*(1+'Total Market Size'!J$136)</f>
        <v>0</v>
      </c>
      <c r="L200" s="426">
        <f>+K200*(1+'Total Market Size'!K$136)</f>
        <v>0</v>
      </c>
    </row>
    <row r="201" spans="1:12" ht="14.25" thickBot="1" x14ac:dyDescent="0.3">
      <c r="A201" s="551" t="s">
        <v>442</v>
      </c>
      <c r="B201" s="564">
        <v>1664131.1375000002</v>
      </c>
      <c r="C201" s="564">
        <f>+B201*(1+'Total Market Size'!B$136)</f>
        <v>1710726.8093500002</v>
      </c>
      <c r="D201" s="564">
        <f>+C201*(1+'Total Market Size'!C$136)</f>
        <v>1750073.5259650501</v>
      </c>
      <c r="E201" s="564">
        <f>+D201*(1+'Total Market Size'!D$136)</f>
        <v>1785074.9964843511</v>
      </c>
      <c r="F201" s="564">
        <f>+E201*(1+'Total Market Size'!E$136)</f>
        <v>1824346.6464070068</v>
      </c>
      <c r="G201" s="564">
        <f>+F201*(1+'Total Market Size'!F$136)</f>
        <v>1866306.6192743678</v>
      </c>
      <c r="H201" s="564">
        <f>+G201*(1+'Total Market Size'!G$136)</f>
        <v>1912964.2847562269</v>
      </c>
      <c r="I201" s="564">
        <f>+H201*(1+'Total Market Size'!H$136)</f>
        <v>1959831.9097327543</v>
      </c>
      <c r="J201" s="564">
        <f>+I201*(1+'Total Market Size'!I$136)</f>
        <v>2006867.8755663405</v>
      </c>
      <c r="K201" s="564">
        <f>+J201*(1+'Total Market Size'!J$136)</f>
        <v>2054631.3310048196</v>
      </c>
      <c r="L201" s="564">
        <f>+K201*(1+'Total Market Size'!K$136)</f>
        <v>2101887.8516179305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selection activeCell="E59" sqref="E59"/>
    </sheetView>
  </sheetViews>
  <sheetFormatPr defaultRowHeight="12.75" outlineLevelRow="2" x14ac:dyDescent="0.2"/>
  <cols>
    <col min="1" max="1" width="29.7109375" bestFit="1" customWidth="1"/>
    <col min="2" max="2" width="0" hidden="1" customWidth="1"/>
    <col min="3" max="3" width="11.140625" bestFit="1" customWidth="1"/>
    <col min="4" max="4" width="10.85546875" bestFit="1" customWidth="1"/>
    <col min="5" max="5" width="9.28515625" customWidth="1"/>
    <col min="6" max="7" width="16.7109375" bestFit="1" customWidth="1"/>
    <col min="8" max="8" width="14.85546875" customWidth="1"/>
    <col min="9" max="9" width="19.140625" bestFit="1" customWidth="1"/>
    <col min="10" max="10" width="18.85546875" bestFit="1" customWidth="1"/>
    <col min="11" max="11" width="18.42578125" bestFit="1" customWidth="1"/>
    <col min="12" max="12" width="12" bestFit="1" customWidth="1"/>
  </cols>
  <sheetData>
    <row r="1" spans="1:11" ht="13.5" thickBot="1" x14ac:dyDescent="0.25"/>
    <row r="2" spans="1:11" ht="20.25" customHeight="1" outlineLevel="1" thickBot="1" x14ac:dyDescent="0.25">
      <c r="C2" s="693" t="s">
        <v>312</v>
      </c>
      <c r="D2" s="694"/>
      <c r="E2" s="695"/>
      <c r="F2" s="696" t="s">
        <v>313</v>
      </c>
      <c r="G2" s="694"/>
      <c r="H2" s="694"/>
      <c r="I2" s="693" t="s">
        <v>315</v>
      </c>
      <c r="J2" s="694"/>
      <c r="K2" s="697"/>
    </row>
    <row r="3" spans="1:11" ht="13.5" outlineLevel="1" thickBot="1" x14ac:dyDescent="0.25">
      <c r="A3" s="36" t="s">
        <v>282</v>
      </c>
      <c r="C3" s="383" t="s">
        <v>310</v>
      </c>
      <c r="D3" s="352" t="s">
        <v>311</v>
      </c>
      <c r="E3" s="352" t="s">
        <v>316</v>
      </c>
      <c r="F3" s="352" t="s">
        <v>314</v>
      </c>
      <c r="G3" s="352" t="s">
        <v>311</v>
      </c>
      <c r="H3" s="352" t="s">
        <v>316</v>
      </c>
      <c r="I3" s="352" t="s">
        <v>314</v>
      </c>
      <c r="J3" s="353" t="s">
        <v>311</v>
      </c>
      <c r="K3" s="352" t="s">
        <v>316</v>
      </c>
    </row>
    <row r="4" spans="1:11" ht="13.5" outlineLevel="1" thickBot="1" x14ac:dyDescent="0.25">
      <c r="C4" s="122"/>
      <c r="D4" s="122"/>
      <c r="E4" s="122"/>
      <c r="F4" s="122"/>
      <c r="G4" s="122"/>
      <c r="H4" s="122"/>
      <c r="I4" s="122"/>
      <c r="J4" s="122"/>
    </row>
    <row r="5" spans="1:11" hidden="1" outlineLevel="2" x14ac:dyDescent="0.2">
      <c r="A5" s="349" t="s">
        <v>283</v>
      </c>
      <c r="B5" s="347" t="s">
        <v>317</v>
      </c>
      <c r="C5" s="354">
        <v>3491</v>
      </c>
      <c r="D5" s="343">
        <v>3438</v>
      </c>
      <c r="E5" s="358">
        <v>1973</v>
      </c>
      <c r="F5" s="356">
        <v>684883577</v>
      </c>
      <c r="G5" s="343">
        <v>680898621</v>
      </c>
      <c r="H5" s="358">
        <v>383469139</v>
      </c>
      <c r="I5" s="356">
        <v>3249487296</v>
      </c>
      <c r="J5" s="344">
        <v>3382722667</v>
      </c>
      <c r="K5" s="360">
        <v>1485191744</v>
      </c>
    </row>
    <row r="6" spans="1:11" hidden="1" outlineLevel="2" x14ac:dyDescent="0.2">
      <c r="A6" s="350" t="s">
        <v>284</v>
      </c>
      <c r="B6" s="348" t="s">
        <v>317</v>
      </c>
      <c r="C6" s="355">
        <v>232</v>
      </c>
      <c r="D6" s="345">
        <v>124</v>
      </c>
      <c r="E6" s="359">
        <v>192</v>
      </c>
      <c r="F6" s="357">
        <v>14978410</v>
      </c>
      <c r="G6" s="345">
        <v>7801004</v>
      </c>
      <c r="H6" s="359">
        <v>18929473</v>
      </c>
      <c r="I6" s="357">
        <v>39681721</v>
      </c>
      <c r="J6" s="346">
        <v>23920192</v>
      </c>
      <c r="K6" s="361">
        <v>58988106</v>
      </c>
    </row>
    <row r="7" spans="1:11" hidden="1" outlineLevel="2" x14ac:dyDescent="0.2">
      <c r="A7" s="350" t="s">
        <v>285</v>
      </c>
      <c r="B7" s="348" t="s">
        <v>317</v>
      </c>
      <c r="C7" s="355">
        <v>3</v>
      </c>
      <c r="D7" s="345">
        <v>4</v>
      </c>
      <c r="E7" s="359">
        <v>6</v>
      </c>
      <c r="F7" s="357">
        <v>396000</v>
      </c>
      <c r="G7" s="345">
        <v>265000</v>
      </c>
      <c r="H7" s="359">
        <v>502405</v>
      </c>
      <c r="I7" s="357">
        <v>1402722</v>
      </c>
      <c r="J7" s="346">
        <v>964163</v>
      </c>
      <c r="K7" s="361">
        <v>1780581</v>
      </c>
    </row>
    <row r="8" spans="1:11" hidden="1" outlineLevel="2" x14ac:dyDescent="0.2">
      <c r="A8" s="350" t="s">
        <v>286</v>
      </c>
      <c r="B8" s="348" t="s">
        <v>317</v>
      </c>
      <c r="C8" s="362">
        <v>43</v>
      </c>
      <c r="D8" s="363">
        <v>43</v>
      </c>
      <c r="E8" s="364">
        <v>54</v>
      </c>
      <c r="F8" s="365">
        <v>4287000</v>
      </c>
      <c r="G8" s="363">
        <v>3920000</v>
      </c>
      <c r="H8" s="364">
        <v>8464432</v>
      </c>
      <c r="I8" s="365">
        <v>16148833</v>
      </c>
      <c r="J8" s="366">
        <v>15501268</v>
      </c>
      <c r="K8" s="367">
        <v>29878197</v>
      </c>
    </row>
    <row r="9" spans="1:11" outlineLevel="1" collapsed="1" x14ac:dyDescent="0.2">
      <c r="A9" s="370" t="s">
        <v>341</v>
      </c>
      <c r="B9" s="377" t="s">
        <v>328</v>
      </c>
      <c r="C9" s="380">
        <f t="shared" ref="C9:K9" si="0">SUBTOTAL(9,C5:C8)</f>
        <v>3769</v>
      </c>
      <c r="D9" s="381">
        <f t="shared" si="0"/>
        <v>3609</v>
      </c>
      <c r="E9" s="381">
        <f t="shared" si="0"/>
        <v>2225</v>
      </c>
      <c r="F9" s="381">
        <f t="shared" si="0"/>
        <v>704544987</v>
      </c>
      <c r="G9" s="381">
        <f t="shared" si="0"/>
        <v>692884625</v>
      </c>
      <c r="H9" s="381">
        <f t="shared" si="0"/>
        <v>411365449</v>
      </c>
      <c r="I9" s="381">
        <f t="shared" si="0"/>
        <v>3306720572</v>
      </c>
      <c r="J9" s="381">
        <f t="shared" si="0"/>
        <v>3423108290</v>
      </c>
      <c r="K9" s="382">
        <f t="shared" si="0"/>
        <v>1575838628</v>
      </c>
    </row>
    <row r="10" spans="1:11" hidden="1" outlineLevel="2" x14ac:dyDescent="0.2">
      <c r="A10" s="350" t="s">
        <v>287</v>
      </c>
      <c r="B10" s="37" t="s">
        <v>318</v>
      </c>
      <c r="C10" s="355">
        <v>0</v>
      </c>
      <c r="D10" s="345">
        <v>0</v>
      </c>
      <c r="E10" s="359">
        <v>0</v>
      </c>
      <c r="F10" s="357">
        <v>0</v>
      </c>
      <c r="G10" s="345">
        <v>0</v>
      </c>
      <c r="H10" s="359">
        <v>0</v>
      </c>
      <c r="I10" s="357">
        <v>0</v>
      </c>
      <c r="J10" s="345">
        <v>0</v>
      </c>
      <c r="K10" s="361">
        <v>247</v>
      </c>
    </row>
    <row r="11" spans="1:11" outlineLevel="1" collapsed="1" x14ac:dyDescent="0.2">
      <c r="A11" s="370" t="s">
        <v>342</v>
      </c>
      <c r="B11" s="378" t="s">
        <v>329</v>
      </c>
      <c r="C11" s="374">
        <f t="shared" ref="C11:K11" si="1">SUBTOTAL(9,C10:C10)</f>
        <v>0</v>
      </c>
      <c r="D11" s="375">
        <f t="shared" si="1"/>
        <v>0</v>
      </c>
      <c r="E11" s="375">
        <f t="shared" si="1"/>
        <v>0</v>
      </c>
      <c r="F11" s="375">
        <f t="shared" si="1"/>
        <v>0</v>
      </c>
      <c r="G11" s="375">
        <f t="shared" si="1"/>
        <v>0</v>
      </c>
      <c r="H11" s="375">
        <f t="shared" si="1"/>
        <v>0</v>
      </c>
      <c r="I11" s="375">
        <f t="shared" si="1"/>
        <v>0</v>
      </c>
      <c r="J11" s="375">
        <f t="shared" si="1"/>
        <v>0</v>
      </c>
      <c r="K11" s="376">
        <f t="shared" si="1"/>
        <v>247</v>
      </c>
    </row>
    <row r="12" spans="1:11" hidden="1" outlineLevel="2" x14ac:dyDescent="0.2">
      <c r="A12" s="350" t="s">
        <v>288</v>
      </c>
      <c r="B12" s="13" t="s">
        <v>319</v>
      </c>
      <c r="C12" s="355">
        <v>206</v>
      </c>
      <c r="D12" s="345">
        <v>203</v>
      </c>
      <c r="E12" s="359">
        <v>187</v>
      </c>
      <c r="F12" s="357">
        <v>4710160</v>
      </c>
      <c r="G12" s="345">
        <v>5727600</v>
      </c>
      <c r="H12" s="359">
        <v>2349400</v>
      </c>
      <c r="I12" s="357">
        <v>247916892</v>
      </c>
      <c r="J12" s="345">
        <v>320724760</v>
      </c>
      <c r="K12" s="361">
        <v>116307421</v>
      </c>
    </row>
    <row r="13" spans="1:11" hidden="1" outlineLevel="2" x14ac:dyDescent="0.2">
      <c r="A13" s="350" t="s">
        <v>289</v>
      </c>
      <c r="B13" s="13" t="s">
        <v>319</v>
      </c>
      <c r="C13" s="355">
        <v>165</v>
      </c>
      <c r="D13" s="345">
        <v>134</v>
      </c>
      <c r="E13" s="359">
        <v>161</v>
      </c>
      <c r="F13" s="357">
        <v>645360</v>
      </c>
      <c r="G13" s="345">
        <v>531200</v>
      </c>
      <c r="H13" s="359">
        <v>798553</v>
      </c>
      <c r="I13" s="357">
        <v>113298620</v>
      </c>
      <c r="J13" s="345">
        <v>104082800</v>
      </c>
      <c r="K13" s="361">
        <v>69102127</v>
      </c>
    </row>
    <row r="14" spans="1:11" hidden="1" outlineLevel="2" x14ac:dyDescent="0.2">
      <c r="A14" s="350" t="s">
        <v>290</v>
      </c>
      <c r="B14" s="13" t="s">
        <v>319</v>
      </c>
      <c r="C14" s="355">
        <v>0</v>
      </c>
      <c r="D14" s="345">
        <v>0</v>
      </c>
      <c r="E14" s="359">
        <v>0</v>
      </c>
      <c r="F14" s="357">
        <v>945</v>
      </c>
      <c r="G14" s="345">
        <v>0</v>
      </c>
      <c r="H14" s="359">
        <v>2782</v>
      </c>
      <c r="I14" s="357">
        <v>44965</v>
      </c>
      <c r="J14" s="345">
        <v>0</v>
      </c>
      <c r="K14" s="361">
        <v>86806</v>
      </c>
    </row>
    <row r="15" spans="1:11" hidden="1" outlineLevel="2" x14ac:dyDescent="0.2">
      <c r="A15" s="350" t="s">
        <v>291</v>
      </c>
      <c r="B15" s="13" t="s">
        <v>319</v>
      </c>
      <c r="C15" s="355">
        <v>3</v>
      </c>
      <c r="D15" s="345">
        <v>0</v>
      </c>
      <c r="E15" s="359">
        <v>1</v>
      </c>
      <c r="F15" s="357">
        <v>32664</v>
      </c>
      <c r="G15" s="345">
        <v>0</v>
      </c>
      <c r="H15" s="359">
        <v>10909</v>
      </c>
      <c r="I15" s="357">
        <v>634562</v>
      </c>
      <c r="J15" s="345">
        <v>0</v>
      </c>
      <c r="K15" s="361">
        <v>270143</v>
      </c>
    </row>
    <row r="16" spans="1:11" hidden="1" outlineLevel="2" x14ac:dyDescent="0.2">
      <c r="A16" s="350" t="s">
        <v>292</v>
      </c>
      <c r="B16" s="13" t="s">
        <v>319</v>
      </c>
      <c r="C16" s="355">
        <v>1</v>
      </c>
      <c r="D16" s="345">
        <v>0</v>
      </c>
      <c r="E16" s="359">
        <v>1</v>
      </c>
      <c r="F16" s="357">
        <v>59464</v>
      </c>
      <c r="G16" s="345">
        <v>0</v>
      </c>
      <c r="H16" s="359">
        <v>19518</v>
      </c>
      <c r="I16" s="357">
        <v>1538192</v>
      </c>
      <c r="J16" s="345">
        <v>0</v>
      </c>
      <c r="K16" s="361">
        <v>572800</v>
      </c>
    </row>
    <row r="17" spans="1:11" hidden="1" outlineLevel="2" x14ac:dyDescent="0.2">
      <c r="A17" s="350" t="s">
        <v>293</v>
      </c>
      <c r="B17" s="13" t="s">
        <v>319</v>
      </c>
      <c r="C17" s="355">
        <v>45</v>
      </c>
      <c r="D17" s="345">
        <v>35</v>
      </c>
      <c r="E17" s="359">
        <v>43</v>
      </c>
      <c r="F17" s="357">
        <v>440532</v>
      </c>
      <c r="G17" s="345">
        <v>184020</v>
      </c>
      <c r="H17" s="359">
        <v>573192</v>
      </c>
      <c r="I17" s="357">
        <v>9541162</v>
      </c>
      <c r="J17" s="345">
        <v>3510153</v>
      </c>
      <c r="K17" s="361">
        <v>13522218</v>
      </c>
    </row>
    <row r="18" spans="1:11" hidden="1" outlineLevel="2" x14ac:dyDescent="0.2">
      <c r="A18" s="350" t="s">
        <v>294</v>
      </c>
      <c r="B18" s="13" t="s">
        <v>319</v>
      </c>
      <c r="C18" s="355">
        <v>0</v>
      </c>
      <c r="D18" s="345">
        <v>0</v>
      </c>
      <c r="E18" s="359">
        <v>0</v>
      </c>
      <c r="F18" s="357">
        <v>744</v>
      </c>
      <c r="G18" s="345">
        <v>0</v>
      </c>
      <c r="H18" s="359">
        <v>447</v>
      </c>
      <c r="I18" s="357">
        <v>18959</v>
      </c>
      <c r="J18" s="345">
        <v>0</v>
      </c>
      <c r="K18" s="361">
        <v>12319</v>
      </c>
    </row>
    <row r="19" spans="1:11" hidden="1" outlineLevel="2" x14ac:dyDescent="0.2">
      <c r="A19" s="350" t="s">
        <v>295</v>
      </c>
      <c r="B19" s="13" t="s">
        <v>319</v>
      </c>
      <c r="C19" s="355">
        <v>6</v>
      </c>
      <c r="D19" s="345">
        <v>4</v>
      </c>
      <c r="E19" s="359">
        <v>3</v>
      </c>
      <c r="F19" s="357">
        <v>7752</v>
      </c>
      <c r="G19" s="345">
        <v>3270</v>
      </c>
      <c r="H19" s="359">
        <v>9132</v>
      </c>
      <c r="I19" s="357">
        <v>169479</v>
      </c>
      <c r="J19" s="345">
        <v>67027</v>
      </c>
      <c r="K19" s="361">
        <v>243296</v>
      </c>
    </row>
    <row r="20" spans="1:11" hidden="1" outlineLevel="2" x14ac:dyDescent="0.2">
      <c r="A20" s="350" t="s">
        <v>296</v>
      </c>
      <c r="B20" s="13" t="s">
        <v>319</v>
      </c>
      <c r="C20" s="355">
        <v>0</v>
      </c>
      <c r="D20" s="345">
        <v>0</v>
      </c>
      <c r="E20" s="359">
        <v>0</v>
      </c>
      <c r="F20" s="357">
        <v>0</v>
      </c>
      <c r="G20" s="345">
        <v>0</v>
      </c>
      <c r="H20" s="359">
        <v>0</v>
      </c>
      <c r="I20" s="357">
        <v>0</v>
      </c>
      <c r="J20" s="345">
        <v>0</v>
      </c>
      <c r="K20" s="361">
        <v>0</v>
      </c>
    </row>
    <row r="21" spans="1:11" hidden="1" outlineLevel="2" x14ac:dyDescent="0.2">
      <c r="A21" s="350" t="s">
        <v>297</v>
      </c>
      <c r="B21" s="13" t="s">
        <v>319</v>
      </c>
      <c r="C21" s="355">
        <v>26</v>
      </c>
      <c r="D21" s="345">
        <v>27</v>
      </c>
      <c r="E21" s="359">
        <v>20</v>
      </c>
      <c r="F21" s="357">
        <v>537768</v>
      </c>
      <c r="G21" s="345">
        <v>433337</v>
      </c>
      <c r="H21" s="359">
        <v>350939</v>
      </c>
      <c r="I21" s="357">
        <v>7620033</v>
      </c>
      <c r="J21" s="345">
        <v>6368550</v>
      </c>
      <c r="K21" s="361">
        <v>5313388</v>
      </c>
    </row>
    <row r="22" spans="1:11" hidden="1" outlineLevel="2" x14ac:dyDescent="0.2">
      <c r="A22" s="350" t="s">
        <v>298</v>
      </c>
      <c r="B22" s="13" t="s">
        <v>319</v>
      </c>
      <c r="C22" s="355">
        <v>13</v>
      </c>
      <c r="D22" s="345">
        <v>4</v>
      </c>
      <c r="E22" s="359">
        <v>8</v>
      </c>
      <c r="F22" s="357">
        <v>387504</v>
      </c>
      <c r="G22" s="345">
        <v>156240</v>
      </c>
      <c r="H22" s="359">
        <v>343813</v>
      </c>
      <c r="I22" s="357">
        <v>11431484</v>
      </c>
      <c r="J22" s="345">
        <v>4410911</v>
      </c>
      <c r="K22" s="361">
        <v>11037785</v>
      </c>
    </row>
    <row r="23" spans="1:11" outlineLevel="1" collapsed="1" x14ac:dyDescent="0.2">
      <c r="A23" s="370" t="s">
        <v>343</v>
      </c>
      <c r="B23" s="379" t="s">
        <v>330</v>
      </c>
      <c r="C23" s="374">
        <f t="shared" ref="C23:K23" si="2">SUBTOTAL(9,C12:C22)</f>
        <v>465</v>
      </c>
      <c r="D23" s="375">
        <f t="shared" si="2"/>
        <v>407</v>
      </c>
      <c r="E23" s="375">
        <f t="shared" si="2"/>
        <v>424</v>
      </c>
      <c r="F23" s="375">
        <f t="shared" si="2"/>
        <v>6822893</v>
      </c>
      <c r="G23" s="375">
        <f t="shared" si="2"/>
        <v>7035667</v>
      </c>
      <c r="H23" s="375">
        <f t="shared" si="2"/>
        <v>4458685</v>
      </c>
      <c r="I23" s="375">
        <f t="shared" si="2"/>
        <v>392214348</v>
      </c>
      <c r="J23" s="375">
        <f t="shared" si="2"/>
        <v>439164201</v>
      </c>
      <c r="K23" s="376">
        <f t="shared" si="2"/>
        <v>216468303</v>
      </c>
    </row>
    <row r="24" spans="1:11" hidden="1" outlineLevel="2" x14ac:dyDescent="0.2">
      <c r="A24" s="350" t="s">
        <v>299</v>
      </c>
      <c r="B24" s="13" t="s">
        <v>320</v>
      </c>
      <c r="C24" s="355">
        <v>128</v>
      </c>
      <c r="D24" s="345">
        <v>149</v>
      </c>
      <c r="E24" s="359">
        <v>98</v>
      </c>
      <c r="F24" s="357">
        <v>4421000</v>
      </c>
      <c r="G24" s="345">
        <v>4120000</v>
      </c>
      <c r="H24" s="359">
        <v>3201091</v>
      </c>
      <c r="I24" s="357">
        <v>146704318</v>
      </c>
      <c r="J24" s="345">
        <v>139446858</v>
      </c>
      <c r="K24" s="361">
        <v>106472624</v>
      </c>
    </row>
    <row r="25" spans="1:11" outlineLevel="1" collapsed="1" x14ac:dyDescent="0.2">
      <c r="A25" s="370" t="s">
        <v>344</v>
      </c>
      <c r="B25" s="379" t="s">
        <v>331</v>
      </c>
      <c r="C25" s="374">
        <f t="shared" ref="C25:K25" si="3">SUBTOTAL(9,C24:C24)</f>
        <v>128</v>
      </c>
      <c r="D25" s="375">
        <f t="shared" si="3"/>
        <v>149</v>
      </c>
      <c r="E25" s="375">
        <f t="shared" si="3"/>
        <v>98</v>
      </c>
      <c r="F25" s="375">
        <f t="shared" si="3"/>
        <v>4421000</v>
      </c>
      <c r="G25" s="375">
        <f t="shared" si="3"/>
        <v>4120000</v>
      </c>
      <c r="H25" s="375">
        <f t="shared" si="3"/>
        <v>3201091</v>
      </c>
      <c r="I25" s="375">
        <f t="shared" si="3"/>
        <v>146704318</v>
      </c>
      <c r="J25" s="375">
        <f t="shared" si="3"/>
        <v>139446858</v>
      </c>
      <c r="K25" s="376">
        <f t="shared" si="3"/>
        <v>106472624</v>
      </c>
    </row>
    <row r="26" spans="1:11" hidden="1" outlineLevel="2" x14ac:dyDescent="0.2">
      <c r="A26" s="350" t="s">
        <v>300</v>
      </c>
      <c r="B26" s="13" t="s">
        <v>321</v>
      </c>
      <c r="C26" s="355">
        <v>32</v>
      </c>
      <c r="D26" s="345">
        <v>42</v>
      </c>
      <c r="E26" s="359">
        <v>18</v>
      </c>
      <c r="F26" s="357">
        <v>619400</v>
      </c>
      <c r="G26" s="345">
        <v>948000</v>
      </c>
      <c r="H26" s="359">
        <v>272182</v>
      </c>
      <c r="I26" s="357">
        <v>21172416</v>
      </c>
      <c r="J26" s="345">
        <v>32009811</v>
      </c>
      <c r="K26" s="361">
        <v>8789728</v>
      </c>
    </row>
    <row r="27" spans="1:11" outlineLevel="1" collapsed="1" x14ac:dyDescent="0.2">
      <c r="A27" s="370" t="s">
        <v>345</v>
      </c>
      <c r="B27" s="379" t="s">
        <v>332</v>
      </c>
      <c r="C27" s="374">
        <f t="shared" ref="C27:K27" si="4">SUBTOTAL(9,C26:C26)</f>
        <v>32</v>
      </c>
      <c r="D27" s="375">
        <f t="shared" si="4"/>
        <v>42</v>
      </c>
      <c r="E27" s="375">
        <f t="shared" si="4"/>
        <v>18</v>
      </c>
      <c r="F27" s="375">
        <f t="shared" si="4"/>
        <v>619400</v>
      </c>
      <c r="G27" s="375">
        <f t="shared" si="4"/>
        <v>948000</v>
      </c>
      <c r="H27" s="375">
        <f t="shared" si="4"/>
        <v>272182</v>
      </c>
      <c r="I27" s="375">
        <f t="shared" si="4"/>
        <v>21172416</v>
      </c>
      <c r="J27" s="375">
        <f t="shared" si="4"/>
        <v>32009811</v>
      </c>
      <c r="K27" s="376">
        <f t="shared" si="4"/>
        <v>8789728</v>
      </c>
    </row>
    <row r="28" spans="1:11" hidden="1" outlineLevel="2" x14ac:dyDescent="0.2">
      <c r="A28" s="350" t="s">
        <v>301</v>
      </c>
      <c r="B28" s="13" t="s">
        <v>322</v>
      </c>
      <c r="C28" s="355">
        <v>0</v>
      </c>
      <c r="D28" s="345">
        <v>0</v>
      </c>
      <c r="E28" s="359">
        <v>0</v>
      </c>
      <c r="F28" s="357">
        <v>0</v>
      </c>
      <c r="G28" s="345">
        <v>0</v>
      </c>
      <c r="H28" s="359">
        <v>0</v>
      </c>
      <c r="I28" s="357">
        <v>0</v>
      </c>
      <c r="J28" s="345">
        <v>0</v>
      </c>
      <c r="K28" s="361">
        <v>0</v>
      </c>
    </row>
    <row r="29" spans="1:11" outlineLevel="1" collapsed="1" x14ac:dyDescent="0.2">
      <c r="A29" s="370" t="s">
        <v>346</v>
      </c>
      <c r="B29" s="379" t="s">
        <v>333</v>
      </c>
      <c r="C29" s="374">
        <f t="shared" ref="C29:K29" si="5">SUBTOTAL(9,C28:C28)</f>
        <v>0</v>
      </c>
      <c r="D29" s="375">
        <f t="shared" si="5"/>
        <v>0</v>
      </c>
      <c r="E29" s="375">
        <f t="shared" si="5"/>
        <v>0</v>
      </c>
      <c r="F29" s="375">
        <f t="shared" si="5"/>
        <v>0</v>
      </c>
      <c r="G29" s="375">
        <f t="shared" si="5"/>
        <v>0</v>
      </c>
      <c r="H29" s="375">
        <f t="shared" si="5"/>
        <v>0</v>
      </c>
      <c r="I29" s="375">
        <f t="shared" si="5"/>
        <v>0</v>
      </c>
      <c r="J29" s="375">
        <f t="shared" si="5"/>
        <v>0</v>
      </c>
      <c r="K29" s="376">
        <f t="shared" si="5"/>
        <v>0</v>
      </c>
    </row>
    <row r="30" spans="1:11" hidden="1" outlineLevel="2" x14ac:dyDescent="0.2">
      <c r="A30" s="350" t="s">
        <v>302</v>
      </c>
      <c r="B30" s="13" t="s">
        <v>323</v>
      </c>
      <c r="C30" s="355">
        <v>1</v>
      </c>
      <c r="D30" s="345">
        <v>2</v>
      </c>
      <c r="E30" s="359">
        <v>1</v>
      </c>
      <c r="F30" s="357">
        <v>10400</v>
      </c>
      <c r="G30" s="345">
        <v>20000</v>
      </c>
      <c r="H30" s="359">
        <v>8545</v>
      </c>
      <c r="I30" s="357">
        <v>505050</v>
      </c>
      <c r="J30" s="345">
        <v>1108801</v>
      </c>
      <c r="K30" s="361">
        <v>400664</v>
      </c>
    </row>
    <row r="31" spans="1:11" outlineLevel="1" collapsed="1" x14ac:dyDescent="0.2">
      <c r="A31" s="370" t="s">
        <v>347</v>
      </c>
      <c r="B31" s="379" t="s">
        <v>334</v>
      </c>
      <c r="C31" s="374">
        <f t="shared" ref="C31:K31" si="6">SUBTOTAL(9,C30:C30)</f>
        <v>1</v>
      </c>
      <c r="D31" s="375">
        <f t="shared" si="6"/>
        <v>2</v>
      </c>
      <c r="E31" s="375">
        <f t="shared" si="6"/>
        <v>1</v>
      </c>
      <c r="F31" s="375">
        <f t="shared" si="6"/>
        <v>10400</v>
      </c>
      <c r="G31" s="375">
        <f t="shared" si="6"/>
        <v>20000</v>
      </c>
      <c r="H31" s="375">
        <f t="shared" si="6"/>
        <v>8545</v>
      </c>
      <c r="I31" s="375">
        <f t="shared" si="6"/>
        <v>505050</v>
      </c>
      <c r="J31" s="375">
        <f t="shared" si="6"/>
        <v>1108801</v>
      </c>
      <c r="K31" s="376">
        <f t="shared" si="6"/>
        <v>400664</v>
      </c>
    </row>
    <row r="32" spans="1:11" hidden="1" outlineLevel="2" x14ac:dyDescent="0.2">
      <c r="A32" s="350" t="s">
        <v>34</v>
      </c>
      <c r="B32" s="13" t="s">
        <v>320</v>
      </c>
      <c r="C32" s="355">
        <v>8</v>
      </c>
      <c r="D32" s="345">
        <v>0</v>
      </c>
      <c r="E32" s="359">
        <v>36</v>
      </c>
      <c r="F32" s="357">
        <v>226700</v>
      </c>
      <c r="G32" s="345">
        <v>0</v>
      </c>
      <c r="H32" s="359">
        <v>778000</v>
      </c>
      <c r="I32" s="357">
        <v>1487895</v>
      </c>
      <c r="J32" s="345">
        <v>0</v>
      </c>
      <c r="K32" s="361">
        <v>13904203</v>
      </c>
    </row>
    <row r="33" spans="1:11" hidden="1" outlineLevel="2" x14ac:dyDescent="0.2">
      <c r="A33" s="350" t="s">
        <v>303</v>
      </c>
      <c r="B33" s="13" t="s">
        <v>320</v>
      </c>
      <c r="C33" s="355">
        <v>1</v>
      </c>
      <c r="D33" s="345">
        <v>0</v>
      </c>
      <c r="E33" s="359">
        <v>2</v>
      </c>
      <c r="F33" s="357">
        <v>36000</v>
      </c>
      <c r="G33" s="345">
        <v>0</v>
      </c>
      <c r="H33" s="359">
        <v>56818</v>
      </c>
      <c r="I33" s="357">
        <v>1539900</v>
      </c>
      <c r="J33" s="345">
        <v>0</v>
      </c>
      <c r="K33" s="361">
        <v>2351943</v>
      </c>
    </row>
    <row r="34" spans="1:11" outlineLevel="1" collapsed="1" x14ac:dyDescent="0.2">
      <c r="A34" s="370" t="s">
        <v>348</v>
      </c>
      <c r="B34" s="379" t="s">
        <v>331</v>
      </c>
      <c r="C34" s="374">
        <f t="shared" ref="C34:K34" si="7">SUBTOTAL(9,C32:C33)</f>
        <v>9</v>
      </c>
      <c r="D34" s="375">
        <f t="shared" si="7"/>
        <v>0</v>
      </c>
      <c r="E34" s="375">
        <f t="shared" si="7"/>
        <v>38</v>
      </c>
      <c r="F34" s="375">
        <f t="shared" si="7"/>
        <v>262700</v>
      </c>
      <c r="G34" s="375">
        <f t="shared" si="7"/>
        <v>0</v>
      </c>
      <c r="H34" s="375">
        <f t="shared" si="7"/>
        <v>834818</v>
      </c>
      <c r="I34" s="375">
        <f t="shared" si="7"/>
        <v>3027795</v>
      </c>
      <c r="J34" s="375">
        <f t="shared" si="7"/>
        <v>0</v>
      </c>
      <c r="K34" s="376">
        <f t="shared" si="7"/>
        <v>16256146</v>
      </c>
    </row>
    <row r="35" spans="1:11" hidden="1" outlineLevel="2" x14ac:dyDescent="0.2">
      <c r="A35" s="350" t="s">
        <v>304</v>
      </c>
      <c r="B35" s="13" t="s">
        <v>324</v>
      </c>
      <c r="C35" s="355">
        <v>4</v>
      </c>
      <c r="D35" s="345">
        <v>2</v>
      </c>
      <c r="E35" s="359">
        <v>0</v>
      </c>
      <c r="F35" s="357">
        <v>252400</v>
      </c>
      <c r="G35" s="345">
        <v>160000</v>
      </c>
      <c r="H35" s="359">
        <v>32500</v>
      </c>
      <c r="I35" s="357">
        <v>8789820</v>
      </c>
      <c r="J35" s="345">
        <v>34160000</v>
      </c>
      <c r="K35" s="361">
        <v>101636</v>
      </c>
    </row>
    <row r="36" spans="1:11" outlineLevel="1" collapsed="1" x14ac:dyDescent="0.2">
      <c r="A36" s="370" t="s">
        <v>349</v>
      </c>
      <c r="B36" s="379" t="s">
        <v>335</v>
      </c>
      <c r="C36" s="374">
        <f t="shared" ref="C36:K36" si="8">SUBTOTAL(9,C35:C35)</f>
        <v>4</v>
      </c>
      <c r="D36" s="375">
        <f t="shared" si="8"/>
        <v>2</v>
      </c>
      <c r="E36" s="375">
        <f t="shared" si="8"/>
        <v>0</v>
      </c>
      <c r="F36" s="375">
        <f t="shared" si="8"/>
        <v>252400</v>
      </c>
      <c r="G36" s="375">
        <f t="shared" si="8"/>
        <v>160000</v>
      </c>
      <c r="H36" s="375">
        <f t="shared" si="8"/>
        <v>32500</v>
      </c>
      <c r="I36" s="375">
        <f t="shared" si="8"/>
        <v>8789820</v>
      </c>
      <c r="J36" s="375">
        <f t="shared" si="8"/>
        <v>34160000</v>
      </c>
      <c r="K36" s="376">
        <f t="shared" si="8"/>
        <v>101636</v>
      </c>
    </row>
    <row r="37" spans="1:11" hidden="1" outlineLevel="2" x14ac:dyDescent="0.2">
      <c r="A37" s="350" t="s">
        <v>305</v>
      </c>
      <c r="B37" s="13" t="s">
        <v>325</v>
      </c>
      <c r="C37" s="355">
        <v>3</v>
      </c>
      <c r="D37" s="345">
        <v>2</v>
      </c>
      <c r="E37" s="359">
        <v>2</v>
      </c>
      <c r="F37" s="357">
        <v>7500</v>
      </c>
      <c r="G37" s="345">
        <v>5000</v>
      </c>
      <c r="H37" s="359">
        <v>4091</v>
      </c>
      <c r="I37" s="357">
        <v>963750</v>
      </c>
      <c r="J37" s="345">
        <v>605000</v>
      </c>
      <c r="K37" s="361">
        <v>625989</v>
      </c>
    </row>
    <row r="38" spans="1:11" outlineLevel="1" collapsed="1" x14ac:dyDescent="0.2">
      <c r="A38" s="370" t="s">
        <v>350</v>
      </c>
      <c r="B38" s="379" t="s">
        <v>336</v>
      </c>
      <c r="C38" s="374">
        <f t="shared" ref="C38:K38" si="9">SUBTOTAL(9,C37:C37)</f>
        <v>3</v>
      </c>
      <c r="D38" s="375">
        <f t="shared" si="9"/>
        <v>2</v>
      </c>
      <c r="E38" s="375">
        <f t="shared" si="9"/>
        <v>2</v>
      </c>
      <c r="F38" s="375">
        <f t="shared" si="9"/>
        <v>7500</v>
      </c>
      <c r="G38" s="375">
        <f t="shared" si="9"/>
        <v>5000</v>
      </c>
      <c r="H38" s="375">
        <f t="shared" si="9"/>
        <v>4091</v>
      </c>
      <c r="I38" s="375">
        <f t="shared" si="9"/>
        <v>963750</v>
      </c>
      <c r="J38" s="375">
        <f t="shared" si="9"/>
        <v>605000</v>
      </c>
      <c r="K38" s="376">
        <f t="shared" si="9"/>
        <v>625989</v>
      </c>
    </row>
    <row r="39" spans="1:11" hidden="1" outlineLevel="2" x14ac:dyDescent="0.2">
      <c r="A39" s="350" t="s">
        <v>306</v>
      </c>
      <c r="B39" s="13" t="s">
        <v>326</v>
      </c>
      <c r="C39" s="355">
        <v>0</v>
      </c>
      <c r="D39" s="345">
        <v>0</v>
      </c>
      <c r="E39" s="359">
        <v>0</v>
      </c>
      <c r="F39" s="357">
        <v>36</v>
      </c>
      <c r="G39" s="345">
        <v>0</v>
      </c>
      <c r="H39" s="359">
        <v>0</v>
      </c>
      <c r="I39" s="357">
        <v>21564</v>
      </c>
      <c r="J39" s="345">
        <v>0</v>
      </c>
      <c r="K39" s="361">
        <v>0</v>
      </c>
    </row>
    <row r="40" spans="1:11" outlineLevel="1" collapsed="1" x14ac:dyDescent="0.2">
      <c r="A40" s="370" t="s">
        <v>351</v>
      </c>
      <c r="B40" s="379" t="s">
        <v>337</v>
      </c>
      <c r="C40" s="374">
        <f t="shared" ref="C40:K40" si="10">SUBTOTAL(9,C39:C39)</f>
        <v>0</v>
      </c>
      <c r="D40" s="375">
        <f t="shared" si="10"/>
        <v>0</v>
      </c>
      <c r="E40" s="375">
        <f t="shared" si="10"/>
        <v>0</v>
      </c>
      <c r="F40" s="375">
        <f t="shared" si="10"/>
        <v>36</v>
      </c>
      <c r="G40" s="375">
        <f t="shared" si="10"/>
        <v>0</v>
      </c>
      <c r="H40" s="375">
        <f t="shared" si="10"/>
        <v>0</v>
      </c>
      <c r="I40" s="375">
        <f t="shared" si="10"/>
        <v>21564</v>
      </c>
      <c r="J40" s="375">
        <f t="shared" si="10"/>
        <v>0</v>
      </c>
      <c r="K40" s="376">
        <f t="shared" si="10"/>
        <v>0</v>
      </c>
    </row>
    <row r="41" spans="1:11" hidden="1" outlineLevel="2" x14ac:dyDescent="0.2">
      <c r="A41" s="350" t="s">
        <v>307</v>
      </c>
      <c r="B41" s="13" t="s">
        <v>327</v>
      </c>
      <c r="C41" s="355">
        <v>1</v>
      </c>
      <c r="D41" s="345">
        <v>5</v>
      </c>
      <c r="E41" s="359">
        <v>1</v>
      </c>
      <c r="F41" s="357">
        <v>420</v>
      </c>
      <c r="G41" s="345">
        <v>1500</v>
      </c>
      <c r="H41" s="359">
        <v>368</v>
      </c>
      <c r="I41" s="357">
        <v>317520</v>
      </c>
      <c r="J41" s="345">
        <v>1242900</v>
      </c>
      <c r="K41" s="361">
        <v>206727</v>
      </c>
    </row>
    <row r="42" spans="1:11" hidden="1" outlineLevel="2" x14ac:dyDescent="0.2">
      <c r="A42" s="350" t="s">
        <v>308</v>
      </c>
      <c r="B42" s="13" t="s">
        <v>327</v>
      </c>
      <c r="C42" s="355">
        <v>0</v>
      </c>
      <c r="D42" s="345">
        <v>1</v>
      </c>
      <c r="E42" s="359">
        <v>0</v>
      </c>
      <c r="F42" s="357">
        <v>30000</v>
      </c>
      <c r="G42" s="345">
        <v>150000</v>
      </c>
      <c r="H42" s="359">
        <v>9091</v>
      </c>
      <c r="I42" s="357">
        <v>3507212</v>
      </c>
      <c r="J42" s="345">
        <v>17536059</v>
      </c>
      <c r="K42" s="361">
        <v>4456941</v>
      </c>
    </row>
    <row r="43" spans="1:11" hidden="1" outlineLevel="2" x14ac:dyDescent="0.2">
      <c r="A43" s="350" t="s">
        <v>309</v>
      </c>
      <c r="B43" s="13" t="s">
        <v>327</v>
      </c>
      <c r="C43" s="355">
        <v>0</v>
      </c>
      <c r="D43" s="345">
        <v>0</v>
      </c>
      <c r="E43" s="359">
        <v>0</v>
      </c>
      <c r="F43" s="357">
        <v>0</v>
      </c>
      <c r="G43" s="345">
        <v>0</v>
      </c>
      <c r="H43" s="359">
        <v>0</v>
      </c>
      <c r="I43" s="357">
        <v>0</v>
      </c>
      <c r="J43" s="345">
        <v>0</v>
      </c>
      <c r="K43" s="361">
        <v>0</v>
      </c>
    </row>
    <row r="44" spans="1:11" outlineLevel="1" collapsed="1" x14ac:dyDescent="0.2">
      <c r="A44" s="370" t="s">
        <v>352</v>
      </c>
      <c r="B44" s="379" t="s">
        <v>338</v>
      </c>
      <c r="C44" s="374">
        <f t="shared" ref="C44:K44" si="11">SUBTOTAL(9,C41:C43)</f>
        <v>1</v>
      </c>
      <c r="D44" s="375">
        <f t="shared" si="11"/>
        <v>6</v>
      </c>
      <c r="E44" s="375">
        <f t="shared" si="11"/>
        <v>1</v>
      </c>
      <c r="F44" s="375">
        <f t="shared" si="11"/>
        <v>30420</v>
      </c>
      <c r="G44" s="375">
        <f t="shared" si="11"/>
        <v>151500</v>
      </c>
      <c r="H44" s="375">
        <f t="shared" si="11"/>
        <v>9459</v>
      </c>
      <c r="I44" s="375">
        <f t="shared" si="11"/>
        <v>3824732</v>
      </c>
      <c r="J44" s="375">
        <f t="shared" si="11"/>
        <v>18778959</v>
      </c>
      <c r="K44" s="376">
        <f t="shared" si="11"/>
        <v>4663668</v>
      </c>
    </row>
    <row r="45" spans="1:11" ht="13.5" hidden="1" outlineLevel="2" thickBot="1" x14ac:dyDescent="0.25">
      <c r="A45" s="351" t="s">
        <v>36</v>
      </c>
      <c r="B45" s="15" t="s">
        <v>246</v>
      </c>
      <c r="C45" s="355">
        <v>311</v>
      </c>
      <c r="D45" s="345">
        <v>312</v>
      </c>
      <c r="E45" s="359">
        <v>150</v>
      </c>
      <c r="F45" s="357">
        <v>95883</v>
      </c>
      <c r="G45" s="345">
        <v>101318</v>
      </c>
      <c r="H45" s="359">
        <v>61625</v>
      </c>
      <c r="I45" s="357"/>
      <c r="J45" s="345"/>
      <c r="K45" s="361"/>
    </row>
    <row r="46" spans="1:11" ht="13.5" outlineLevel="1" collapsed="1" thickBot="1" x14ac:dyDescent="0.25">
      <c r="A46" s="368" t="s">
        <v>353</v>
      </c>
      <c r="B46" s="369" t="s">
        <v>339</v>
      </c>
      <c r="C46" s="371">
        <f t="shared" ref="C46:K46" si="12">SUBTOTAL(9,C45:C45)</f>
        <v>311</v>
      </c>
      <c r="D46" s="372">
        <f t="shared" si="12"/>
        <v>312</v>
      </c>
      <c r="E46" s="372">
        <f t="shared" si="12"/>
        <v>150</v>
      </c>
      <c r="F46" s="372">
        <f t="shared" si="12"/>
        <v>95883</v>
      </c>
      <c r="G46" s="372">
        <f t="shared" si="12"/>
        <v>101318</v>
      </c>
      <c r="H46" s="372">
        <f t="shared" si="12"/>
        <v>61625</v>
      </c>
      <c r="I46" s="372">
        <f t="shared" si="12"/>
        <v>0</v>
      </c>
      <c r="J46" s="372">
        <f t="shared" si="12"/>
        <v>0</v>
      </c>
      <c r="K46" s="373">
        <f t="shared" si="12"/>
        <v>0</v>
      </c>
    </row>
    <row r="47" spans="1:11" ht="13.5" outlineLevel="1" thickBot="1" x14ac:dyDescent="0.25">
      <c r="A47" s="384" t="s">
        <v>11</v>
      </c>
      <c r="B47" s="385" t="s">
        <v>340</v>
      </c>
      <c r="C47" s="384">
        <f t="shared" ref="C47:K47" si="13">SUBTOTAL(9,C2:C46)</f>
        <v>4723</v>
      </c>
      <c r="D47" s="385">
        <f t="shared" si="13"/>
        <v>4531</v>
      </c>
      <c r="E47" s="385">
        <f t="shared" si="13"/>
        <v>2957</v>
      </c>
      <c r="F47" s="385">
        <f t="shared" si="13"/>
        <v>717067619</v>
      </c>
      <c r="G47" s="385">
        <f t="shared" si="13"/>
        <v>705426110</v>
      </c>
      <c r="H47" s="385">
        <f t="shared" si="13"/>
        <v>420248445</v>
      </c>
      <c r="I47" s="385">
        <f t="shared" si="13"/>
        <v>3883944365</v>
      </c>
      <c r="J47" s="385">
        <f t="shared" si="13"/>
        <v>4088381920</v>
      </c>
      <c r="K47" s="386">
        <f t="shared" si="13"/>
        <v>1929617633</v>
      </c>
    </row>
  </sheetData>
  <mergeCells count="3">
    <mergeCell ref="C2:E2"/>
    <mergeCell ref="F2:H2"/>
    <mergeCell ref="I2:K2"/>
  </mergeCells>
  <pageMargins left="0.75" right="0.75" top="1" bottom="1" header="0.5" footer="0.5"/>
  <pageSetup scale="7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90" workbookViewId="0">
      <selection activeCell="A17" sqref="A17:H17"/>
    </sheetView>
  </sheetViews>
  <sheetFormatPr defaultRowHeight="12.75" x14ac:dyDescent="0.2"/>
  <cols>
    <col min="1" max="1" width="18" customWidth="1"/>
    <col min="2" max="2" width="7.140625" customWidth="1"/>
    <col min="3" max="3" width="12.5703125" customWidth="1"/>
    <col min="4" max="4" width="13.5703125" customWidth="1"/>
    <col min="5" max="5" width="15.28515625" customWidth="1"/>
    <col min="6" max="6" width="11.140625" customWidth="1"/>
    <col min="7" max="7" width="12.140625" customWidth="1"/>
    <col min="8" max="8" width="15" customWidth="1"/>
    <col min="9" max="9" width="17.140625" customWidth="1"/>
    <col min="10" max="10" width="13.5703125" bestFit="1" customWidth="1"/>
    <col min="11" max="11" width="12.28515625" customWidth="1"/>
    <col min="12" max="12" width="11.42578125" bestFit="1" customWidth="1"/>
  </cols>
  <sheetData>
    <row r="1" spans="1:12" ht="26.25" x14ac:dyDescent="0.4">
      <c r="A1" s="145" t="s">
        <v>144</v>
      </c>
      <c r="B1" s="30"/>
      <c r="C1" s="30"/>
      <c r="D1" s="30"/>
    </row>
    <row r="2" spans="1:12" ht="13.5" thickBot="1" x14ac:dyDescent="0.25"/>
    <row r="3" spans="1:12" ht="72.75" customHeight="1" thickBot="1" x14ac:dyDescent="0.25">
      <c r="A3" s="89" t="s">
        <v>109</v>
      </c>
      <c r="B3" s="125" t="s">
        <v>146</v>
      </c>
      <c r="C3" s="128" t="s">
        <v>145</v>
      </c>
      <c r="D3" s="126" t="s">
        <v>147</v>
      </c>
      <c r="E3" s="89" t="s">
        <v>272</v>
      </c>
      <c r="F3" s="89" t="s">
        <v>154</v>
      </c>
      <c r="G3" s="89" t="s">
        <v>273</v>
      </c>
      <c r="H3" s="128" t="s">
        <v>180</v>
      </c>
      <c r="I3" s="125" t="s">
        <v>220</v>
      </c>
      <c r="J3" s="125" t="s">
        <v>194</v>
      </c>
      <c r="K3" s="126" t="s">
        <v>156</v>
      </c>
      <c r="L3" s="127" t="s">
        <v>148</v>
      </c>
    </row>
    <row r="4" spans="1:12" x14ac:dyDescent="0.2">
      <c r="A4" s="10" t="s">
        <v>64</v>
      </c>
      <c r="B4" s="176" t="s">
        <v>149</v>
      </c>
      <c r="C4" s="166">
        <v>72252.070455500216</v>
      </c>
      <c r="D4" s="264">
        <v>9147</v>
      </c>
      <c r="E4" s="166">
        <f>+D4*C4*12/1000000</f>
        <v>7930.6762614775253</v>
      </c>
      <c r="F4" s="309">
        <f>33*(+$F$18)</f>
        <v>33</v>
      </c>
      <c r="G4" s="173">
        <f>+F4*E4</f>
        <v>261712.31662875833</v>
      </c>
      <c r="H4" s="177">
        <v>2.5000000000000001E-3</v>
      </c>
      <c r="I4" s="169">
        <v>0.02</v>
      </c>
      <c r="J4" s="173">
        <f t="shared" ref="J4:J10" si="0">+F4*E4</f>
        <v>261712.31662875833</v>
      </c>
      <c r="K4" s="178">
        <f>+H4/F4</f>
        <v>7.5757575757575758E-5</v>
      </c>
      <c r="L4" s="169">
        <v>0.92</v>
      </c>
    </row>
    <row r="5" spans="1:12" x14ac:dyDescent="0.2">
      <c r="A5" s="13" t="s">
        <v>65</v>
      </c>
      <c r="B5" s="179" t="s">
        <v>149</v>
      </c>
      <c r="C5" s="167">
        <v>25708.124552612742</v>
      </c>
      <c r="D5" s="180">
        <v>785</v>
      </c>
      <c r="E5" s="167">
        <f t="shared" ref="E5:E11" si="1">+D5*C5*12/1000000</f>
        <v>242.17053328561204</v>
      </c>
      <c r="F5" s="310">
        <f>46*(+$F$18)</f>
        <v>46</v>
      </c>
      <c r="G5" s="174">
        <f t="shared" ref="G5:G10" si="2">+F5*E5</f>
        <v>11139.844531138153</v>
      </c>
      <c r="H5" s="162">
        <v>5.0000000000000001E-3</v>
      </c>
      <c r="I5" s="170">
        <v>0.02</v>
      </c>
      <c r="J5" s="174">
        <f t="shared" si="0"/>
        <v>11139.844531138153</v>
      </c>
      <c r="K5" s="163">
        <f>+H5/F5</f>
        <v>1.0869565217391305E-4</v>
      </c>
      <c r="L5" s="170">
        <v>0.67</v>
      </c>
    </row>
    <row r="6" spans="1:12" x14ac:dyDescent="0.2">
      <c r="A6" s="13" t="s">
        <v>66</v>
      </c>
      <c r="B6" s="179" t="s">
        <v>150</v>
      </c>
      <c r="C6" s="167">
        <v>308258.8877374006</v>
      </c>
      <c r="D6" s="180">
        <v>65274</v>
      </c>
      <c r="E6" s="167">
        <f t="shared" si="1"/>
        <v>241455.48765805303</v>
      </c>
      <c r="F6" s="310">
        <f>5.8*(+$F$18)</f>
        <v>5.8</v>
      </c>
      <c r="G6" s="174">
        <f t="shared" si="2"/>
        <v>1400441.8284167075</v>
      </c>
      <c r="H6" s="162">
        <v>2.9999999999999997E-4</v>
      </c>
      <c r="I6" s="170">
        <v>0.15</v>
      </c>
      <c r="J6" s="174">
        <f t="shared" si="0"/>
        <v>1400441.8284167075</v>
      </c>
      <c r="K6" s="163">
        <f>+H6/F6</f>
        <v>5.1724137931034481E-5</v>
      </c>
      <c r="L6" s="170">
        <v>0.44</v>
      </c>
    </row>
    <row r="7" spans="1:12" x14ac:dyDescent="0.2">
      <c r="A7" s="13" t="s">
        <v>67</v>
      </c>
      <c r="B7" s="179" t="s">
        <v>151</v>
      </c>
      <c r="C7" s="167">
        <v>13976.254108518779</v>
      </c>
      <c r="D7" s="180">
        <v>23281</v>
      </c>
      <c r="E7" s="167">
        <f t="shared" si="1"/>
        <v>3904.574062805108</v>
      </c>
      <c r="F7" s="310">
        <f>40*(+$F$18)</f>
        <v>40</v>
      </c>
      <c r="G7" s="174">
        <f t="shared" si="2"/>
        <v>156182.96251220431</v>
      </c>
      <c r="H7" s="162">
        <v>5.0000000000000001E-3</v>
      </c>
      <c r="I7" s="170">
        <v>0.05</v>
      </c>
      <c r="J7" s="174">
        <f t="shared" si="0"/>
        <v>156182.96251220431</v>
      </c>
      <c r="K7" s="163">
        <f>+H7/F7</f>
        <v>1.25E-4</v>
      </c>
      <c r="L7" s="170">
        <v>0.01</v>
      </c>
    </row>
    <row r="8" spans="1:12" x14ac:dyDescent="0.2">
      <c r="A8" s="13" t="s">
        <v>68</v>
      </c>
      <c r="B8" s="179" t="s">
        <v>152</v>
      </c>
      <c r="C8" s="167">
        <v>48575.087719298244</v>
      </c>
      <c r="D8" s="180">
        <v>992</v>
      </c>
      <c r="E8" s="167">
        <f t="shared" si="1"/>
        <v>578.2378442105263</v>
      </c>
      <c r="F8" s="310">
        <f>30.48*(+$F$18)</f>
        <v>30.48</v>
      </c>
      <c r="G8" s="174">
        <f t="shared" si="2"/>
        <v>17624.689491536843</v>
      </c>
      <c r="H8" s="162">
        <v>2.5000000000000001E-3</v>
      </c>
      <c r="I8" s="170">
        <v>0.8</v>
      </c>
      <c r="J8" s="174">
        <f t="shared" si="0"/>
        <v>17624.689491536843</v>
      </c>
      <c r="K8" s="163">
        <f>+H8/F8</f>
        <v>8.2020997375328083E-5</v>
      </c>
      <c r="L8" s="170">
        <v>0.01</v>
      </c>
    </row>
    <row r="9" spans="1:12" x14ac:dyDescent="0.2">
      <c r="A9" s="13" t="s">
        <v>69</v>
      </c>
      <c r="B9" s="179" t="s">
        <v>152</v>
      </c>
      <c r="C9" s="167">
        <v>1023.7509251848866</v>
      </c>
      <c r="D9" s="180">
        <v>45965</v>
      </c>
      <c r="E9" s="167">
        <f t="shared" si="1"/>
        <v>564.68053531347971</v>
      </c>
      <c r="F9" s="310">
        <f>1800*(+$F$18)</f>
        <v>1800</v>
      </c>
      <c r="G9" s="174">
        <f t="shared" si="2"/>
        <v>1016424.9635642634</v>
      </c>
      <c r="H9" s="162">
        <v>2.5000000000000001E-3</v>
      </c>
      <c r="I9" s="170">
        <v>0.1</v>
      </c>
      <c r="J9" s="174">
        <f t="shared" si="0"/>
        <v>1016424.9635642634</v>
      </c>
      <c r="K9" s="163">
        <v>8.0000000000000007E-5</v>
      </c>
      <c r="L9" s="170">
        <v>0.96</v>
      </c>
    </row>
    <row r="10" spans="1:12" x14ac:dyDescent="0.2">
      <c r="A10" s="13" t="s">
        <v>113</v>
      </c>
      <c r="B10" s="179" t="s">
        <v>149</v>
      </c>
      <c r="C10" s="167">
        <v>22860.281195079086</v>
      </c>
      <c r="D10" s="180">
        <v>123</v>
      </c>
      <c r="E10" s="167">
        <f t="shared" si="1"/>
        <v>33.741775043936727</v>
      </c>
      <c r="F10" s="310">
        <f>((162.8*0.75)*1)*(+$F$18)</f>
        <v>122.10000000000001</v>
      </c>
      <c r="G10" s="174">
        <f t="shared" si="2"/>
        <v>4119.8707328646742</v>
      </c>
      <c r="H10" s="162">
        <v>5.0000000000000001E-3</v>
      </c>
      <c r="I10" s="170">
        <v>0.02</v>
      </c>
      <c r="J10" s="174">
        <f t="shared" si="0"/>
        <v>4119.8707328646742</v>
      </c>
      <c r="K10" s="163">
        <v>1E-4</v>
      </c>
      <c r="L10" s="170">
        <v>0.08</v>
      </c>
    </row>
    <row r="11" spans="1:12" x14ac:dyDescent="0.2">
      <c r="A11" s="13" t="s">
        <v>120</v>
      </c>
      <c r="B11" s="179" t="s">
        <v>153</v>
      </c>
      <c r="C11" s="167">
        <v>1.0833333333333333</v>
      </c>
      <c r="D11" s="180">
        <v>18</v>
      </c>
      <c r="E11" s="167">
        <f t="shared" si="1"/>
        <v>2.34E-4</v>
      </c>
      <c r="F11" s="310">
        <f>0*(+$F$18)</f>
        <v>0</v>
      </c>
      <c r="G11" s="301"/>
      <c r="H11" s="164"/>
      <c r="I11" s="171"/>
      <c r="J11" s="174"/>
      <c r="K11" s="163">
        <v>1E-4</v>
      </c>
      <c r="L11" s="170">
        <v>0</v>
      </c>
    </row>
    <row r="12" spans="1:12" x14ac:dyDescent="0.2">
      <c r="A12" s="13" t="s">
        <v>112</v>
      </c>
      <c r="B12" s="180"/>
      <c r="C12" s="167"/>
      <c r="D12" s="180"/>
      <c r="E12" s="299"/>
      <c r="F12" s="310">
        <f>10*(+$F$18)</f>
        <v>10</v>
      </c>
      <c r="G12" s="301"/>
      <c r="H12" s="165"/>
      <c r="I12" s="170"/>
      <c r="J12" s="174"/>
      <c r="K12" s="163">
        <v>1E-4</v>
      </c>
      <c r="L12" s="170"/>
    </row>
    <row r="13" spans="1:12" x14ac:dyDescent="0.2">
      <c r="A13" s="13" t="s">
        <v>70</v>
      </c>
      <c r="B13" s="180"/>
      <c r="C13" s="167"/>
      <c r="D13" s="180"/>
      <c r="E13" s="299"/>
      <c r="F13" s="301"/>
      <c r="G13" s="301"/>
      <c r="H13" s="165"/>
      <c r="I13" s="170"/>
      <c r="J13" s="174"/>
      <c r="K13" s="163">
        <v>1E-4</v>
      </c>
      <c r="L13" s="170"/>
    </row>
    <row r="14" spans="1:12" x14ac:dyDescent="0.2">
      <c r="A14" s="13" t="s">
        <v>71</v>
      </c>
      <c r="B14" s="180"/>
      <c r="C14" s="167"/>
      <c r="D14" s="180"/>
      <c r="E14" s="299"/>
      <c r="F14" s="301"/>
      <c r="G14" s="301"/>
      <c r="H14" s="165"/>
      <c r="I14" s="170"/>
      <c r="J14" s="174"/>
      <c r="K14" s="163">
        <v>2.9999999999999997E-4</v>
      </c>
      <c r="L14" s="170"/>
    </row>
    <row r="15" spans="1:12" ht="13.5" thickBot="1" x14ac:dyDescent="0.25">
      <c r="A15" s="15" t="s">
        <v>119</v>
      </c>
      <c r="B15" s="181"/>
      <c r="C15" s="168"/>
      <c r="D15" s="181"/>
      <c r="E15" s="300"/>
      <c r="F15" s="302"/>
      <c r="G15" s="303"/>
      <c r="H15" s="182"/>
      <c r="I15" s="172"/>
      <c r="J15" s="175"/>
      <c r="K15" s="183">
        <v>1E-4</v>
      </c>
      <c r="L15" s="172"/>
    </row>
    <row r="16" spans="1:12" ht="13.5" thickBot="1" x14ac:dyDescent="0.25">
      <c r="A16" s="304" t="s">
        <v>11</v>
      </c>
      <c r="B16" s="305"/>
      <c r="C16" s="306"/>
      <c r="D16" s="305"/>
      <c r="E16" s="306"/>
      <c r="F16" s="305"/>
      <c r="G16" s="308">
        <f>SUM(G4:G15)</f>
        <v>2867646.4758774736</v>
      </c>
      <c r="H16" s="305"/>
      <c r="I16" s="305"/>
      <c r="J16" s="305"/>
      <c r="K16" s="305"/>
      <c r="L16" s="307"/>
    </row>
    <row r="17" spans="1:12" hidden="1" x14ac:dyDescent="0.2">
      <c r="B17" s="115"/>
      <c r="C17" s="115"/>
      <c r="D17" s="115"/>
      <c r="E17" s="115"/>
      <c r="F17" s="116">
        <f>+$F$18</f>
        <v>1</v>
      </c>
      <c r="G17" s="116"/>
      <c r="H17" s="115"/>
      <c r="I17" s="116"/>
      <c r="J17" s="116"/>
      <c r="K17" s="116"/>
      <c r="L17" s="115"/>
    </row>
    <row r="18" spans="1:12" hidden="1" x14ac:dyDescent="0.2">
      <c r="A18" s="115"/>
      <c r="B18" s="115"/>
      <c r="C18" s="115"/>
      <c r="D18" s="115"/>
      <c r="E18" s="115"/>
      <c r="F18" s="116">
        <v>1</v>
      </c>
      <c r="G18" s="116">
        <f>+G16/250</f>
        <v>11470.585903509895</v>
      </c>
      <c r="H18" s="117"/>
      <c r="I18" s="116"/>
      <c r="J18" s="116"/>
      <c r="K18" s="116"/>
      <c r="L18" s="115"/>
    </row>
    <row r="19" spans="1:12" x14ac:dyDescent="0.2">
      <c r="B19" s="115"/>
      <c r="C19" s="115"/>
      <c r="D19" s="115"/>
      <c r="E19" s="115"/>
      <c r="F19" s="116"/>
      <c r="G19" s="116"/>
      <c r="H19" s="118"/>
      <c r="I19" s="116"/>
      <c r="J19" s="116"/>
      <c r="K19" s="116"/>
      <c r="L19" s="115"/>
    </row>
    <row r="20" spans="1:12" x14ac:dyDescent="0.2">
      <c r="A20" s="192" t="s">
        <v>195</v>
      </c>
      <c r="B20" s="115"/>
      <c r="C20" s="115"/>
      <c r="D20" s="115"/>
      <c r="E20" s="115"/>
      <c r="F20" s="116"/>
      <c r="G20" s="116"/>
      <c r="H20" s="115"/>
      <c r="I20" s="116"/>
      <c r="J20" s="116"/>
      <c r="K20" s="116"/>
      <c r="L20" s="115"/>
    </row>
    <row r="21" spans="1:12" x14ac:dyDescent="0.2">
      <c r="A21" s="115"/>
      <c r="B21" s="115"/>
      <c r="C21" s="115"/>
      <c r="D21" s="115"/>
      <c r="E21" s="115"/>
      <c r="F21" s="116"/>
      <c r="G21" s="116"/>
      <c r="H21" s="115"/>
      <c r="I21" s="116"/>
      <c r="J21" s="116"/>
      <c r="K21" s="116"/>
      <c r="L21" s="115"/>
    </row>
    <row r="22" spans="1:12" x14ac:dyDescent="0.2">
      <c r="A22" s="115"/>
      <c r="B22" s="115"/>
      <c r="C22" s="115"/>
      <c r="D22" s="115"/>
      <c r="E22" s="115"/>
      <c r="F22" s="116"/>
      <c r="G22" s="116"/>
      <c r="H22" s="115"/>
      <c r="I22" s="116"/>
      <c r="J22" s="116"/>
      <c r="K22" s="116"/>
      <c r="L22" s="115"/>
    </row>
    <row r="23" spans="1:12" x14ac:dyDescent="0.2">
      <c r="A23" s="115"/>
      <c r="B23" s="115"/>
      <c r="C23" s="115"/>
      <c r="D23" s="115"/>
      <c r="E23" s="115"/>
      <c r="F23" s="116"/>
      <c r="G23" s="116"/>
      <c r="H23" s="115"/>
      <c r="I23" s="116"/>
      <c r="J23" s="116"/>
      <c r="K23" s="116"/>
      <c r="L23" s="115"/>
    </row>
    <row r="24" spans="1:12" x14ac:dyDescent="0.2">
      <c r="A24" s="115"/>
      <c r="B24" s="115"/>
      <c r="C24" s="115"/>
      <c r="D24" s="115"/>
      <c r="E24" s="115"/>
      <c r="F24" s="116"/>
      <c r="G24" s="116"/>
      <c r="H24" s="115"/>
      <c r="I24" s="116"/>
      <c r="J24" s="116"/>
      <c r="K24" s="116"/>
      <c r="L24" s="115"/>
    </row>
    <row r="25" spans="1:12" x14ac:dyDescent="0.2">
      <c r="A25" s="115"/>
      <c r="B25" s="115"/>
      <c r="C25" s="115"/>
      <c r="D25" s="115"/>
      <c r="E25" s="115"/>
      <c r="F25" s="116"/>
      <c r="G25" s="116"/>
      <c r="H25" s="115"/>
      <c r="I25" s="116"/>
      <c r="J25" s="116"/>
      <c r="K25" s="116"/>
      <c r="L25" s="115"/>
    </row>
    <row r="26" spans="1:12" x14ac:dyDescent="0.2">
      <c r="A26" s="115"/>
      <c r="B26" s="115"/>
      <c r="C26" s="115"/>
      <c r="D26" s="115"/>
      <c r="E26" s="115"/>
      <c r="F26" s="116"/>
      <c r="G26" s="116"/>
      <c r="H26" s="115"/>
      <c r="I26" s="116"/>
      <c r="J26" s="116"/>
      <c r="K26" s="116"/>
      <c r="L26" s="115"/>
    </row>
    <row r="27" spans="1:12" x14ac:dyDescent="0.2">
      <c r="A27" s="115"/>
      <c r="B27" s="115"/>
      <c r="C27" s="115"/>
      <c r="D27" s="115"/>
      <c r="E27" s="115"/>
      <c r="F27" s="116"/>
      <c r="G27" s="116"/>
      <c r="H27" s="115"/>
      <c r="I27" s="116"/>
      <c r="J27" s="116"/>
      <c r="K27" s="116"/>
      <c r="L27" s="115"/>
    </row>
    <row r="28" spans="1:12" x14ac:dyDescent="0.2">
      <c r="A28" s="115"/>
      <c r="B28" s="115"/>
      <c r="C28" s="115"/>
      <c r="D28" s="115"/>
      <c r="E28" s="115"/>
      <c r="F28" s="116"/>
      <c r="G28" s="116"/>
      <c r="H28" s="115"/>
      <c r="I28" s="116"/>
      <c r="J28" s="116"/>
      <c r="K28" s="116"/>
      <c r="L28" s="115"/>
    </row>
    <row r="29" spans="1:12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2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1:12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</row>
    <row r="32" spans="1:12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spans="1:12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2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</row>
  </sheetData>
  <printOptions horizontalCentered="1"/>
  <pageMargins left="0.75" right="0.75" top="1" bottom="1" header="0.5" footer="0.5"/>
  <pageSetup scale="7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topLeftCell="A125" zoomScale="70" zoomScaleNormal="70" workbookViewId="0">
      <selection activeCell="E145" sqref="E145"/>
    </sheetView>
  </sheetViews>
  <sheetFormatPr defaultRowHeight="12.75" x14ac:dyDescent="0.2"/>
  <cols>
    <col min="1" max="1" width="17.140625" bestFit="1" customWidth="1"/>
    <col min="2" max="2" width="14.28515625" bestFit="1" customWidth="1"/>
    <col min="3" max="12" width="17.28515625" customWidth="1"/>
    <col min="13" max="13" width="8.28515625" bestFit="1" customWidth="1"/>
  </cols>
  <sheetData>
    <row r="1" spans="1:13" ht="31.5" customHeight="1" x14ac:dyDescent="0.4">
      <c r="A1" s="145" t="s">
        <v>136</v>
      </c>
      <c r="B1" s="124"/>
      <c r="C1" s="124"/>
    </row>
    <row r="2" spans="1:13" ht="19.5" customHeight="1" x14ac:dyDescent="0.25">
      <c r="A2" s="123"/>
    </row>
    <row r="3" spans="1:13" x14ac:dyDescent="0.2">
      <c r="A3" s="43" t="s">
        <v>170</v>
      </c>
      <c r="D3" s="273" t="s">
        <v>275</v>
      </c>
      <c r="E3" s="274"/>
      <c r="F3" s="274"/>
    </row>
    <row r="4" spans="1:13" ht="13.5" thickBot="1" x14ac:dyDescent="0.25">
      <c r="A4" s="35"/>
    </row>
    <row r="5" spans="1:13" ht="13.5" thickBot="1" x14ac:dyDescent="0.25">
      <c r="B5" s="693" t="s">
        <v>121</v>
      </c>
      <c r="C5" s="694"/>
      <c r="D5" s="694"/>
      <c r="E5" s="694"/>
      <c r="F5" s="694"/>
      <c r="G5" s="694"/>
      <c r="H5" s="694"/>
      <c r="I5" s="694"/>
      <c r="J5" s="694"/>
      <c r="K5" s="694"/>
      <c r="L5" s="697"/>
    </row>
    <row r="6" spans="1:13" ht="13.5" thickBot="1" x14ac:dyDescent="0.25">
      <c r="A6" s="36" t="s">
        <v>109</v>
      </c>
      <c r="B6" s="10">
        <v>2001</v>
      </c>
      <c r="C6" s="11">
        <v>2002</v>
      </c>
      <c r="D6" s="11">
        <v>2003</v>
      </c>
      <c r="E6" s="11">
        <v>2004</v>
      </c>
      <c r="F6" s="11">
        <v>2005</v>
      </c>
      <c r="G6" s="11">
        <v>2006</v>
      </c>
      <c r="H6" s="11">
        <v>2007</v>
      </c>
      <c r="I6" s="11">
        <v>2008</v>
      </c>
      <c r="J6" s="11">
        <v>2009</v>
      </c>
      <c r="K6" s="11">
        <v>2010</v>
      </c>
      <c r="L6" s="12">
        <v>2011</v>
      </c>
      <c r="M6" s="75" t="s">
        <v>116</v>
      </c>
    </row>
    <row r="7" spans="1:13" x14ac:dyDescent="0.2">
      <c r="A7" s="50" t="s">
        <v>64</v>
      </c>
      <c r="B7" s="298">
        <f>+Oil!D14*'Control Page'!B7</f>
        <v>888894.6</v>
      </c>
      <c r="C7" s="141">
        <f t="shared" ref="C7:L7" si="0">(1+IF($M7="PPI",C$136,$M7))*B7</f>
        <v>909339.17579999985</v>
      </c>
      <c r="D7" s="141">
        <f t="shared" si="0"/>
        <v>927525.95931599988</v>
      </c>
      <c r="E7" s="141">
        <f t="shared" si="0"/>
        <v>947931.53042095189</v>
      </c>
      <c r="F7" s="141">
        <f t="shared" si="0"/>
        <v>969733.95562063367</v>
      </c>
      <c r="G7" s="141">
        <f t="shared" si="0"/>
        <v>993977.30451114941</v>
      </c>
      <c r="H7" s="141">
        <f t="shared" si="0"/>
        <v>1018329.7484716725</v>
      </c>
      <c r="I7" s="141">
        <f t="shared" si="0"/>
        <v>1042769.6624349927</v>
      </c>
      <c r="J7" s="141">
        <f t="shared" si="0"/>
        <v>1067587.5804009456</v>
      </c>
      <c r="K7" s="141">
        <f t="shared" si="0"/>
        <v>1092142.0947501673</v>
      </c>
      <c r="L7" s="142">
        <f t="shared" si="0"/>
        <v>1117042.9345104711</v>
      </c>
      <c r="M7" s="95" t="s">
        <v>137</v>
      </c>
    </row>
    <row r="8" spans="1:13" x14ac:dyDescent="0.2">
      <c r="A8" s="51" t="s">
        <v>65</v>
      </c>
      <c r="B8" s="133">
        <f>+Liquids!I15*'Control Page'!B8</f>
        <v>1219447.3669462055</v>
      </c>
      <c r="C8" s="134">
        <f t="shared" ref="C8:L8" si="1">(1+IF($M8="PPI",C$136,$M8))*B8</f>
        <v>1247494.6563859682</v>
      </c>
      <c r="D8" s="134">
        <f t="shared" si="1"/>
        <v>1272444.5495136876</v>
      </c>
      <c r="E8" s="134">
        <f t="shared" si="1"/>
        <v>1300438.3296029887</v>
      </c>
      <c r="F8" s="134">
        <f t="shared" si="1"/>
        <v>1330348.4111838574</v>
      </c>
      <c r="G8" s="134">
        <f t="shared" si="1"/>
        <v>1363607.1214634536</v>
      </c>
      <c r="H8" s="134">
        <f t="shared" si="1"/>
        <v>1397015.4959393083</v>
      </c>
      <c r="I8" s="134">
        <f t="shared" si="1"/>
        <v>1430543.8678418517</v>
      </c>
      <c r="J8" s="134">
        <f t="shared" si="1"/>
        <v>1464590.8118964878</v>
      </c>
      <c r="K8" s="134">
        <f t="shared" si="1"/>
        <v>1498276.4005701069</v>
      </c>
      <c r="L8" s="135">
        <f t="shared" si="1"/>
        <v>1532437.1025031053</v>
      </c>
      <c r="M8" s="96" t="s">
        <v>137</v>
      </c>
    </row>
    <row r="9" spans="1:13" x14ac:dyDescent="0.2">
      <c r="A9" s="51" t="s">
        <v>66</v>
      </c>
      <c r="B9" s="133">
        <f>+Gas!D13*'Control Page'!B9</f>
        <v>410944.81465000013</v>
      </c>
      <c r="C9" s="134">
        <f t="shared" ref="C9:L9" si="2">(1+IF($M9="PPI",C$136,$M9))*B9</f>
        <v>420396.54538695008</v>
      </c>
      <c r="D9" s="134">
        <f t="shared" si="2"/>
        <v>428804.47629468911</v>
      </c>
      <c r="E9" s="134">
        <f t="shared" si="2"/>
        <v>438238.1747731723</v>
      </c>
      <c r="F9" s="134">
        <f t="shared" si="2"/>
        <v>448317.65279295522</v>
      </c>
      <c r="G9" s="134">
        <f t="shared" si="2"/>
        <v>459525.59411277907</v>
      </c>
      <c r="H9" s="134">
        <f t="shared" si="2"/>
        <v>470783.97116854216</v>
      </c>
      <c r="I9" s="134">
        <f t="shared" si="2"/>
        <v>482082.78647658718</v>
      </c>
      <c r="J9" s="134">
        <f t="shared" si="2"/>
        <v>493556.35679472995</v>
      </c>
      <c r="K9" s="134">
        <f t="shared" si="2"/>
        <v>504908.15300100867</v>
      </c>
      <c r="L9" s="135">
        <f t="shared" si="2"/>
        <v>516420.05888943165</v>
      </c>
      <c r="M9" s="96" t="s">
        <v>137</v>
      </c>
    </row>
    <row r="10" spans="1:13" x14ac:dyDescent="0.2">
      <c r="A10" s="51" t="s">
        <v>112</v>
      </c>
      <c r="B10" s="133">
        <f>+LNG!D9*'Control Page'!B10</f>
        <v>24942.5</v>
      </c>
      <c r="C10" s="134">
        <f t="shared" ref="C10:L10" si="3">(1+IF($M10="PPI",C$136,$M10))*B10</f>
        <v>25516.177499999998</v>
      </c>
      <c r="D10" s="134">
        <f t="shared" si="3"/>
        <v>26026.501049999999</v>
      </c>
      <c r="E10" s="134">
        <f t="shared" si="3"/>
        <v>26599.084073099999</v>
      </c>
      <c r="F10" s="134">
        <f t="shared" si="3"/>
        <v>27210.863006781296</v>
      </c>
      <c r="G10" s="134">
        <f t="shared" si="3"/>
        <v>27891.134581950824</v>
      </c>
      <c r="H10" s="134">
        <f t="shared" si="3"/>
        <v>28574.467379208618</v>
      </c>
      <c r="I10" s="134">
        <f t="shared" si="3"/>
        <v>29260.254596309624</v>
      </c>
      <c r="J10" s="134">
        <f t="shared" si="3"/>
        <v>29956.648655701792</v>
      </c>
      <c r="K10" s="134">
        <f t="shared" si="3"/>
        <v>30645.651574782933</v>
      </c>
      <c r="L10" s="135">
        <f t="shared" si="3"/>
        <v>31344.372430687981</v>
      </c>
      <c r="M10" s="96" t="s">
        <v>137</v>
      </c>
    </row>
    <row r="11" spans="1:13" x14ac:dyDescent="0.2">
      <c r="A11" s="51" t="s">
        <v>67</v>
      </c>
      <c r="B11" s="133">
        <f>+Power!D12*'Control Page'!B11</f>
        <v>490400</v>
      </c>
      <c r="C11" s="134">
        <f t="shared" ref="C11:L11" si="4">(1+IF($M11="PPI",C$136,$M11))*B11</f>
        <v>501679.19999999995</v>
      </c>
      <c r="D11" s="134">
        <f t="shared" si="4"/>
        <v>511712.78399999999</v>
      </c>
      <c r="E11" s="134">
        <f t="shared" si="4"/>
        <v>522970.46524799999</v>
      </c>
      <c r="F11" s="134">
        <f t="shared" si="4"/>
        <v>534998.785948704</v>
      </c>
      <c r="G11" s="134">
        <f t="shared" si="4"/>
        <v>548373.75559742155</v>
      </c>
      <c r="H11" s="134">
        <f t="shared" si="4"/>
        <v>561808.91260955832</v>
      </c>
      <c r="I11" s="134">
        <f t="shared" si="4"/>
        <v>575292.32651218772</v>
      </c>
      <c r="J11" s="134">
        <f t="shared" si="4"/>
        <v>588984.28388317779</v>
      </c>
      <c r="K11" s="134">
        <f t="shared" si="4"/>
        <v>602530.92241249082</v>
      </c>
      <c r="L11" s="135">
        <f t="shared" si="4"/>
        <v>616268.62744349556</v>
      </c>
      <c r="M11" s="96" t="s">
        <v>137</v>
      </c>
    </row>
    <row r="12" spans="1:13" x14ac:dyDescent="0.2">
      <c r="A12" s="51" t="s">
        <v>68</v>
      </c>
      <c r="B12" s="133">
        <f>+Coal!D13*'Control Page'!B12</f>
        <v>152810.42790383424</v>
      </c>
      <c r="C12" s="134">
        <f t="shared" ref="C12:L12" si="5">(1+IF($M12="PPI",C$136,$M12))*B12</f>
        <v>156325.06774562242</v>
      </c>
      <c r="D12" s="134">
        <f t="shared" si="5"/>
        <v>159451.56910053486</v>
      </c>
      <c r="E12" s="134">
        <f t="shared" si="5"/>
        <v>162959.50362074663</v>
      </c>
      <c r="F12" s="134">
        <f t="shared" si="5"/>
        <v>166707.5722040238</v>
      </c>
      <c r="G12" s="134">
        <f t="shared" si="5"/>
        <v>170875.26150912439</v>
      </c>
      <c r="H12" s="134">
        <f t="shared" si="5"/>
        <v>175061.70541609795</v>
      </c>
      <c r="I12" s="134">
        <f t="shared" si="5"/>
        <v>179263.18634608429</v>
      </c>
      <c r="J12" s="134">
        <f t="shared" si="5"/>
        <v>183529.65018112111</v>
      </c>
      <c r="K12" s="134">
        <f t="shared" si="5"/>
        <v>187750.83213528688</v>
      </c>
      <c r="L12" s="135">
        <f t="shared" si="5"/>
        <v>192031.55110797141</v>
      </c>
      <c r="M12" s="96" t="s">
        <v>137</v>
      </c>
    </row>
    <row r="13" spans="1:13" x14ac:dyDescent="0.2">
      <c r="A13" s="51" t="s">
        <v>69</v>
      </c>
      <c r="B13" s="133">
        <f>+Metals!I14*'Control Page'!B13</f>
        <v>691810.62000000011</v>
      </c>
      <c r="C13" s="134">
        <f t="shared" ref="C13:L13" si="6">(1+IF($M13="PPI",C$136,$M13))*B13</f>
        <v>707722.26426000008</v>
      </c>
      <c r="D13" s="134">
        <f t="shared" si="6"/>
        <v>721876.70954520011</v>
      </c>
      <c r="E13" s="134">
        <f t="shared" si="6"/>
        <v>737757.99715519452</v>
      </c>
      <c r="F13" s="134">
        <f t="shared" si="6"/>
        <v>754726.43108976388</v>
      </c>
      <c r="G13" s="134">
        <f t="shared" si="6"/>
        <v>773594.5918670079</v>
      </c>
      <c r="H13" s="134">
        <f t="shared" si="6"/>
        <v>792547.65936774958</v>
      </c>
      <c r="I13" s="134">
        <f t="shared" si="6"/>
        <v>811568.80319257558</v>
      </c>
      <c r="J13" s="134">
        <f t="shared" si="6"/>
        <v>830884.14070855896</v>
      </c>
      <c r="K13" s="134">
        <f t="shared" si="6"/>
        <v>849994.47594485572</v>
      </c>
      <c r="L13" s="135">
        <f t="shared" si="6"/>
        <v>869374.34999639832</v>
      </c>
      <c r="M13" s="96" t="s">
        <v>137</v>
      </c>
    </row>
    <row r="14" spans="1:13" x14ac:dyDescent="0.2">
      <c r="A14" s="51" t="s">
        <v>70</v>
      </c>
      <c r="B14" s="133">
        <f>+Logistics!B11*'Control Page'!B14</f>
        <v>3706000</v>
      </c>
      <c r="C14" s="134">
        <f t="shared" ref="C14:L14" si="7">(1+IF($M14="PPI",C$136,$M14))*B14</f>
        <v>3791237.9999999995</v>
      </c>
      <c r="D14" s="134">
        <f t="shared" si="7"/>
        <v>3867062.76</v>
      </c>
      <c r="E14" s="134">
        <f t="shared" si="7"/>
        <v>3952138.14072</v>
      </c>
      <c r="F14" s="134">
        <f t="shared" si="7"/>
        <v>4043037.3179565598</v>
      </c>
      <c r="G14" s="134">
        <f t="shared" si="7"/>
        <v>4144113.2509054733</v>
      </c>
      <c r="H14" s="134">
        <f t="shared" si="7"/>
        <v>4245644.0255526574</v>
      </c>
      <c r="I14" s="134">
        <f t="shared" si="7"/>
        <v>4347539.4821659215</v>
      </c>
      <c r="J14" s="134">
        <f t="shared" si="7"/>
        <v>4451010.9218414705</v>
      </c>
      <c r="K14" s="134">
        <f t="shared" si="7"/>
        <v>4553384.1730438238</v>
      </c>
      <c r="L14" s="135">
        <f t="shared" si="7"/>
        <v>4657201.3321892228</v>
      </c>
      <c r="M14" s="96" t="s">
        <v>137</v>
      </c>
    </row>
    <row r="15" spans="1:13" x14ac:dyDescent="0.2">
      <c r="A15" s="51" t="s">
        <v>71</v>
      </c>
      <c r="B15" s="133">
        <f>+'Forest Products'!J11*'Control Page'!B15</f>
        <v>376690.81</v>
      </c>
      <c r="C15" s="134">
        <f t="shared" ref="C15:L15" si="8">(1+IF($M15="PPI",C$136,$M15))*B15</f>
        <v>385354.69862999994</v>
      </c>
      <c r="D15" s="134">
        <f t="shared" si="8"/>
        <v>393061.79260259995</v>
      </c>
      <c r="E15" s="134">
        <f t="shared" si="8"/>
        <v>401709.15203985717</v>
      </c>
      <c r="F15" s="134">
        <f t="shared" si="8"/>
        <v>410948.46253677388</v>
      </c>
      <c r="G15" s="134">
        <f t="shared" si="8"/>
        <v>421222.1741001932</v>
      </c>
      <c r="H15" s="134">
        <f t="shared" si="8"/>
        <v>431542.11736564792</v>
      </c>
      <c r="I15" s="134">
        <f t="shared" si="8"/>
        <v>441899.12818242348</v>
      </c>
      <c r="J15" s="134">
        <f t="shared" si="8"/>
        <v>452416.32743316516</v>
      </c>
      <c r="K15" s="134">
        <f t="shared" si="8"/>
        <v>462821.90296412795</v>
      </c>
      <c r="L15" s="135">
        <f t="shared" si="8"/>
        <v>473374.24235171004</v>
      </c>
      <c r="M15" s="96" t="s">
        <v>137</v>
      </c>
    </row>
    <row r="16" spans="1:13" x14ac:dyDescent="0.2">
      <c r="A16" s="71" t="s">
        <v>119</v>
      </c>
      <c r="B16" s="133">
        <f>+Grains!E11*'Control Page'!B16</f>
        <v>173396.19517989029</v>
      </c>
      <c r="C16" s="134">
        <f t="shared" ref="C16:L16" si="9">(1+IF($M16="PPI",C$136,$M16))*B16</f>
        <v>177384.30766902774</v>
      </c>
      <c r="D16" s="134">
        <f t="shared" si="9"/>
        <v>180931.99382240829</v>
      </c>
      <c r="E16" s="134">
        <f t="shared" si="9"/>
        <v>184912.49768650127</v>
      </c>
      <c r="F16" s="134">
        <f t="shared" si="9"/>
        <v>189165.48513329079</v>
      </c>
      <c r="G16" s="134">
        <f t="shared" si="9"/>
        <v>193894.62226162304</v>
      </c>
      <c r="H16" s="134">
        <f t="shared" si="9"/>
        <v>198645.0405070328</v>
      </c>
      <c r="I16" s="134">
        <f t="shared" si="9"/>
        <v>203412.52147920159</v>
      </c>
      <c r="J16" s="134">
        <f t="shared" si="9"/>
        <v>208253.73949040659</v>
      </c>
      <c r="K16" s="134">
        <f t="shared" si="9"/>
        <v>213043.57549868591</v>
      </c>
      <c r="L16" s="135">
        <f t="shared" si="9"/>
        <v>217900.96902005593</v>
      </c>
      <c r="M16" s="92" t="s">
        <v>137</v>
      </c>
    </row>
    <row r="17" spans="1:13" x14ac:dyDescent="0.2">
      <c r="A17" s="71" t="s">
        <v>120</v>
      </c>
      <c r="B17" s="133">
        <f>38000*'Control Page'!B17</f>
        <v>38000</v>
      </c>
      <c r="C17" s="134">
        <f t="shared" ref="C17:L17" si="10">(1+IF($M17="PPI",C$136,$M17))*B17</f>
        <v>51300</v>
      </c>
      <c r="D17" s="134">
        <f t="shared" si="10"/>
        <v>69255</v>
      </c>
      <c r="E17" s="134">
        <f t="shared" si="10"/>
        <v>93494.25</v>
      </c>
      <c r="F17" s="134">
        <f t="shared" si="10"/>
        <v>126217.2375</v>
      </c>
      <c r="G17" s="134">
        <f t="shared" si="10"/>
        <v>170393.270625</v>
      </c>
      <c r="H17" s="134">
        <f t="shared" si="10"/>
        <v>230030.91534375004</v>
      </c>
      <c r="I17" s="134">
        <f t="shared" si="10"/>
        <v>310541.73571406258</v>
      </c>
      <c r="J17" s="134">
        <f t="shared" si="10"/>
        <v>419231.34321398451</v>
      </c>
      <c r="K17" s="134">
        <f t="shared" si="10"/>
        <v>565962.31333887915</v>
      </c>
      <c r="L17" s="135">
        <f t="shared" si="10"/>
        <v>764049.12300748692</v>
      </c>
      <c r="M17" s="96">
        <v>0.35</v>
      </c>
    </row>
    <row r="18" spans="1:13" ht="13.5" thickBot="1" x14ac:dyDescent="0.25">
      <c r="A18" s="52" t="s">
        <v>113</v>
      </c>
      <c r="B18" s="136">
        <f>+'Pet Chems and Plastics'!J35*'Control Page'!B18</f>
        <v>437188.16006665898</v>
      </c>
      <c r="C18" s="137">
        <f t="shared" ref="C18:L18" si="11">(1+IF($M18="PPI",C$136,$M18))*B18</f>
        <v>447243.4877481921</v>
      </c>
      <c r="D18" s="137">
        <f t="shared" si="11"/>
        <v>456188.35750315594</v>
      </c>
      <c r="E18" s="137">
        <f t="shared" si="11"/>
        <v>466224.50136822538</v>
      </c>
      <c r="F18" s="137">
        <f t="shared" si="11"/>
        <v>476947.6648996945</v>
      </c>
      <c r="G18" s="137">
        <f t="shared" si="11"/>
        <v>488871.35652218683</v>
      </c>
      <c r="H18" s="137">
        <f t="shared" si="11"/>
        <v>500848.70475698041</v>
      </c>
      <c r="I18" s="137">
        <f t="shared" si="11"/>
        <v>512869.07367114793</v>
      </c>
      <c r="J18" s="137">
        <f t="shared" si="11"/>
        <v>525075.35762452125</v>
      </c>
      <c r="K18" s="137">
        <f t="shared" si="11"/>
        <v>537152.09084988513</v>
      </c>
      <c r="L18" s="138">
        <f t="shared" si="11"/>
        <v>549399.15852126246</v>
      </c>
      <c r="M18" s="97" t="s">
        <v>137</v>
      </c>
    </row>
    <row r="19" spans="1:13" ht="13.5" thickBot="1" x14ac:dyDescent="0.25">
      <c r="A19" s="36" t="s">
        <v>124</v>
      </c>
      <c r="B19" s="137">
        <f>SUM(B7:B18)</f>
        <v>8610525.4947465882</v>
      </c>
      <c r="C19" s="137">
        <f t="shared" ref="C19:L19" si="12">SUM(C7:C18)</f>
        <v>8820993.5811257586</v>
      </c>
      <c r="D19" s="137">
        <f t="shared" si="12"/>
        <v>9014342.4527482744</v>
      </c>
      <c r="E19" s="137">
        <f t="shared" si="12"/>
        <v>9235373.6267087366</v>
      </c>
      <c r="F19" s="137">
        <f t="shared" si="12"/>
        <v>9478359.8398730382</v>
      </c>
      <c r="G19" s="137">
        <f t="shared" si="12"/>
        <v>9756339.438057363</v>
      </c>
      <c r="H19" s="137">
        <f t="shared" si="12"/>
        <v>10050832.763878206</v>
      </c>
      <c r="I19" s="137">
        <f t="shared" si="12"/>
        <v>10367042.828613348</v>
      </c>
      <c r="J19" s="137">
        <f t="shared" si="12"/>
        <v>10715077.162124271</v>
      </c>
      <c r="K19" s="137">
        <f t="shared" si="12"/>
        <v>11098612.586084101</v>
      </c>
      <c r="L19" s="138">
        <f t="shared" si="12"/>
        <v>11536843.821971301</v>
      </c>
      <c r="M19" s="87"/>
    </row>
    <row r="20" spans="1:13" x14ac:dyDescent="0.2">
      <c r="A20" s="35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87"/>
    </row>
    <row r="21" spans="1:13" x14ac:dyDescent="0.2">
      <c r="A21" s="35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87"/>
    </row>
    <row r="22" spans="1:13" x14ac:dyDescent="0.2">
      <c r="A22" s="43" t="s">
        <v>248</v>
      </c>
      <c r="D22" s="273" t="s">
        <v>254</v>
      </c>
      <c r="E22" s="274"/>
      <c r="F22" s="274"/>
      <c r="G22" s="274"/>
    </row>
    <row r="23" spans="1:13" ht="13.5" thickBot="1" x14ac:dyDescent="0.25">
      <c r="A23" s="35"/>
    </row>
    <row r="24" spans="1:13" ht="13.5" thickBot="1" x14ac:dyDescent="0.25">
      <c r="B24" s="693" t="s">
        <v>121</v>
      </c>
      <c r="C24" s="694"/>
      <c r="D24" s="694"/>
      <c r="E24" s="694"/>
      <c r="F24" s="694"/>
      <c r="G24" s="694"/>
      <c r="H24" s="694"/>
      <c r="I24" s="694"/>
      <c r="J24" s="694"/>
      <c r="K24" s="694"/>
      <c r="L24" s="697"/>
    </row>
    <row r="25" spans="1:13" ht="13.5" thickBot="1" x14ac:dyDescent="0.25">
      <c r="A25" s="36" t="s">
        <v>109</v>
      </c>
      <c r="B25" s="10">
        <v>2001</v>
      </c>
      <c r="C25" s="11">
        <v>2002</v>
      </c>
      <c r="D25" s="11">
        <v>2003</v>
      </c>
      <c r="E25" s="11">
        <v>2004</v>
      </c>
      <c r="F25" s="11">
        <v>2005</v>
      </c>
      <c r="G25" s="11">
        <v>2006</v>
      </c>
      <c r="H25" s="11">
        <v>2007</v>
      </c>
      <c r="I25" s="11">
        <v>2008</v>
      </c>
      <c r="J25" s="11">
        <v>2009</v>
      </c>
      <c r="K25" s="11">
        <v>2010</v>
      </c>
      <c r="L25" s="12">
        <v>2011</v>
      </c>
    </row>
    <row r="26" spans="1:13" x14ac:dyDescent="0.2">
      <c r="A26" s="50" t="s">
        <v>64</v>
      </c>
      <c r="B26" s="140">
        <f>+B7*' Volume Assumptions'!$I7</f>
        <v>1777789.2</v>
      </c>
      <c r="C26" s="141">
        <f>+C7*' Volume Assumptions'!$I7</f>
        <v>1818678.3515999997</v>
      </c>
      <c r="D26" s="141">
        <f>+D7*' Volume Assumptions'!$I7</f>
        <v>1855051.9186319998</v>
      </c>
      <c r="E26" s="141">
        <f>+E7*' Volume Assumptions'!$I7</f>
        <v>1895863.0608419038</v>
      </c>
      <c r="F26" s="141">
        <f>+F7*' Volume Assumptions'!$I7</f>
        <v>1939467.9112412673</v>
      </c>
      <c r="G26" s="141">
        <f>+G7*' Volume Assumptions'!$I7</f>
        <v>1987954.6090222988</v>
      </c>
      <c r="H26" s="141">
        <f>+H7*' Volume Assumptions'!$I7</f>
        <v>2036659.4969433451</v>
      </c>
      <c r="I26" s="141">
        <f>+I7*' Volume Assumptions'!$I7</f>
        <v>2085539.3248699855</v>
      </c>
      <c r="J26" s="141">
        <f>+J7*' Volume Assumptions'!$I7</f>
        <v>2135175.1608018912</v>
      </c>
      <c r="K26" s="141">
        <f>+K7*' Volume Assumptions'!$I7</f>
        <v>2184284.1895003347</v>
      </c>
      <c r="L26" s="142">
        <f>+L7*' Volume Assumptions'!$I7</f>
        <v>2234085.8690209421</v>
      </c>
      <c r="M26" s="1"/>
    </row>
    <row r="27" spans="1:13" x14ac:dyDescent="0.2">
      <c r="A27" s="51" t="s">
        <v>65</v>
      </c>
      <c r="B27" s="133">
        <f>+B8*' Volume Assumptions'!$I8</f>
        <v>1829171.0504193082</v>
      </c>
      <c r="C27" s="134">
        <f>+C8*' Volume Assumptions'!$I8</f>
        <v>1871241.9845789522</v>
      </c>
      <c r="D27" s="134">
        <f>+D8*' Volume Assumptions'!$I8</f>
        <v>1908666.8242705315</v>
      </c>
      <c r="E27" s="134">
        <f>+E8*' Volume Assumptions'!$I8</f>
        <v>1950657.4944044831</v>
      </c>
      <c r="F27" s="134">
        <f>+F8*' Volume Assumptions'!$I8</f>
        <v>1995522.616775786</v>
      </c>
      <c r="G27" s="134">
        <f>+G8*' Volume Assumptions'!$I8</f>
        <v>2045410.6821951806</v>
      </c>
      <c r="H27" s="134">
        <f>+H8*' Volume Assumptions'!$I8</f>
        <v>2095523.2439089625</v>
      </c>
      <c r="I27" s="134">
        <f>+I8*' Volume Assumptions'!$I8</f>
        <v>2145815.8017627774</v>
      </c>
      <c r="J27" s="134">
        <f>+J8*' Volume Assumptions'!$I8</f>
        <v>2196886.2178447316</v>
      </c>
      <c r="K27" s="134">
        <f>+K8*' Volume Assumptions'!$I8</f>
        <v>2247414.6008551605</v>
      </c>
      <c r="L27" s="135">
        <f>+L8*' Volume Assumptions'!$I8</f>
        <v>2298655.6537546581</v>
      </c>
      <c r="M27" s="1"/>
    </row>
    <row r="28" spans="1:13" x14ac:dyDescent="0.2">
      <c r="A28" s="51" t="s">
        <v>66</v>
      </c>
      <c r="B28" s="133">
        <f>+B9*' Volume Assumptions'!$I9</f>
        <v>2465668.8879000009</v>
      </c>
      <c r="C28" s="134">
        <f>+C9*' Volume Assumptions'!$I9</f>
        <v>2522379.2723217006</v>
      </c>
      <c r="D28" s="134">
        <f>+D9*' Volume Assumptions'!$I9</f>
        <v>2572826.8577681347</v>
      </c>
      <c r="E28" s="134">
        <f>+E9*' Volume Assumptions'!$I9</f>
        <v>2629429.0486390339</v>
      </c>
      <c r="F28" s="134">
        <f>+F9*' Volume Assumptions'!$I9</f>
        <v>2689905.9167577312</v>
      </c>
      <c r="G28" s="134">
        <f>+G9*' Volume Assumptions'!$I9</f>
        <v>2757153.5646766745</v>
      </c>
      <c r="H28" s="134">
        <f>+H9*' Volume Assumptions'!$I9</f>
        <v>2824703.8270112528</v>
      </c>
      <c r="I28" s="134">
        <f>+I9*' Volume Assumptions'!$I9</f>
        <v>2892496.7188595231</v>
      </c>
      <c r="J28" s="134">
        <f>+J9*' Volume Assumptions'!$I9</f>
        <v>2961338.1407683799</v>
      </c>
      <c r="K28" s="134">
        <f>+K9*' Volume Assumptions'!$I9</f>
        <v>3029448.9180060523</v>
      </c>
      <c r="L28" s="135">
        <f>+L9*' Volume Assumptions'!$I9</f>
        <v>3098520.3533365899</v>
      </c>
      <c r="M28" s="1"/>
    </row>
    <row r="29" spans="1:13" x14ac:dyDescent="0.2">
      <c r="A29" s="51" t="s">
        <v>112</v>
      </c>
      <c r="B29" s="133">
        <f>+B10*' Volume Assumptions'!$I10</f>
        <v>49885</v>
      </c>
      <c r="C29" s="134">
        <f>+C10*' Volume Assumptions'!$I10</f>
        <v>51032.354999999996</v>
      </c>
      <c r="D29" s="134">
        <f>+D10*' Volume Assumptions'!$I10</f>
        <v>52053.002099999998</v>
      </c>
      <c r="E29" s="134">
        <f>+E10*' Volume Assumptions'!$I10</f>
        <v>53198.168146199998</v>
      </c>
      <c r="F29" s="134">
        <f>+F10*' Volume Assumptions'!$I10</f>
        <v>54421.726013562591</v>
      </c>
      <c r="G29" s="134">
        <f>+G10*' Volume Assumptions'!$I10</f>
        <v>55782.269163901648</v>
      </c>
      <c r="H29" s="134">
        <f>+H10*' Volume Assumptions'!$I10</f>
        <v>57148.934758417236</v>
      </c>
      <c r="I29" s="134">
        <f>+I10*' Volume Assumptions'!$I10</f>
        <v>58520.509192619247</v>
      </c>
      <c r="J29" s="134">
        <f>+J10*' Volume Assumptions'!$I10</f>
        <v>59913.297311403585</v>
      </c>
      <c r="K29" s="134">
        <f>+K10*' Volume Assumptions'!$I10</f>
        <v>61291.303149565865</v>
      </c>
      <c r="L29" s="135">
        <f>+L10*' Volume Assumptions'!$I10</f>
        <v>62688.744861375963</v>
      </c>
      <c r="M29" s="1"/>
    </row>
    <row r="30" spans="1:13" x14ac:dyDescent="0.2">
      <c r="A30" s="51" t="s">
        <v>67</v>
      </c>
      <c r="B30" s="133">
        <f>+B11*' Volume Assumptions'!$I11</f>
        <v>1961600</v>
      </c>
      <c r="C30" s="134">
        <f>+C11*' Volume Assumptions'!$I11</f>
        <v>2006716.7999999998</v>
      </c>
      <c r="D30" s="134">
        <f>+D11*' Volume Assumptions'!$I11</f>
        <v>2046851.1359999999</v>
      </c>
      <c r="E30" s="134">
        <f>+E11*' Volume Assumptions'!$I11</f>
        <v>2091881.860992</v>
      </c>
      <c r="F30" s="134">
        <f>+F11*' Volume Assumptions'!$I11</f>
        <v>2139995.143794816</v>
      </c>
      <c r="G30" s="134">
        <f>+G11*' Volume Assumptions'!$I11</f>
        <v>2193495.0223896862</v>
      </c>
      <c r="H30" s="134">
        <f>+H11*' Volume Assumptions'!$I11</f>
        <v>2247235.6504382333</v>
      </c>
      <c r="I30" s="134">
        <f>+I11*' Volume Assumptions'!$I11</f>
        <v>2301169.3060487509</v>
      </c>
      <c r="J30" s="134">
        <f>+J11*' Volume Assumptions'!$I11</f>
        <v>2355937.1355327112</v>
      </c>
      <c r="K30" s="134">
        <f>+K11*' Volume Assumptions'!$I11</f>
        <v>2410123.6896499633</v>
      </c>
      <c r="L30" s="135">
        <f>+L11*' Volume Assumptions'!$I11</f>
        <v>2465074.5097739822</v>
      </c>
      <c r="M30" s="1"/>
    </row>
    <row r="31" spans="1:13" x14ac:dyDescent="0.2">
      <c r="A31" s="51" t="s">
        <v>68</v>
      </c>
      <c r="B31" s="133">
        <f>+B12*' Volume Assumptions'!$I12</f>
        <v>183372.51348460108</v>
      </c>
      <c r="C31" s="134">
        <f>+C12*' Volume Assumptions'!$I12</f>
        <v>187590.08129474689</v>
      </c>
      <c r="D31" s="134">
        <f>+D12*' Volume Assumptions'!$I12</f>
        <v>191341.88292064183</v>
      </c>
      <c r="E31" s="134">
        <f>+E12*' Volume Assumptions'!$I12</f>
        <v>195551.40434489594</v>
      </c>
      <c r="F31" s="134">
        <f>+F12*' Volume Assumptions'!$I12</f>
        <v>200049.08664482855</v>
      </c>
      <c r="G31" s="134">
        <f>+G12*' Volume Assumptions'!$I12</f>
        <v>205050.31381094927</v>
      </c>
      <c r="H31" s="134">
        <f>+H12*' Volume Assumptions'!$I12</f>
        <v>210074.04649931754</v>
      </c>
      <c r="I31" s="134">
        <f>+I12*' Volume Assumptions'!$I12</f>
        <v>215115.82361530114</v>
      </c>
      <c r="J31" s="134">
        <f>+J12*' Volume Assumptions'!$I12</f>
        <v>220235.58021734533</v>
      </c>
      <c r="K31" s="134">
        <f>+K12*' Volume Assumptions'!$I12</f>
        <v>225300.99856234426</v>
      </c>
      <c r="L31" s="135">
        <f>+L12*' Volume Assumptions'!$I12</f>
        <v>230437.86132956567</v>
      </c>
      <c r="M31" s="1"/>
    </row>
    <row r="32" spans="1:13" x14ac:dyDescent="0.2">
      <c r="A32" s="51" t="s">
        <v>69</v>
      </c>
      <c r="B32" s="133">
        <f>+B13*' Volume Assumptions'!$I13</f>
        <v>691810.62000000011</v>
      </c>
      <c r="C32" s="134">
        <f>+C13*' Volume Assumptions'!$I13</f>
        <v>707722.26426000008</v>
      </c>
      <c r="D32" s="134">
        <f>+D13*' Volume Assumptions'!$I13</f>
        <v>721876.70954520011</v>
      </c>
      <c r="E32" s="134">
        <f>+E13*' Volume Assumptions'!$I13</f>
        <v>737757.99715519452</v>
      </c>
      <c r="F32" s="134">
        <f>+F13*' Volume Assumptions'!$I13</f>
        <v>754726.43108976388</v>
      </c>
      <c r="G32" s="134">
        <f>+G13*' Volume Assumptions'!$I13</f>
        <v>773594.5918670079</v>
      </c>
      <c r="H32" s="134">
        <f>+H13*' Volume Assumptions'!$I13</f>
        <v>792547.65936774958</v>
      </c>
      <c r="I32" s="134">
        <f>+I13*' Volume Assumptions'!$I13</f>
        <v>811568.80319257558</v>
      </c>
      <c r="J32" s="134">
        <f>+J13*' Volume Assumptions'!$I13</f>
        <v>830884.14070855896</v>
      </c>
      <c r="K32" s="134">
        <f>+K13*' Volume Assumptions'!$I13</f>
        <v>849994.47594485572</v>
      </c>
      <c r="L32" s="135">
        <f>+L13*' Volume Assumptions'!$I13</f>
        <v>869374.34999639832</v>
      </c>
      <c r="M32" s="1"/>
    </row>
    <row r="33" spans="1:13" x14ac:dyDescent="0.2">
      <c r="A33" s="51" t="s">
        <v>70</v>
      </c>
      <c r="B33" s="133">
        <f>+B14*' Volume Assumptions'!$I14</f>
        <v>7412000</v>
      </c>
      <c r="C33" s="134">
        <f>+C14*' Volume Assumptions'!$I14</f>
        <v>7582475.9999999991</v>
      </c>
      <c r="D33" s="134">
        <f>+D14*' Volume Assumptions'!$I14</f>
        <v>7734125.5199999996</v>
      </c>
      <c r="E33" s="134">
        <f>+E14*' Volume Assumptions'!$I14</f>
        <v>7904276.28144</v>
      </c>
      <c r="F33" s="134">
        <f>+F14*' Volume Assumptions'!$I14</f>
        <v>8086074.6359131197</v>
      </c>
      <c r="G33" s="134">
        <f>+G14*' Volume Assumptions'!$I14</f>
        <v>8288226.5018109465</v>
      </c>
      <c r="H33" s="134">
        <f>+H14*' Volume Assumptions'!$I14</f>
        <v>8491288.0511053149</v>
      </c>
      <c r="I33" s="134">
        <f>+I14*' Volume Assumptions'!$I14</f>
        <v>8695078.964331843</v>
      </c>
      <c r="J33" s="134">
        <f>+J14*' Volume Assumptions'!$I14</f>
        <v>8902021.843682941</v>
      </c>
      <c r="K33" s="134">
        <f>+K14*' Volume Assumptions'!$I14</f>
        <v>9106768.3460876476</v>
      </c>
      <c r="L33" s="135">
        <f>+L14*' Volume Assumptions'!$I14</f>
        <v>9314402.6643784456</v>
      </c>
      <c r="M33" s="1"/>
    </row>
    <row r="34" spans="1:13" x14ac:dyDescent="0.2">
      <c r="A34" s="51" t="s">
        <v>71</v>
      </c>
      <c r="B34" s="133">
        <f>+B15*' Volume Assumptions'!$I15</f>
        <v>1506763.24</v>
      </c>
      <c r="C34" s="134">
        <f>+C15*' Volume Assumptions'!$I15</f>
        <v>1541418.7945199998</v>
      </c>
      <c r="D34" s="134">
        <f>+D15*' Volume Assumptions'!$I15</f>
        <v>1572247.1704103998</v>
      </c>
      <c r="E34" s="134">
        <f>+E15*' Volume Assumptions'!$I15</f>
        <v>1606836.6081594287</v>
      </c>
      <c r="F34" s="134">
        <f>+F15*' Volume Assumptions'!$I15</f>
        <v>1643793.8501470955</v>
      </c>
      <c r="G34" s="134">
        <f>+G15*' Volume Assumptions'!$I15</f>
        <v>1684888.6964007728</v>
      </c>
      <c r="H34" s="134">
        <f>+H15*' Volume Assumptions'!$I15</f>
        <v>1726168.4694625917</v>
      </c>
      <c r="I34" s="134">
        <f>+I15*' Volume Assumptions'!$I15</f>
        <v>1767596.5127296939</v>
      </c>
      <c r="J34" s="134">
        <f>+J15*' Volume Assumptions'!$I15</f>
        <v>1809665.3097326607</v>
      </c>
      <c r="K34" s="134">
        <f>+K15*' Volume Assumptions'!$I15</f>
        <v>1851287.6118565118</v>
      </c>
      <c r="L34" s="135">
        <f>+L15*' Volume Assumptions'!$I15</f>
        <v>1893496.9694068402</v>
      </c>
      <c r="M34" s="1"/>
    </row>
    <row r="35" spans="1:13" x14ac:dyDescent="0.2">
      <c r="A35" s="71" t="s">
        <v>119</v>
      </c>
      <c r="B35" s="133">
        <f>+B16*' Volume Assumptions'!$I16</f>
        <v>346792.39035978058</v>
      </c>
      <c r="C35" s="134">
        <f>+C16*' Volume Assumptions'!$I16</f>
        <v>354768.61533805548</v>
      </c>
      <c r="D35" s="134">
        <f>+D16*' Volume Assumptions'!$I16</f>
        <v>361863.98764481657</v>
      </c>
      <c r="E35" s="134">
        <f>+E16*' Volume Assumptions'!$I16</f>
        <v>369824.99537300254</v>
      </c>
      <c r="F35" s="134">
        <f>+F16*' Volume Assumptions'!$I16</f>
        <v>378330.97026658157</v>
      </c>
      <c r="G35" s="134">
        <f>+G16*' Volume Assumptions'!$I16</f>
        <v>387789.24452324607</v>
      </c>
      <c r="H35" s="134">
        <f>+H16*' Volume Assumptions'!$I16</f>
        <v>397290.0810140656</v>
      </c>
      <c r="I35" s="134">
        <f>+I16*' Volume Assumptions'!$I16</f>
        <v>406825.04295840318</v>
      </c>
      <c r="J35" s="134">
        <f>+J16*' Volume Assumptions'!$I16</f>
        <v>416507.47898081318</v>
      </c>
      <c r="K35" s="134">
        <f>+K16*' Volume Assumptions'!$I16</f>
        <v>426087.15099737182</v>
      </c>
      <c r="L35" s="135">
        <f>+L16*' Volume Assumptions'!$I16</f>
        <v>435801.93804011185</v>
      </c>
      <c r="M35" s="1"/>
    </row>
    <row r="36" spans="1:13" x14ac:dyDescent="0.2">
      <c r="A36" s="71" t="s">
        <v>120</v>
      </c>
      <c r="B36" s="133">
        <f>+B17*' Volume Assumptions'!$I17</f>
        <v>76000</v>
      </c>
      <c r="C36" s="134">
        <f>+C17*' Volume Assumptions'!$I17</f>
        <v>102600</v>
      </c>
      <c r="D36" s="134">
        <f>+D17*' Volume Assumptions'!$I17</f>
        <v>138510</v>
      </c>
      <c r="E36" s="134">
        <f>+E17*' Volume Assumptions'!$I17</f>
        <v>186988.5</v>
      </c>
      <c r="F36" s="134">
        <f>+F17*' Volume Assumptions'!$I17</f>
        <v>252434.47500000001</v>
      </c>
      <c r="G36" s="134">
        <f>+G17*' Volume Assumptions'!$I17</f>
        <v>340786.54125000001</v>
      </c>
      <c r="H36" s="134">
        <f>+H17*' Volume Assumptions'!$I17</f>
        <v>460061.83068750007</v>
      </c>
      <c r="I36" s="134">
        <f>+I17*' Volume Assumptions'!$I17</f>
        <v>621083.47142812517</v>
      </c>
      <c r="J36" s="134">
        <f>+J17*' Volume Assumptions'!$I17</f>
        <v>838462.68642796902</v>
      </c>
      <c r="K36" s="134">
        <f>+K17*' Volume Assumptions'!$I17</f>
        <v>1131924.6266777583</v>
      </c>
      <c r="L36" s="135">
        <f>+L17*' Volume Assumptions'!$I17</f>
        <v>1528098.2460149738</v>
      </c>
      <c r="M36" s="1"/>
    </row>
    <row r="37" spans="1:13" ht="13.5" thickBot="1" x14ac:dyDescent="0.25">
      <c r="A37" s="52" t="s">
        <v>113</v>
      </c>
      <c r="B37" s="136">
        <f>+B18*' Volume Assumptions'!$I18</f>
        <v>655782.24009998841</v>
      </c>
      <c r="C37" s="137">
        <f>+C18*' Volume Assumptions'!$I18</f>
        <v>670865.23162228812</v>
      </c>
      <c r="D37" s="137">
        <f>+D18*' Volume Assumptions'!$I18</f>
        <v>684282.53625473392</v>
      </c>
      <c r="E37" s="137">
        <f>+E18*' Volume Assumptions'!$I18</f>
        <v>699336.7520523381</v>
      </c>
      <c r="F37" s="137">
        <f>+F18*' Volume Assumptions'!$I18</f>
        <v>715421.49734954175</v>
      </c>
      <c r="G37" s="137">
        <f>+G18*' Volume Assumptions'!$I18</f>
        <v>733307.03478328022</v>
      </c>
      <c r="H37" s="137">
        <f>+H18*' Volume Assumptions'!$I18</f>
        <v>751273.05713547068</v>
      </c>
      <c r="I37" s="137">
        <f>+I18*' Volume Assumptions'!$I18</f>
        <v>769303.61050672189</v>
      </c>
      <c r="J37" s="137">
        <f>+J18*' Volume Assumptions'!$I18</f>
        <v>787613.03643678187</v>
      </c>
      <c r="K37" s="137">
        <f>+K18*' Volume Assumptions'!$I18</f>
        <v>805728.13627482764</v>
      </c>
      <c r="L37" s="138">
        <f>+L18*' Volume Assumptions'!$I18</f>
        <v>824098.73778189369</v>
      </c>
      <c r="M37" s="1"/>
    </row>
    <row r="38" spans="1:13" ht="13.5" thickBot="1" x14ac:dyDescent="0.25">
      <c r="A38" s="36" t="s">
        <v>124</v>
      </c>
      <c r="B38" s="268">
        <f t="shared" ref="B38:L38" si="13">SUM(B26:B37)</f>
        <v>18956635.142263681</v>
      </c>
      <c r="C38" s="268">
        <f t="shared" si="13"/>
        <v>19417489.750535741</v>
      </c>
      <c r="D38" s="268">
        <f t="shared" si="13"/>
        <v>19839697.545546457</v>
      </c>
      <c r="E38" s="268">
        <f t="shared" si="13"/>
        <v>20321602.171548482</v>
      </c>
      <c r="F38" s="268">
        <f t="shared" si="13"/>
        <v>20850144.260994095</v>
      </c>
      <c r="G38" s="268">
        <f t="shared" si="13"/>
        <v>21453439.071893949</v>
      </c>
      <c r="H38" s="268">
        <f t="shared" si="13"/>
        <v>22089974.348332223</v>
      </c>
      <c r="I38" s="268">
        <f t="shared" si="13"/>
        <v>22770113.889496323</v>
      </c>
      <c r="J38" s="268">
        <f t="shared" si="13"/>
        <v>23514640.028446186</v>
      </c>
      <c r="K38" s="268">
        <f t="shared" si="13"/>
        <v>24329654.047562398</v>
      </c>
      <c r="L38" s="269">
        <f t="shared" si="13"/>
        <v>25254735.897695776</v>
      </c>
      <c r="M38" s="87"/>
    </row>
    <row r="41" spans="1:13" x14ac:dyDescent="0.2">
      <c r="A41" s="41" t="s">
        <v>249</v>
      </c>
      <c r="D41" s="273" t="s">
        <v>274</v>
      </c>
      <c r="E41" s="274"/>
      <c r="F41" s="274"/>
      <c r="G41" s="274"/>
      <c r="H41" s="274"/>
    </row>
    <row r="42" spans="1:13" ht="13.5" thickBot="1" x14ac:dyDescent="0.25"/>
    <row r="43" spans="1:13" ht="13.5" thickBot="1" x14ac:dyDescent="0.25">
      <c r="B43" s="693" t="s">
        <v>121</v>
      </c>
      <c r="C43" s="694"/>
      <c r="D43" s="694"/>
      <c r="E43" s="694"/>
      <c r="F43" s="694"/>
      <c r="G43" s="694"/>
      <c r="H43" s="694"/>
      <c r="I43" s="694"/>
      <c r="J43" s="694"/>
      <c r="K43" s="694"/>
      <c r="L43" s="697"/>
    </row>
    <row r="44" spans="1:13" ht="13.5" thickBot="1" x14ac:dyDescent="0.25">
      <c r="A44" s="36" t="s">
        <v>109</v>
      </c>
      <c r="B44" s="261">
        <v>2001</v>
      </c>
      <c r="C44" s="262">
        <v>2002</v>
      </c>
      <c r="D44" s="262">
        <v>2003</v>
      </c>
      <c r="E44" s="262">
        <v>2004</v>
      </c>
      <c r="F44" s="262">
        <v>2005</v>
      </c>
      <c r="G44" s="262">
        <v>2006</v>
      </c>
      <c r="H44" s="262">
        <v>2007</v>
      </c>
      <c r="I44" s="262">
        <v>2008</v>
      </c>
      <c r="J44" s="262">
        <v>2009</v>
      </c>
      <c r="K44" s="262">
        <v>2010</v>
      </c>
      <c r="L44" s="263">
        <v>2011</v>
      </c>
    </row>
    <row r="45" spans="1:13" x14ac:dyDescent="0.2">
      <c r="A45" s="50" t="s">
        <v>64</v>
      </c>
      <c r="B45" s="140">
        <f>+B7*' Volume Assumptions'!$J7</f>
        <v>4444473</v>
      </c>
      <c r="C45" s="141">
        <f>+C7*' Volume Assumptions'!$J7</f>
        <v>4546695.8789999988</v>
      </c>
      <c r="D45" s="141">
        <f>+D7*' Volume Assumptions'!$J7</f>
        <v>4637629.7965799998</v>
      </c>
      <c r="E45" s="141">
        <f>+E7*' Volume Assumptions'!$J7</f>
        <v>4739657.6521047596</v>
      </c>
      <c r="F45" s="141">
        <f>+F7*' Volume Assumptions'!$J7</f>
        <v>4848669.7781031681</v>
      </c>
      <c r="G45" s="141">
        <f>+G7*' Volume Assumptions'!$J7</f>
        <v>4969886.5225557471</v>
      </c>
      <c r="H45" s="141">
        <f>+H7*' Volume Assumptions'!$J7</f>
        <v>5091648.7423583623</v>
      </c>
      <c r="I45" s="141">
        <f>+I7*' Volume Assumptions'!$J7</f>
        <v>5213848.3121749638</v>
      </c>
      <c r="J45" s="141">
        <f>+J7*' Volume Assumptions'!$J7</f>
        <v>5337937.9020047281</v>
      </c>
      <c r="K45" s="141">
        <f>+K7*' Volume Assumptions'!$J7</f>
        <v>5460710.4737508371</v>
      </c>
      <c r="L45" s="142">
        <f>+L7*' Volume Assumptions'!$J7</f>
        <v>5585214.6725523556</v>
      </c>
    </row>
    <row r="46" spans="1:13" x14ac:dyDescent="0.2">
      <c r="A46" s="51" t="s">
        <v>65</v>
      </c>
      <c r="B46" s="133">
        <f>+B8*' Volume Assumptions'!$J8</f>
        <v>3048618.4173655137</v>
      </c>
      <c r="C46" s="134">
        <f>+C8*' Volume Assumptions'!$J8</f>
        <v>3118736.6409649206</v>
      </c>
      <c r="D46" s="134">
        <f>+D8*' Volume Assumptions'!$J8</f>
        <v>3181111.3737842189</v>
      </c>
      <c r="E46" s="134">
        <f>+E8*' Volume Assumptions'!$J8</f>
        <v>3251095.8240074716</v>
      </c>
      <c r="F46" s="134">
        <f>+F8*' Volume Assumptions'!$J8</f>
        <v>3325871.0279596434</v>
      </c>
      <c r="G46" s="134">
        <f>+G8*' Volume Assumptions'!$J8</f>
        <v>3409017.803658634</v>
      </c>
      <c r="H46" s="134">
        <f>+H8*' Volume Assumptions'!$J8</f>
        <v>3492538.739848271</v>
      </c>
      <c r="I46" s="134">
        <f>+I8*' Volume Assumptions'!$J8</f>
        <v>3576359.6696046293</v>
      </c>
      <c r="J46" s="134">
        <f>+J8*' Volume Assumptions'!$J8</f>
        <v>3661477.0297412197</v>
      </c>
      <c r="K46" s="134">
        <f>+K8*' Volume Assumptions'!$J8</f>
        <v>3745691.0014252672</v>
      </c>
      <c r="L46" s="135">
        <f>+L8*' Volume Assumptions'!$J8</f>
        <v>3831092.7562577631</v>
      </c>
    </row>
    <row r="47" spans="1:13" x14ac:dyDescent="0.2">
      <c r="A47" s="51" t="s">
        <v>66</v>
      </c>
      <c r="B47" s="133">
        <f>+B9*' Volume Assumptions'!$J9</f>
        <v>6164172.219750002</v>
      </c>
      <c r="C47" s="134">
        <f>+C9*' Volume Assumptions'!$J9</f>
        <v>6305948.1808042508</v>
      </c>
      <c r="D47" s="134">
        <f>+D9*' Volume Assumptions'!$J9</f>
        <v>6432067.1444203369</v>
      </c>
      <c r="E47" s="134">
        <f>+E9*' Volume Assumptions'!$J9</f>
        <v>6573572.6215975843</v>
      </c>
      <c r="F47" s="134">
        <f>+F9*' Volume Assumptions'!$J9</f>
        <v>6724764.7918943288</v>
      </c>
      <c r="G47" s="134">
        <f>+G9*' Volume Assumptions'!$J9</f>
        <v>6892883.9116916861</v>
      </c>
      <c r="H47" s="134">
        <f>+H9*' Volume Assumptions'!$J9</f>
        <v>7061759.5675281323</v>
      </c>
      <c r="I47" s="134">
        <f>+I9*' Volume Assumptions'!$J9</f>
        <v>7231241.7971488079</v>
      </c>
      <c r="J47" s="134">
        <f>+J9*' Volume Assumptions'!$J9</f>
        <v>7403345.3519209493</v>
      </c>
      <c r="K47" s="134">
        <f>+K9*' Volume Assumptions'!$J9</f>
        <v>7573622.2950151302</v>
      </c>
      <c r="L47" s="135">
        <f>+L9*' Volume Assumptions'!$J9</f>
        <v>7746300.8833414745</v>
      </c>
    </row>
    <row r="48" spans="1:13" x14ac:dyDescent="0.2">
      <c r="A48" s="51" t="s">
        <v>112</v>
      </c>
      <c r="B48" s="133">
        <f>+B10*' Volume Assumptions'!$J10</f>
        <v>174597.5</v>
      </c>
      <c r="C48" s="134">
        <f>+C10*' Volume Assumptions'!$J10</f>
        <v>178613.24249999999</v>
      </c>
      <c r="D48" s="134">
        <f>+D10*' Volume Assumptions'!$J10</f>
        <v>182185.50735</v>
      </c>
      <c r="E48" s="134">
        <f>+E10*' Volume Assumptions'!$J10</f>
        <v>186193.58851169999</v>
      </c>
      <c r="F48" s="134">
        <f>+F10*' Volume Assumptions'!$J10</f>
        <v>190476.04104746907</v>
      </c>
      <c r="G48" s="134">
        <f>+G10*' Volume Assumptions'!$J10</f>
        <v>195237.94207365578</v>
      </c>
      <c r="H48" s="134">
        <f>+H10*' Volume Assumptions'!$J10</f>
        <v>200021.27165446032</v>
      </c>
      <c r="I48" s="134">
        <f>+I10*' Volume Assumptions'!$J10</f>
        <v>204821.78217416737</v>
      </c>
      <c r="J48" s="134">
        <f>+J10*' Volume Assumptions'!$J10</f>
        <v>209696.54058991256</v>
      </c>
      <c r="K48" s="134">
        <f>+K10*' Volume Assumptions'!$J10</f>
        <v>214519.56102348052</v>
      </c>
      <c r="L48" s="135">
        <f>+L10*' Volume Assumptions'!$J10</f>
        <v>219410.60701481588</v>
      </c>
    </row>
    <row r="49" spans="1:13" x14ac:dyDescent="0.2">
      <c r="A49" s="51" t="s">
        <v>67</v>
      </c>
      <c r="B49" s="133">
        <f>+B11*' Volume Assumptions'!$J11</f>
        <v>392320</v>
      </c>
      <c r="C49" s="134">
        <f>+C11*' Volume Assumptions'!$J11</f>
        <v>401343.36</v>
      </c>
      <c r="D49" s="134">
        <f>+D11*' Volume Assumptions'!$J11</f>
        <v>409370.22720000002</v>
      </c>
      <c r="E49" s="134">
        <f>+E11*' Volume Assumptions'!$J11</f>
        <v>418376.37219840003</v>
      </c>
      <c r="F49" s="134">
        <f>+F11*' Volume Assumptions'!$J11</f>
        <v>427999.02875896322</v>
      </c>
      <c r="G49" s="134">
        <f>+G11*' Volume Assumptions'!$J11</f>
        <v>438699.00447793724</v>
      </c>
      <c r="H49" s="134">
        <f>+H11*' Volume Assumptions'!$J11</f>
        <v>449447.13008764666</v>
      </c>
      <c r="I49" s="134">
        <f>+I11*' Volume Assumptions'!$J11</f>
        <v>460233.86120975018</v>
      </c>
      <c r="J49" s="134">
        <f>+J11*' Volume Assumptions'!$J11</f>
        <v>471187.42710654228</v>
      </c>
      <c r="K49" s="134">
        <f>+K11*' Volume Assumptions'!$J11</f>
        <v>482024.73792999267</v>
      </c>
      <c r="L49" s="135">
        <f>+L11*' Volume Assumptions'!$J11</f>
        <v>493014.90195479646</v>
      </c>
    </row>
    <row r="50" spans="1:13" x14ac:dyDescent="0.2">
      <c r="A50" s="51" t="s">
        <v>68</v>
      </c>
      <c r="B50" s="133">
        <f>+B12*' Volume Assumptions'!$J12</f>
        <v>275058.77022690163</v>
      </c>
      <c r="C50" s="134">
        <f>+C12*' Volume Assumptions'!$J12</f>
        <v>281385.12194212037</v>
      </c>
      <c r="D50" s="134">
        <f>+D12*' Volume Assumptions'!$J12</f>
        <v>287012.82438096276</v>
      </c>
      <c r="E50" s="134">
        <f>+E12*' Volume Assumptions'!$J12</f>
        <v>293327.10651734396</v>
      </c>
      <c r="F50" s="134">
        <f>+F12*' Volume Assumptions'!$J12</f>
        <v>300073.62996724283</v>
      </c>
      <c r="G50" s="134">
        <f>+G12*' Volume Assumptions'!$J12</f>
        <v>307575.47071642394</v>
      </c>
      <c r="H50" s="134">
        <f>+H12*' Volume Assumptions'!$J12</f>
        <v>315111.06974897633</v>
      </c>
      <c r="I50" s="134">
        <f>+I12*' Volume Assumptions'!$J12</f>
        <v>322673.73542295175</v>
      </c>
      <c r="J50" s="134">
        <f>+J12*' Volume Assumptions'!$J12</f>
        <v>330353.37032601802</v>
      </c>
      <c r="K50" s="134">
        <f>+K12*' Volume Assumptions'!$J12</f>
        <v>337951.49784351641</v>
      </c>
      <c r="L50" s="135">
        <f>+L12*' Volume Assumptions'!$J12</f>
        <v>345656.79199434852</v>
      </c>
    </row>
    <row r="51" spans="1:13" x14ac:dyDescent="0.2">
      <c r="A51" s="51" t="s">
        <v>69</v>
      </c>
      <c r="B51" s="133">
        <f>+B13*' Volume Assumptions'!$J13</f>
        <v>4150863.7200000007</v>
      </c>
      <c r="C51" s="134">
        <f>+C13*' Volume Assumptions'!$J13</f>
        <v>4246333.5855600005</v>
      </c>
      <c r="D51" s="134">
        <f>+D13*' Volume Assumptions'!$J13</f>
        <v>4331260.2572712004</v>
      </c>
      <c r="E51" s="134">
        <f>+E13*' Volume Assumptions'!$J13</f>
        <v>4426547.9829311669</v>
      </c>
      <c r="F51" s="134">
        <f>+F13*' Volume Assumptions'!$J13</f>
        <v>4528358.586538583</v>
      </c>
      <c r="G51" s="134">
        <f>+G13*' Volume Assumptions'!$J13</f>
        <v>4641567.5512020476</v>
      </c>
      <c r="H51" s="134">
        <f>+H13*' Volume Assumptions'!$J13</f>
        <v>4755285.9562064977</v>
      </c>
      <c r="I51" s="134">
        <f>+I13*' Volume Assumptions'!$J13</f>
        <v>4869412.8191554537</v>
      </c>
      <c r="J51" s="134">
        <f>+J13*' Volume Assumptions'!$J13</f>
        <v>4985304.8442513533</v>
      </c>
      <c r="K51" s="134">
        <f>+K13*' Volume Assumptions'!$J13</f>
        <v>5099966.8556691343</v>
      </c>
      <c r="L51" s="135">
        <f>+L13*' Volume Assumptions'!$J13</f>
        <v>5216246.0999783901</v>
      </c>
    </row>
    <row r="52" spans="1:13" x14ac:dyDescent="0.2">
      <c r="A52" s="51" t="s">
        <v>70</v>
      </c>
      <c r="B52" s="133">
        <f>+B14*' Volume Assumptions'!$J14</f>
        <v>14824000</v>
      </c>
      <c r="C52" s="134">
        <f>+C14*' Volume Assumptions'!$J14</f>
        <v>15164951.999999998</v>
      </c>
      <c r="D52" s="134">
        <f>+D14*' Volume Assumptions'!$J14</f>
        <v>15468251.039999999</v>
      </c>
      <c r="E52" s="134">
        <f>+E14*' Volume Assumptions'!$J14</f>
        <v>15808552.56288</v>
      </c>
      <c r="F52" s="134">
        <f>+F14*' Volume Assumptions'!$J14</f>
        <v>16172149.271826239</v>
      </c>
      <c r="G52" s="134">
        <f>+G14*' Volume Assumptions'!$J14</f>
        <v>16576453.003621893</v>
      </c>
      <c r="H52" s="134">
        <f>+H14*' Volume Assumptions'!$J14</f>
        <v>16982576.10221063</v>
      </c>
      <c r="I52" s="134">
        <f>+I14*' Volume Assumptions'!$J14</f>
        <v>17390157.928663686</v>
      </c>
      <c r="J52" s="134">
        <f>+J14*' Volume Assumptions'!$J14</f>
        <v>17804043.687365882</v>
      </c>
      <c r="K52" s="134">
        <f>+K14*' Volume Assumptions'!$J14</f>
        <v>18213536.692175295</v>
      </c>
      <c r="L52" s="135">
        <f>+L14*' Volume Assumptions'!$J14</f>
        <v>18628805.328756891</v>
      </c>
    </row>
    <row r="53" spans="1:13" x14ac:dyDescent="0.2">
      <c r="A53" s="51" t="s">
        <v>71</v>
      </c>
      <c r="B53" s="133">
        <f>+B15*' Volume Assumptions'!$J15</f>
        <v>1130072.43</v>
      </c>
      <c r="C53" s="134">
        <f>+C15*' Volume Assumptions'!$J15</f>
        <v>1156064.0958899998</v>
      </c>
      <c r="D53" s="134">
        <f>+D15*' Volume Assumptions'!$J15</f>
        <v>1179185.3778077997</v>
      </c>
      <c r="E53" s="134">
        <f>+E15*' Volume Assumptions'!$J15</f>
        <v>1205127.4561195716</v>
      </c>
      <c r="F53" s="134">
        <f>+F15*' Volume Assumptions'!$J15</f>
        <v>1232845.3876103216</v>
      </c>
      <c r="G53" s="134">
        <f>+G15*' Volume Assumptions'!$J15</f>
        <v>1263666.5223005796</v>
      </c>
      <c r="H53" s="134">
        <f>+H15*' Volume Assumptions'!$J15</f>
        <v>1294626.3520969437</v>
      </c>
      <c r="I53" s="134">
        <f>+I15*' Volume Assumptions'!$J15</f>
        <v>1325697.3845472704</v>
      </c>
      <c r="J53" s="134">
        <f>+J15*' Volume Assumptions'!$J15</f>
        <v>1357248.9822994955</v>
      </c>
      <c r="K53" s="134">
        <f>+K15*' Volume Assumptions'!$J15</f>
        <v>1388465.7088923838</v>
      </c>
      <c r="L53" s="135">
        <f>+L15*' Volume Assumptions'!$J15</f>
        <v>1420122.7270551301</v>
      </c>
    </row>
    <row r="54" spans="1:13" x14ac:dyDescent="0.2">
      <c r="A54" s="71" t="s">
        <v>119</v>
      </c>
      <c r="B54" s="133">
        <f>+B16*' Volume Assumptions'!$J16</f>
        <v>866980.97589945141</v>
      </c>
      <c r="C54" s="134">
        <f>+C16*' Volume Assumptions'!$J16</f>
        <v>886921.53834513866</v>
      </c>
      <c r="D54" s="134">
        <f>+D16*' Volume Assumptions'!$J16</f>
        <v>904659.96911204141</v>
      </c>
      <c r="E54" s="134">
        <f>+E16*' Volume Assumptions'!$J16</f>
        <v>924562.48843250633</v>
      </c>
      <c r="F54" s="134">
        <f>+F16*' Volume Assumptions'!$J16</f>
        <v>945827.4256664539</v>
      </c>
      <c r="G54" s="134">
        <f>+G16*' Volume Assumptions'!$J16</f>
        <v>969473.11130811519</v>
      </c>
      <c r="H54" s="134">
        <f>+H16*' Volume Assumptions'!$J16</f>
        <v>993225.20253516396</v>
      </c>
      <c r="I54" s="134">
        <f>+I16*' Volume Assumptions'!$J16</f>
        <v>1017062.607396008</v>
      </c>
      <c r="J54" s="134">
        <f>+J16*' Volume Assumptions'!$J16</f>
        <v>1041268.6974520329</v>
      </c>
      <c r="K54" s="134">
        <f>+K16*' Volume Assumptions'!$J16</f>
        <v>1065217.8774934295</v>
      </c>
      <c r="L54" s="135">
        <f>+L16*' Volume Assumptions'!$J16</f>
        <v>1089504.8451002797</v>
      </c>
    </row>
    <row r="55" spans="1:13" x14ac:dyDescent="0.2">
      <c r="A55" s="71" t="s">
        <v>120</v>
      </c>
      <c r="B55" s="133">
        <f>+B17*' Volume Assumptions'!$J17</f>
        <v>380000</v>
      </c>
      <c r="C55" s="134">
        <f>+C17*' Volume Assumptions'!$J17</f>
        <v>513000</v>
      </c>
      <c r="D55" s="134">
        <f>+D17*' Volume Assumptions'!$J17</f>
        <v>692550</v>
      </c>
      <c r="E55" s="134">
        <f>+E17*' Volume Assumptions'!$J17</f>
        <v>934942.5</v>
      </c>
      <c r="F55" s="134">
        <f>+F17*' Volume Assumptions'!$J17</f>
        <v>1262172.375</v>
      </c>
      <c r="G55" s="134">
        <f>+G17*' Volume Assumptions'!$J17</f>
        <v>1703932.70625</v>
      </c>
      <c r="H55" s="134">
        <f>+H17*' Volume Assumptions'!$J17</f>
        <v>2300309.1534375004</v>
      </c>
      <c r="I55" s="134">
        <f>+I17*' Volume Assumptions'!$J17</f>
        <v>3105417.3571406258</v>
      </c>
      <c r="J55" s="134">
        <f>+J17*' Volume Assumptions'!$J17</f>
        <v>4192313.4321398451</v>
      </c>
      <c r="K55" s="134">
        <f>+K17*' Volume Assumptions'!$J17</f>
        <v>5659623.1333887912</v>
      </c>
      <c r="L55" s="135">
        <f>+L17*' Volume Assumptions'!$J17</f>
        <v>7640491.2300748695</v>
      </c>
    </row>
    <row r="56" spans="1:13" ht="13.5" thickBot="1" x14ac:dyDescent="0.25">
      <c r="A56" s="52" t="s">
        <v>113</v>
      </c>
      <c r="B56" s="136">
        <f>+B18*' Volume Assumptions'!$J18</f>
        <v>1748752.6402666359</v>
      </c>
      <c r="C56" s="137">
        <f>+C18*' Volume Assumptions'!$J18</f>
        <v>1788973.9509927684</v>
      </c>
      <c r="D56" s="137">
        <f>+D18*' Volume Assumptions'!$J18</f>
        <v>1824753.4300126238</v>
      </c>
      <c r="E56" s="137">
        <f>+E18*' Volume Assumptions'!$J18</f>
        <v>1864898.0054729015</v>
      </c>
      <c r="F56" s="137">
        <f>+F18*' Volume Assumptions'!$J18</f>
        <v>1907790.659598778</v>
      </c>
      <c r="G56" s="137">
        <f>+G18*' Volume Assumptions'!$J18</f>
        <v>1955485.4260887473</v>
      </c>
      <c r="H56" s="137">
        <f>+H18*' Volume Assumptions'!$J18</f>
        <v>2003394.8190279217</v>
      </c>
      <c r="I56" s="137">
        <f>+I18*' Volume Assumptions'!$J18</f>
        <v>2051476.2946845917</v>
      </c>
      <c r="J56" s="137">
        <f>+J18*' Volume Assumptions'!$J18</f>
        <v>2100301.430498085</v>
      </c>
      <c r="K56" s="137">
        <f>+K18*' Volume Assumptions'!$J18</f>
        <v>2148608.3633995405</v>
      </c>
      <c r="L56" s="138">
        <f>+L18*' Volume Assumptions'!$J18</f>
        <v>2197596.6340850499</v>
      </c>
    </row>
    <row r="57" spans="1:13" ht="13.5" thickBot="1" x14ac:dyDescent="0.25">
      <c r="A57" s="36" t="s">
        <v>124</v>
      </c>
      <c r="B57" s="268">
        <f t="shared" ref="B57:L57" si="14">SUM(B45:B56)</f>
        <v>37599909.673508503</v>
      </c>
      <c r="C57" s="268">
        <f t="shared" si="14"/>
        <v>38588967.595999196</v>
      </c>
      <c r="D57" s="268">
        <f t="shared" si="14"/>
        <v>39530036.947919182</v>
      </c>
      <c r="E57" s="268">
        <f t="shared" si="14"/>
        <v>40626854.160773404</v>
      </c>
      <c r="F57" s="268">
        <f t="shared" si="14"/>
        <v>41866998.003971189</v>
      </c>
      <c r="G57" s="268">
        <f t="shared" si="14"/>
        <v>43323878.975945465</v>
      </c>
      <c r="H57" s="268">
        <f t="shared" si="14"/>
        <v>44939944.106740519</v>
      </c>
      <c r="I57" s="268">
        <f t="shared" si="14"/>
        <v>46768403.549322903</v>
      </c>
      <c r="J57" s="268">
        <f t="shared" si="14"/>
        <v>48894478.695696056</v>
      </c>
      <c r="K57" s="268">
        <f t="shared" si="14"/>
        <v>51389938.198006801</v>
      </c>
      <c r="L57" s="269">
        <f t="shared" si="14"/>
        <v>54413457.478166163</v>
      </c>
    </row>
    <row r="60" spans="1:13" x14ac:dyDescent="0.2">
      <c r="A60" s="43" t="s">
        <v>247</v>
      </c>
      <c r="D60" s="273" t="s">
        <v>255</v>
      </c>
      <c r="E60" s="274"/>
      <c r="F60" s="274"/>
      <c r="G60" s="274"/>
      <c r="H60" s="274"/>
    </row>
    <row r="61" spans="1:13" ht="13.5" thickBot="1" x14ac:dyDescent="0.25">
      <c r="A61" s="35"/>
    </row>
    <row r="62" spans="1:13" ht="13.5" thickBot="1" x14ac:dyDescent="0.25">
      <c r="B62" s="693" t="s">
        <v>121</v>
      </c>
      <c r="C62" s="694"/>
      <c r="D62" s="694"/>
      <c r="E62" s="694"/>
      <c r="F62" s="694"/>
      <c r="G62" s="694"/>
      <c r="H62" s="694"/>
      <c r="I62" s="694"/>
      <c r="J62" s="694"/>
      <c r="K62" s="694"/>
      <c r="L62" s="697"/>
    </row>
    <row r="63" spans="1:13" ht="13.5" thickBot="1" x14ac:dyDescent="0.25">
      <c r="A63" s="36" t="s">
        <v>109</v>
      </c>
      <c r="B63" s="10">
        <v>2001</v>
      </c>
      <c r="C63" s="11">
        <v>2002</v>
      </c>
      <c r="D63" s="11">
        <v>2003</v>
      </c>
      <c r="E63" s="11">
        <v>2004</v>
      </c>
      <c r="F63" s="11">
        <v>2005</v>
      </c>
      <c r="G63" s="11">
        <v>2006</v>
      </c>
      <c r="H63" s="11">
        <v>2007</v>
      </c>
      <c r="I63" s="11">
        <v>2008</v>
      </c>
      <c r="J63" s="11">
        <v>2009</v>
      </c>
      <c r="K63" s="11">
        <v>2010</v>
      </c>
      <c r="L63" s="12">
        <v>2011</v>
      </c>
      <c r="M63" s="75" t="s">
        <v>116</v>
      </c>
    </row>
    <row r="64" spans="1:13" x14ac:dyDescent="0.2">
      <c r="A64" s="50" t="s">
        <v>64</v>
      </c>
      <c r="B64" s="298">
        <f>+B7*' Volume Assumptions'!$K7</f>
        <v>6222262.2000000002</v>
      </c>
      <c r="C64" s="141">
        <f>+C7*' Volume Assumptions'!$K7</f>
        <v>6365374.2305999994</v>
      </c>
      <c r="D64" s="141">
        <f>+D7*' Volume Assumptions'!$K7</f>
        <v>6492681.7152119987</v>
      </c>
      <c r="E64" s="141">
        <f>+E7*' Volume Assumptions'!$K7</f>
        <v>6635520.7129466636</v>
      </c>
      <c r="F64" s="141">
        <f>+F7*' Volume Assumptions'!$K7</f>
        <v>6788137.6893444359</v>
      </c>
      <c r="G64" s="141">
        <f>+G7*' Volume Assumptions'!$K7</f>
        <v>6957841.1315780459</v>
      </c>
      <c r="H64" s="141">
        <f>+H7*' Volume Assumptions'!$K7</f>
        <v>7128308.2393017076</v>
      </c>
      <c r="I64" s="141">
        <f>+I7*' Volume Assumptions'!$K7</f>
        <v>7299387.6370449495</v>
      </c>
      <c r="J64" s="141">
        <f>+J7*' Volume Assumptions'!$K7</f>
        <v>7473113.0628066193</v>
      </c>
      <c r="K64" s="141">
        <f>+K7*' Volume Assumptions'!$K7</f>
        <v>7644994.6632511709</v>
      </c>
      <c r="L64" s="142">
        <f>+L7*' Volume Assumptions'!$K7</f>
        <v>7819300.5415732972</v>
      </c>
      <c r="M64" s="95">
        <v>0</v>
      </c>
    </row>
    <row r="65" spans="1:13" x14ac:dyDescent="0.2">
      <c r="A65" s="51" t="s">
        <v>65</v>
      </c>
      <c r="B65" s="133">
        <f>+B8*' Volume Assumptions'!$K8</f>
        <v>4877789.467784822</v>
      </c>
      <c r="C65" s="134">
        <f>+C8*' Volume Assumptions'!$K8</f>
        <v>4989978.6255438728</v>
      </c>
      <c r="D65" s="134">
        <f>+D8*' Volume Assumptions'!$K8</f>
        <v>5089778.1980547504</v>
      </c>
      <c r="E65" s="134">
        <f>+E8*' Volume Assumptions'!$K8</f>
        <v>5201753.3184119547</v>
      </c>
      <c r="F65" s="134">
        <f>+F8*' Volume Assumptions'!$K8</f>
        <v>5321393.6447354294</v>
      </c>
      <c r="G65" s="134">
        <f>+G8*' Volume Assumptions'!$K8</f>
        <v>5454428.4858538145</v>
      </c>
      <c r="H65" s="134">
        <f>+H8*' Volume Assumptions'!$K8</f>
        <v>5588061.9837572332</v>
      </c>
      <c r="I65" s="134">
        <f>+I8*' Volume Assumptions'!$K8</f>
        <v>5722175.4713674067</v>
      </c>
      <c r="J65" s="134">
        <f>+J8*' Volume Assumptions'!$K8</f>
        <v>5858363.2475859514</v>
      </c>
      <c r="K65" s="134">
        <f>+K8*' Volume Assumptions'!$K8</f>
        <v>5993105.6022804277</v>
      </c>
      <c r="L65" s="135">
        <f>+L8*' Volume Assumptions'!$K8</f>
        <v>6129748.4100124212</v>
      </c>
      <c r="M65" s="96">
        <v>0</v>
      </c>
    </row>
    <row r="66" spans="1:13" x14ac:dyDescent="0.2">
      <c r="A66" s="51" t="s">
        <v>66</v>
      </c>
      <c r="B66" s="133">
        <f>+B9*' Volume Assumptions'!$K9</f>
        <v>8629841.1076500025</v>
      </c>
      <c r="C66" s="134">
        <f>+C9*' Volume Assumptions'!$K9</f>
        <v>8828327.4531259518</v>
      </c>
      <c r="D66" s="134">
        <f>+D9*' Volume Assumptions'!$K9</f>
        <v>9004894.0021884721</v>
      </c>
      <c r="E66" s="134">
        <f>+E9*' Volume Assumptions'!$K9</f>
        <v>9203001.6702366192</v>
      </c>
      <c r="F66" s="134">
        <f>+F9*' Volume Assumptions'!$K9</f>
        <v>9414670.7086520605</v>
      </c>
      <c r="G66" s="134">
        <f>+G9*' Volume Assumptions'!$K9</f>
        <v>9650037.4763683602</v>
      </c>
      <c r="H66" s="134">
        <f>+H9*' Volume Assumptions'!$K9</f>
        <v>9886463.394539386</v>
      </c>
      <c r="I66" s="134">
        <f>+I9*' Volume Assumptions'!$K9</f>
        <v>10123738.516008331</v>
      </c>
      <c r="J66" s="134">
        <f>+J9*' Volume Assumptions'!$K9</f>
        <v>10364683.492689328</v>
      </c>
      <c r="K66" s="134">
        <f>+K9*' Volume Assumptions'!$K9</f>
        <v>10603071.213021182</v>
      </c>
      <c r="L66" s="135">
        <f>+L9*' Volume Assumptions'!$K9</f>
        <v>10844821.236678064</v>
      </c>
      <c r="M66" s="96">
        <v>0</v>
      </c>
    </row>
    <row r="67" spans="1:13" x14ac:dyDescent="0.2">
      <c r="A67" s="51" t="s">
        <v>112</v>
      </c>
      <c r="B67" s="133">
        <f>+B10*' Volume Assumptions'!$K10</f>
        <v>224482.5</v>
      </c>
      <c r="C67" s="134">
        <f>+C10*' Volume Assumptions'!$K10</f>
        <v>229645.59749999997</v>
      </c>
      <c r="D67" s="134">
        <f>+D10*' Volume Assumptions'!$K10</f>
        <v>234238.50944999998</v>
      </c>
      <c r="E67" s="134">
        <f>+E10*' Volume Assumptions'!$K10</f>
        <v>239391.7566579</v>
      </c>
      <c r="F67" s="134">
        <f>+F10*' Volume Assumptions'!$K10</f>
        <v>244897.76706103166</v>
      </c>
      <c r="G67" s="134">
        <f>+G10*' Volume Assumptions'!$K10</f>
        <v>251020.21123755741</v>
      </c>
      <c r="H67" s="134">
        <f>+H10*' Volume Assumptions'!$K10</f>
        <v>257170.20641287757</v>
      </c>
      <c r="I67" s="134">
        <f>+I10*' Volume Assumptions'!$K10</f>
        <v>263342.29136678664</v>
      </c>
      <c r="J67" s="134">
        <f>+J10*' Volume Assumptions'!$K10</f>
        <v>269609.83790131612</v>
      </c>
      <c r="K67" s="134">
        <f>+K10*' Volume Assumptions'!$K10</f>
        <v>275810.86417304637</v>
      </c>
      <c r="L67" s="135">
        <f>+L10*' Volume Assumptions'!$K10</f>
        <v>282099.35187619185</v>
      </c>
      <c r="M67" s="96">
        <v>0</v>
      </c>
    </row>
    <row r="68" spans="1:13" x14ac:dyDescent="0.2">
      <c r="A68" s="51" t="s">
        <v>67</v>
      </c>
      <c r="B68" s="133">
        <f>+B11*' Volume Assumptions'!$K11</f>
        <v>2353920</v>
      </c>
      <c r="C68" s="134">
        <f>+C11*' Volume Assumptions'!$K11</f>
        <v>2408060.1599999997</v>
      </c>
      <c r="D68" s="134">
        <f>+D11*' Volume Assumptions'!$K11</f>
        <v>2456221.3632</v>
      </c>
      <c r="E68" s="134">
        <f>+E11*' Volume Assumptions'!$K11</f>
        <v>2510258.2331904001</v>
      </c>
      <c r="F68" s="134">
        <f>+F11*' Volume Assumptions'!$K11</f>
        <v>2567994.1725537791</v>
      </c>
      <c r="G68" s="134">
        <f>+G11*' Volume Assumptions'!$K11</f>
        <v>2632194.0268676234</v>
      </c>
      <c r="H68" s="134">
        <f>+H11*' Volume Assumptions'!$K11</f>
        <v>2696682.7805258799</v>
      </c>
      <c r="I68" s="134">
        <f>+I11*' Volume Assumptions'!$K11</f>
        <v>2761403.1672585011</v>
      </c>
      <c r="J68" s="134">
        <f>+J11*' Volume Assumptions'!$K11</f>
        <v>2827124.5626392532</v>
      </c>
      <c r="K68" s="134">
        <f>+K11*' Volume Assumptions'!$K11</f>
        <v>2892148.4275799557</v>
      </c>
      <c r="L68" s="135">
        <f>+L11*' Volume Assumptions'!$K11</f>
        <v>2958089.4117287784</v>
      </c>
      <c r="M68" s="96">
        <v>0</v>
      </c>
    </row>
    <row r="69" spans="1:13" x14ac:dyDescent="0.2">
      <c r="A69" s="51" t="s">
        <v>68</v>
      </c>
      <c r="B69" s="133">
        <f>+B12*' Volume Assumptions'!$K12</f>
        <v>458431.28371150268</v>
      </c>
      <c r="C69" s="134">
        <f>+C12*' Volume Assumptions'!$K12</f>
        <v>468975.20323686727</v>
      </c>
      <c r="D69" s="134">
        <f>+D12*' Volume Assumptions'!$K12</f>
        <v>478354.70730160456</v>
      </c>
      <c r="E69" s="134">
        <f>+E12*' Volume Assumptions'!$K12</f>
        <v>488878.51086223987</v>
      </c>
      <c r="F69" s="134">
        <f>+F12*' Volume Assumptions'!$K12</f>
        <v>500122.71661207138</v>
      </c>
      <c r="G69" s="134">
        <f>+G12*' Volume Assumptions'!$K12</f>
        <v>512625.78452737315</v>
      </c>
      <c r="H69" s="134">
        <f>+H12*' Volume Assumptions'!$K12</f>
        <v>525185.11624829378</v>
      </c>
      <c r="I69" s="134">
        <f>+I12*' Volume Assumptions'!$K12</f>
        <v>537789.5590382528</v>
      </c>
      <c r="J69" s="134">
        <f>+J12*' Volume Assumptions'!$K12</f>
        <v>550588.95054336335</v>
      </c>
      <c r="K69" s="134">
        <f>+K12*' Volume Assumptions'!$K12</f>
        <v>563252.49640586064</v>
      </c>
      <c r="L69" s="135">
        <f>+L12*' Volume Assumptions'!$K12</f>
        <v>576094.65332391416</v>
      </c>
      <c r="M69" s="96">
        <v>0</v>
      </c>
    </row>
    <row r="70" spans="1:13" x14ac:dyDescent="0.2">
      <c r="A70" s="51" t="s">
        <v>69</v>
      </c>
      <c r="B70" s="133">
        <f>+B13*' Volume Assumptions'!$K13</f>
        <v>4842674.3400000008</v>
      </c>
      <c r="C70" s="134">
        <f>+C13*' Volume Assumptions'!$K13</f>
        <v>4954055.8498200011</v>
      </c>
      <c r="D70" s="134">
        <f>+D13*' Volume Assumptions'!$K13</f>
        <v>5053136.9668164011</v>
      </c>
      <c r="E70" s="134">
        <f>+E13*' Volume Assumptions'!$K13</f>
        <v>5164305.980086362</v>
      </c>
      <c r="F70" s="134">
        <f>+F13*' Volume Assumptions'!$K13</f>
        <v>5283085.0176283475</v>
      </c>
      <c r="G70" s="134">
        <f>+G13*' Volume Assumptions'!$K13</f>
        <v>5415162.1430690549</v>
      </c>
      <c r="H70" s="134">
        <f>+H13*' Volume Assumptions'!$K13</f>
        <v>5547833.6155742472</v>
      </c>
      <c r="I70" s="134">
        <f>+I13*' Volume Assumptions'!$K13</f>
        <v>5680981.6223480292</v>
      </c>
      <c r="J70" s="134">
        <f>+J13*' Volume Assumptions'!$K13</f>
        <v>5816188.9849599125</v>
      </c>
      <c r="K70" s="134">
        <f>+K13*' Volume Assumptions'!$K13</f>
        <v>5949961.3316139895</v>
      </c>
      <c r="L70" s="135">
        <f>+L13*' Volume Assumptions'!$K13</f>
        <v>6085620.4499747884</v>
      </c>
      <c r="M70" s="96">
        <v>0</v>
      </c>
    </row>
    <row r="71" spans="1:13" x14ac:dyDescent="0.2">
      <c r="A71" s="51" t="s">
        <v>70</v>
      </c>
      <c r="B71" s="133">
        <f>+B14*' Volume Assumptions'!$K14</f>
        <v>22236000</v>
      </c>
      <c r="C71" s="134">
        <f>+C14*' Volume Assumptions'!$K14</f>
        <v>22747427.999999996</v>
      </c>
      <c r="D71" s="134">
        <f>+D14*' Volume Assumptions'!$K14</f>
        <v>23202376.559999999</v>
      </c>
      <c r="E71" s="134">
        <f>+E14*' Volume Assumptions'!$K14</f>
        <v>23712828.844319999</v>
      </c>
      <c r="F71" s="134">
        <f>+F14*' Volume Assumptions'!$K14</f>
        <v>24258223.90773936</v>
      </c>
      <c r="G71" s="134">
        <f>+G14*' Volume Assumptions'!$K14</f>
        <v>24864679.50543284</v>
      </c>
      <c r="H71" s="134">
        <f>+H14*' Volume Assumptions'!$K14</f>
        <v>25473864.153315946</v>
      </c>
      <c r="I71" s="134">
        <f>+I14*' Volume Assumptions'!$K14</f>
        <v>26085236.892995529</v>
      </c>
      <c r="J71" s="134">
        <f>+J14*' Volume Assumptions'!$K14</f>
        <v>26706065.531048823</v>
      </c>
      <c r="K71" s="134">
        <f>+K14*' Volume Assumptions'!$K14</f>
        <v>27320305.038262941</v>
      </c>
      <c r="L71" s="135">
        <f>+L14*' Volume Assumptions'!$K14</f>
        <v>27943207.993135337</v>
      </c>
      <c r="M71" s="96">
        <v>0</v>
      </c>
    </row>
    <row r="72" spans="1:13" x14ac:dyDescent="0.2">
      <c r="A72" s="51" t="s">
        <v>71</v>
      </c>
      <c r="B72" s="133">
        <f>+B15*' Volume Assumptions'!$K15</f>
        <v>2636835.67</v>
      </c>
      <c r="C72" s="134">
        <f>+C15*' Volume Assumptions'!$K15</f>
        <v>2697482.8904099995</v>
      </c>
      <c r="D72" s="134">
        <f>+D15*' Volume Assumptions'!$K15</f>
        <v>2751432.5482181995</v>
      </c>
      <c r="E72" s="134">
        <f>+E15*' Volume Assumptions'!$K15</f>
        <v>2811964.0642790003</v>
      </c>
      <c r="F72" s="134">
        <f>+F15*' Volume Assumptions'!$K15</f>
        <v>2876639.2377574174</v>
      </c>
      <c r="G72" s="134">
        <f>+G15*' Volume Assumptions'!$K15</f>
        <v>2948555.2187013524</v>
      </c>
      <c r="H72" s="134">
        <f>+H15*' Volume Assumptions'!$K15</f>
        <v>3020794.8215595353</v>
      </c>
      <c r="I72" s="134">
        <f>+I15*' Volume Assumptions'!$K15</f>
        <v>3093293.8972769645</v>
      </c>
      <c r="J72" s="134">
        <f>+J15*' Volume Assumptions'!$K15</f>
        <v>3166914.2920321561</v>
      </c>
      <c r="K72" s="134">
        <f>+K15*' Volume Assumptions'!$K15</f>
        <v>3239753.3207488954</v>
      </c>
      <c r="L72" s="135">
        <f>+L15*' Volume Assumptions'!$K15</f>
        <v>3313619.6964619705</v>
      </c>
      <c r="M72" s="96">
        <v>0</v>
      </c>
    </row>
    <row r="73" spans="1:13" x14ac:dyDescent="0.2">
      <c r="A73" s="71" t="s">
        <v>119</v>
      </c>
      <c r="B73" s="133">
        <f>+B16*' Volume Assumptions'!$K16</f>
        <v>1213773.3662592319</v>
      </c>
      <c r="C73" s="134">
        <f>+C16*' Volume Assumptions'!$K16</f>
        <v>1241690.1536831942</v>
      </c>
      <c r="D73" s="134">
        <f>+D16*' Volume Assumptions'!$K16</f>
        <v>1266523.9567568579</v>
      </c>
      <c r="E73" s="134">
        <f>+E16*' Volume Assumptions'!$K16</f>
        <v>1294387.4838055088</v>
      </c>
      <c r="F73" s="134">
        <f>+F16*' Volume Assumptions'!$K16</f>
        <v>1324158.3959330355</v>
      </c>
      <c r="G73" s="134">
        <f>+G16*' Volume Assumptions'!$K16</f>
        <v>1357262.3558313614</v>
      </c>
      <c r="H73" s="134">
        <f>+H16*' Volume Assumptions'!$K16</f>
        <v>1390515.2835492296</v>
      </c>
      <c r="I73" s="134">
        <f>+I16*' Volume Assumptions'!$K16</f>
        <v>1423887.6503544112</v>
      </c>
      <c r="J73" s="134">
        <f>+J16*' Volume Assumptions'!$K16</f>
        <v>1457776.1764328461</v>
      </c>
      <c r="K73" s="134">
        <f>+K16*' Volume Assumptions'!$K16</f>
        <v>1491305.0284908013</v>
      </c>
      <c r="L73" s="135">
        <f>+L16*' Volume Assumptions'!$K16</f>
        <v>1525306.7831403916</v>
      </c>
      <c r="M73" s="96">
        <v>0</v>
      </c>
    </row>
    <row r="74" spans="1:13" x14ac:dyDescent="0.2">
      <c r="A74" s="71" t="s">
        <v>120</v>
      </c>
      <c r="B74" s="133">
        <f>+B17*' Volume Assumptions'!$K17</f>
        <v>456000</v>
      </c>
      <c r="C74" s="134">
        <f>+C17*' Volume Assumptions'!$K17</f>
        <v>615600</v>
      </c>
      <c r="D74" s="134">
        <f>+D17*' Volume Assumptions'!$K17</f>
        <v>831060</v>
      </c>
      <c r="E74" s="134">
        <f>+E17*' Volume Assumptions'!$K17</f>
        <v>1121931</v>
      </c>
      <c r="F74" s="134">
        <f>+F17*' Volume Assumptions'!$K17</f>
        <v>1514606.85</v>
      </c>
      <c r="G74" s="134">
        <f>+G17*' Volume Assumptions'!$K17</f>
        <v>2044719.2475000001</v>
      </c>
      <c r="H74" s="134">
        <f>+H17*' Volume Assumptions'!$K17</f>
        <v>2760370.9841250004</v>
      </c>
      <c r="I74" s="134">
        <f>+I17*' Volume Assumptions'!$K17</f>
        <v>3726500.828568751</v>
      </c>
      <c r="J74" s="134">
        <f>+J17*' Volume Assumptions'!$K17</f>
        <v>5030776.1185678141</v>
      </c>
      <c r="K74" s="134">
        <f>+K17*' Volume Assumptions'!$K17</f>
        <v>6791547.7600665502</v>
      </c>
      <c r="L74" s="135">
        <f>+L17*' Volume Assumptions'!$K17</f>
        <v>9168589.4760898426</v>
      </c>
      <c r="M74" s="96">
        <v>0</v>
      </c>
    </row>
    <row r="75" spans="1:13" ht="13.5" thickBot="1" x14ac:dyDescent="0.25">
      <c r="A75" s="52" t="s">
        <v>113</v>
      </c>
      <c r="B75" s="136">
        <f>+B18*' Volume Assumptions'!$K18</f>
        <v>2404534.8803666243</v>
      </c>
      <c r="C75" s="137">
        <f>+C18*' Volume Assumptions'!$K18</f>
        <v>2459839.1826150566</v>
      </c>
      <c r="D75" s="137">
        <f>+D18*' Volume Assumptions'!$K18</f>
        <v>2509035.9662673576</v>
      </c>
      <c r="E75" s="137">
        <f>+E18*' Volume Assumptions'!$K18</f>
        <v>2564234.7575252396</v>
      </c>
      <c r="F75" s="137">
        <f>+F18*' Volume Assumptions'!$K18</f>
        <v>2623212.1569483196</v>
      </c>
      <c r="G75" s="137">
        <f>+G18*' Volume Assumptions'!$K18</f>
        <v>2688792.4608720276</v>
      </c>
      <c r="H75" s="137">
        <f>+H18*' Volume Assumptions'!$K18</f>
        <v>2754667.8761633923</v>
      </c>
      <c r="I75" s="137">
        <f>+I18*' Volume Assumptions'!$K18</f>
        <v>2820779.9051913135</v>
      </c>
      <c r="J75" s="137">
        <f>+J18*' Volume Assumptions'!$K18</f>
        <v>2887914.4669348667</v>
      </c>
      <c r="K75" s="137">
        <f>+K18*' Volume Assumptions'!$K18</f>
        <v>2954336.4996743682</v>
      </c>
      <c r="L75" s="138">
        <f>+L18*' Volume Assumptions'!$K18</f>
        <v>3021695.3718669433</v>
      </c>
      <c r="M75" s="97">
        <v>0</v>
      </c>
    </row>
    <row r="76" spans="1:13" ht="13.5" thickBot="1" x14ac:dyDescent="0.25">
      <c r="A76" s="36" t="s">
        <v>124</v>
      </c>
      <c r="B76" s="137">
        <f t="shared" ref="B76:L76" si="15">(SUM(B64:B75))+0.00001</f>
        <v>56556544.815782182</v>
      </c>
      <c r="C76" s="137">
        <f t="shared" si="15"/>
        <v>58006457.346544936</v>
      </c>
      <c r="D76" s="137">
        <f t="shared" si="15"/>
        <v>59369734.493475646</v>
      </c>
      <c r="E76" s="137">
        <f t="shared" si="15"/>
        <v>60948456.332331881</v>
      </c>
      <c r="F76" s="137">
        <f t="shared" si="15"/>
        <v>62717142.26497528</v>
      </c>
      <c r="G76" s="137">
        <f t="shared" si="15"/>
        <v>64777318.047849417</v>
      </c>
      <c r="H76" s="137">
        <f t="shared" si="15"/>
        <v>67029918.455082729</v>
      </c>
      <c r="I76" s="137">
        <f t="shared" si="15"/>
        <v>69538517.438829228</v>
      </c>
      <c r="J76" s="137">
        <f t="shared" si="15"/>
        <v>72409118.724152237</v>
      </c>
      <c r="K76" s="137">
        <f t="shared" si="15"/>
        <v>75719592.245579183</v>
      </c>
      <c r="L76" s="138">
        <f t="shared" si="15"/>
        <v>79668193.375871941</v>
      </c>
      <c r="M76" s="87"/>
    </row>
    <row r="77" spans="1:13" x14ac:dyDescent="0.2">
      <c r="A77" s="35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87"/>
    </row>
    <row r="79" spans="1:13" x14ac:dyDescent="0.2">
      <c r="A79" s="41" t="s">
        <v>250</v>
      </c>
      <c r="D79" s="273" t="s">
        <v>258</v>
      </c>
      <c r="E79" s="274"/>
      <c r="F79" s="274"/>
      <c r="G79" s="274"/>
      <c r="H79" s="274"/>
      <c r="I79" s="274"/>
      <c r="J79" s="274"/>
    </row>
    <row r="80" spans="1:13" ht="13.5" thickBot="1" x14ac:dyDescent="0.25"/>
    <row r="81" spans="1:12" ht="13.5" thickBot="1" x14ac:dyDescent="0.25">
      <c r="B81" s="693" t="s">
        <v>121</v>
      </c>
      <c r="C81" s="694"/>
      <c r="D81" s="694"/>
      <c r="E81" s="694"/>
      <c r="F81" s="694"/>
      <c r="G81" s="694"/>
      <c r="H81" s="694"/>
      <c r="I81" s="694"/>
      <c r="J81" s="694"/>
      <c r="K81" s="694"/>
      <c r="L81" s="697"/>
    </row>
    <row r="82" spans="1:12" ht="13.5" thickBot="1" x14ac:dyDescent="0.25">
      <c r="A82" s="36" t="s">
        <v>109</v>
      </c>
      <c r="B82" s="261">
        <v>2001</v>
      </c>
      <c r="C82" s="262">
        <v>2002</v>
      </c>
      <c r="D82" s="262">
        <v>2003</v>
      </c>
      <c r="E82" s="262">
        <v>2004</v>
      </c>
      <c r="F82" s="262">
        <v>2005</v>
      </c>
      <c r="G82" s="262">
        <v>2006</v>
      </c>
      <c r="H82" s="262">
        <v>2007</v>
      </c>
      <c r="I82" s="262">
        <v>2008</v>
      </c>
      <c r="J82" s="262">
        <v>2009</v>
      </c>
      <c r="K82" s="262">
        <v>2010</v>
      </c>
      <c r="L82" s="263">
        <v>2011</v>
      </c>
    </row>
    <row r="83" spans="1:12" x14ac:dyDescent="0.2">
      <c r="A83" s="50" t="s">
        <v>64</v>
      </c>
      <c r="B83" s="401">
        <f>+B7*' Volume Assumptions'!$I7*' Volume Assumptions'!B26+B7*' Volume Assumptions'!$J7*' Volume Assumptions'!B43</f>
        <v>2844462.72</v>
      </c>
      <c r="C83" s="402">
        <f>+C7*' Volume Assumptions'!$I7*' Volume Assumptions'!C26+C7*' Volume Assumptions'!$J7*' Volume Assumptions'!C43</f>
        <v>4555882.0701333964</v>
      </c>
      <c r="D83" s="402">
        <f>+D7*' Volume Assumptions'!$I7*' Volume Assumptions'!D26+D7*' Volume Assumptions'!$J7*' Volume Assumptions'!D43</f>
        <v>5224085.515908666</v>
      </c>
      <c r="E83" s="402">
        <f>+E7*' Volume Assumptions'!$I7*' Volume Assumptions'!E26+E7*' Volume Assumptions'!$J7*' Volume Assumptions'!E43</f>
        <v>5640192.6060046637</v>
      </c>
      <c r="F83" s="402">
        <f>+F7*' Volume Assumptions'!$I7*' Volume Assumptions'!F26+F7*' Volume Assumptions'!$J7*' Volume Assumptions'!F43</f>
        <v>5957864.9323080098</v>
      </c>
      <c r="G83" s="402">
        <f>+G7*' Volume Assumptions'!$I7*' Volume Assumptions'!G26+G7*' Volume Assumptions'!$J7*' Volume Assumptions'!G43</f>
        <v>6237026.8287171107</v>
      </c>
      <c r="H83" s="402">
        <f>+H7*' Volume Assumptions'!$I7*' Volume Assumptions'!H26+H7*' Volume Assumptions'!$J7*' Volume Assumptions'!H43</f>
        <v>6486265.7708864976</v>
      </c>
      <c r="I83" s="402">
        <f>+I7*' Volume Assumptions'!$I7*' Volume Assumptions'!I26+I7*' Volume Assumptions'!$J7*' Volume Assumptions'!I43</f>
        <v>6716779.9942153273</v>
      </c>
      <c r="J83" s="402">
        <f>+J7*' Volume Assumptions'!$I7*' Volume Assumptions'!J26+J7*' Volume Assumptions'!$J7*' Volume Assumptions'!J43</f>
        <v>6936803.7991929688</v>
      </c>
      <c r="K83" s="402">
        <f>+K7*' Volume Assumptions'!$I7*' Volume Assumptions'!K26+K7*' Volume Assumptions'!$J7*' Volume Assumptions'!K43</f>
        <v>7146015.3403791524</v>
      </c>
      <c r="L83" s="403">
        <f>+L7*' Volume Assumptions'!$I7*' Volume Assumptions'!L26+L7*' Volume Assumptions'!$J7*' Volume Assumptions'!L43</f>
        <v>7350836.9644878302</v>
      </c>
    </row>
    <row r="84" spans="1:12" x14ac:dyDescent="0.2">
      <c r="A84" s="51" t="s">
        <v>65</v>
      </c>
      <c r="B84" s="404">
        <f>+B8*' Volume Assumptions'!$I8*' Volume Assumptions'!B27+B8*' Volume Assumptions'!$J8*' Volume Assumptions'!B44</f>
        <v>731668.4201677232</v>
      </c>
      <c r="C84" s="405">
        <f>+C8*' Volume Assumptions'!$I8*' Volume Assumptions'!C27+C8*' Volume Assumptions'!$J8*' Volume Assumptions'!C44</f>
        <v>1426421.104115854</v>
      </c>
      <c r="D84" s="405">
        <f>+D8*' Volume Assumptions'!$I8*' Volume Assumptions'!D27+D8*' Volume Assumptions'!$J8*' Volume Assumptions'!D44</f>
        <v>1807004.1887380411</v>
      </c>
      <c r="E84" s="405">
        <f>+E8*' Volume Assumptions'!$I8*' Volume Assumptions'!E27+E8*' Volume Assumptions'!$J8*' Volume Assumptions'!E44</f>
        <v>2080701.3273647819</v>
      </c>
      <c r="F84" s="405">
        <f>+F8*' Volume Assumptions'!$I8*' Volume Assumptions'!F27+F8*' Volume Assumptions'!$J8*' Volume Assumptions'!F44</f>
        <v>2302637.8641333198</v>
      </c>
      <c r="G84" s="405">
        <f>+G8*' Volume Assumptions'!$I8*' Volume Assumptions'!G27+G8*' Volume Assumptions'!$J8*' Volume Assumptions'!G44</f>
        <v>2498747.5965162991</v>
      </c>
      <c r="H84" s="405">
        <f>+H8*' Volume Assumptions'!$I8*' Volume Assumptions'!H27+H8*' Volume Assumptions'!$J8*' Volume Assumptions'!H44</f>
        <v>2675004.1022052425</v>
      </c>
      <c r="I84" s="405">
        <f>+I8*' Volume Assumptions'!$I8*' Volume Assumptions'!I27+I8*' Volume Assumptions'!$J8*' Volume Assumptions'!I44</f>
        <v>2837622.0654144343</v>
      </c>
      <c r="J84" s="405">
        <f>+J8*' Volume Assumptions'!$I8*' Volume Assumptions'!J27+J8*' Volume Assumptions'!$J8*' Volume Assumptions'!J44</f>
        <v>2991271.2448685984</v>
      </c>
      <c r="K84" s="405">
        <f>+K8*' Volume Assumptions'!$I8*' Volume Assumptions'!K27+K8*' Volume Assumptions'!$J8*' Volume Assumptions'!K44</f>
        <v>3136694.675373897</v>
      </c>
      <c r="L84" s="406">
        <f>+L8*' Volume Assumptions'!$I8*' Volume Assumptions'!L27+L8*' Volume Assumptions'!$J8*' Volume Assumptions'!L44</f>
        <v>3277341.460255459</v>
      </c>
    </row>
    <row r="85" spans="1:12" x14ac:dyDescent="0.2">
      <c r="A85" s="51" t="s">
        <v>66</v>
      </c>
      <c r="B85" s="404">
        <f>+B9*' Volume Assumptions'!$I9*' Volume Assumptions'!B28+B9*' Volume Assumptions'!$J9*' Volume Assumptions'!B45</f>
        <v>5177904.6645900011</v>
      </c>
      <c r="C85" s="405">
        <f>+C9*' Volume Assumptions'!$I9*' Volume Assumptions'!C28+C9*' Volume Assumptions'!$J9*' Volume Assumptions'!C45</f>
        <v>6928325.5495489314</v>
      </c>
      <c r="D85" s="405">
        <f>+D9*' Volume Assumptions'!$I9*' Volume Assumptions'!D28+D9*' Volume Assumptions'!$J9*' Volume Assumptions'!D45</f>
        <v>7613155.448608309</v>
      </c>
      <c r="E85" s="405">
        <f>+E9*' Volume Assumptions'!$I9*' Volume Assumptions'!E28+E9*' Volume Assumptions'!$J9*' Volume Assumptions'!E45</f>
        <v>8061624.9879456703</v>
      </c>
      <c r="F85" s="405">
        <f>+F9*' Volume Assumptions'!$I9*' Volume Assumptions'!F28+F9*' Volume Assumptions'!$J9*' Volume Assumptions'!F45</f>
        <v>8421902.8626036532</v>
      </c>
      <c r="G85" s="405">
        <f>+G9*' Volume Assumptions'!$I9*' Volume Assumptions'!G28+G9*' Volume Assumptions'!$J9*' Volume Assumptions'!G45</f>
        <v>8753962.5678484403</v>
      </c>
      <c r="H85" s="405">
        <f>+H9*' Volume Assumptions'!$I9*' Volume Assumptions'!H28+H9*' Volume Assumptions'!$J9*' Volume Assumptions'!H45</f>
        <v>9058979.0465421528</v>
      </c>
      <c r="I85" s="405">
        <f>+I9*' Volume Assumptions'!$I9*' Volume Assumptions'!I28+I9*' Volume Assumptions'!$J9*' Volume Assumptions'!I45</f>
        <v>9347236.3926664628</v>
      </c>
      <c r="J85" s="405">
        <f>+J9*' Volume Assumptions'!$I9*' Volume Assumptions'!J28+J9*' Volume Assumptions'!$J9*' Volume Assumptions'!J45</f>
        <v>9627172.2160494328</v>
      </c>
      <c r="K85" s="405">
        <f>+K9*' Volume Assumptions'!$I9*' Volume Assumptions'!K28+K9*' Volume Assumptions'!$J9*' Volume Assumptions'!K45</f>
        <v>9896508.4203856718</v>
      </c>
      <c r="L85" s="406">
        <f>+L9*' Volume Assumptions'!$I9*' Volume Assumptions'!L28+L9*' Volume Assumptions'!$J9*' Volume Assumptions'!L45</f>
        <v>10162977.660180613</v>
      </c>
    </row>
    <row r="86" spans="1:12" x14ac:dyDescent="0.2">
      <c r="A86" s="51" t="s">
        <v>112</v>
      </c>
      <c r="B86" s="404">
        <f>+B10*' Volume Assumptions'!$I10*' Volume Assumptions'!B29+B10*' Volume Assumptions'!$J10*' Volume Assumptions'!B46</f>
        <v>49885</v>
      </c>
      <c r="C86" s="405">
        <f>+C10*' Volume Assumptions'!$I10*' Volume Assumptions'!C29+C10*' Volume Assumptions'!$J10*' Volume Assumptions'!C46</f>
        <v>167889.9046678232</v>
      </c>
      <c r="D86" s="405">
        <f>+D10*' Volume Assumptions'!$I10*' Volume Assumptions'!D29+D10*' Volume Assumptions'!$J10*' Volume Assumptions'!D46</f>
        <v>200388.46233923305</v>
      </c>
      <c r="E86" s="405">
        <f>+E10*' Volume Assumptions'!$I10*' Volume Assumptions'!E29+E10*' Volume Assumptions'!$J10*' Volume Assumptions'!E46</f>
        <v>217123.68617599295</v>
      </c>
      <c r="F86" s="405">
        <f>+F10*' Volume Assumptions'!$I10*' Volume Assumptions'!F29+F10*' Volume Assumptions'!$J10*' Volume Assumptions'!F46</f>
        <v>228710.39473202027</v>
      </c>
      <c r="G86" s="405">
        <f>+G10*' Volume Assumptions'!$I10*' Volume Assumptions'!G29+G10*' Volume Assumptions'!$J10*' Volume Assumptions'!G46</f>
        <v>238469.20067567955</v>
      </c>
      <c r="H86" s="405">
        <f>+H10*' Volume Assumptions'!$I10*' Volume Assumptions'!H29+H10*' Volume Assumptions'!$J10*' Volume Assumptions'!H46</f>
        <v>247014.50029017858</v>
      </c>
      <c r="I86" s="405">
        <f>+I10*' Volume Assumptions'!$I10*' Volume Assumptions'!I29+I10*' Volume Assumptions'!$J10*' Volume Assumptions'!I46</f>
        <v>254865.22734931603</v>
      </c>
      <c r="J86" s="405">
        <f>+J10*' Volume Assumptions'!$I10*' Volume Assumptions'!J29+J10*' Volume Assumptions'!$J10*' Volume Assumptions'!J46</f>
        <v>262362.62720317411</v>
      </c>
      <c r="K86" s="405">
        <f>+K10*' Volume Assumptions'!$I10*' Volume Assumptions'!K29+K10*' Volume Assumptions'!$J10*' Volume Assumptions'!K46</f>
        <v>269501.01497177646</v>
      </c>
      <c r="L86" s="406">
        <f>+L10*' Volume Assumptions'!$I10*' Volume Assumptions'!L29+L10*' Volume Assumptions'!$J10*' Volume Assumptions'!L46</f>
        <v>276521.510578655</v>
      </c>
    </row>
    <row r="87" spans="1:12" x14ac:dyDescent="0.2">
      <c r="A87" s="51" t="s">
        <v>67</v>
      </c>
      <c r="B87" s="404">
        <f>+B11*' Volume Assumptions'!$I11*' Volume Assumptions'!B30+B11*' Volume Assumptions'!$J11*' Volume Assumptions'!B47</f>
        <v>804256</v>
      </c>
      <c r="C87" s="405">
        <f>+C11*' Volume Assumptions'!$I11*' Volume Assumptions'!C30+C11*' Volume Assumptions'!$J11*' Volume Assumptions'!C47</f>
        <v>1243115.9767814216</v>
      </c>
      <c r="D87" s="405">
        <f>+D11*' Volume Assumptions'!$I11*' Volume Assumptions'!D30+D11*' Volume Assumptions'!$J11*' Volume Assumptions'!D47</f>
        <v>1463933.0313874115</v>
      </c>
      <c r="E87" s="405">
        <f>+E11*' Volume Assumptions'!$I11*' Volume Assumptions'!E30+E11*' Volume Assumptions'!$J11*' Volume Assumptions'!E47</f>
        <v>1617858.2316703654</v>
      </c>
      <c r="F87" s="405">
        <f>+F11*' Volume Assumptions'!$I11*' Volume Assumptions'!F30+F11*' Volume Assumptions'!$J11*' Volume Assumptions'!F47</f>
        <v>1741262.1469441352</v>
      </c>
      <c r="G87" s="405">
        <f>+G11*' Volume Assumptions'!$I11*' Volume Assumptions'!G30+G11*' Volume Assumptions'!$J11*' Volume Assumptions'!G47</f>
        <v>1850749.0324477016</v>
      </c>
      <c r="H87" s="405">
        <f>+H11*' Volume Assumptions'!$I11*' Volume Assumptions'!H30+H11*' Volume Assumptions'!$J11*' Volume Assumptions'!H47</f>
        <v>1949102.0398627538</v>
      </c>
      <c r="I87" s="405">
        <f>+I11*' Volume Assumptions'!$I11*' Volume Assumptions'!I30+I11*' Volume Assumptions'!$J11*' Volume Assumptions'!I47</f>
        <v>2039986.8877762579</v>
      </c>
      <c r="J87" s="405">
        <f>+J11*' Volume Assumptions'!$I11*' Volume Assumptions'!J30+J11*' Volume Assumptions'!$J11*' Volume Assumptions'!J47</f>
        <v>2126203.9992471039</v>
      </c>
      <c r="K87" s="405">
        <f>+K11*' Volume Assumptions'!$I11*' Volume Assumptions'!K30+K11*' Volume Assumptions'!$J11*' Volume Assumptions'!K47</f>
        <v>2207905.9666634854</v>
      </c>
      <c r="L87" s="406">
        <f>+L11*' Volume Assumptions'!$I11*' Volume Assumptions'!L30+L11*' Volume Assumptions'!$J11*' Volume Assumptions'!L47</f>
        <v>2287269.0144020342</v>
      </c>
    </row>
    <row r="88" spans="1:12" x14ac:dyDescent="0.2">
      <c r="A88" s="51" t="s">
        <v>68</v>
      </c>
      <c r="B88" s="404">
        <f>+B12*' Volume Assumptions'!$I12*' Volume Assumptions'!B31+B12*' Volume Assumptions'!$J12*' Volume Assumptions'!B48</f>
        <v>59596.066882495354</v>
      </c>
      <c r="C88" s="405">
        <f>+C12*' Volume Assumptions'!$I12*' Volume Assumptions'!C31+C12*' Volume Assumptions'!$J12*' Volume Assumptions'!C48</f>
        <v>115675.68600284361</v>
      </c>
      <c r="D88" s="405">
        <f>+D12*' Volume Assumptions'!$I12*' Volume Assumptions'!D31+D12*' Volume Assumptions'!$J12*' Volume Assumptions'!D48</f>
        <v>147042.45631220314</v>
      </c>
      <c r="E88" s="405">
        <f>+E12*' Volume Assumptions'!$I12*' Volume Assumptions'!E31+E12*' Volume Assumptions'!$J12*' Volume Assumptions'!E48</f>
        <v>169858.08628930239</v>
      </c>
      <c r="F88" s="405">
        <f>+F12*' Volume Assumptions'!$I12*' Volume Assumptions'!F31+F12*' Volume Assumptions'!$J12*' Volume Assumptions'!F48</f>
        <v>188488.01494942248</v>
      </c>
      <c r="G88" s="405">
        <f>+G12*' Volume Assumptions'!$I12*' Volume Assumptions'!G31+G12*' Volume Assumptions'!$J12*' Volume Assumptions'!G48</f>
        <v>205015.62684305961</v>
      </c>
      <c r="H88" s="405">
        <f>+H12*' Volume Assumptions'!$I12*' Volume Assumptions'!H31+H12*' Volume Assumptions'!$J12*' Volume Assumptions'!H48</f>
        <v>219917.29424538184</v>
      </c>
      <c r="I88" s="405">
        <f>+I12*' Volume Assumptions'!$I12*' Volume Assumptions'!I31+I12*' Volume Assumptions'!$J12*' Volume Assumptions'!I48</f>
        <v>233697.15379470825</v>
      </c>
      <c r="J88" s="405">
        <f>+J12*' Volume Assumptions'!$I12*' Volume Assumptions'!J31+J12*' Volume Assumptions'!$J12*' Volume Assumptions'!J48</f>
        <v>246736.79574664566</v>
      </c>
      <c r="K88" s="405">
        <f>+K12*' Volume Assumptions'!$I12*' Volume Assumptions'!K31+K12*' Volume Assumptions'!$J12*' Volume Assumptions'!K48</f>
        <v>259096.14834669593</v>
      </c>
      <c r="L88" s="406">
        <f>+L12*' Volume Assumptions'!$I12*' Volume Assumptions'!L31+L12*' Volume Assumptions'!$J12*' Volume Assumptions'!L48</f>
        <v>271059.31977668521</v>
      </c>
    </row>
    <row r="89" spans="1:12" x14ac:dyDescent="0.2">
      <c r="A89" s="51" t="s">
        <v>69</v>
      </c>
      <c r="B89" s="404">
        <f>+B13*' Volume Assumptions'!$I13*' Volume Assumptions'!B32+B13*' Volume Assumptions'!$J13*' Volume Assumptions'!B49</f>
        <v>968534.86800000025</v>
      </c>
      <c r="C89" s="405">
        <f>+C13*' Volume Assumptions'!$I13*' Volume Assumptions'!C32+C13*' Volume Assumptions'!$J13*' Volume Assumptions'!C49</f>
        <v>2834749.6410767576</v>
      </c>
      <c r="D89" s="405">
        <f>+D13*' Volume Assumptions'!$I13*' Volume Assumptions'!D32+D13*' Volume Assumptions'!$J13*' Volume Assumptions'!D49</f>
        <v>3554254.3278291645</v>
      </c>
      <c r="E89" s="405">
        <f>+E13*' Volume Assumptions'!$I13*' Volume Assumptions'!E32+E13*' Volume Assumptions'!$J13*' Volume Assumptions'!E49</f>
        <v>3982931.4507872667</v>
      </c>
      <c r="F89" s="405">
        <f>+F13*' Volume Assumptions'!$I13*' Volume Assumptions'!F32+F13*' Volume Assumptions'!$J13*' Volume Assumptions'!F49</f>
        <v>4295112.7037191223</v>
      </c>
      <c r="G89" s="405">
        <f>+G13*' Volume Assumptions'!$I13*' Volume Assumptions'!G32+G13*' Volume Assumptions'!$J13*' Volume Assumptions'!G49</f>
        <v>4556226.0560904732</v>
      </c>
      <c r="H89" s="405">
        <f>+H13*' Volume Assumptions'!$I13*' Volume Assumptions'!H32+H13*' Volume Assumptions'!$J13*' Volume Assumptions'!H49</f>
        <v>4782212.6161405854</v>
      </c>
      <c r="I89" s="405">
        <f>+I13*' Volume Assumptions'!$I13*' Volume Assumptions'!I32+I13*' Volume Assumptions'!$J13*' Volume Assumptions'!I49</f>
        <v>4986050.3642378571</v>
      </c>
      <c r="J89" s="405">
        <f>+J13*' Volume Assumptions'!$I13*' Volume Assumptions'!J32+J13*' Volume Assumptions'!$J13*' Volume Assumptions'!J49</f>
        <v>5176510.6512797019</v>
      </c>
      <c r="K89" s="405">
        <f>+K13*' Volume Assumptions'!$I13*' Volume Assumptions'!K32+K13*' Volume Assumptions'!$J13*' Volume Assumptions'!K49</f>
        <v>5354965.198452591</v>
      </c>
      <c r="L89" s="406">
        <f>+L13*' Volume Assumptions'!$I13*' Volume Assumptions'!L32+L13*' Volume Assumptions'!$J13*' Volume Assumptions'!L49</f>
        <v>5527248.5643813796</v>
      </c>
    </row>
    <row r="90" spans="1:12" x14ac:dyDescent="0.2">
      <c r="A90" s="51" t="s">
        <v>70</v>
      </c>
      <c r="B90" s="404">
        <f>+B14*' Volume Assumptions'!$I14*' Volume Assumptions'!B33+B14*' Volume Assumptions'!$J14*' Volume Assumptions'!B50</f>
        <v>222360</v>
      </c>
      <c r="C90" s="405">
        <f>+C14*' Volume Assumptions'!$I14*' Volume Assumptions'!C33+C14*' Volume Assumptions'!$J14*' Volume Assumptions'!C50</f>
        <v>1364845.6800000034</v>
      </c>
      <c r="D90" s="405">
        <f>+D14*' Volume Assumptions'!$I14*' Volume Assumptions'!D33+D14*' Volume Assumptions'!$J14*' Volume Assumptions'!D50</f>
        <v>2043413.811517854</v>
      </c>
      <c r="E90" s="405">
        <f>+E14*' Volume Assumptions'!$I14*' Volume Assumptions'!E33+E14*' Volume Assumptions'!$J14*' Volume Assumptions'!E50</f>
        <v>2548530.2919552056</v>
      </c>
      <c r="F90" s="405">
        <f>+F14*' Volume Assumptions'!$I14*' Volume Assumptions'!F33+F14*' Volume Assumptions'!$J14*' Volume Assumptions'!F50</f>
        <v>2965375.2374915299</v>
      </c>
      <c r="G90" s="405">
        <f>+G14*' Volume Assumptions'!$I14*' Volume Assumptions'!G33+G14*' Volume Assumptions'!$J14*' Volume Assumptions'!G50</f>
        <v>3335006.7925059795</v>
      </c>
      <c r="H90" s="405">
        <f>+H14*' Volume Assumptions'!$I14*' Volume Assumptions'!H33+H14*' Volume Assumptions'!$J14*' Volume Assumptions'!H50</f>
        <v>3669474.7961619329</v>
      </c>
      <c r="I90" s="405">
        <f>+I14*' Volume Assumptions'!$I14*' Volume Assumptions'!I33+I14*' Volume Assumptions'!$J14*' Volume Assumptions'!I50</f>
        <v>3979349.3309796215</v>
      </c>
      <c r="J90" s="405">
        <f>+J14*' Volume Assumptions'!$I14*' Volume Assumptions'!J33+J14*' Volume Assumptions'!$J14*' Volume Assumptions'!J50</f>
        <v>4272488.7747114478</v>
      </c>
      <c r="K90" s="405">
        <f>+K14*' Volume Assumptions'!$I14*' Volume Assumptions'!K33+K14*' Volume Assumptions'!$J14*' Volume Assumptions'!K50</f>
        <v>4550832.4961235402</v>
      </c>
      <c r="L90" s="406">
        <f>+L14*' Volume Assumptions'!$I14*' Volume Assumptions'!L33+L14*' Volume Assumptions'!$J14*' Volume Assumptions'!L50</f>
        <v>4819959.2571310103</v>
      </c>
    </row>
    <row r="91" spans="1:12" x14ac:dyDescent="0.2">
      <c r="A91" s="51" t="s">
        <v>71</v>
      </c>
      <c r="B91" s="404">
        <f>+B15*' Volume Assumptions'!$I15*' Volume Assumptions'!B34+B15*' Volume Assumptions'!$J15*' Volume Assumptions'!B51</f>
        <v>263683.56699999998</v>
      </c>
      <c r="C91" s="405">
        <f>+C15*' Volume Assumptions'!$I15*' Volume Assumptions'!C34+C15*' Volume Assumptions'!$J15*' Volume Assumptions'!C51</f>
        <v>548700.39620064769</v>
      </c>
      <c r="D91" s="405">
        <f>+D15*' Volume Assumptions'!$I15*' Volume Assumptions'!D34+D15*' Volume Assumptions'!$J15*' Volume Assumptions'!D51</f>
        <v>710707.48901979346</v>
      </c>
      <c r="E91" s="405">
        <f>+E15*' Volume Assumptions'!$I15*' Volume Assumptions'!E34+E15*' Volume Assumptions'!$J15*' Volume Assumptions'!E51</f>
        <v>829365.56172879762</v>
      </c>
      <c r="F91" s="405">
        <f>+F15*' Volume Assumptions'!$I15*' Volume Assumptions'!F34+F15*' Volume Assumptions'!$J15*' Volume Assumptions'!F51</f>
        <v>926590.78976991714</v>
      </c>
      <c r="G91" s="405">
        <f>+G15*' Volume Assumptions'!$I15*' Volume Assumptions'!G34+G15*' Volume Assumptions'!$J15*' Volume Assumptions'!G51</f>
        <v>1012908.2961820092</v>
      </c>
      <c r="H91" s="405">
        <f>+H15*' Volume Assumptions'!$I15*' Volume Assumptions'!H34+H15*' Volume Assumptions'!$J15*' Volume Assumptions'!H51</f>
        <v>1090830.1480038981</v>
      </c>
      <c r="I91" s="405">
        <f>+I15*' Volume Assumptions'!$I15*' Volume Assumptions'!I34+I15*' Volume Assumptions'!$J15*' Volume Assumptions'!I51</f>
        <v>1162937.7571461156</v>
      </c>
      <c r="J91" s="405">
        <f>+J15*' Volume Assumptions'!$I15*' Volume Assumptions'!J34+J15*' Volume Assumptions'!$J15*' Volume Assumptions'!J51</f>
        <v>1231183.0722561229</v>
      </c>
      <c r="K91" s="405">
        <f>+K15*' Volume Assumptions'!$I15*' Volume Assumptions'!K34+K15*' Volume Assumptions'!$J15*' Volume Assumptions'!K51</f>
        <v>1295901.3282995583</v>
      </c>
      <c r="L91" s="406">
        <f>+L15*' Volume Assumptions'!$I15*' Volume Assumptions'!L34+L15*' Volume Assumptions'!$J15*' Volume Assumptions'!L51</f>
        <v>1358537.4889318505</v>
      </c>
    </row>
    <row r="92" spans="1:12" x14ac:dyDescent="0.2">
      <c r="A92" s="71" t="s">
        <v>119</v>
      </c>
      <c r="B92" s="404">
        <f>+B16*' Volume Assumptions'!$I16*' Volume Assumptions'!B35+B16*' Volume Assumptions'!$J16*' Volume Assumptions'!B52</f>
        <v>208075.43421586836</v>
      </c>
      <c r="C92" s="405">
        <f>+C16*' Volume Assumptions'!$I16*' Volume Assumptions'!C35+C16*' Volume Assumptions'!$J16*' Volume Assumptions'!C52</f>
        <v>571212.34139355784</v>
      </c>
      <c r="D92" s="405">
        <f>+D16*' Volume Assumptions'!$I16*' Volume Assumptions'!D35+D16*' Volume Assumptions'!$J16*' Volume Assumptions'!D52</f>
        <v>734098.01961799478</v>
      </c>
      <c r="E92" s="405">
        <f>+E16*' Volume Assumptions'!$I16*' Volume Assumptions'!E35+E16*' Volume Assumptions'!$J16*' Volume Assumptions'!E52</f>
        <v>838778.83742982021</v>
      </c>
      <c r="F92" s="405">
        <f>+F16*' Volume Assumptions'!$I16*' Volume Assumptions'!F35+F16*' Volume Assumptions'!$J16*' Volume Assumptions'!F52</f>
        <v>918029.77328161115</v>
      </c>
      <c r="G92" s="405">
        <f>+G16*' Volume Assumptions'!$I16*' Volume Assumptions'!G35+G16*' Volume Assumptions'!$J16*' Volume Assumptions'!G52</f>
        <v>985271.0864268759</v>
      </c>
      <c r="H92" s="405">
        <f>+H16*' Volume Assumptions'!$I16*' Volume Assumptions'!H35+H16*' Volume Assumptions'!$J16*' Volume Assumptions'!H52</f>
        <v>1043982.1880272484</v>
      </c>
      <c r="I92" s="405">
        <f>+I16*' Volume Assumptions'!$I16*' Volume Assumptions'!I35+I16*' Volume Assumptions'!$J16*' Volume Assumptions'!I52</f>
        <v>1097094.0942936977</v>
      </c>
      <c r="J92" s="405">
        <f>+J16*' Volume Assumptions'!$I16*' Volume Assumptions'!J35+J16*' Volume Assumptions'!$J16*' Volume Assumptions'!J52</f>
        <v>1146647.7927765893</v>
      </c>
      <c r="K92" s="405">
        <f>+K16*' Volume Assumptions'!$I16*' Volume Assumptions'!K35+K16*' Volume Assumptions'!$J16*' Volume Assumptions'!K52</f>
        <v>1193044.0227926411</v>
      </c>
      <c r="L92" s="406">
        <f>+L16*' Volume Assumptions'!$I16*' Volume Assumptions'!L35+L16*' Volume Assumptions'!$J16*' Volume Assumptions'!L52</f>
        <v>1237658.0829844121</v>
      </c>
    </row>
    <row r="93" spans="1:12" x14ac:dyDescent="0.2">
      <c r="A93" s="71" t="s">
        <v>120</v>
      </c>
      <c r="B93" s="404">
        <f>+B17*' Volume Assumptions'!$I17*' Volume Assumptions'!B36+B17*' Volume Assumptions'!$J17*' Volume Assumptions'!B53</f>
        <v>456</v>
      </c>
      <c r="C93" s="405">
        <f>+C17*' Volume Assumptions'!$I17*' Volume Assumptions'!C36+C17*' Volume Assumptions'!$J17*' Volume Assumptions'!C53</f>
        <v>69370.753089211896</v>
      </c>
      <c r="D93" s="405">
        <f>+D17*' Volume Assumptions'!$I17*' Volume Assumptions'!D36+D17*' Volume Assumptions'!$J17*' Volume Assumptions'!D53</f>
        <v>143058.32291416163</v>
      </c>
      <c r="E93" s="405">
        <f>+E17*' Volume Assumptions'!$I17*' Volume Assumptions'!E36+E17*' Volume Assumptions'!$J17*' Volume Assumptions'!E53</f>
        <v>237725.2443672159</v>
      </c>
      <c r="F93" s="405">
        <f>+F17*' Volume Assumptions'!$I17*' Volume Assumptions'!F36+F17*' Volume Assumptions'!$J17*' Volume Assumptions'!F53</f>
        <v>365629.93694678391</v>
      </c>
      <c r="G93" s="405">
        <f>+G17*' Volume Assumptions'!$I17*' Volume Assumptions'!G36+G17*' Volume Assumptions'!$J17*' Volume Assumptions'!G53</f>
        <v>541225.40791446913</v>
      </c>
      <c r="H93" s="405">
        <f>+H17*' Volume Assumptions'!$I17*' Volume Assumptions'!H36+H17*' Volume Assumptions'!$J17*' Volume Assumptions'!H53</f>
        <v>783471.33262752811</v>
      </c>
      <c r="I93" s="405">
        <f>+I17*' Volume Assumptions'!$I17*' Volume Assumptions'!I36+I17*' Volume Assumptions'!$J17*' Volume Assumptions'!I53</f>
        <v>1117950.2485706254</v>
      </c>
      <c r="J93" s="405">
        <f>+J17*' Volume Assumptions'!$I17*' Volume Assumptions'!J36+J17*' Volume Assumptions'!$J17*' Volume Assumptions'!J53</f>
        <v>1579467.9697390557</v>
      </c>
      <c r="K93" s="405">
        <f>+K17*' Volume Assumptions'!$I17*' Volume Assumptions'!K36+K17*' Volume Assumptions'!$J17*' Volume Assumptions'!K53</f>
        <v>2215495.2918420387</v>
      </c>
      <c r="L93" s="406">
        <f>+L17*' Volume Assumptions'!$I17*' Volume Assumptions'!L36+L17*' Volume Assumptions'!$J17*' Volume Assumptions'!L53</f>
        <v>3090811.5936079351</v>
      </c>
    </row>
    <row r="94" spans="1:12" ht="13.5" thickBot="1" x14ac:dyDescent="0.25">
      <c r="A94" s="52" t="s">
        <v>113</v>
      </c>
      <c r="B94" s="407">
        <f>+B18*' Volume Assumptions'!$I18*' Volume Assumptions'!B37+B18*' Volume Assumptions'!$J18*' Volume Assumptions'!B54</f>
        <v>96181.395214664983</v>
      </c>
      <c r="C94" s="408">
        <f>+C18*' Volume Assumptions'!$I18*' Volume Assumptions'!C37+C18*' Volume Assumptions'!$J18*' Volume Assumptions'!C54</f>
        <v>592952.50386535109</v>
      </c>
      <c r="D94" s="408">
        <f>+D18*' Volume Assumptions'!$I18*' Volume Assumptions'!D37+D18*' Volume Assumptions'!$J18*' Volume Assumptions'!D54</f>
        <v>849384.62673086335</v>
      </c>
      <c r="E94" s="408">
        <f>+E18*' Volume Assumptions'!$I18*' Volume Assumptions'!E37+E18*' Volume Assumptions'!$J18*' Volume Assumptions'!E54</f>
        <v>1025693.9030100959</v>
      </c>
      <c r="F94" s="408">
        <f>+F18*' Volume Assumptions'!$I18*' Volume Assumptions'!F37+F18*' Volume Assumptions'!$J18*' Volume Assumptions'!F54</f>
        <v>1163965.5634329026</v>
      </c>
      <c r="G94" s="408">
        <f>+G18*' Volume Assumptions'!$I18*' Volume Assumptions'!G37+G18*' Volume Assumptions'!$J18*' Volume Assumptions'!G54</f>
        <v>1282721.4178144294</v>
      </c>
      <c r="H94" s="408">
        <f>+H18*' Volume Assumptions'!$I18*' Volume Assumptions'!H37+H18*' Volume Assumptions'!$J18*' Volume Assumptions'!H54</f>
        <v>1387499.9586285567</v>
      </c>
      <c r="I94" s="408">
        <f>+I18*' Volume Assumptions'!$I18*' Volume Assumptions'!I37+I18*' Volume Assumptions'!$J18*' Volume Assumptions'!I54</f>
        <v>1482766.5134255586</v>
      </c>
      <c r="J94" s="408">
        <f>+J18*' Volume Assumptions'!$I18*' Volume Assumptions'!J37+J18*' Volume Assumptions'!$J18*' Volume Assumptions'!J54</f>
        <v>1571680.6602166821</v>
      </c>
      <c r="K94" s="408">
        <f>+K18*' Volume Assumptions'!$I18*' Volume Assumptions'!K37+K18*' Volume Assumptions'!$J18*' Volume Assumptions'!K54</f>
        <v>1655078.9755954053</v>
      </c>
      <c r="L94" s="409">
        <f>+L18*' Volume Assumptions'!$I18*' Volume Assumptions'!L37+L18*' Volume Assumptions'!$J18*' Volume Assumptions'!L54</f>
        <v>1735069.2885851772</v>
      </c>
    </row>
    <row r="95" spans="1:12" ht="13.5" thickBot="1" x14ac:dyDescent="0.25">
      <c r="A95" s="36" t="s">
        <v>124</v>
      </c>
      <c r="B95" s="268">
        <f t="shared" ref="B95:L95" si="16">SUM(B83:B94)</f>
        <v>11427064.136070754</v>
      </c>
      <c r="C95" s="268">
        <f t="shared" si="16"/>
        <v>20419141.6068758</v>
      </c>
      <c r="D95" s="268">
        <f t="shared" si="16"/>
        <v>24490525.700923692</v>
      </c>
      <c r="E95" s="268">
        <f t="shared" si="16"/>
        <v>27250384.214729179</v>
      </c>
      <c r="F95" s="268">
        <f t="shared" si="16"/>
        <v>29475570.220312424</v>
      </c>
      <c r="G95" s="268">
        <f t="shared" si="16"/>
        <v>31497329.909982536</v>
      </c>
      <c r="H95" s="268">
        <f t="shared" si="16"/>
        <v>33393753.793621957</v>
      </c>
      <c r="I95" s="268">
        <f t="shared" si="16"/>
        <v>35256336.029869989</v>
      </c>
      <c r="J95" s="268">
        <f t="shared" si="16"/>
        <v>37168529.603287525</v>
      </c>
      <c r="K95" s="268">
        <f t="shared" si="16"/>
        <v>39181038.879226461</v>
      </c>
      <c r="L95" s="269">
        <f t="shared" si="16"/>
        <v>41395290.205303036</v>
      </c>
    </row>
    <row r="98" spans="1:12" x14ac:dyDescent="0.2">
      <c r="A98" s="43" t="s">
        <v>176</v>
      </c>
      <c r="D98" s="273" t="s">
        <v>257</v>
      </c>
      <c r="E98" s="274"/>
      <c r="F98" s="274"/>
      <c r="G98" s="274"/>
      <c r="H98" s="274"/>
      <c r="I98" s="274"/>
      <c r="J98" s="274"/>
      <c r="K98" s="274"/>
    </row>
    <row r="99" spans="1:12" ht="13.5" thickBot="1" x14ac:dyDescent="0.25">
      <c r="A99" s="35"/>
    </row>
    <row r="100" spans="1:12" ht="13.5" thickBot="1" x14ac:dyDescent="0.25">
      <c r="B100" s="693" t="s">
        <v>121</v>
      </c>
      <c r="C100" s="694"/>
      <c r="D100" s="694"/>
      <c r="E100" s="694"/>
      <c r="F100" s="694"/>
      <c r="G100" s="694"/>
      <c r="H100" s="694"/>
      <c r="I100" s="694"/>
      <c r="J100" s="694"/>
      <c r="K100" s="694"/>
      <c r="L100" s="697"/>
    </row>
    <row r="101" spans="1:12" ht="13.5" thickBot="1" x14ac:dyDescent="0.25">
      <c r="A101" s="36" t="s">
        <v>109</v>
      </c>
      <c r="B101" s="10">
        <v>2001</v>
      </c>
      <c r="C101" s="11">
        <v>2002</v>
      </c>
      <c r="D101" s="11">
        <v>2003</v>
      </c>
      <c r="E101" s="11">
        <v>2004</v>
      </c>
      <c r="F101" s="11">
        <v>2005</v>
      </c>
      <c r="G101" s="11">
        <v>2006</v>
      </c>
      <c r="H101" s="11">
        <v>2007</v>
      </c>
      <c r="I101" s="11">
        <v>2008</v>
      </c>
      <c r="J101" s="11">
        <v>2009</v>
      </c>
      <c r="K101" s="11">
        <v>2010</v>
      </c>
      <c r="L101" s="12">
        <v>2011</v>
      </c>
    </row>
    <row r="102" spans="1:12" x14ac:dyDescent="0.2">
      <c r="A102" s="50" t="s">
        <v>64</v>
      </c>
      <c r="B102" s="298">
        <f>IF(ISERR(Oil!$E$14/$B$7*B83),0,Oil!$E$14/$B$7*B83)</f>
        <v>1706677.632</v>
      </c>
      <c r="C102" s="335">
        <f>IF(ISERR(Oil!$E$14/$B$7*C83),0,Oil!$E$14/$B$7*C83)</f>
        <v>2733529.2420800379</v>
      </c>
      <c r="D102" s="335">
        <f>IF(ISERR(Oil!$E$14/$B$7*D83),0,Oil!$E$14/$B$7*D83)</f>
        <v>3134451.3095451994</v>
      </c>
      <c r="E102" s="335">
        <f>IF(ISERR(Oil!$E$14/$B$7*E83),0,Oil!$E$14/$B$7*E83)</f>
        <v>3384115.5636027982</v>
      </c>
      <c r="F102" s="335">
        <f>IF(ISERR(Oil!$E$14/$B$7*F83),0,Oil!$E$14/$B$7*F83)</f>
        <v>3574718.959384806</v>
      </c>
      <c r="G102" s="335">
        <f>IF(ISERR(Oil!$E$14/$B$7*G83),0,Oil!$E$14/$B$7*G83)</f>
        <v>3742216.0972302663</v>
      </c>
      <c r="H102" s="335">
        <f>IF(ISERR(Oil!$E$14/$B$7*H83),0,Oil!$E$14/$B$7*H83)</f>
        <v>3891759.4625318982</v>
      </c>
      <c r="I102" s="335">
        <f>IF(ISERR(Oil!$E$14/$B$7*I83),0,Oil!$E$14/$B$7*I83)</f>
        <v>4030067.9965291964</v>
      </c>
      <c r="J102" s="335">
        <f>IF(ISERR(Oil!$E$14/$B$7*J83),0,Oil!$E$14/$B$7*J83)</f>
        <v>4162082.279515781</v>
      </c>
      <c r="K102" s="335">
        <f>IF(ISERR(Oil!$E$14/$B$7*K83),0,Oil!$E$14/$B$7*K83)</f>
        <v>4287609.2042274913</v>
      </c>
      <c r="L102" s="336">
        <f>IF(ISERR(Oil!$E$14/$B$7*L83),0,Oil!$E$14/$B$7*L83)</f>
        <v>4410502.1786926975</v>
      </c>
    </row>
    <row r="103" spans="1:12" x14ac:dyDescent="0.2">
      <c r="A103" s="51" t="s">
        <v>65</v>
      </c>
      <c r="B103" s="337">
        <f>IF(ISERR((+Liquids!$I$16+Liquids!$I$17)/$B$8*B84),0,(+Liquids!$I$16+Liquids!$I$17)/$B$8*B84)</f>
        <v>573011.58532841818</v>
      </c>
      <c r="C103" s="338">
        <f>IF(ISERR((+Liquids!$I$16+Liquids!$I$17)/$B$8*C84),0,(+Liquids!$I$16+Liquids!$I$17)/$B$8*C84)</f>
        <v>1117112.3362519494</v>
      </c>
      <c r="D103" s="338">
        <f>IF(ISERR((+Liquids!$I$16+Liquids!$I$17)/$B$8*D84),0,(+Liquids!$I$16+Liquids!$I$17)/$B$8*D84)</f>
        <v>1415168.8201146096</v>
      </c>
      <c r="E103" s="338">
        <f>IF(ISERR((+Liquids!$I$16+Liquids!$I$17)/$B$8*E84),0,(+Liquids!$I$16+Liquids!$I$17)/$B$8*E84)</f>
        <v>1629516.7774426152</v>
      </c>
      <c r="F103" s="338">
        <f>IF(ISERR((+Liquids!$I$16+Liquids!$I$17)/$B$8*F84),0,(+Liquids!$I$16+Liquids!$I$17)/$B$8*F84)</f>
        <v>1803328.0330204994</v>
      </c>
      <c r="G103" s="338">
        <f>IF(ISERR((+Liquids!$I$16+Liquids!$I$17)/$B$8*G84),0,(+Liquids!$I$16+Liquids!$I$17)/$B$8*G84)</f>
        <v>1956912.8339407619</v>
      </c>
      <c r="H103" s="338">
        <f>IF(ISERR((+Liquids!$I$16+Liquids!$I$17)/$B$8*H84),0,(+Liquids!$I$16+Liquids!$I$17)/$B$8*H84)</f>
        <v>2094949.4321666588</v>
      </c>
      <c r="I103" s="338">
        <f>IF(ISERR((+Liquids!$I$16+Liquids!$I$17)/$B$8*I84),0,(+Liquids!$I$16+Liquids!$I$17)/$B$8*I84)</f>
        <v>2222304.904034663</v>
      </c>
      <c r="J103" s="338">
        <f>IF(ISERR((+Liquids!$I$16+Liquids!$I$17)/$B$8*J84),0,(+Liquids!$I$16+Liquids!$I$17)/$B$8*J84)</f>
        <v>2342636.4059508708</v>
      </c>
      <c r="K103" s="338">
        <f>IF(ISERR((+Liquids!$I$16+Liquids!$I$17)/$B$8*K84),0,(+Liquids!$I$16+Liquids!$I$17)/$B$8*K84)</f>
        <v>2456525.8511706553</v>
      </c>
      <c r="L103" s="339">
        <f>IF(ISERR((+Liquids!$I$16+Liquids!$I$17)/$B$8*L84),0,(+Liquids!$I$16+Liquids!$I$17)/$B$8*L84)</f>
        <v>2566674.4307114454</v>
      </c>
    </row>
    <row r="104" spans="1:12" x14ac:dyDescent="0.2">
      <c r="A104" s="51" t="s">
        <v>66</v>
      </c>
      <c r="B104" s="337">
        <f>+IF(ISERR(Gas!$E$13/$B$9*B85),0,Gas!$E$13/$B$9*B85)</f>
        <v>3735250.2244890002</v>
      </c>
      <c r="C104" s="338">
        <f>+IF(ISERR(Gas!$E$13/$B$9*C85),0,Gas!$E$13/$B$9*C85)</f>
        <v>4997973.3580773994</v>
      </c>
      <c r="D104" s="338">
        <f>+IF(ISERR(Gas!$E$13/$B$9*D85),0,Gas!$E$13/$B$9*D85)</f>
        <v>5491997.7173306169</v>
      </c>
      <c r="E104" s="338">
        <f>+IF(ISERR(Gas!$E$13/$B$9*E85),0,Gas!$E$13/$B$9*E85)</f>
        <v>5815515.8305438887</v>
      </c>
      <c r="F104" s="338">
        <f>+IF(ISERR(Gas!$E$13/$B$9*F85),0,Gas!$E$13/$B$9*F85)</f>
        <v>6075414.0131809013</v>
      </c>
      <c r="G104" s="338">
        <f>+IF(ISERR(Gas!$E$13/$B$9*G85),0,Gas!$E$13/$B$9*G85)</f>
        <v>6314956.0999716306</v>
      </c>
      <c r="H104" s="338">
        <f>+IF(ISERR(Gas!$E$13/$B$9*H85),0,Gas!$E$13/$B$9*H85)</f>
        <v>6534989.6742289793</v>
      </c>
      <c r="I104" s="338">
        <f>+IF(ISERR(Gas!$E$13/$B$9*I85),0,Gas!$E$13/$B$9*I85)</f>
        <v>6742933.5021995334</v>
      </c>
      <c r="J104" s="338">
        <f>+IF(ISERR(Gas!$E$13/$B$9*J85),0,Gas!$E$13/$B$9*J85)</f>
        <v>6944874.3286277363</v>
      </c>
      <c r="K104" s="338">
        <f>+IF(ISERR(Gas!$E$13/$B$9*K85),0,Gas!$E$13/$B$9*K85)</f>
        <v>7139168.774523953</v>
      </c>
      <c r="L104" s="339">
        <f>+IF(ISERR(Gas!$E$13/$B$9*L85),0,Gas!$E$13/$B$9*L85)</f>
        <v>7331395.0421434017</v>
      </c>
    </row>
    <row r="105" spans="1:12" x14ac:dyDescent="0.2">
      <c r="A105" s="51" t="s">
        <v>112</v>
      </c>
      <c r="B105" s="337">
        <f>IF(ISERR(LNG!$E$9/$B$10*B86),0,LNG!$E$9/$B$10*B86)</f>
        <v>42905.5</v>
      </c>
      <c r="C105" s="338">
        <f>IF(ISERR(LNG!$E$9/$B$10*C86),0,LNG!$E$9/$B$10*C86)</f>
        <v>144400.12638519172</v>
      </c>
      <c r="D105" s="338">
        <f>IF(ISERR(LNG!$E$9/$B$10*D86),0,LNG!$E$9/$B$10*D86)</f>
        <v>172351.75244855095</v>
      </c>
      <c r="E105" s="338">
        <f>IF(ISERR(LNG!$E$9/$B$10*E86),0,LNG!$E$9/$B$10*E86)</f>
        <v>186745.52104287993</v>
      </c>
      <c r="F105" s="338">
        <f>IF(ISERR(LNG!$E$9/$B$10*F86),0,LNG!$E$9/$B$10*F86)</f>
        <v>196711.11238197246</v>
      </c>
      <c r="G105" s="338">
        <f>IF(ISERR(LNG!$E$9/$B$10*G86),0,LNG!$E$9/$B$10*G86)</f>
        <v>205104.54624817817</v>
      </c>
      <c r="H105" s="338">
        <f>IF(ISERR(LNG!$E$9/$B$10*H86),0,LNG!$E$9/$B$10*H86)</f>
        <v>212454.25763656924</v>
      </c>
      <c r="I105" s="338">
        <f>IF(ISERR(LNG!$E$9/$B$10*I86),0,LNG!$E$9/$B$10*I86)</f>
        <v>219206.57536405892</v>
      </c>
      <c r="J105" s="338">
        <f>IF(ISERR(LNG!$E$9/$B$10*J86),0,LNG!$E$9/$B$10*J86)</f>
        <v>225655.00053053597</v>
      </c>
      <c r="K105" s="338">
        <f>IF(ISERR(LNG!$E$9/$B$10*K86),0,LNG!$E$9/$B$10*K86)</f>
        <v>231794.64363779803</v>
      </c>
      <c r="L105" s="339">
        <f>IF(ISERR(LNG!$E$9/$B$10*L86),0,LNG!$E$9/$B$10*L86)</f>
        <v>237832.88908755101</v>
      </c>
    </row>
    <row r="106" spans="1:12" x14ac:dyDescent="0.2">
      <c r="A106" s="51" t="s">
        <v>67</v>
      </c>
      <c r="B106" s="337">
        <f>+IF(ISERR(Power!$E$12/$B$11*B87),0,Power!$E$12/$B$11*B87)</f>
        <v>595074</v>
      </c>
      <c r="C106" s="338">
        <f>+IF(ISERR(Power!$E$12/$B$11*C87),0,Power!$E$12/$B$11*C87)</f>
        <v>919789.21732287679</v>
      </c>
      <c r="D106" s="338">
        <f>+IF(ISERR(Power!$E$12/$B$11*D87),0,Power!$E$12/$B$11*D87)</f>
        <v>1083173.1248754531</v>
      </c>
      <c r="E106" s="338">
        <f>+IF(ISERR(Power!$E$12/$B$11*E87),0,Power!$E$12/$B$11*E87)</f>
        <v>1197063.3347503915</v>
      </c>
      <c r="F106" s="338">
        <f>+IF(ISERR(Power!$E$12/$B$11*F87),0,Power!$E$12/$B$11*F87)</f>
        <v>1288370.6566449418</v>
      </c>
      <c r="G106" s="338">
        <f>+IF(ISERR(Power!$E$12/$B$11*G87),0,Power!$E$12/$B$11*G87)</f>
        <v>1369380.6819405556</v>
      </c>
      <c r="H106" s="338">
        <f>+IF(ISERR(Power!$E$12/$B$11*H87),0,Power!$E$12/$B$11*H87)</f>
        <v>1442152.6818193316</v>
      </c>
      <c r="I106" s="338">
        <f>+IF(ISERR(Power!$E$12/$B$11*I87),0,Power!$E$12/$B$11*I87)</f>
        <v>1509398.9441876328</v>
      </c>
      <c r="J106" s="338">
        <f>+IF(ISERR(Power!$E$12/$B$11*J87),0,Power!$E$12/$B$11*J87)</f>
        <v>1573191.5194266143</v>
      </c>
      <c r="K106" s="338">
        <f>+IF(ISERR(Power!$E$12/$B$11*K87),0,Power!$E$12/$B$11*K87)</f>
        <v>1633643.3115902236</v>
      </c>
      <c r="L106" s="339">
        <f>+IF(ISERR(Power!$E$12/$B$11*L87),0,Power!$E$12/$B$11*L87)</f>
        <v>1692364.5225851918</v>
      </c>
    </row>
    <row r="107" spans="1:12" x14ac:dyDescent="0.2">
      <c r="A107" s="51" t="s">
        <v>68</v>
      </c>
      <c r="B107" s="337">
        <f>IF(ISERR(+Coal!$E$13/$B$12*B88),0,+Coal!$E$13/$B$12*B88)</f>
        <v>23220.086569411716</v>
      </c>
      <c r="C107" s="338">
        <f>IF(ISERR(+Coal!$E$13/$B$12*C88),0,+Coal!$E$13/$B$12*C88)</f>
        <v>45070.079008033521</v>
      </c>
      <c r="D107" s="338">
        <f>IF(ISERR(+Coal!$E$13/$B$12*D88),0,+Coal!$E$13/$B$12*D88)</f>
        <v>57291.340579241514</v>
      </c>
      <c r="E107" s="338">
        <f>IF(ISERR(+Coal!$E$13/$B$12*E88),0,+Coal!$E$13/$B$12*E88)</f>
        <v>66180.868545046207</v>
      </c>
      <c r="F107" s="338">
        <f>IF(ISERR(+Coal!$E$13/$B$12*F88),0,+Coal!$E$13/$B$12*F88)</f>
        <v>73439.544811768326</v>
      </c>
      <c r="G107" s="338">
        <f>IF(ISERR(+Coal!$E$13/$B$12*G88),0,+Coal!$E$13/$B$12*G88)</f>
        <v>79879.107001544558</v>
      </c>
      <c r="H107" s="338">
        <f>IF(ISERR(+Coal!$E$13/$B$12*H88),0,+Coal!$E$13/$B$12*H88)</f>
        <v>85685.161414375892</v>
      </c>
      <c r="I107" s="338">
        <f>IF(ISERR(+Coal!$E$13/$B$12*I88),0,+Coal!$E$13/$B$12*I88)</f>
        <v>91054.132025818632</v>
      </c>
      <c r="J107" s="338">
        <f>IF(ISERR(+Coal!$E$13/$B$12*J88),0,+Coal!$E$13/$B$12*J88)</f>
        <v>96134.695740788433</v>
      </c>
      <c r="K107" s="338">
        <f>IF(ISERR(+Coal!$E$13/$B$12*K88),0,+Coal!$E$13/$B$12*K88)</f>
        <v>100950.20207077655</v>
      </c>
      <c r="L107" s="339">
        <f>IF(ISERR(+Coal!$E$13/$B$12*L88),0,+Coal!$E$13/$B$12*L88)</f>
        <v>105611.34651839202</v>
      </c>
    </row>
    <row r="108" spans="1:12" x14ac:dyDescent="0.2">
      <c r="A108" s="51" t="s">
        <v>69</v>
      </c>
      <c r="B108" s="337">
        <f>IF(ISERR((Metals!$I$15+Metals!$I$16)/$B$13*B89),0,(Metals!$I$15+Metals!$I$16)/$B$13*B89)</f>
        <v>928827.89439999999</v>
      </c>
      <c r="C108" s="338">
        <f>IF(ISERR((Metals!$I$15+Metals!$I$16)/$B$13*C89),0,(Metals!$I$15+Metals!$I$16)/$B$13*C89)</f>
        <v>2718533.5575058307</v>
      </c>
      <c r="D108" s="338">
        <f>IF(ISERR((Metals!$I$15+Metals!$I$16)/$B$13*D89),0,(Metals!$I$15+Metals!$I$16)/$B$13*D89)</f>
        <v>3408540.7480442403</v>
      </c>
      <c r="E108" s="338">
        <f>IF(ISERR((Metals!$I$15+Metals!$I$16)/$B$13*E89),0,(Metals!$I$15+Metals!$I$16)/$B$13*E89)</f>
        <v>3819643.4172923067</v>
      </c>
      <c r="F108" s="338">
        <f>IF(ISERR((Metals!$I$15+Metals!$I$16)/$B$13*F89),0,(Metals!$I$15+Metals!$I$16)/$B$13*F89)</f>
        <v>4119026.1916374522</v>
      </c>
      <c r="G108" s="338">
        <f>IF(ISERR((Metals!$I$15+Metals!$I$16)/$B$13*G89),0,(Metals!$I$15+Metals!$I$16)/$B$13*G89)</f>
        <v>4369434.6934848083</v>
      </c>
      <c r="H108" s="338">
        <f>IF(ISERR((Metals!$I$15+Metals!$I$16)/$B$13*H89),0,(Metals!$I$15+Metals!$I$16)/$B$13*H89)</f>
        <v>4586156.4942884166</v>
      </c>
      <c r="I108" s="338">
        <f>IF(ISERR((Metals!$I$15+Metals!$I$16)/$B$13*I89),0,(Metals!$I$15+Metals!$I$16)/$B$13*I89)</f>
        <v>4781637.5168306287</v>
      </c>
      <c r="J108" s="338">
        <f>IF(ISERR((Metals!$I$15+Metals!$I$16)/$B$13*J89),0,(Metals!$I$15+Metals!$I$16)/$B$13*J89)</f>
        <v>4964289.5133924047</v>
      </c>
      <c r="K108" s="338">
        <f>IF(ISERR((Metals!$I$15+Metals!$I$16)/$B$13*K89),0,(Metals!$I$15+Metals!$I$16)/$B$13*K89)</f>
        <v>5135427.9687780915</v>
      </c>
      <c r="L108" s="339">
        <f>IF(ISERR((Metals!$I$15+Metals!$I$16)/$B$13*L89),0,(Metals!$I$15+Metals!$I$16)/$B$13*L89)</f>
        <v>5300648.2425161162</v>
      </c>
    </row>
    <row r="109" spans="1:12" x14ac:dyDescent="0.2">
      <c r="A109" s="51" t="s">
        <v>70</v>
      </c>
      <c r="B109" s="337">
        <f>IF(ISERR(+Logistics!$C$11/$B$14*B90),0,+Logistics!$C$11/$B$14*B90)</f>
        <v>23893.199999999997</v>
      </c>
      <c r="C109" s="338">
        <f>IF(ISERR(+Logistics!$C$11/$B$14*C90),0,+Logistics!$C$11/$B$14*C90)</f>
        <v>146656.46160000036</v>
      </c>
      <c r="D109" s="338">
        <f>IF(ISERR(+Logistics!$C$11/$B$14*D90),0,+Logistics!$C$11/$B$14*D90)</f>
        <v>219570.49326029135</v>
      </c>
      <c r="E109" s="338">
        <f>IF(ISERR(+Logistics!$C$11/$B$14*E90),0,+Logistics!$C$11/$B$14*E90)</f>
        <v>273846.66294182459</v>
      </c>
      <c r="F109" s="338">
        <f>IF(ISERR(+Logistics!$C$11/$B$14*F90),0,+Logistics!$C$11/$B$14*F90)</f>
        <v>318637.8108672091</v>
      </c>
      <c r="G109" s="338">
        <f>IF(ISERR(+Logistics!$C$11/$B$14*G90),0,+Logistics!$C$11/$B$14*G90)</f>
        <v>358355.74876193498</v>
      </c>
      <c r="H109" s="338">
        <f>IF(ISERR(+Logistics!$C$11/$B$14*H90),0,+Logistics!$C$11/$B$14*H90)</f>
        <v>394295.26533394627</v>
      </c>
      <c r="I109" s="338">
        <f>IF(ISERR(+Logistics!$C$11/$B$14*I90),0,+Logistics!$C$11/$B$14*I90)</f>
        <v>427592.14532722742</v>
      </c>
      <c r="J109" s="338">
        <f>IF(ISERR(+Logistics!$C$11/$B$14*J90),0,+Logistics!$C$11/$B$14*J90)</f>
        <v>459090.79327188147</v>
      </c>
      <c r="K109" s="338">
        <f>IF(ISERR(+Logistics!$C$11/$B$14*K90),0,+Logistics!$C$11/$B$14*K90)</f>
        <v>488999.59973187157</v>
      </c>
      <c r="L109" s="339">
        <f>IF(ISERR(+Logistics!$C$11/$B$14*L90),0,+Logistics!$C$11/$B$14*L90)</f>
        <v>517918.01817990036</v>
      </c>
    </row>
    <row r="110" spans="1:12" x14ac:dyDescent="0.2">
      <c r="A110" s="51" t="s">
        <v>71</v>
      </c>
      <c r="B110" s="337">
        <f>IF(ISERR(('Forest Products'!$J$12+'Forest Products'!$J$13)/$B$15*B91),0,('Forest Products'!$J$12+'Forest Products'!$J$13)/$B$15*B91)</f>
        <v>194568.90669999999</v>
      </c>
      <c r="C110" s="338">
        <f>IF(ISERR(('Forest Products'!$J$12+'Forest Products'!$J$13)/$B$15*C91),0,('Forest Products'!$J$12+'Forest Products'!$J$13)/$B$15*C91)</f>
        <v>404879.36889376526</v>
      </c>
      <c r="D110" s="338">
        <f>IF(ISERR(('Forest Products'!$J$12+'Forest Products'!$J$13)/$B$15*D91),0,('Forest Products'!$J$12+'Forest Products'!$J$13)/$B$15*D91)</f>
        <v>524422.43821012741</v>
      </c>
      <c r="E110" s="338">
        <f>IF(ISERR(('Forest Products'!$J$12+'Forest Products'!$J$13)/$B$15*E91),0,('Forest Products'!$J$12+'Forest Products'!$J$13)/$B$15*E91)</f>
        <v>611978.79123124701</v>
      </c>
      <c r="F110" s="338">
        <f>IF(ISERR(('Forest Products'!$J$12+'Forest Products'!$J$13)/$B$15*F91),0,('Forest Products'!$J$12+'Forest Products'!$J$13)/$B$15*F91)</f>
        <v>683720.10806355008</v>
      </c>
      <c r="G110" s="338">
        <f>IF(ISERR(('Forest Products'!$J$12+'Forest Products'!$J$13)/$B$15*G91),0,('Forest Products'!$J$12+'Forest Products'!$J$13)/$B$15*G91)</f>
        <v>747412.74937126937</v>
      </c>
      <c r="H110" s="338">
        <f>IF(ISERR(('Forest Products'!$J$12+'Forest Products'!$J$13)/$B$15*H91),0,('Forest Products'!$J$12+'Forest Products'!$J$13)/$B$15*H91)</f>
        <v>804910.33896138729</v>
      </c>
      <c r="I110" s="338">
        <f>IF(ISERR(('Forest Products'!$J$12+'Forest Products'!$J$13)/$B$15*I91),0,('Forest Products'!$J$12+'Forest Products'!$J$13)/$B$15*I91)</f>
        <v>858117.66938085249</v>
      </c>
      <c r="J110" s="338">
        <f>IF(ISERR(('Forest Products'!$J$12+'Forest Products'!$J$13)/$B$15*J91),0,('Forest Products'!$J$12+'Forest Products'!$J$13)/$B$15*J91)</f>
        <v>908475.05986757588</v>
      </c>
      <c r="K110" s="338">
        <f>IF(ISERR(('Forest Products'!$J$12+'Forest Products'!$J$13)/$B$15*K91),0,('Forest Products'!$J$12+'Forest Products'!$J$13)/$B$15*K91)</f>
        <v>956229.8762376908</v>
      </c>
      <c r="L110" s="339">
        <f>IF(ISERR(('Forest Products'!$J$12+'Forest Products'!$J$13)/$B$15*L91),0,('Forest Products'!$J$12+'Forest Products'!$J$13)/$B$15*L91)</f>
        <v>1002448.339651115</v>
      </c>
    </row>
    <row r="111" spans="1:12" x14ac:dyDescent="0.2">
      <c r="A111" s="71" t="s">
        <v>119</v>
      </c>
      <c r="B111" s="337">
        <f>+IF(ISERR((Grains!$E$12+Grains!$E$13)/$B$16*B92),0,(Grains!$E$12+Grains!$E$13)/$B$16*B92)</f>
        <v>87439.05096483606</v>
      </c>
      <c r="C111" s="338">
        <f>+IF(ISERR((Grains!$E$12+Grains!$E$13)/$B$16*C92),0,(Grains!$E$12+Grains!$E$13)/$B$16*C92)</f>
        <v>240039.22048307618</v>
      </c>
      <c r="D111" s="338">
        <f>+IF(ISERR((Grains!$E$12+Grains!$E$13)/$B$16*D92),0,(Grains!$E$12+Grains!$E$13)/$B$16*D92)</f>
        <v>308488.28643543861</v>
      </c>
      <c r="E111" s="338">
        <f>+IF(ISERR((Grains!$E$12+Grains!$E$13)/$B$16*E92),0,(Grains!$E$12+Grains!$E$13)/$B$16*E92)</f>
        <v>352478.06061605102</v>
      </c>
      <c r="F111" s="338">
        <f>+IF(ISERR((Grains!$E$12+Grains!$E$13)/$B$16*F92),0,(Grains!$E$12+Grains!$E$13)/$B$16*F92)</f>
        <v>385781.49523374141</v>
      </c>
      <c r="G111" s="338">
        <f>+IF(ISERR((Grains!$E$12+Grains!$E$13)/$B$16*G92),0,(Grains!$E$12+Grains!$E$13)/$B$16*G92)</f>
        <v>414038.15431129298</v>
      </c>
      <c r="H111" s="338">
        <f>+IF(ISERR((Grains!$E$12+Grains!$E$13)/$B$16*H92),0,(Grains!$E$12+Grains!$E$13)/$B$16*H92)</f>
        <v>438710.18262824812</v>
      </c>
      <c r="I111" s="338">
        <f>+IF(ISERR((Grains!$E$12+Grains!$E$13)/$B$16*I92),0,(Grains!$E$12+Grains!$E$13)/$B$16*I92)</f>
        <v>461029.27424217534</v>
      </c>
      <c r="J111" s="338">
        <f>+IF(ISERR((Grains!$E$12+Grains!$E$13)/$B$16*J92),0,(Grains!$E$12+Grains!$E$13)/$B$16*J92)</f>
        <v>481853.10855721741</v>
      </c>
      <c r="K111" s="338">
        <f>+IF(ISERR((Grains!$E$12+Grains!$E$13)/$B$16*K92),0,(Grains!$E$12+Grains!$E$13)/$B$16*K92)</f>
        <v>501350.08731512801</v>
      </c>
      <c r="L111" s="339">
        <f>+IF(ISERR((Grains!$E$12+Grains!$E$13)/$B$16*L92),0,(Grains!$E$12+Grains!$E$13)/$B$16*L92)</f>
        <v>520098.14903398242</v>
      </c>
    </row>
    <row r="112" spans="1:12" x14ac:dyDescent="0.2">
      <c r="A112" s="71" t="s">
        <v>120</v>
      </c>
      <c r="B112" s="337">
        <f>+IF(ISERR(B93),0,B93)</f>
        <v>456</v>
      </c>
      <c r="C112" s="338">
        <f t="shared" ref="C112:L112" si="17">+IF(ISERR(C93),0,C93)</f>
        <v>69370.753089211896</v>
      </c>
      <c r="D112" s="338">
        <f t="shared" si="17"/>
        <v>143058.32291416163</v>
      </c>
      <c r="E112" s="338">
        <f t="shared" si="17"/>
        <v>237725.2443672159</v>
      </c>
      <c r="F112" s="338">
        <f t="shared" si="17"/>
        <v>365629.93694678391</v>
      </c>
      <c r="G112" s="338">
        <f t="shared" si="17"/>
        <v>541225.40791446913</v>
      </c>
      <c r="H112" s="338">
        <f t="shared" si="17"/>
        <v>783471.33262752811</v>
      </c>
      <c r="I112" s="338">
        <f t="shared" si="17"/>
        <v>1117950.2485706254</v>
      </c>
      <c r="J112" s="338">
        <f t="shared" si="17"/>
        <v>1579467.9697390557</v>
      </c>
      <c r="K112" s="338">
        <f t="shared" si="17"/>
        <v>2215495.2918420387</v>
      </c>
      <c r="L112" s="339">
        <f t="shared" si="17"/>
        <v>3090811.5936079351</v>
      </c>
    </row>
    <row r="113" spans="1:13" ht="13.5" thickBot="1" x14ac:dyDescent="0.25">
      <c r="A113" s="52" t="s">
        <v>113</v>
      </c>
      <c r="B113" s="340">
        <f>+IF(ISERR('Pet Chems and Plastics'!$J$36/$B$18*B94),0,'Pet Chems and Plastics'!$J$36/$B$18*B94)</f>
        <v>67326.976650265497</v>
      </c>
      <c r="C113" s="341">
        <f>+IF(ISERR('Pet Chems and Plastics'!$J$36/$B$18*C94),0,'Pet Chems and Plastics'!$J$36/$B$18*C94)</f>
        <v>415066.75270574581</v>
      </c>
      <c r="D113" s="341">
        <f>+IF(ISERR('Pet Chems and Plastics'!$J$36/$B$18*D94),0,'Pet Chems and Plastics'!$J$36/$B$18*D94)</f>
        <v>594569.23871160438</v>
      </c>
      <c r="E113" s="341">
        <f>+IF(ISERR('Pet Chems and Plastics'!$J$36/$B$18*E94),0,'Pet Chems and Plastics'!$J$36/$B$18*E94)</f>
        <v>717985.73210706725</v>
      </c>
      <c r="F113" s="341">
        <f>+IF(ISERR('Pet Chems and Plastics'!$J$36/$B$18*F94),0,'Pet Chems and Plastics'!$J$36/$B$18*F94)</f>
        <v>814775.89440303191</v>
      </c>
      <c r="G113" s="341">
        <f>+IF(ISERR('Pet Chems and Plastics'!$J$36/$B$18*G94),0,'Pet Chems and Plastics'!$J$36/$B$18*G94)</f>
        <v>897904.99247010064</v>
      </c>
      <c r="H113" s="341">
        <f>+IF(ISERR('Pet Chems and Plastics'!$J$36/$B$18*H94),0,'Pet Chems and Plastics'!$J$36/$B$18*H94)</f>
        <v>971249.97103998973</v>
      </c>
      <c r="I113" s="341">
        <f>+IF(ISERR('Pet Chems and Plastics'!$J$36/$B$18*I94),0,'Pet Chems and Plastics'!$J$36/$B$18*I94)</f>
        <v>1037936.559397891</v>
      </c>
      <c r="J113" s="341">
        <f>+IF(ISERR('Pet Chems and Plastics'!$J$36/$B$18*J94),0,'Pet Chems and Plastics'!$J$36/$B$18*J94)</f>
        <v>1100176.4621516776</v>
      </c>
      <c r="K113" s="341">
        <f>+IF(ISERR('Pet Chems and Plastics'!$J$36/$B$18*K94),0,'Pet Chems and Plastics'!$J$36/$B$18*K94)</f>
        <v>1158555.2829167838</v>
      </c>
      <c r="L113" s="342">
        <f>+IF(ISERR('Pet Chems and Plastics'!$J$36/$B$18*L94),0,'Pet Chems and Plastics'!$J$36/$B$18*L94)</f>
        <v>1214548.5020096241</v>
      </c>
    </row>
    <row r="114" spans="1:13" ht="13.5" thickBot="1" x14ac:dyDescent="0.25">
      <c r="A114" s="36" t="s">
        <v>124</v>
      </c>
      <c r="B114" s="143">
        <f t="shared" ref="B114:L114" si="18">SUM(B102:B113)</f>
        <v>7978651.0571019305</v>
      </c>
      <c r="C114" s="143">
        <f t="shared" si="18"/>
        <v>13952420.473403119</v>
      </c>
      <c r="D114" s="143">
        <f t="shared" si="18"/>
        <v>16553083.592469534</v>
      </c>
      <c r="E114" s="143">
        <f t="shared" si="18"/>
        <v>18292795.804483328</v>
      </c>
      <c r="F114" s="143">
        <f t="shared" si="18"/>
        <v>19699553.756576657</v>
      </c>
      <c r="G114" s="143">
        <f t="shared" si="18"/>
        <v>20996821.112646811</v>
      </c>
      <c r="H114" s="143">
        <f t="shared" si="18"/>
        <v>22240784.254677329</v>
      </c>
      <c r="I114" s="143">
        <f t="shared" si="18"/>
        <v>23499229.4680903</v>
      </c>
      <c r="J114" s="143">
        <f t="shared" si="18"/>
        <v>24837927.136772137</v>
      </c>
      <c r="K114" s="143">
        <f t="shared" si="18"/>
        <v>26305750.094042502</v>
      </c>
      <c r="L114" s="144">
        <f t="shared" si="18"/>
        <v>27990853.254737351</v>
      </c>
      <c r="M114" s="87"/>
    </row>
    <row r="115" spans="1:13" x14ac:dyDescent="0.2">
      <c r="A115" s="35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87"/>
    </row>
    <row r="117" spans="1:13" x14ac:dyDescent="0.2">
      <c r="A117" s="43" t="s">
        <v>177</v>
      </c>
      <c r="D117" s="273" t="s">
        <v>256</v>
      </c>
      <c r="E117" s="274"/>
      <c r="F117" s="274"/>
      <c r="G117" s="274"/>
      <c r="H117" s="274"/>
      <c r="I117" s="274"/>
      <c r="J117" s="274"/>
      <c r="K117" s="274"/>
      <c r="L117" s="274"/>
    </row>
    <row r="118" spans="1:13" ht="13.5" thickBot="1" x14ac:dyDescent="0.25">
      <c r="A118" s="35"/>
    </row>
    <row r="119" spans="1:13" ht="13.5" thickBot="1" x14ac:dyDescent="0.25">
      <c r="B119" s="693" t="s">
        <v>121</v>
      </c>
      <c r="C119" s="694"/>
      <c r="D119" s="694"/>
      <c r="E119" s="694"/>
      <c r="F119" s="694"/>
      <c r="G119" s="694"/>
      <c r="H119" s="694"/>
      <c r="I119" s="694"/>
      <c r="J119" s="694"/>
      <c r="K119" s="694"/>
      <c r="L119" s="697"/>
    </row>
    <row r="120" spans="1:13" ht="13.5" thickBot="1" x14ac:dyDescent="0.25">
      <c r="A120" s="36" t="s">
        <v>109</v>
      </c>
      <c r="B120" s="10">
        <v>2001</v>
      </c>
      <c r="C120" s="11">
        <v>2002</v>
      </c>
      <c r="D120" s="11">
        <v>2003</v>
      </c>
      <c r="E120" s="11">
        <v>2004</v>
      </c>
      <c r="F120" s="11">
        <v>2005</v>
      </c>
      <c r="G120" s="11">
        <v>2006</v>
      </c>
      <c r="H120" s="11">
        <v>2007</v>
      </c>
      <c r="I120" s="11">
        <v>2008</v>
      </c>
      <c r="J120" s="11">
        <v>2009</v>
      </c>
      <c r="K120" s="11">
        <v>2010</v>
      </c>
      <c r="L120" s="12">
        <v>2011</v>
      </c>
    </row>
    <row r="121" spans="1:13" x14ac:dyDescent="0.2">
      <c r="A121" s="50" t="s">
        <v>64</v>
      </c>
      <c r="B121" s="298">
        <f>+B102*' Volume Assumptions'!B60</f>
        <v>34133.552640000002</v>
      </c>
      <c r="C121" s="141">
        <f>+C102*' Volume Assumptions'!C60</f>
        <v>60137.643325760844</v>
      </c>
      <c r="D121" s="141">
        <f>+D102*' Volume Assumptions'!D60</f>
        <v>75853.721690993829</v>
      </c>
      <c r="E121" s="141">
        <f>+E102*' Volume Assumptions'!E60</f>
        <v>90085.156303106502</v>
      </c>
      <c r="F121" s="141">
        <f>+F102*' Volume Assumptions'!F60</f>
        <v>104674.92056870591</v>
      </c>
      <c r="G121" s="141">
        <f>+G102*' Volume Assumptions'!G60</f>
        <v>120537.52893500635</v>
      </c>
      <c r="H121" s="141">
        <f>+H102*' Volume Assumptions'!H60</f>
        <v>137889.78570404949</v>
      </c>
      <c r="I121" s="141">
        <f>+I102*' Volume Assumptions'!I60</f>
        <v>157069.24837998376</v>
      </c>
      <c r="J121" s="141">
        <f>+J102*' Volume Assumptions'!J60</f>
        <v>178435.8600133865</v>
      </c>
      <c r="K121" s="141">
        <f>+K102*' Volume Assumptions'!K60</f>
        <v>202199.16446037134</v>
      </c>
      <c r="L121" s="142">
        <f>+L102*' Volume Assumptions'!L60</f>
        <v>228794.13542477629</v>
      </c>
    </row>
    <row r="122" spans="1:13" x14ac:dyDescent="0.2">
      <c r="A122" s="51" t="s">
        <v>65</v>
      </c>
      <c r="B122" s="133">
        <f>+B103*' Volume Assumptions'!B61</f>
        <v>5730.1158532841819</v>
      </c>
      <c r="C122" s="134">
        <f>+C103*' Volume Assumptions'!C61</f>
        <v>12288.235698771445</v>
      </c>
      <c r="D122" s="134">
        <f>+D103*' Volume Assumptions'!D61</f>
        <v>17123.542723386778</v>
      </c>
      <c r="E122" s="134">
        <f>+E103*' Volume Assumptions'!E61</f>
        <v>21688.868307761211</v>
      </c>
      <c r="F122" s="134">
        <f>+F103*' Volume Assumptions'!F61</f>
        <v>26402.525731453137</v>
      </c>
      <c r="G122" s="134">
        <f>+G103*' Volume Assumptions'!G61</f>
        <v>31516.276881899372</v>
      </c>
      <c r="H122" s="134">
        <f>+H103*' Volume Assumptions'!H61</f>
        <v>37113.307109985995</v>
      </c>
      <c r="I122" s="134">
        <f>+I103*' Volume Assumptions'!I61</f>
        <v>43306.435679062088</v>
      </c>
      <c r="J122" s="134">
        <f>+J103*' Volume Assumptions'!J61</f>
        <v>50216.491856949069</v>
      </c>
      <c r="K122" s="134">
        <f>+K103*' Volume Assumptions'!K61</f>
        <v>57923.594586496598</v>
      </c>
      <c r="L122" s="135">
        <f>+L103*' Volume Assumptions'!L61</f>
        <v>66572.924521892754</v>
      </c>
    </row>
    <row r="123" spans="1:13" x14ac:dyDescent="0.2">
      <c r="A123" s="51" t="s">
        <v>66</v>
      </c>
      <c r="B123" s="133">
        <f>+B104*' Volume Assumptions'!B62</f>
        <v>672345.04040802002</v>
      </c>
      <c r="C123" s="134">
        <f>+C104*' Volume Assumptions'!C62</f>
        <v>904133.38047620142</v>
      </c>
      <c r="D123" s="134">
        <f>+D104*' Volume Assumptions'!D62</f>
        <v>998469.89900043386</v>
      </c>
      <c r="E123" s="134">
        <f>+E104*' Volume Assumptions'!E62</f>
        <v>1062573.3825531865</v>
      </c>
      <c r="F123" s="134">
        <f>+F104*' Volume Assumptions'!F62</f>
        <v>1115610.5964691141</v>
      </c>
      <c r="G123" s="134">
        <f>+G104*' Volume Assumptions'!G62</f>
        <v>1165394.9978901013</v>
      </c>
      <c r="H123" s="134">
        <f>+H104*' Volume Assumptions'!H62</f>
        <v>1212031.1492002849</v>
      </c>
      <c r="I123" s="134">
        <f>+I104*' Volume Assumptions'!I62</f>
        <v>1256851.0553659473</v>
      </c>
      <c r="J123" s="134">
        <f>+J104*' Volume Assumptions'!J62</f>
        <v>1300964.3339363688</v>
      </c>
      <c r="K123" s="134">
        <f>+K104*' Volume Assumptions'!K62</f>
        <v>1344047.7865638072</v>
      </c>
      <c r="L123" s="135">
        <f>+L104*' Volume Assumptions'!L62</f>
        <v>1387138.2394755248</v>
      </c>
    </row>
    <row r="124" spans="1:13" x14ac:dyDescent="0.2">
      <c r="A124" s="51" t="s">
        <v>112</v>
      </c>
      <c r="B124" s="133">
        <f>+B105*' Volume Assumptions'!B63</f>
        <v>2145.2750000000001</v>
      </c>
      <c r="C124" s="134">
        <f>+C105*' Volume Assumptions'!C63</f>
        <v>7725.4067616077573</v>
      </c>
      <c r="D124" s="134">
        <f>+D105*' Volume Assumptions'!D63</f>
        <v>9866.276068917301</v>
      </c>
      <c r="E124" s="134">
        <f>+E105*' Volume Assumptions'!E63</f>
        <v>11438.564666746641</v>
      </c>
      <c r="F124" s="134">
        <f>+F105*' Volume Assumptions'!F63</f>
        <v>12892.40706164756</v>
      </c>
      <c r="G124" s="134">
        <f>+G105*' Volume Assumptions'!G63</f>
        <v>14383.486815741029</v>
      </c>
      <c r="H124" s="134">
        <f>+H105*' Volume Assumptions'!H63</f>
        <v>15941.82764073734</v>
      </c>
      <c r="I124" s="134">
        <f>+I105*' Volume Assumptions'!I63</f>
        <v>17599.892912093947</v>
      </c>
      <c r="J124" s="134">
        <f>+J105*' Volume Assumptions'!J63</f>
        <v>19385.865166076583</v>
      </c>
      <c r="K124" s="134">
        <f>+K105*' Volume Assumptions'!K63</f>
        <v>21307.249899277838</v>
      </c>
      <c r="L124" s="135">
        <f>+L105*' Volume Assumptions'!L63</f>
        <v>23392.664528833742</v>
      </c>
    </row>
    <row r="125" spans="1:13" x14ac:dyDescent="0.2">
      <c r="A125" s="51" t="s">
        <v>67</v>
      </c>
      <c r="B125" s="133">
        <f>+B106*' Volume Assumptions'!B64</f>
        <v>107113.31999999999</v>
      </c>
      <c r="C125" s="134">
        <f>+C106*' Volume Assumptions'!C64</f>
        <v>167217.679709299</v>
      </c>
      <c r="D125" s="134">
        <f>+D106*' Volume Assumptions'!D64</f>
        <v>198890.08284338095</v>
      </c>
      <c r="E125" s="134">
        <f>+E106*' Volume Assumptions'!E64</f>
        <v>222000.39915419937</v>
      </c>
      <c r="F125" s="134">
        <f>+F106*' Volume Assumptions'!F64</f>
        <v>241323.0609007907</v>
      </c>
      <c r="G125" s="134">
        <f>+G106*' Volume Assumptions'!G64</f>
        <v>259061.9146438168</v>
      </c>
      <c r="H125" s="134">
        <f>+H106*' Volume Assumptions'!H64</f>
        <v>275557.34375900868</v>
      </c>
      <c r="I125" s="134">
        <f>+I106*' Volume Assumptions'!I64</f>
        <v>291290.39432938019</v>
      </c>
      <c r="J125" s="134">
        <f>+J106*' Volume Assumptions'!J64</f>
        <v>306637.37748870067</v>
      </c>
      <c r="K125" s="134">
        <f>+K106*' Volume Assumptions'!K64</f>
        <v>321604.49352699646</v>
      </c>
      <c r="L125" s="135">
        <f>+L106*' Volume Assumptions'!L64</f>
        <v>336496.19326354313</v>
      </c>
    </row>
    <row r="126" spans="1:13" x14ac:dyDescent="0.2">
      <c r="A126" s="51" t="s">
        <v>68</v>
      </c>
      <c r="B126" s="133">
        <f>+B107*' Volume Assumptions'!B65</f>
        <v>9288.0346277646877</v>
      </c>
      <c r="C126" s="134">
        <f>+C107*' Volume Assumptions'!C65</f>
        <v>18028.031603213411</v>
      </c>
      <c r="D126" s="134">
        <f>+D107*' Volume Assumptions'!D65</f>
        <v>22916.536231696606</v>
      </c>
      <c r="E126" s="134">
        <f>+E107*' Volume Assumptions'!E65</f>
        <v>26472.347418018486</v>
      </c>
      <c r="F126" s="134">
        <f>+F107*' Volume Assumptions'!F65</f>
        <v>29375.817924707331</v>
      </c>
      <c r="G126" s="134">
        <f>+G107*' Volume Assumptions'!G65</f>
        <v>31951.642800617825</v>
      </c>
      <c r="H126" s="134">
        <f>+H107*' Volume Assumptions'!H65</f>
        <v>34274.064565750356</v>
      </c>
      <c r="I126" s="134">
        <f>+I107*' Volume Assumptions'!I65</f>
        <v>36421.652810327454</v>
      </c>
      <c r="J126" s="134">
        <f>+J107*' Volume Assumptions'!J65</f>
        <v>38453.878296315372</v>
      </c>
      <c r="K126" s="134">
        <f>+K107*' Volume Assumptions'!K65</f>
        <v>40380.080828310623</v>
      </c>
      <c r="L126" s="135">
        <f>+L107*' Volume Assumptions'!L65</f>
        <v>42244.538607356808</v>
      </c>
    </row>
    <row r="127" spans="1:13" x14ac:dyDescent="0.2">
      <c r="A127" s="51" t="s">
        <v>69</v>
      </c>
      <c r="B127" s="133">
        <f>+B108*' Volume Assumptions'!B66</f>
        <v>27864.836831999997</v>
      </c>
      <c r="C127" s="134">
        <f>+C108*' Volume Assumptions'!C66</f>
        <v>93789.407733951142</v>
      </c>
      <c r="D127" s="134">
        <f>+D108*' Volume Assumptions'!D66</f>
        <v>135233.85417865522</v>
      </c>
      <c r="E127" s="134">
        <f>+E108*' Volume Assumptions'!E66</f>
        <v>174276.00546823308</v>
      </c>
      <c r="F127" s="134">
        <f>+F108*' Volume Assumptions'!F66</f>
        <v>216126.076592628</v>
      </c>
      <c r="G127" s="134">
        <f>+G108*' Volume Assumptions'!G66</f>
        <v>263654.81628157577</v>
      </c>
      <c r="H127" s="134">
        <f>+H108*' Volume Assumptions'!H66</f>
        <v>318241.75955864479</v>
      </c>
      <c r="I127" s="134">
        <f>+I108*' Volume Assumptions'!I66</f>
        <v>381577.52567894082</v>
      </c>
      <c r="J127" s="134">
        <f>+J108*' Volume Assumptions'!J66</f>
        <v>455576.25353190833</v>
      </c>
      <c r="K127" s="134">
        <f>+K108*' Volume Assumptions'!K66</f>
        <v>541974.00900680758</v>
      </c>
      <c r="L127" s="135">
        <f>+L108*' Volume Assumptions'!L66</f>
        <v>643322.35505332798</v>
      </c>
    </row>
    <row r="128" spans="1:13" x14ac:dyDescent="0.2">
      <c r="A128" s="51" t="s">
        <v>70</v>
      </c>
      <c r="B128" s="133">
        <f>+B109*' Volume Assumptions'!B67</f>
        <v>477.86399999999998</v>
      </c>
      <c r="C128" s="134">
        <f>+C109*' Volume Assumptions'!C67</f>
        <v>3050.4544012800079</v>
      </c>
      <c r="D128" s="134">
        <f>+D109*' Volume Assumptions'!D67</f>
        <v>4749.7489102066229</v>
      </c>
      <c r="E128" s="134">
        <f>+E109*' Volume Assumptions'!E67</f>
        <v>6160.8050532678517</v>
      </c>
      <c r="F128" s="134">
        <f>+F109*' Volume Assumptions'!F67</f>
        <v>7455.2234116533127</v>
      </c>
      <c r="G128" s="134">
        <f>+G109*' Volume Assumptions'!G67</f>
        <v>8719.8912364586704</v>
      </c>
      <c r="H128" s="134">
        <f>+H109*' Volume Assumptions'!H67</f>
        <v>9978.1859625993766</v>
      </c>
      <c r="I128" s="134">
        <f>+I109*' Volume Assumptions'!I67</f>
        <v>11253.641851754568</v>
      </c>
      <c r="J128" s="134">
        <f>+J109*' Volume Assumptions'!J67</f>
        <v>12565.949019958054</v>
      </c>
      <c r="K128" s="134">
        <f>+K109*' Volume Assumptions'!K67</f>
        <v>13919.978131355016</v>
      </c>
      <c r="L128" s="135">
        <f>+L109*' Volume Assumptions'!L67</f>
        <v>15332.903729340655</v>
      </c>
    </row>
    <row r="129" spans="1:12" x14ac:dyDescent="0.2">
      <c r="A129" s="51" t="s">
        <v>71</v>
      </c>
      <c r="B129" s="133">
        <f>+B110*' Volume Assumptions'!B68</f>
        <v>9728.4453350000003</v>
      </c>
      <c r="C129" s="134">
        <f>+C110*' Volume Assumptions'!C68</f>
        <v>21256.166866922678</v>
      </c>
      <c r="D129" s="134">
        <f>+D110*' Volume Assumptions'!D68</f>
        <v>28908.786906333276</v>
      </c>
      <c r="E129" s="134">
        <f>+E110*' Volume Assumptions'!E68</f>
        <v>35422.097409953625</v>
      </c>
      <c r="F129" s="134">
        <f>+F110*' Volume Assumptions'!F68</f>
        <v>41553.303230096033</v>
      </c>
      <c r="G129" s="134">
        <f>+G110*' Volume Assumptions'!G68</f>
        <v>47695.455579999245</v>
      </c>
      <c r="H129" s="134">
        <f>+H110*' Volume Assumptions'!H68</f>
        <v>53932.841816807333</v>
      </c>
      <c r="I129" s="134">
        <f>+I110*' Volume Assumptions'!I68</f>
        <v>60372.886763729708</v>
      </c>
      <c r="J129" s="134">
        <f>+J110*' Volume Assumptions'!J68</f>
        <v>67111.571137397259</v>
      </c>
      <c r="K129" s="134">
        <f>+K110*' Volume Assumptions'!K68</f>
        <v>74171.319398458727</v>
      </c>
      <c r="L129" s="135">
        <f>+L110*' Volume Assumptions'!L68</f>
        <v>81644.135703983498</v>
      </c>
    </row>
    <row r="130" spans="1:12" x14ac:dyDescent="0.2">
      <c r="A130" s="71" t="s">
        <v>119</v>
      </c>
      <c r="B130" s="133">
        <f>+B111*' Volume Assumptions'!B69</f>
        <v>874.39050964836065</v>
      </c>
      <c r="C130" s="134">
        <f>+C111*' Volume Assumptions'!C69</f>
        <v>2640.4314253138382</v>
      </c>
      <c r="D130" s="134">
        <f>+D111*' Volume Assumptions'!D69</f>
        <v>3732.7082658688078</v>
      </c>
      <c r="E130" s="134">
        <f>+E111*' Volume Assumptions'!E69</f>
        <v>4691.4829867996395</v>
      </c>
      <c r="F130" s="134">
        <f>+F111*' Volume Assumptions'!F69</f>
        <v>5648.2268717172092</v>
      </c>
      <c r="G130" s="134">
        <f>+G111*' Volume Assumptions'!G69</f>
        <v>6668.125878998806</v>
      </c>
      <c r="H130" s="134">
        <f>+H111*' Volume Assumptions'!H69</f>
        <v>7772.0184984708212</v>
      </c>
      <c r="I130" s="134">
        <f>+I111*' Volume Assumptions'!I69</f>
        <v>8984.1563031631704</v>
      </c>
      <c r="J130" s="134">
        <f>+J111*' Volume Assumptions'!J69</f>
        <v>10328.94931566967</v>
      </c>
      <c r="K130" s="134">
        <f>+K111*' Volume Assumptions'!K69</f>
        <v>11821.572807673552</v>
      </c>
      <c r="L130" s="135">
        <f>+L111*' Volume Assumptions'!L69</f>
        <v>13490.00652568859</v>
      </c>
    </row>
    <row r="131" spans="1:12" x14ac:dyDescent="0.2">
      <c r="A131" s="71" t="s">
        <v>120</v>
      </c>
      <c r="B131" s="133">
        <f>+B112*' Volume Assumptions'!B70</f>
        <v>91.2</v>
      </c>
      <c r="C131" s="134">
        <f>+C112*' Volume Assumptions'!C70</f>
        <v>13874.150617842381</v>
      </c>
      <c r="D131" s="134">
        <f>+D112*' Volume Assumptions'!D70</f>
        <v>28611.664582832327</v>
      </c>
      <c r="E131" s="134">
        <f>+E112*' Volume Assumptions'!E70</f>
        <v>47545.048873443186</v>
      </c>
      <c r="F131" s="134">
        <f>+F112*' Volume Assumptions'!F70</f>
        <v>73125.987389356786</v>
      </c>
      <c r="G131" s="134">
        <f>+G112*' Volume Assumptions'!G70</f>
        <v>108245.08158289384</v>
      </c>
      <c r="H131" s="134">
        <f>+H112*' Volume Assumptions'!H70</f>
        <v>156694.26652550563</v>
      </c>
      <c r="I131" s="134">
        <f>+I112*' Volume Assumptions'!I70</f>
        <v>223590.04971412511</v>
      </c>
      <c r="J131" s="134">
        <f>+J112*' Volume Assumptions'!J70</f>
        <v>315893.59394781117</v>
      </c>
      <c r="K131" s="134">
        <f>+K112*' Volume Assumptions'!K70</f>
        <v>443099.05836840777</v>
      </c>
      <c r="L131" s="135">
        <f>+L112*' Volume Assumptions'!L70</f>
        <v>618162.31872158707</v>
      </c>
    </row>
    <row r="132" spans="1:12" ht="13.5" thickBot="1" x14ac:dyDescent="0.25">
      <c r="A132" s="52" t="s">
        <v>113</v>
      </c>
      <c r="B132" s="136">
        <f>+B113*' Volume Assumptions'!B71</f>
        <v>673.26976650265499</v>
      </c>
      <c r="C132" s="137">
        <f>+C113*' Volume Assumptions'!C71</f>
        <v>4980.8010324689494</v>
      </c>
      <c r="D132" s="137">
        <f>+D113*' Volume Assumptions'!D71</f>
        <v>8561.7970374471024</v>
      </c>
      <c r="E132" s="137">
        <f>+E113*' Volume Assumptions'!E71</f>
        <v>12406.793450810123</v>
      </c>
      <c r="F132" s="137">
        <f>+F113*' Volume Assumptions'!F71</f>
        <v>16895.192946341271</v>
      </c>
      <c r="G132" s="137">
        <f>+G113*' Volume Assumptions'!G71</f>
        <v>22342.749508632009</v>
      </c>
      <c r="H132" s="137">
        <f>+H113*' Volume Assumptions'!H71</f>
        <v>29001.368735258726</v>
      </c>
      <c r="I132" s="137">
        <f>+I113*' Volume Assumptions'!I71</f>
        <v>37191.143512525829</v>
      </c>
      <c r="J132" s="137">
        <f>+J113*' Volume Assumptions'!J71</f>
        <v>47305.574109525813</v>
      </c>
      <c r="K132" s="137">
        <f>+K113*' Volume Assumptions'!K71</f>
        <v>59778.907854998215</v>
      </c>
      <c r="L132" s="138">
        <f>+L113*' Volume Assumptions'!L71</f>
        <v>75201.641966643481</v>
      </c>
    </row>
    <row r="133" spans="1:12" ht="13.5" thickBot="1" x14ac:dyDescent="0.25">
      <c r="A133" s="36" t="s">
        <v>124</v>
      </c>
      <c r="B133" s="143">
        <f t="shared" ref="B133:L133" si="19">SUM(B121:B132)</f>
        <v>870465.34497221978</v>
      </c>
      <c r="C133" s="143">
        <f t="shared" si="19"/>
        <v>1309121.789652633</v>
      </c>
      <c r="D133" s="143">
        <f t="shared" si="19"/>
        <v>1532918.6184401524</v>
      </c>
      <c r="E133" s="143">
        <f t="shared" si="19"/>
        <v>1714760.9516455259</v>
      </c>
      <c r="F133" s="143">
        <f t="shared" si="19"/>
        <v>1891083.3390982116</v>
      </c>
      <c r="G133" s="143">
        <f t="shared" si="19"/>
        <v>2080171.968035741</v>
      </c>
      <c r="H133" s="143">
        <f t="shared" si="19"/>
        <v>2288427.919077104</v>
      </c>
      <c r="I133" s="143">
        <f t="shared" si="19"/>
        <v>2525508.0833010338</v>
      </c>
      <c r="J133" s="143">
        <f t="shared" si="19"/>
        <v>2802875.6978200674</v>
      </c>
      <c r="K133" s="143">
        <f t="shared" si="19"/>
        <v>3132227.2154329601</v>
      </c>
      <c r="L133" s="144">
        <f t="shared" si="19"/>
        <v>3531792.0575224985</v>
      </c>
    </row>
    <row r="135" spans="1:12" ht="13.5" thickBot="1" x14ac:dyDescent="0.25"/>
    <row r="136" spans="1:12" ht="13.5" thickBot="1" x14ac:dyDescent="0.25">
      <c r="A136" s="36" t="s">
        <v>138</v>
      </c>
      <c r="B136" s="93">
        <v>2.8000000000000025E-2</v>
      </c>
      <c r="C136" s="93">
        <v>2.2999999999999909E-2</v>
      </c>
      <c r="D136" s="93">
        <v>0.02</v>
      </c>
      <c r="E136" s="93">
        <v>2.200000000000002E-2</v>
      </c>
      <c r="F136" s="93">
        <v>2.2999999999999909E-2</v>
      </c>
      <c r="G136" s="93">
        <v>2.4999999999999911E-2</v>
      </c>
      <c r="H136" s="93">
        <v>2.4499999999999966E-2</v>
      </c>
      <c r="I136" s="93">
        <v>2.4000000000000021E-2</v>
      </c>
      <c r="J136" s="93">
        <v>2.3800000000000043E-2</v>
      </c>
      <c r="K136" s="93">
        <v>2.2999999999999909E-2</v>
      </c>
      <c r="L136" s="94">
        <v>2.2799999999999931E-2</v>
      </c>
    </row>
    <row r="137" spans="1:12" ht="13.5" thickBot="1" x14ac:dyDescent="0.25"/>
    <row r="138" spans="1:12" ht="13.5" thickBot="1" x14ac:dyDescent="0.25">
      <c r="A138" s="113" t="s">
        <v>279</v>
      </c>
      <c r="B138" s="334">
        <f t="shared" ref="B138:L138" si="20">+B133/250</f>
        <v>3481.8613798888791</v>
      </c>
      <c r="C138" s="334">
        <f t="shared" si="20"/>
        <v>5236.4871586105319</v>
      </c>
      <c r="D138" s="334">
        <f t="shared" si="20"/>
        <v>6131.6744737606095</v>
      </c>
      <c r="E138" s="334">
        <f t="shared" si="20"/>
        <v>6859.0438065821036</v>
      </c>
      <c r="F138" s="334">
        <f t="shared" si="20"/>
        <v>7564.3333563928463</v>
      </c>
      <c r="G138" s="334">
        <f t="shared" si="20"/>
        <v>8320.6878721429639</v>
      </c>
      <c r="H138" s="334">
        <f t="shared" si="20"/>
        <v>9153.7116763084159</v>
      </c>
      <c r="I138" s="334">
        <f t="shared" si="20"/>
        <v>10102.032333204135</v>
      </c>
      <c r="J138" s="334">
        <f t="shared" si="20"/>
        <v>11211.502791280269</v>
      </c>
      <c r="K138" s="334">
        <f t="shared" si="20"/>
        <v>12528.908861731841</v>
      </c>
      <c r="L138" s="334">
        <f t="shared" si="20"/>
        <v>14127.168230089994</v>
      </c>
    </row>
    <row r="140" spans="1:12" ht="13.5" thickBot="1" x14ac:dyDescent="0.25"/>
    <row r="141" spans="1:12" ht="13.5" thickBot="1" x14ac:dyDescent="0.25">
      <c r="B141" s="32" t="s">
        <v>354</v>
      </c>
      <c r="C141" s="33" t="s">
        <v>355</v>
      </c>
    </row>
    <row r="142" spans="1:12" ht="13.5" thickBot="1" x14ac:dyDescent="0.25"/>
    <row r="143" spans="1:12" x14ac:dyDescent="0.2">
      <c r="A143" s="47" t="s">
        <v>64</v>
      </c>
      <c r="B143" s="387">
        <f t="shared" ref="B143:B154" si="21">+B121/250</f>
        <v>136.53421056000002</v>
      </c>
      <c r="C143" s="266">
        <v>106</v>
      </c>
      <c r="D143" s="391">
        <f>+B143/C143</f>
        <v>1.2880585901886794</v>
      </c>
    </row>
    <row r="144" spans="1:12" x14ac:dyDescent="0.2">
      <c r="A144" s="48" t="s">
        <v>65</v>
      </c>
      <c r="B144" s="388">
        <f t="shared" si="21"/>
        <v>22.920463413136726</v>
      </c>
      <c r="C144" s="389"/>
      <c r="D144" s="391" t="e">
        <f t="shared" ref="D144:D154" si="22">+B144/C144</f>
        <v>#DIV/0!</v>
      </c>
    </row>
    <row r="145" spans="1:4" x14ac:dyDescent="0.2">
      <c r="A145" s="48" t="s">
        <v>66</v>
      </c>
      <c r="B145" s="388">
        <f t="shared" si="21"/>
        <v>2689.3801616320802</v>
      </c>
      <c r="C145" s="389">
        <v>1575</v>
      </c>
      <c r="D145" s="391">
        <f t="shared" si="22"/>
        <v>1.7075429597664002</v>
      </c>
    </row>
    <row r="146" spans="1:4" x14ac:dyDescent="0.2">
      <c r="A146" s="48" t="s">
        <v>112</v>
      </c>
      <c r="B146" s="388">
        <f t="shared" si="21"/>
        <v>8.5811000000000011</v>
      </c>
      <c r="C146" s="389">
        <v>8.6999999999999993</v>
      </c>
      <c r="D146" s="391">
        <f t="shared" si="22"/>
        <v>0.98633333333333351</v>
      </c>
    </row>
    <row r="147" spans="1:4" x14ac:dyDescent="0.2">
      <c r="A147" s="48" t="s">
        <v>67</v>
      </c>
      <c r="B147" s="388">
        <f t="shared" si="21"/>
        <v>428.45327999999995</v>
      </c>
      <c r="C147" s="389">
        <v>216</v>
      </c>
      <c r="D147" s="391">
        <f t="shared" si="22"/>
        <v>1.9835799999999997</v>
      </c>
    </row>
    <row r="148" spans="1:4" x14ac:dyDescent="0.2">
      <c r="A148" s="48" t="s">
        <v>68</v>
      </c>
      <c r="B148" s="388">
        <f t="shared" si="21"/>
        <v>37.152138511058752</v>
      </c>
      <c r="C148" s="389">
        <v>16</v>
      </c>
      <c r="D148" s="391">
        <f t="shared" si="22"/>
        <v>2.322008656941172</v>
      </c>
    </row>
    <row r="149" spans="1:4" x14ac:dyDescent="0.2">
      <c r="A149" s="48" t="s">
        <v>69</v>
      </c>
      <c r="B149" s="388">
        <f t="shared" si="21"/>
        <v>111.45934732799999</v>
      </c>
      <c r="C149" s="389"/>
      <c r="D149" s="391" t="e">
        <f t="shared" si="22"/>
        <v>#DIV/0!</v>
      </c>
    </row>
    <row r="150" spans="1:4" x14ac:dyDescent="0.2">
      <c r="A150" s="48" t="s">
        <v>70</v>
      </c>
      <c r="B150" s="388">
        <f t="shared" si="21"/>
        <v>1.9114559999999998</v>
      </c>
      <c r="C150" s="389">
        <v>0.1</v>
      </c>
      <c r="D150" s="391">
        <f t="shared" si="22"/>
        <v>19.114559999999997</v>
      </c>
    </row>
    <row r="151" spans="1:4" x14ac:dyDescent="0.2">
      <c r="A151" s="48" t="s">
        <v>71</v>
      </c>
      <c r="B151" s="388">
        <f t="shared" si="21"/>
        <v>38.91378134</v>
      </c>
      <c r="C151" s="389"/>
      <c r="D151" s="391" t="e">
        <f t="shared" si="22"/>
        <v>#DIV/0!</v>
      </c>
    </row>
    <row r="152" spans="1:4" x14ac:dyDescent="0.2">
      <c r="A152" s="70" t="s">
        <v>119</v>
      </c>
      <c r="B152" s="388">
        <f t="shared" si="21"/>
        <v>3.4975620385934425</v>
      </c>
      <c r="C152" s="389"/>
      <c r="D152" s="391" t="e">
        <f t="shared" si="22"/>
        <v>#DIV/0!</v>
      </c>
    </row>
    <row r="153" spans="1:4" x14ac:dyDescent="0.2">
      <c r="A153" s="70" t="s">
        <v>120</v>
      </c>
      <c r="B153" s="388">
        <f t="shared" si="21"/>
        <v>0.36480000000000001</v>
      </c>
      <c r="C153" s="389"/>
      <c r="D153" s="391" t="e">
        <f t="shared" si="22"/>
        <v>#DIV/0!</v>
      </c>
    </row>
    <row r="154" spans="1:4" ht="13.5" thickBot="1" x14ac:dyDescent="0.25">
      <c r="A154" s="49" t="s">
        <v>113</v>
      </c>
      <c r="B154" s="390">
        <f t="shared" si="21"/>
        <v>2.6930790660106201</v>
      </c>
      <c r="C154" s="267">
        <v>0.4</v>
      </c>
      <c r="D154" s="391">
        <f t="shared" si="22"/>
        <v>6.7326976650265502</v>
      </c>
    </row>
  </sheetData>
  <mergeCells count="7">
    <mergeCell ref="B119:L119"/>
    <mergeCell ref="B5:L5"/>
    <mergeCell ref="B100:L100"/>
    <mergeCell ref="B24:L24"/>
    <mergeCell ref="B43:L43"/>
    <mergeCell ref="B81:L81"/>
    <mergeCell ref="B62:L62"/>
  </mergeCells>
  <printOptions horizontalCentered="1"/>
  <pageMargins left="0.75" right="0.75" top="1" bottom="1" header="0.5" footer="0.5"/>
  <pageSetup scale="46" fitToHeight="2" orientation="landscape" r:id="rId1"/>
  <headerFooter alignWithMargins="0">
    <oddHeader>&amp;LGREEN GIANT&amp;C&amp;D &amp;T&amp;RCONFIDENTIAL</oddHeader>
    <oddFooter>&amp;LGREEN GIANT&amp;C&amp;D &amp;T&amp;RPAGE  &amp;P</oddFooter>
  </headerFooter>
  <rowBreaks count="1" manualBreakCount="1">
    <brk id="77" max="1638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workbookViewId="0">
      <selection activeCell="G29" sqref="G29"/>
    </sheetView>
  </sheetViews>
  <sheetFormatPr defaultRowHeight="12.75" x14ac:dyDescent="0.2"/>
  <cols>
    <col min="1" max="1" width="28.85546875" customWidth="1"/>
    <col min="2" max="2" width="20.42578125" customWidth="1"/>
    <col min="3" max="3" width="12.42578125" customWidth="1"/>
    <col min="4" max="4" width="16.140625" customWidth="1"/>
    <col min="5" max="5" width="18.5703125" customWidth="1"/>
  </cols>
  <sheetData>
    <row r="1" spans="1:5" ht="26.25" x14ac:dyDescent="0.4">
      <c r="A1" s="145" t="s">
        <v>39</v>
      </c>
    </row>
    <row r="2" spans="1:5" ht="12" customHeight="1" thickBot="1" x14ac:dyDescent="0.25"/>
    <row r="3" spans="1:5" ht="29.25" customHeight="1" thickBot="1" x14ac:dyDescent="0.25">
      <c r="A3" s="193" t="s">
        <v>0</v>
      </c>
      <c r="B3" s="186" t="s">
        <v>225</v>
      </c>
      <c r="C3" s="186" t="s">
        <v>224</v>
      </c>
      <c r="D3" s="186" t="s">
        <v>182</v>
      </c>
      <c r="E3" s="187" t="s">
        <v>183</v>
      </c>
    </row>
    <row r="4" spans="1:5" x14ac:dyDescent="0.2">
      <c r="A4" s="13"/>
      <c r="B4" s="11"/>
      <c r="C4" s="11"/>
      <c r="D4" s="11"/>
      <c r="E4" s="12"/>
    </row>
    <row r="5" spans="1:5" x14ac:dyDescent="0.2">
      <c r="A5" s="13" t="s">
        <v>3</v>
      </c>
      <c r="B5" s="4">
        <f>365*19.25</f>
        <v>7026.25</v>
      </c>
      <c r="C5" s="146">
        <v>33</v>
      </c>
      <c r="D5" s="147">
        <f t="shared" ref="D5:D12" si="0">+C5*B5</f>
        <v>231866.25</v>
      </c>
      <c r="E5" s="148">
        <f>+D5*' Volume Assumptions'!$B$7</f>
        <v>139119.75</v>
      </c>
    </row>
    <row r="6" spans="1:5" x14ac:dyDescent="0.2">
      <c r="A6" s="13" t="s">
        <v>4</v>
      </c>
      <c r="B6" s="4">
        <v>700</v>
      </c>
      <c r="C6" s="146">
        <v>33</v>
      </c>
      <c r="D6" s="147">
        <f t="shared" si="0"/>
        <v>23100</v>
      </c>
      <c r="E6" s="148">
        <f>+D6*' Volume Assumptions'!$B$7</f>
        <v>13860</v>
      </c>
    </row>
    <row r="7" spans="1:5" x14ac:dyDescent="0.2">
      <c r="A7" s="13" t="s">
        <v>5</v>
      </c>
      <c r="B7" s="4">
        <f>5*365</f>
        <v>1825</v>
      </c>
      <c r="C7" s="146">
        <v>33</v>
      </c>
      <c r="D7" s="147">
        <f t="shared" si="0"/>
        <v>60225</v>
      </c>
      <c r="E7" s="148">
        <f>+D7*' Volume Assumptions'!$D$7</f>
        <v>36135</v>
      </c>
    </row>
    <row r="8" spans="1:5" x14ac:dyDescent="0.2">
      <c r="A8" s="13" t="s">
        <v>6</v>
      </c>
      <c r="B8" s="4">
        <f>14.5*365</f>
        <v>5292.5</v>
      </c>
      <c r="C8" s="146">
        <v>33</v>
      </c>
      <c r="D8" s="147">
        <f t="shared" si="0"/>
        <v>174652.5</v>
      </c>
      <c r="E8" s="148">
        <f>+D8*' Volume Assumptions'!$C$7</f>
        <v>104791.5</v>
      </c>
    </row>
    <row r="9" spans="1:5" x14ac:dyDescent="0.2">
      <c r="A9" s="13" t="s">
        <v>7</v>
      </c>
      <c r="B9" s="4">
        <v>365</v>
      </c>
      <c r="C9" s="146">
        <v>33</v>
      </c>
      <c r="D9" s="147">
        <f t="shared" si="0"/>
        <v>12045</v>
      </c>
      <c r="E9" s="148">
        <f>+D9*' Volume Assumptions'!$E$7</f>
        <v>7227</v>
      </c>
    </row>
    <row r="10" spans="1:5" x14ac:dyDescent="0.2">
      <c r="A10" s="13" t="s">
        <v>8</v>
      </c>
      <c r="B10" s="4">
        <f>365*4.5</f>
        <v>1642.5</v>
      </c>
      <c r="C10" s="146">
        <v>33</v>
      </c>
      <c r="D10" s="147">
        <f t="shared" si="0"/>
        <v>54202.5</v>
      </c>
      <c r="E10" s="148">
        <f>+D10*' Volume Assumptions'!$E$7</f>
        <v>32521.5</v>
      </c>
    </row>
    <row r="11" spans="1:5" x14ac:dyDescent="0.2">
      <c r="A11" s="13" t="s">
        <v>9</v>
      </c>
      <c r="B11" s="4">
        <f>3.65*365</f>
        <v>1332.25</v>
      </c>
      <c r="C11" s="146">
        <v>33</v>
      </c>
      <c r="D11" s="147">
        <f t="shared" si="0"/>
        <v>43964.25</v>
      </c>
      <c r="E11" s="148">
        <f>+D11*' Volume Assumptions'!$E$7</f>
        <v>26378.55</v>
      </c>
    </row>
    <row r="12" spans="1:5" x14ac:dyDescent="0.2">
      <c r="A12" s="13" t="s">
        <v>10</v>
      </c>
      <c r="B12" s="4">
        <f>23.98*365</f>
        <v>8752.7000000000007</v>
      </c>
      <c r="C12" s="146">
        <v>33</v>
      </c>
      <c r="D12" s="147">
        <f t="shared" si="0"/>
        <v>288839.10000000003</v>
      </c>
      <c r="E12" s="148">
        <f>+D12*' Volume Assumptions'!$E$7</f>
        <v>173303.46000000002</v>
      </c>
    </row>
    <row r="13" spans="1:5" ht="13.5" thickBot="1" x14ac:dyDescent="0.25">
      <c r="A13" s="13"/>
      <c r="B13" s="4"/>
      <c r="C13" s="146"/>
      <c r="D13" s="147"/>
      <c r="E13" s="148"/>
    </row>
    <row r="14" spans="1:5" ht="13.5" thickBot="1" x14ac:dyDescent="0.25">
      <c r="A14" s="161" t="s">
        <v>11</v>
      </c>
      <c r="B14" s="205">
        <f>SUM(B5:B13)</f>
        <v>26936.2</v>
      </c>
      <c r="C14" s="206">
        <v>33</v>
      </c>
      <c r="D14" s="207">
        <f>+C14*B14</f>
        <v>888894.6</v>
      </c>
      <c r="E14" s="208">
        <f>SUM(E5:E12)</f>
        <v>533336.76</v>
      </c>
    </row>
    <row r="15" spans="1:5" x14ac:dyDescent="0.2">
      <c r="B15" s="5"/>
      <c r="C15" s="5"/>
      <c r="D15" s="5"/>
    </row>
    <row r="16" spans="1:5" x14ac:dyDescent="0.2">
      <c r="A16" s="42" t="s">
        <v>63</v>
      </c>
    </row>
    <row r="17" spans="1:1" x14ac:dyDescent="0.2">
      <c r="A17" s="40" t="s">
        <v>181</v>
      </c>
    </row>
    <row r="19" spans="1:1" x14ac:dyDescent="0.2">
      <c r="A19" s="40" t="s">
        <v>108</v>
      </c>
    </row>
    <row r="20" spans="1:1" x14ac:dyDescent="0.2">
      <c r="A20" s="40" t="s">
        <v>105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A25" sqref="A25"/>
    </sheetView>
  </sheetViews>
  <sheetFormatPr defaultRowHeight="12.75" x14ac:dyDescent="0.2"/>
  <cols>
    <col min="1" max="1" width="27.85546875" customWidth="1"/>
    <col min="2" max="2" width="13.85546875" customWidth="1"/>
    <col min="4" max="4" width="12.5703125" customWidth="1"/>
    <col min="5" max="5" width="13" customWidth="1"/>
  </cols>
  <sheetData>
    <row r="1" spans="1:5" ht="26.25" x14ac:dyDescent="0.4">
      <c r="A1" s="145" t="s">
        <v>20</v>
      </c>
    </row>
    <row r="2" spans="1:5" ht="13.5" thickBot="1" x14ac:dyDescent="0.25">
      <c r="A2" s="2"/>
      <c r="B2" s="2"/>
      <c r="C2" s="2"/>
      <c r="D2" s="2"/>
    </row>
    <row r="3" spans="1:5" ht="38.25" customHeight="1" thickBot="1" x14ac:dyDescent="0.25">
      <c r="A3" s="194" t="s">
        <v>20</v>
      </c>
      <c r="B3" s="195" t="s">
        <v>238</v>
      </c>
      <c r="C3" s="195" t="s">
        <v>1</v>
      </c>
      <c r="D3" s="195" t="s">
        <v>200</v>
      </c>
      <c r="E3" s="196" t="s">
        <v>183</v>
      </c>
    </row>
    <row r="4" spans="1:5" x14ac:dyDescent="0.2">
      <c r="A4" s="13"/>
      <c r="B4" s="25"/>
      <c r="C4" s="25"/>
      <c r="D4" s="25"/>
      <c r="E4" s="12"/>
    </row>
    <row r="5" spans="1:5" x14ac:dyDescent="0.2">
      <c r="A5" s="26" t="s">
        <v>12</v>
      </c>
      <c r="B5" s="3">
        <v>25584.593434999999</v>
      </c>
      <c r="C5" s="155">
        <v>5</v>
      </c>
      <c r="D5" s="157">
        <f t="shared" ref="D5:D11" si="0">+C5*B5</f>
        <v>127922.967175</v>
      </c>
      <c r="E5" s="158">
        <f>+D5*' Volume Assumptions'!B9</f>
        <v>115130.6704575</v>
      </c>
    </row>
    <row r="6" spans="1:5" x14ac:dyDescent="0.2">
      <c r="A6" s="26" t="s">
        <v>22</v>
      </c>
      <c r="B6" s="3">
        <v>3094.2692500000003</v>
      </c>
      <c r="C6" s="155">
        <v>5</v>
      </c>
      <c r="D6" s="157">
        <f t="shared" si="0"/>
        <v>15471.346250000002</v>
      </c>
      <c r="E6" s="158">
        <f>+D6*' Volume Assumptions'!$E$9</f>
        <v>6188.5385000000015</v>
      </c>
    </row>
    <row r="7" spans="1:5" x14ac:dyDescent="0.2">
      <c r="A7" s="26" t="s">
        <v>14</v>
      </c>
      <c r="B7" s="3">
        <v>14308.896385</v>
      </c>
      <c r="C7" s="155">
        <v>5</v>
      </c>
      <c r="D7" s="157">
        <f t="shared" si="0"/>
        <v>71544.481925</v>
      </c>
      <c r="E7" s="158">
        <f>+D7*' Volume Assumptions'!$C$9</f>
        <v>50081.1373475</v>
      </c>
    </row>
    <row r="8" spans="1:5" x14ac:dyDescent="0.2">
      <c r="A8" s="26" t="s">
        <v>23</v>
      </c>
      <c r="B8" s="3">
        <v>22092.569589999999</v>
      </c>
      <c r="C8" s="155">
        <v>5</v>
      </c>
      <c r="D8" s="157">
        <f t="shared" si="0"/>
        <v>110462.84795</v>
      </c>
      <c r="E8" s="158">
        <f>+D8*' Volume Assumptions'!$C$9</f>
        <v>77323.993564999997</v>
      </c>
    </row>
    <row r="9" spans="1:5" x14ac:dyDescent="0.2">
      <c r="A9" s="26" t="s">
        <v>16</v>
      </c>
      <c r="B9" s="3">
        <v>6250.0486999999994</v>
      </c>
      <c r="C9" s="155">
        <v>5</v>
      </c>
      <c r="D9" s="157">
        <f t="shared" si="0"/>
        <v>31250.243499999997</v>
      </c>
      <c r="E9" s="158">
        <f>+D9*' Volume Assumptions'!$E$9</f>
        <v>12500.097399999999</v>
      </c>
    </row>
    <row r="10" spans="1:5" x14ac:dyDescent="0.2">
      <c r="A10" s="26" t="s">
        <v>17</v>
      </c>
      <c r="B10" s="3">
        <v>1854.0375000000004</v>
      </c>
      <c r="C10" s="155">
        <v>5</v>
      </c>
      <c r="D10" s="157">
        <f t="shared" si="0"/>
        <v>9270.1875000000018</v>
      </c>
      <c r="E10" s="158">
        <f>+D10*' Volume Assumptions'!$E$9</f>
        <v>3708.0750000000007</v>
      </c>
    </row>
    <row r="11" spans="1:5" x14ac:dyDescent="0.2">
      <c r="A11" s="26" t="s">
        <v>24</v>
      </c>
      <c r="B11" s="3">
        <v>9004.5480699999971</v>
      </c>
      <c r="C11" s="155">
        <v>5</v>
      </c>
      <c r="D11" s="157">
        <f t="shared" si="0"/>
        <v>45022.740349999985</v>
      </c>
      <c r="E11" s="158">
        <f>+D11*' Volume Assumptions'!$D$9</f>
        <v>31515.918244999986</v>
      </c>
    </row>
    <row r="12" spans="1:5" ht="13.5" thickBot="1" x14ac:dyDescent="0.25">
      <c r="A12" s="191"/>
      <c r="B12" s="2"/>
      <c r="C12" s="155"/>
      <c r="D12" s="157"/>
      <c r="E12" s="158"/>
    </row>
    <row r="13" spans="1:5" ht="13.5" thickBot="1" x14ac:dyDescent="0.25">
      <c r="A13" s="156" t="s">
        <v>19</v>
      </c>
      <c r="B13" s="197">
        <v>82188.962930000023</v>
      </c>
      <c r="C13" s="202">
        <v>5</v>
      </c>
      <c r="D13" s="203">
        <f>+C13*B13</f>
        <v>410944.81465000013</v>
      </c>
      <c r="E13" s="204">
        <f>SUM(E5:E11)</f>
        <v>296448.43051500001</v>
      </c>
    </row>
    <row r="15" spans="1:5" x14ac:dyDescent="0.2">
      <c r="A15" s="39" t="s">
        <v>103</v>
      </c>
    </row>
    <row r="16" spans="1:5" x14ac:dyDescent="0.2">
      <c r="A16" s="39" t="s">
        <v>51</v>
      </c>
    </row>
    <row r="18" spans="1:1" x14ac:dyDescent="0.2">
      <c r="A18" s="40" t="s">
        <v>104</v>
      </c>
    </row>
    <row r="19" spans="1:1" x14ac:dyDescent="0.2">
      <c r="A19" s="40" t="s">
        <v>105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workbookViewId="0">
      <selection activeCell="A17" sqref="A17:H17"/>
    </sheetView>
  </sheetViews>
  <sheetFormatPr defaultRowHeight="12.75" x14ac:dyDescent="0.2"/>
  <cols>
    <col min="1" max="1" width="17" customWidth="1"/>
    <col min="2" max="2" width="16.7109375" customWidth="1"/>
    <col min="4" max="4" width="11" customWidth="1"/>
    <col min="5" max="5" width="18.140625" customWidth="1"/>
  </cols>
  <sheetData>
    <row r="1" spans="1:5" ht="26.25" x14ac:dyDescent="0.4">
      <c r="A1" s="145" t="s">
        <v>52</v>
      </c>
    </row>
    <row r="2" spans="1:5" ht="13.5" thickBot="1" x14ac:dyDescent="0.25"/>
    <row r="3" spans="1:5" ht="27.75" customHeight="1" thickBot="1" x14ac:dyDescent="0.25">
      <c r="A3" s="198" t="s">
        <v>25</v>
      </c>
      <c r="B3" s="195" t="s">
        <v>201</v>
      </c>
      <c r="C3" s="195" t="s">
        <v>1</v>
      </c>
      <c r="D3" s="195" t="s">
        <v>170</v>
      </c>
      <c r="E3" s="199" t="s">
        <v>183</v>
      </c>
    </row>
    <row r="4" spans="1:5" x14ac:dyDescent="0.2">
      <c r="A4" s="13"/>
      <c r="B4" s="11"/>
      <c r="C4" s="11"/>
      <c r="D4" s="11"/>
      <c r="E4" s="12"/>
    </row>
    <row r="5" spans="1:5" x14ac:dyDescent="0.2">
      <c r="A5" s="13" t="s">
        <v>12</v>
      </c>
      <c r="B5" s="44">
        <v>165</v>
      </c>
      <c r="C5" s="184">
        <v>5.5</v>
      </c>
      <c r="D5" s="157">
        <f>+C5*B5</f>
        <v>907.5</v>
      </c>
      <c r="E5" s="158">
        <f>+D5*' Volume Assumptions'!$B$9</f>
        <v>816.75</v>
      </c>
    </row>
    <row r="6" spans="1:5" x14ac:dyDescent="0.2">
      <c r="A6" s="13" t="s">
        <v>6</v>
      </c>
      <c r="B6" s="44">
        <v>905</v>
      </c>
      <c r="C6" s="184">
        <v>5.5</v>
      </c>
      <c r="D6" s="157">
        <f>+C6*B6</f>
        <v>4977.5</v>
      </c>
      <c r="E6" s="158">
        <f>+D6*' Volume Assumptions'!$C$9</f>
        <v>3484.25</v>
      </c>
    </row>
    <row r="7" spans="1:5" x14ac:dyDescent="0.2">
      <c r="A7" s="13" t="s">
        <v>26</v>
      </c>
      <c r="B7" s="44">
        <v>3465</v>
      </c>
      <c r="C7" s="184">
        <v>5.5</v>
      </c>
      <c r="D7" s="157">
        <f>+C7*B7</f>
        <v>19057.5</v>
      </c>
      <c r="E7" s="158">
        <f>+' Volume Assumptions'!$D$10*LNG!D7</f>
        <v>17151.75</v>
      </c>
    </row>
    <row r="8" spans="1:5" ht="13.5" thickBot="1" x14ac:dyDescent="0.25">
      <c r="A8" s="13"/>
      <c r="B8" s="30"/>
      <c r="C8" s="184"/>
      <c r="D8" s="157"/>
      <c r="E8" s="158"/>
    </row>
    <row r="9" spans="1:5" ht="13.5" thickBot="1" x14ac:dyDescent="0.25">
      <c r="A9" s="161" t="s">
        <v>11</v>
      </c>
      <c r="B9" s="212">
        <f>SUM(B5:B8)</f>
        <v>4535</v>
      </c>
      <c r="C9" s="213">
        <v>5.5</v>
      </c>
      <c r="D9" s="203">
        <f>+C9*B9</f>
        <v>24942.5</v>
      </c>
      <c r="E9" s="204">
        <f>SUM(E5:E7)</f>
        <v>21452.75</v>
      </c>
    </row>
    <row r="11" spans="1:5" x14ac:dyDescent="0.2">
      <c r="A11" s="42" t="s">
        <v>106</v>
      </c>
    </row>
    <row r="12" spans="1:5" x14ac:dyDescent="0.2">
      <c r="A12" s="40" t="s">
        <v>107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A17" sqref="A17:H17"/>
    </sheetView>
  </sheetViews>
  <sheetFormatPr defaultRowHeight="12.75" x14ac:dyDescent="0.2"/>
  <cols>
    <col min="1" max="1" width="59.140625" bestFit="1" customWidth="1"/>
    <col min="2" max="2" width="16" customWidth="1"/>
    <col min="3" max="3" width="10.140625" customWidth="1"/>
    <col min="4" max="4" width="11.28515625" customWidth="1"/>
    <col min="5" max="5" width="18.140625" customWidth="1"/>
  </cols>
  <sheetData>
    <row r="1" spans="1:5" ht="26.25" x14ac:dyDescent="0.4">
      <c r="A1" s="145" t="s">
        <v>40</v>
      </c>
    </row>
    <row r="3" spans="1:5" ht="13.5" thickBot="1" x14ac:dyDescent="0.25"/>
    <row r="4" spans="1:5" ht="30" customHeight="1" thickBot="1" x14ac:dyDescent="0.25">
      <c r="A4" s="194" t="s">
        <v>230</v>
      </c>
      <c r="B4" s="195" t="s">
        <v>231</v>
      </c>
      <c r="C4" s="195" t="s">
        <v>232</v>
      </c>
      <c r="D4" s="195" t="s">
        <v>233</v>
      </c>
      <c r="E4" s="199" t="s">
        <v>234</v>
      </c>
    </row>
    <row r="5" spans="1:5" x14ac:dyDescent="0.2">
      <c r="A5" s="13"/>
      <c r="B5" s="3"/>
      <c r="C5" s="3"/>
      <c r="D5" s="3"/>
      <c r="E5" s="19"/>
    </row>
    <row r="6" spans="1:5" x14ac:dyDescent="0.2">
      <c r="A6" s="26" t="s">
        <v>28</v>
      </c>
      <c r="B6" s="3">
        <v>3908</v>
      </c>
      <c r="C6" s="157">
        <v>40</v>
      </c>
      <c r="D6" s="157">
        <f>+C6*B6</f>
        <v>156320</v>
      </c>
      <c r="E6" s="158">
        <f>+D6*' Volume Assumptions'!$B$11</f>
        <v>148504</v>
      </c>
    </row>
    <row r="7" spans="1:5" x14ac:dyDescent="0.2">
      <c r="A7" s="26" t="s">
        <v>29</v>
      </c>
      <c r="B7" s="3">
        <v>2262</v>
      </c>
      <c r="C7" s="157">
        <v>40</v>
      </c>
      <c r="D7" s="157">
        <f>+C7*B7</f>
        <v>90480</v>
      </c>
      <c r="E7" s="158">
        <f>+D7*' Volume Assumptions'!$C$11</f>
        <v>76908</v>
      </c>
    </row>
    <row r="8" spans="1:5" x14ac:dyDescent="0.2">
      <c r="A8" s="26" t="s">
        <v>30</v>
      </c>
      <c r="B8" s="3">
        <v>1117</v>
      </c>
      <c r="C8" s="157">
        <v>40</v>
      </c>
      <c r="D8" s="157">
        <f>+C8*B8</f>
        <v>44680</v>
      </c>
      <c r="E8" s="158">
        <f>+D8*' Volume Assumptions'!$D$11</f>
        <v>37978</v>
      </c>
    </row>
    <row r="9" spans="1:5" x14ac:dyDescent="0.2">
      <c r="A9" s="26" t="s">
        <v>32</v>
      </c>
      <c r="B9" s="3">
        <v>1484</v>
      </c>
      <c r="C9" s="157">
        <v>40</v>
      </c>
      <c r="D9" s="157">
        <f>+C9*B9</f>
        <v>59360</v>
      </c>
      <c r="E9" s="158">
        <f>+D9*' Volume Assumptions'!$E$11</f>
        <v>29680</v>
      </c>
    </row>
    <row r="10" spans="1:5" x14ac:dyDescent="0.2">
      <c r="A10" s="26" t="s">
        <v>33</v>
      </c>
      <c r="B10" s="3">
        <v>3489</v>
      </c>
      <c r="C10" s="157">
        <v>40</v>
      </c>
      <c r="D10" s="157">
        <f>+C10*B10</f>
        <v>139560</v>
      </c>
      <c r="E10" s="158">
        <f>+D10*' Volume Assumptions'!$E$11</f>
        <v>69780</v>
      </c>
    </row>
    <row r="11" spans="1:5" ht="13.5" thickBot="1" x14ac:dyDescent="0.25">
      <c r="A11" s="26"/>
      <c r="B11" s="3"/>
      <c r="C11" s="157"/>
      <c r="D11" s="157"/>
      <c r="E11" s="158"/>
    </row>
    <row r="12" spans="1:5" ht="13.5" thickBot="1" x14ac:dyDescent="0.25">
      <c r="A12" s="156" t="s">
        <v>31</v>
      </c>
      <c r="B12" s="197">
        <v>12260</v>
      </c>
      <c r="C12" s="203">
        <v>40</v>
      </c>
      <c r="D12" s="203">
        <f>+C12*B12</f>
        <v>490400</v>
      </c>
      <c r="E12" s="204">
        <f>SUM(E6:E10)</f>
        <v>362850</v>
      </c>
    </row>
    <row r="14" spans="1:5" x14ac:dyDescent="0.2">
      <c r="A14" s="39" t="s">
        <v>53</v>
      </c>
    </row>
    <row r="15" spans="1:5" x14ac:dyDescent="0.2">
      <c r="A15" s="40" t="s">
        <v>54</v>
      </c>
    </row>
    <row r="22" spans="1:1" x14ac:dyDescent="0.2">
      <c r="A22" s="1"/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A17" sqref="A17:H17"/>
    </sheetView>
  </sheetViews>
  <sheetFormatPr defaultRowHeight="12.75" x14ac:dyDescent="0.2"/>
  <cols>
    <col min="1" max="1" width="28.140625" customWidth="1"/>
    <col min="2" max="2" width="17" customWidth="1"/>
    <col min="4" max="4" width="14" customWidth="1"/>
    <col min="5" max="5" width="18.5703125" customWidth="1"/>
  </cols>
  <sheetData>
    <row r="1" spans="1:5" ht="26.25" x14ac:dyDescent="0.4">
      <c r="A1" s="145" t="s">
        <v>34</v>
      </c>
    </row>
    <row r="3" spans="1:5" ht="13.5" thickBot="1" x14ac:dyDescent="0.25"/>
    <row r="4" spans="1:5" ht="24.75" thickBot="1" x14ac:dyDescent="0.25">
      <c r="A4" s="194" t="s">
        <v>202</v>
      </c>
      <c r="B4" s="195" t="s">
        <v>203</v>
      </c>
      <c r="C4" s="195" t="s">
        <v>1</v>
      </c>
      <c r="D4" s="195" t="s">
        <v>170</v>
      </c>
      <c r="E4" s="199" t="s">
        <v>183</v>
      </c>
    </row>
    <row r="5" spans="1:5" x14ac:dyDescent="0.2">
      <c r="A5" s="26"/>
      <c r="B5" s="3"/>
      <c r="C5" s="3"/>
      <c r="D5" s="3"/>
      <c r="E5" s="19"/>
    </row>
    <row r="6" spans="1:5" x14ac:dyDescent="0.2">
      <c r="A6" s="26" t="s">
        <v>12</v>
      </c>
      <c r="B6" s="3">
        <v>1117.6179157560748</v>
      </c>
      <c r="C6" s="155">
        <v>30.48</v>
      </c>
      <c r="D6" s="157">
        <f t="shared" ref="D6:D11" si="0">+C6*B6</f>
        <v>34064.994072245157</v>
      </c>
      <c r="E6" s="158">
        <f>+D6*' Volume Assumptions'!$B$12</f>
        <v>13625.997628898063</v>
      </c>
    </row>
    <row r="7" spans="1:5" x14ac:dyDescent="0.2">
      <c r="A7" s="26" t="s">
        <v>22</v>
      </c>
      <c r="B7" s="3">
        <v>43.586493467096645</v>
      </c>
      <c r="C7" s="155">
        <v>30.48</v>
      </c>
      <c r="D7" s="157">
        <f t="shared" si="0"/>
        <v>1328.5163208771057</v>
      </c>
      <c r="E7" s="158">
        <f>+D7*' Volume Assumptions'!$E$12</f>
        <v>265.70326417542117</v>
      </c>
    </row>
    <row r="8" spans="1:5" x14ac:dyDescent="0.2">
      <c r="A8" s="26" t="s">
        <v>14</v>
      </c>
      <c r="B8" s="3">
        <v>686.07269611138724</v>
      </c>
      <c r="C8" s="155">
        <v>30.48</v>
      </c>
      <c r="D8" s="157">
        <f t="shared" si="0"/>
        <v>20911.495777475084</v>
      </c>
      <c r="E8" s="158">
        <f>+D8*' Volume Assumptions'!$C$12</f>
        <v>8364.5983109900335</v>
      </c>
    </row>
    <row r="9" spans="1:5" x14ac:dyDescent="0.2">
      <c r="A9" s="26" t="s">
        <v>23</v>
      </c>
      <c r="B9" s="3">
        <v>759.29678928668</v>
      </c>
      <c r="C9" s="155">
        <v>30.48</v>
      </c>
      <c r="D9" s="157">
        <f t="shared" si="0"/>
        <v>23143.366137458008</v>
      </c>
      <c r="E9" s="158">
        <f>+D9*' Volume Assumptions'!$C$12</f>
        <v>9257.3464549832042</v>
      </c>
    </row>
    <row r="10" spans="1:5" x14ac:dyDescent="0.2">
      <c r="A10" s="26" t="s">
        <v>17</v>
      </c>
      <c r="B10" s="3">
        <v>191.02123856365745</v>
      </c>
      <c r="C10" s="155">
        <v>30.48</v>
      </c>
      <c r="D10" s="157">
        <f t="shared" si="0"/>
        <v>5822.3273514202792</v>
      </c>
      <c r="E10" s="158">
        <f>+D10*' Volume Assumptions'!$E$12</f>
        <v>1164.465470284056</v>
      </c>
    </row>
    <row r="11" spans="1:5" x14ac:dyDescent="0.2">
      <c r="A11" s="26" t="s">
        <v>24</v>
      </c>
      <c r="B11" s="3">
        <v>2203.130936842299</v>
      </c>
      <c r="C11" s="155">
        <v>30.48</v>
      </c>
      <c r="D11" s="157">
        <f t="shared" si="0"/>
        <v>67151.430954953277</v>
      </c>
      <c r="E11" s="158">
        <f>+D11*' Volume Assumptions'!$D$12</f>
        <v>26860.572381981314</v>
      </c>
    </row>
    <row r="12" spans="1:5" ht="13.5" thickBot="1" x14ac:dyDescent="0.25">
      <c r="A12" s="26"/>
      <c r="B12" s="3"/>
      <c r="C12" s="155"/>
      <c r="D12" s="157"/>
      <c r="E12" s="158"/>
    </row>
    <row r="13" spans="1:5" ht="13.5" thickBot="1" x14ac:dyDescent="0.25">
      <c r="A13" s="156" t="s">
        <v>19</v>
      </c>
      <c r="B13" s="197">
        <v>5013.4654824092595</v>
      </c>
      <c r="C13" s="202">
        <v>30.48</v>
      </c>
      <c r="D13" s="203">
        <f>+C13*B13</f>
        <v>152810.42790383424</v>
      </c>
      <c r="E13" s="204">
        <f>SUM(E6:E11)</f>
        <v>59538.683511312091</v>
      </c>
    </row>
    <row r="15" spans="1:5" x14ac:dyDescent="0.2">
      <c r="A15" s="38" t="s">
        <v>55</v>
      </c>
    </row>
    <row r="16" spans="1:5" x14ac:dyDescent="0.2">
      <c r="A16" s="38" t="s">
        <v>41</v>
      </c>
    </row>
    <row r="17" spans="1:1" x14ac:dyDescent="0.2">
      <c r="A17" s="38" t="s">
        <v>42</v>
      </c>
    </row>
    <row r="18" spans="1:1" x14ac:dyDescent="0.2">
      <c r="A18" s="38" t="s">
        <v>43</v>
      </c>
    </row>
    <row r="19" spans="1:1" x14ac:dyDescent="0.2">
      <c r="A19" s="40" t="s">
        <v>58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G18"/>
  <sheetViews>
    <sheetView workbookViewId="0">
      <selection activeCell="E1" sqref="E1"/>
    </sheetView>
  </sheetViews>
  <sheetFormatPr defaultRowHeight="12.75" x14ac:dyDescent="0.2"/>
  <cols>
    <col min="1" max="1" width="19" bestFit="1" customWidth="1"/>
    <col min="2" max="2" width="14.5703125" customWidth="1"/>
    <col min="3" max="3" width="17.140625" customWidth="1"/>
    <col min="4" max="4" width="14.5703125" hidden="1" customWidth="1"/>
  </cols>
  <sheetData>
    <row r="1" spans="1:7" ht="27" thickBot="1" x14ac:dyDescent="0.45">
      <c r="A1" s="145" t="s">
        <v>280</v>
      </c>
    </row>
    <row r="2" spans="1:7" hidden="1" x14ac:dyDescent="0.2">
      <c r="D2" s="400" t="s">
        <v>600</v>
      </c>
    </row>
    <row r="3" spans="1:7" hidden="1" x14ac:dyDescent="0.2">
      <c r="D3" s="400" t="s">
        <v>380</v>
      </c>
    </row>
    <row r="4" spans="1:7" ht="13.5" hidden="1" thickBot="1" x14ac:dyDescent="0.25">
      <c r="D4" s="400" t="s">
        <v>381</v>
      </c>
    </row>
    <row r="5" spans="1:7" ht="12.75" customHeight="1" x14ac:dyDescent="0.2">
      <c r="A5" s="678" t="s">
        <v>109</v>
      </c>
      <c r="B5" s="682" t="s">
        <v>281</v>
      </c>
      <c r="C5" s="680" t="s">
        <v>379</v>
      </c>
      <c r="D5" s="682"/>
    </row>
    <row r="6" spans="1:7" ht="39" customHeight="1" thickBot="1" x14ac:dyDescent="0.25">
      <c r="A6" s="679"/>
      <c r="B6" s="683"/>
      <c r="C6" s="681"/>
      <c r="D6" s="683"/>
    </row>
    <row r="7" spans="1:7" ht="18.75" customHeight="1" x14ac:dyDescent="0.2">
      <c r="A7" s="397" t="s">
        <v>64</v>
      </c>
      <c r="B7" s="398">
        <v>1</v>
      </c>
      <c r="C7" s="399"/>
      <c r="D7" s="398">
        <v>2</v>
      </c>
      <c r="E7" s="413">
        <f>IF(D7=1,B7,0)</f>
        <v>0</v>
      </c>
      <c r="F7" s="413">
        <f>IF(D7=2,B7,0)</f>
        <v>1</v>
      </c>
      <c r="G7" s="413">
        <f>IF(D7=3,B7,0)</f>
        <v>0</v>
      </c>
    </row>
    <row r="8" spans="1:7" ht="18.75" customHeight="1" x14ac:dyDescent="0.2">
      <c r="A8" s="48" t="s">
        <v>65</v>
      </c>
      <c r="B8" s="395">
        <v>1</v>
      </c>
      <c r="C8" s="393"/>
      <c r="D8" s="395">
        <v>2</v>
      </c>
      <c r="E8" s="413">
        <f t="shared" ref="E8:E18" si="0">IF(D8=1,B8,0)</f>
        <v>0</v>
      </c>
      <c r="F8" s="413">
        <f t="shared" ref="F8:F18" si="1">IF(D8=2,B8,0)</f>
        <v>1</v>
      </c>
      <c r="G8" s="413">
        <f t="shared" ref="G8:G18" si="2">IF(D8=3,B8,0)</f>
        <v>0</v>
      </c>
    </row>
    <row r="9" spans="1:7" ht="18.75" customHeight="1" x14ac:dyDescent="0.2">
      <c r="A9" s="48" t="s">
        <v>66</v>
      </c>
      <c r="B9" s="395">
        <v>1</v>
      </c>
      <c r="C9" s="393"/>
      <c r="D9" s="395">
        <v>1</v>
      </c>
      <c r="E9" s="413">
        <f t="shared" si="0"/>
        <v>1</v>
      </c>
      <c r="F9" s="413">
        <f t="shared" si="1"/>
        <v>0</v>
      </c>
      <c r="G9" s="413">
        <f t="shared" si="2"/>
        <v>0</v>
      </c>
    </row>
    <row r="10" spans="1:7" ht="18.75" customHeight="1" x14ac:dyDescent="0.2">
      <c r="A10" s="48" t="s">
        <v>112</v>
      </c>
      <c r="B10" s="395">
        <v>1</v>
      </c>
      <c r="C10" s="393"/>
      <c r="D10" s="395">
        <v>1</v>
      </c>
      <c r="E10" s="413">
        <f t="shared" si="0"/>
        <v>1</v>
      </c>
      <c r="F10" s="413">
        <f t="shared" si="1"/>
        <v>0</v>
      </c>
      <c r="G10" s="413">
        <f t="shared" si="2"/>
        <v>0</v>
      </c>
    </row>
    <row r="11" spans="1:7" ht="18.75" customHeight="1" x14ac:dyDescent="0.2">
      <c r="A11" s="48" t="s">
        <v>67</v>
      </c>
      <c r="B11" s="395">
        <v>1</v>
      </c>
      <c r="C11" s="393"/>
      <c r="D11" s="395">
        <v>1</v>
      </c>
      <c r="E11" s="413">
        <f t="shared" si="0"/>
        <v>1</v>
      </c>
      <c r="F11" s="413">
        <f t="shared" si="1"/>
        <v>0</v>
      </c>
      <c r="G11" s="413">
        <f t="shared" si="2"/>
        <v>0</v>
      </c>
    </row>
    <row r="12" spans="1:7" ht="18.75" customHeight="1" x14ac:dyDescent="0.2">
      <c r="A12" s="48" t="s">
        <v>68</v>
      </c>
      <c r="B12" s="395">
        <v>1</v>
      </c>
      <c r="C12" s="393"/>
      <c r="D12" s="395">
        <v>2</v>
      </c>
      <c r="E12" s="413">
        <f t="shared" si="0"/>
        <v>0</v>
      </c>
      <c r="F12" s="413">
        <f t="shared" si="1"/>
        <v>1</v>
      </c>
      <c r="G12" s="413">
        <f t="shared" si="2"/>
        <v>0</v>
      </c>
    </row>
    <row r="13" spans="1:7" ht="18.75" customHeight="1" x14ac:dyDescent="0.2">
      <c r="A13" s="48" t="s">
        <v>69</v>
      </c>
      <c r="B13" s="395">
        <v>1</v>
      </c>
      <c r="C13" s="393"/>
      <c r="D13" s="395">
        <v>2</v>
      </c>
      <c r="E13" s="413">
        <f t="shared" si="0"/>
        <v>0</v>
      </c>
      <c r="F13" s="413">
        <f t="shared" si="1"/>
        <v>1</v>
      </c>
      <c r="G13" s="413">
        <f t="shared" si="2"/>
        <v>0</v>
      </c>
    </row>
    <row r="14" spans="1:7" ht="18.75" customHeight="1" x14ac:dyDescent="0.2">
      <c r="A14" s="48" t="s">
        <v>70</v>
      </c>
      <c r="B14" s="395">
        <v>1</v>
      </c>
      <c r="C14" s="393"/>
      <c r="D14" s="395">
        <v>2</v>
      </c>
      <c r="E14" s="413">
        <f t="shared" si="0"/>
        <v>0</v>
      </c>
      <c r="F14" s="413">
        <f t="shared" si="1"/>
        <v>1</v>
      </c>
      <c r="G14" s="413">
        <f t="shared" si="2"/>
        <v>0</v>
      </c>
    </row>
    <row r="15" spans="1:7" ht="18.75" customHeight="1" x14ac:dyDescent="0.2">
      <c r="A15" s="48" t="s">
        <v>71</v>
      </c>
      <c r="B15" s="395">
        <v>1</v>
      </c>
      <c r="C15" s="393"/>
      <c r="D15" s="395">
        <v>2</v>
      </c>
      <c r="E15" s="413">
        <f t="shared" si="0"/>
        <v>0</v>
      </c>
      <c r="F15" s="413">
        <f t="shared" si="1"/>
        <v>1</v>
      </c>
      <c r="G15" s="413">
        <f t="shared" si="2"/>
        <v>0</v>
      </c>
    </row>
    <row r="16" spans="1:7" ht="18.75" customHeight="1" x14ac:dyDescent="0.2">
      <c r="A16" s="48" t="s">
        <v>119</v>
      </c>
      <c r="B16" s="395">
        <v>1</v>
      </c>
      <c r="C16" s="393"/>
      <c r="D16" s="395">
        <v>2</v>
      </c>
      <c r="E16" s="413">
        <f t="shared" si="0"/>
        <v>0</v>
      </c>
      <c r="F16" s="413">
        <f t="shared" si="1"/>
        <v>1</v>
      </c>
      <c r="G16" s="413">
        <f t="shared" si="2"/>
        <v>0</v>
      </c>
    </row>
    <row r="17" spans="1:7" ht="18.75" customHeight="1" x14ac:dyDescent="0.2">
      <c r="A17" s="48" t="s">
        <v>120</v>
      </c>
      <c r="B17" s="395">
        <v>1</v>
      </c>
      <c r="C17" s="393"/>
      <c r="D17" s="395">
        <v>2</v>
      </c>
      <c r="E17" s="413">
        <f t="shared" si="0"/>
        <v>0</v>
      </c>
      <c r="F17" s="413">
        <f t="shared" si="1"/>
        <v>1</v>
      </c>
      <c r="G17" s="413">
        <f t="shared" si="2"/>
        <v>0</v>
      </c>
    </row>
    <row r="18" spans="1:7" ht="18.75" customHeight="1" thickBot="1" x14ac:dyDescent="0.25">
      <c r="A18" s="49" t="s">
        <v>113</v>
      </c>
      <c r="B18" s="396">
        <v>1</v>
      </c>
      <c r="C18" s="394"/>
      <c r="D18" s="396">
        <v>2</v>
      </c>
      <c r="E18" s="413">
        <f t="shared" si="0"/>
        <v>0</v>
      </c>
      <c r="F18" s="413">
        <f t="shared" si="1"/>
        <v>1</v>
      </c>
      <c r="G18" s="413">
        <f t="shared" si="2"/>
        <v>0</v>
      </c>
    </row>
  </sheetData>
  <mergeCells count="4">
    <mergeCell ref="A5:A6"/>
    <mergeCell ref="C5:C6"/>
    <mergeCell ref="D5:D6"/>
    <mergeCell ref="B5:B6"/>
  </mergeCells>
  <pageMargins left="0.75" right="0.75" top="1" bottom="1" header="0.5" footer="0.5"/>
  <pageSetup scale="8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1" r:id="rId4" name="Drop Down 5">
              <controlPr defaultSize="0" autoLine="0" autoPict="0">
                <anchor moveWithCells="1">
                  <from>
                    <xdr:col>2</xdr:col>
                    <xdr:colOff>19050</xdr:colOff>
                    <xdr:row>6</xdr:row>
                    <xdr:rowOff>19050</xdr:rowOff>
                  </from>
                  <to>
                    <xdr:col>2</xdr:col>
                    <xdr:colOff>1114425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5" name="Drop Down 17">
              <controlPr defaultSize="0" autoLine="0" autoPict="0">
                <anchor moveWithCells="1">
                  <from>
                    <xdr:col>2</xdr:col>
                    <xdr:colOff>19050</xdr:colOff>
                    <xdr:row>7</xdr:row>
                    <xdr:rowOff>19050</xdr:rowOff>
                  </from>
                  <to>
                    <xdr:col>2</xdr:col>
                    <xdr:colOff>1114425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6" name="Drop Down 18">
              <controlPr defaultSize="0" autoLine="0" autoPict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1114425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7" name="Drop Down 19">
              <controlPr defaultSize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1114425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8" name="Drop Down 20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1114425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9" name="Drop Down 21">
              <controlPr defaultSize="0" autoLine="0" autoPict="0">
                <anchor moveWithCells="1">
                  <from>
                    <xdr:col>2</xdr:col>
                    <xdr:colOff>19050</xdr:colOff>
                    <xdr:row>11</xdr:row>
                    <xdr:rowOff>19050</xdr:rowOff>
                  </from>
                  <to>
                    <xdr:col>2</xdr:col>
                    <xdr:colOff>1114425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0" name="Drop Down 22">
              <controlPr defaultSize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1114425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1" name="Drop Down 23">
              <controlPr defaultSize="0" autoLine="0" autoPict="0">
                <anchor moveWithCells="1">
                  <from>
                    <xdr:col>2</xdr:col>
                    <xdr:colOff>19050</xdr:colOff>
                    <xdr:row>13</xdr:row>
                    <xdr:rowOff>19050</xdr:rowOff>
                  </from>
                  <to>
                    <xdr:col>2</xdr:col>
                    <xdr:colOff>1114425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2" name="Drop Down 24">
              <controlPr defaultSize="0" autoLine="0" autoPict="0">
                <anchor moveWithCells="1">
                  <from>
                    <xdr:col>2</xdr:col>
                    <xdr:colOff>19050</xdr:colOff>
                    <xdr:row>14</xdr:row>
                    <xdr:rowOff>19050</xdr:rowOff>
                  </from>
                  <to>
                    <xdr:col>2</xdr:col>
                    <xdr:colOff>1114425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3" name="Drop Down 25">
              <controlPr defaultSize="0" autoLine="0" autoPict="0">
                <anchor moveWithCells="1">
                  <from>
                    <xdr:col>2</xdr:col>
                    <xdr:colOff>19050</xdr:colOff>
                    <xdr:row>15</xdr:row>
                    <xdr:rowOff>19050</xdr:rowOff>
                  </from>
                  <to>
                    <xdr:col>2</xdr:col>
                    <xdr:colOff>1114425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4" name="Drop Down 26">
              <controlPr defaultSize="0" autoLine="0" autoPict="0">
                <anchor moveWithCells="1">
                  <from>
                    <xdr:col>2</xdr:col>
                    <xdr:colOff>19050</xdr:colOff>
                    <xdr:row>16</xdr:row>
                    <xdr:rowOff>19050</xdr:rowOff>
                  </from>
                  <to>
                    <xdr:col>2</xdr:col>
                    <xdr:colOff>1114425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" name="Drop Down 27">
              <controlPr defaultSize="0" autoLine="0" autoPict="0">
                <anchor moveWithCells="1">
                  <from>
                    <xdr:col>2</xdr:col>
                    <xdr:colOff>19050</xdr:colOff>
                    <xdr:row>17</xdr:row>
                    <xdr:rowOff>19050</xdr:rowOff>
                  </from>
                  <to>
                    <xdr:col>2</xdr:col>
                    <xdr:colOff>1114425</xdr:colOff>
                    <xdr:row>17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17" sqref="A17:H17"/>
    </sheetView>
  </sheetViews>
  <sheetFormatPr defaultRowHeight="12.75" x14ac:dyDescent="0.2"/>
  <cols>
    <col min="1" max="1" width="27.42578125" customWidth="1"/>
    <col min="2" max="2" width="13.85546875" customWidth="1"/>
    <col min="3" max="3" width="18.5703125" customWidth="1"/>
  </cols>
  <sheetData>
    <row r="1" spans="1:4" ht="26.25" x14ac:dyDescent="0.4">
      <c r="A1" s="145" t="s">
        <v>48</v>
      </c>
    </row>
    <row r="3" spans="1:4" ht="13.5" thickBot="1" x14ac:dyDescent="0.25"/>
    <row r="4" spans="1:4" ht="26.25" thickBot="1" x14ac:dyDescent="0.25">
      <c r="A4" s="198" t="s">
        <v>48</v>
      </c>
      <c r="B4" s="215" t="s">
        <v>170</v>
      </c>
      <c r="C4" s="196" t="s">
        <v>183</v>
      </c>
    </row>
    <row r="5" spans="1:4" x14ac:dyDescent="0.2">
      <c r="A5" s="13"/>
      <c r="B5" s="30"/>
      <c r="C5" s="31"/>
    </row>
    <row r="6" spans="1:4" x14ac:dyDescent="0.2">
      <c r="A6" s="13" t="s">
        <v>44</v>
      </c>
      <c r="B6" s="157">
        <v>1062000</v>
      </c>
      <c r="C6" s="158">
        <f>+B6*' Volume Assumptions'!$B$14</f>
        <v>212400</v>
      </c>
      <c r="D6" s="30"/>
    </row>
    <row r="7" spans="1:4" x14ac:dyDescent="0.2">
      <c r="A7" s="37" t="s">
        <v>6</v>
      </c>
      <c r="B7" s="157">
        <v>1040000</v>
      </c>
      <c r="C7" s="158">
        <f>+B7*' Volume Assumptions'!$C$14</f>
        <v>104000</v>
      </c>
      <c r="D7" s="35"/>
    </row>
    <row r="8" spans="1:4" x14ac:dyDescent="0.2">
      <c r="A8" s="13" t="s">
        <v>46</v>
      </c>
      <c r="B8" s="157">
        <v>674000</v>
      </c>
      <c r="C8" s="158">
        <f>+B8*' Volume Assumptions'!$D$14</f>
        <v>53920</v>
      </c>
      <c r="D8" s="2"/>
    </row>
    <row r="9" spans="1:4" x14ac:dyDescent="0.2">
      <c r="A9" s="13" t="s">
        <v>45</v>
      </c>
      <c r="B9" s="157">
        <v>930000</v>
      </c>
      <c r="C9" s="158">
        <f>+B9*' Volume Assumptions'!$E$14</f>
        <v>27900</v>
      </c>
      <c r="D9" s="30"/>
    </row>
    <row r="10" spans="1:4" ht="13.5" thickBot="1" x14ac:dyDescent="0.25">
      <c r="A10" s="13"/>
      <c r="B10" s="188"/>
      <c r="C10" s="31"/>
      <c r="D10" s="30"/>
    </row>
    <row r="11" spans="1:4" ht="13.5" thickBot="1" x14ac:dyDescent="0.25">
      <c r="A11" s="161" t="s">
        <v>47</v>
      </c>
      <c r="B11" s="218">
        <f>SUM(B6:B10)</f>
        <v>3706000</v>
      </c>
      <c r="C11" s="219">
        <f>SUM(C6:C10)</f>
        <v>398220</v>
      </c>
      <c r="D11" s="30"/>
    </row>
    <row r="13" spans="1:4" x14ac:dyDescent="0.2">
      <c r="A13" s="40" t="s">
        <v>60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A17" sqref="A17:H17"/>
    </sheetView>
  </sheetViews>
  <sheetFormatPr defaultRowHeight="12.75" x14ac:dyDescent="0.2"/>
  <cols>
    <col min="1" max="1" width="40.7109375" customWidth="1"/>
    <col min="2" max="2" width="14.28515625" customWidth="1"/>
    <col min="3" max="3" width="13.140625" customWidth="1"/>
    <col min="4" max="4" width="12.7109375" customWidth="1"/>
    <col min="5" max="5" width="15.42578125" customWidth="1"/>
  </cols>
  <sheetData>
    <row r="1" spans="1:5" ht="26.25" x14ac:dyDescent="0.4">
      <c r="A1" s="145" t="s">
        <v>118</v>
      </c>
    </row>
    <row r="3" spans="1:5" ht="13.5" thickBot="1" x14ac:dyDescent="0.25"/>
    <row r="4" spans="1:5" ht="26.25" thickBot="1" x14ac:dyDescent="0.25">
      <c r="A4" s="222" t="s">
        <v>118</v>
      </c>
      <c r="B4" s="223" t="s">
        <v>223</v>
      </c>
      <c r="C4" s="223" t="s">
        <v>215</v>
      </c>
      <c r="D4" s="223" t="s">
        <v>214</v>
      </c>
      <c r="E4" s="224" t="s">
        <v>222</v>
      </c>
    </row>
    <row r="5" spans="1:5" x14ac:dyDescent="0.2">
      <c r="A5" s="10"/>
      <c r="B5" s="11"/>
      <c r="C5" s="11"/>
      <c r="D5" s="11"/>
      <c r="E5" s="12"/>
    </row>
    <row r="6" spans="1:5" x14ac:dyDescent="0.2">
      <c r="A6" s="26" t="s">
        <v>21</v>
      </c>
      <c r="B6" s="3">
        <v>92612</v>
      </c>
      <c r="C6" s="3">
        <v>267815</v>
      </c>
      <c r="D6" s="3">
        <v>71140</v>
      </c>
      <c r="E6" s="19">
        <f>SUM(B6:D6)</f>
        <v>431567</v>
      </c>
    </row>
    <row r="7" spans="1:5" x14ac:dyDescent="0.2">
      <c r="A7" s="26" t="s">
        <v>26</v>
      </c>
      <c r="B7" s="3">
        <f>586956-B6</f>
        <v>494344</v>
      </c>
      <c r="C7" s="3">
        <f>600702-C6</f>
        <v>332887</v>
      </c>
      <c r="D7" s="3">
        <f>141360-D6</f>
        <v>70220</v>
      </c>
      <c r="E7" s="19">
        <f>SUM(B7:D7)</f>
        <v>897451</v>
      </c>
    </row>
    <row r="8" spans="1:5" ht="13.5" thickBot="1" x14ac:dyDescent="0.25">
      <c r="A8" s="13"/>
      <c r="B8" s="30"/>
      <c r="C8" s="30"/>
      <c r="D8" s="30"/>
      <c r="E8" s="31"/>
    </row>
    <row r="9" spans="1:5" ht="13.5" thickBot="1" x14ac:dyDescent="0.25">
      <c r="A9" s="20" t="s">
        <v>11</v>
      </c>
      <c r="B9" s="21">
        <f>SUM(B6:B8)</f>
        <v>586956</v>
      </c>
      <c r="C9" s="21">
        <f>SUM(C6:C8)</f>
        <v>600702</v>
      </c>
      <c r="D9" s="21">
        <f>SUM(D6:D8)</f>
        <v>141360</v>
      </c>
      <c r="E9" s="22">
        <f>SUM(E6:E8)</f>
        <v>1329018</v>
      </c>
    </row>
    <row r="10" spans="1:5" ht="13.5" thickBot="1" x14ac:dyDescent="0.25">
      <c r="A10" s="10" t="s">
        <v>1</v>
      </c>
      <c r="B10" s="155">
        <v>8.9988338444262087E-2</v>
      </c>
      <c r="C10" s="155">
        <v>8.3000000000000004E-2</v>
      </c>
      <c r="D10" s="155">
        <v>0.23743323025021085</v>
      </c>
      <c r="E10" s="225">
        <f>+E11/E9</f>
        <v>0.13046941063242956</v>
      </c>
    </row>
    <row r="11" spans="1:5" ht="13.5" thickBot="1" x14ac:dyDescent="0.25">
      <c r="A11" s="156" t="s">
        <v>216</v>
      </c>
      <c r="B11" s="203">
        <f>+B10*B9</f>
        <v>52819.195179890296</v>
      </c>
      <c r="C11" s="203">
        <v>29509</v>
      </c>
      <c r="D11" s="203">
        <v>91068</v>
      </c>
      <c r="E11" s="204">
        <f>SUM(B11:D11)</f>
        <v>173396.19517989029</v>
      </c>
    </row>
    <row r="12" spans="1:5" ht="13.5" thickBot="1" x14ac:dyDescent="0.25">
      <c r="A12" s="24" t="s">
        <v>197</v>
      </c>
      <c r="B12" s="159">
        <f>+B6*B10*' Volume Assumptions'!$B$16</f>
        <v>5000.3999999999996</v>
      </c>
      <c r="C12" s="159">
        <f>+C6*C10*' Volume Assumptions'!$B$16</f>
        <v>13337.187</v>
      </c>
      <c r="D12" s="159">
        <f>+D6*D10*' Volume Assumptions'!$B$16</f>
        <v>10134.6</v>
      </c>
      <c r="E12" s="160">
        <f>SUM(B12:D12)</f>
        <v>28472.186999999998</v>
      </c>
    </row>
    <row r="13" spans="1:5" ht="13.5" thickBot="1" x14ac:dyDescent="0.25">
      <c r="A13" s="27" t="s">
        <v>213</v>
      </c>
      <c r="B13" s="210">
        <f>+B7*B10*' Volume Assumptions'!$C$16</f>
        <v>22242.597589945148</v>
      </c>
      <c r="C13" s="210">
        <f>+C7*C10*' Volume Assumptions'!$C$16</f>
        <v>13814.810500000001</v>
      </c>
      <c r="D13" s="210">
        <f>+D7*D10*' Volume Assumptions'!$C$16</f>
        <v>8336.2807140849036</v>
      </c>
      <c r="E13" s="211">
        <f>SUM(B13:D13)</f>
        <v>44393.688804030055</v>
      </c>
    </row>
    <row r="14" spans="1:5" ht="13.5" thickBot="1" x14ac:dyDescent="0.25">
      <c r="A14" s="156" t="s">
        <v>199</v>
      </c>
      <c r="B14" s="203">
        <f>+B12+B13</f>
        <v>27242.997589945146</v>
      </c>
      <c r="C14" s="203">
        <f>+C12+C13</f>
        <v>27151.997500000001</v>
      </c>
      <c r="D14" s="203">
        <f>+D12+D13</f>
        <v>18470.880714084902</v>
      </c>
      <c r="E14" s="204">
        <f>+E12+E13</f>
        <v>72865.875804030045</v>
      </c>
    </row>
    <row r="15" spans="1:5" x14ac:dyDescent="0.2">
      <c r="B15" s="226"/>
      <c r="C15" s="226"/>
      <c r="D15" s="226"/>
      <c r="E15" s="226"/>
    </row>
    <row r="16" spans="1:5" x14ac:dyDescent="0.2">
      <c r="A16" s="40" t="s">
        <v>143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selection activeCell="A17" sqref="A17:H17"/>
    </sheetView>
  </sheetViews>
  <sheetFormatPr defaultRowHeight="12.75" x14ac:dyDescent="0.2"/>
  <cols>
    <col min="1" max="1" width="34.85546875" customWidth="1"/>
    <col min="2" max="2" width="13.140625" customWidth="1"/>
    <col min="3" max="3" width="12.85546875" bestFit="1" customWidth="1"/>
    <col min="4" max="4" width="13.42578125" customWidth="1"/>
    <col min="5" max="5" width="11" bestFit="1" customWidth="1"/>
    <col min="6" max="6" width="11.7109375" customWidth="1"/>
    <col min="7" max="8" width="13" customWidth="1"/>
    <col min="9" max="9" width="13.42578125" customWidth="1"/>
  </cols>
  <sheetData>
    <row r="1" spans="1:9" ht="26.25" x14ac:dyDescent="0.4">
      <c r="A1" s="145" t="s">
        <v>36</v>
      </c>
    </row>
    <row r="3" spans="1:9" ht="13.5" thickBot="1" x14ac:dyDescent="0.25"/>
    <row r="4" spans="1:9" ht="33.75" customHeight="1" thickBot="1" x14ac:dyDescent="0.25">
      <c r="A4" s="198" t="s">
        <v>38</v>
      </c>
      <c r="B4" s="215" t="s">
        <v>241</v>
      </c>
      <c r="C4" s="215" t="s">
        <v>211</v>
      </c>
      <c r="D4" s="215" t="s">
        <v>210</v>
      </c>
      <c r="E4" s="215" t="s">
        <v>114</v>
      </c>
      <c r="F4" s="215" t="s">
        <v>208</v>
      </c>
      <c r="G4" s="215" t="s">
        <v>209</v>
      </c>
      <c r="H4" s="215" t="s">
        <v>219</v>
      </c>
      <c r="I4" s="196" t="s">
        <v>221</v>
      </c>
    </row>
    <row r="5" spans="1:9" x14ac:dyDescent="0.2">
      <c r="A5" s="228"/>
      <c r="B5" s="229"/>
      <c r="C5" s="229"/>
      <c r="D5" s="229"/>
      <c r="E5" s="229"/>
      <c r="F5" s="11"/>
      <c r="G5" s="11"/>
      <c r="H5" s="11"/>
      <c r="I5" s="12"/>
    </row>
    <row r="6" spans="1:9" x14ac:dyDescent="0.2">
      <c r="A6" s="13" t="s">
        <v>21</v>
      </c>
      <c r="B6" s="3">
        <v>93000</v>
      </c>
      <c r="C6" s="3">
        <v>4260</v>
      </c>
      <c r="D6" s="3">
        <v>1660</v>
      </c>
      <c r="E6" s="3"/>
      <c r="F6" s="3">
        <v>340</v>
      </c>
      <c r="G6" s="3">
        <v>1850</v>
      </c>
      <c r="H6" s="3">
        <f>+C6+D6+F6+G6</f>
        <v>8110</v>
      </c>
      <c r="I6" s="19">
        <f>SUM(B6:H6)</f>
        <v>109220</v>
      </c>
    </row>
    <row r="7" spans="1:9" x14ac:dyDescent="0.2">
      <c r="A7" s="13" t="s">
        <v>37</v>
      </c>
      <c r="B7" s="3">
        <v>153000</v>
      </c>
      <c r="C7" s="3">
        <v>1200</v>
      </c>
      <c r="D7" s="3">
        <v>1500</v>
      </c>
      <c r="E7" s="3"/>
      <c r="F7" s="3">
        <v>1</v>
      </c>
      <c r="G7" s="3">
        <v>1450</v>
      </c>
      <c r="H7" s="3">
        <f>+C7+D7+F7+G7</f>
        <v>4151</v>
      </c>
      <c r="I7" s="19">
        <f>SUM(B7:H7)</f>
        <v>161302</v>
      </c>
    </row>
    <row r="8" spans="1:9" x14ac:dyDescent="0.2">
      <c r="A8" s="13" t="s">
        <v>5</v>
      </c>
      <c r="B8" s="3">
        <v>90600</v>
      </c>
      <c r="C8" s="3">
        <v>40</v>
      </c>
      <c r="D8" s="3"/>
      <c r="E8" s="3"/>
      <c r="F8" s="3"/>
      <c r="G8" s="3">
        <v>170</v>
      </c>
      <c r="H8" s="3">
        <f>+C8+D8+F8+G8</f>
        <v>210</v>
      </c>
      <c r="I8" s="19">
        <f>SUM(B8:H8)</f>
        <v>91020</v>
      </c>
    </row>
    <row r="9" spans="1:9" x14ac:dyDescent="0.2">
      <c r="A9" s="13" t="s">
        <v>26</v>
      </c>
      <c r="B9" s="3">
        <v>418000</v>
      </c>
      <c r="C9" s="3">
        <f>18200+1700</f>
        <v>19900</v>
      </c>
      <c r="D9" s="3">
        <v>9500</v>
      </c>
      <c r="E9" s="3"/>
      <c r="F9" s="3">
        <v>1990</v>
      </c>
      <c r="G9" s="3">
        <v>12520</v>
      </c>
      <c r="H9" s="3">
        <f>+C9+D9+F9+G9</f>
        <v>43910</v>
      </c>
      <c r="I9" s="19">
        <f>SUM(B9:H9)</f>
        <v>505820</v>
      </c>
    </row>
    <row r="10" spans="1:9" ht="13.5" thickBot="1" x14ac:dyDescent="0.25">
      <c r="A10" s="15"/>
      <c r="B10" s="23"/>
      <c r="C10" s="23"/>
      <c r="D10" s="23"/>
      <c r="E10" s="23"/>
      <c r="F10" s="23"/>
      <c r="G10" s="23"/>
      <c r="H10" s="23"/>
      <c r="I10" s="34"/>
    </row>
    <row r="11" spans="1:9" ht="13.5" thickBot="1" x14ac:dyDescent="0.25">
      <c r="A11" s="32" t="s">
        <v>11</v>
      </c>
      <c r="B11" s="28">
        <f>SUM(B6:B10)</f>
        <v>754600</v>
      </c>
      <c r="C11" s="28">
        <f>SUM(C6:C10)</f>
        <v>25400</v>
      </c>
      <c r="D11" s="28">
        <f>SUM(D6:D10)</f>
        <v>12660</v>
      </c>
      <c r="E11" s="28"/>
      <c r="F11" s="28">
        <f>SUM(F6:F10)</f>
        <v>2331</v>
      </c>
      <c r="G11" s="28">
        <f>SUM(G6:G10)</f>
        <v>15990</v>
      </c>
      <c r="H11" s="28">
        <f>SUM(C11:G11)</f>
        <v>56381</v>
      </c>
      <c r="I11" s="29">
        <f>SUM(B11:H11)</f>
        <v>867362</v>
      </c>
    </row>
    <row r="12" spans="1:9" ht="13.5" thickBot="1" x14ac:dyDescent="0.25">
      <c r="A12" s="214" t="s">
        <v>1</v>
      </c>
      <c r="B12" s="200">
        <v>0.4</v>
      </c>
      <c r="C12" s="200">
        <v>1.6</v>
      </c>
      <c r="D12" s="200">
        <f>0.91*2.2</f>
        <v>2.0020000000000002</v>
      </c>
      <c r="E12" s="200"/>
      <c r="F12" s="200">
        <v>79.5</v>
      </c>
      <c r="G12" s="200">
        <v>4.92</v>
      </c>
      <c r="H12" s="200"/>
      <c r="I12" s="185">
        <f>+I14/I11</f>
        <v>0.79760309997440526</v>
      </c>
    </row>
    <row r="13" spans="1:9" ht="13.5" thickBot="1" x14ac:dyDescent="0.25">
      <c r="A13" s="13"/>
      <c r="B13" s="3"/>
      <c r="C13" s="3"/>
      <c r="D13" s="3"/>
      <c r="E13" s="3"/>
      <c r="F13" s="3"/>
      <c r="G13" s="3"/>
      <c r="H13" s="3"/>
      <c r="I13" s="31"/>
    </row>
    <row r="14" spans="1:9" ht="13.5" thickBot="1" x14ac:dyDescent="0.25">
      <c r="A14" s="161" t="s">
        <v>170</v>
      </c>
      <c r="B14" s="203">
        <f>+B12*B11</f>
        <v>301840</v>
      </c>
      <c r="C14" s="203">
        <f>+C12*C11</f>
        <v>40640</v>
      </c>
      <c r="D14" s="203">
        <f>+D12*D11</f>
        <v>25345.320000000003</v>
      </c>
      <c r="E14" s="203">
        <v>60000</v>
      </c>
      <c r="F14" s="203">
        <f>+F11*F12</f>
        <v>185314.5</v>
      </c>
      <c r="G14" s="203">
        <f>+G12*G11</f>
        <v>78670.8</v>
      </c>
      <c r="H14" s="203">
        <f>SUM(C14:G14)</f>
        <v>389970.62</v>
      </c>
      <c r="I14" s="204">
        <f>SUM(B14:G14)</f>
        <v>691810.62000000011</v>
      </c>
    </row>
    <row r="15" spans="1:9" ht="13.5" thickBot="1" x14ac:dyDescent="0.25">
      <c r="A15" s="217" t="s">
        <v>206</v>
      </c>
      <c r="B15" s="159">
        <f>+B6*B12*' Volume Assumptions'!$B$13</f>
        <v>29760</v>
      </c>
      <c r="C15" s="159">
        <f>+C6*C12*' Volume Assumptions'!$B$13</f>
        <v>5452.8</v>
      </c>
      <c r="D15" s="159">
        <f>+D6*D12*' Volume Assumptions'!$B$13</f>
        <v>2658.6560000000004</v>
      </c>
      <c r="E15" s="159">
        <f>+E6*E12*' Volume Assumptions'!$B$13</f>
        <v>0</v>
      </c>
      <c r="F15" s="159">
        <f>+F6*F12*' Volume Assumptions'!$B$13</f>
        <v>21624</v>
      </c>
      <c r="G15" s="159">
        <f>+G6*G12*' Volume Assumptions'!$B$13</f>
        <v>7281.6</v>
      </c>
      <c r="H15" s="159">
        <v>65000</v>
      </c>
      <c r="I15" s="160">
        <f>SUM(B15:H15)</f>
        <v>131777.05600000001</v>
      </c>
    </row>
    <row r="16" spans="1:9" ht="13.5" thickBot="1" x14ac:dyDescent="0.25">
      <c r="A16" s="216" t="s">
        <v>207</v>
      </c>
      <c r="B16" s="210">
        <f>+(B7*' Volume Assumptions'!$C$13+' Volume Assumptions'!$D$13*Metals!B8+Metals!B9*' Volume Assumptions'!$E$13)*B12</f>
        <v>211712</v>
      </c>
      <c r="C16" s="210">
        <f>+(C7*' Volume Assumptions'!$C$13+' Volume Assumptions'!$D$13*Metals!C8+Metals!C9*' Volume Assumptions'!$E$13)*C12</f>
        <v>27059.200000000001</v>
      </c>
      <c r="D16" s="210">
        <f>+(D7*' Volume Assumptions'!$C$13+' Volume Assumptions'!$D$13*Metals!D8+Metals!D9*' Volume Assumptions'!$E$13)*D12</f>
        <v>17617.600000000002</v>
      </c>
      <c r="E16" s="210">
        <f>+E14*' Volume Assumptions'!B13</f>
        <v>48000</v>
      </c>
      <c r="F16" s="210">
        <f>+(F7*' Volume Assumptions'!$C$13+' Volume Assumptions'!$D$13*Metals!F8+Metals!F9*' Volume Assumptions'!$E$13)*F12</f>
        <v>126627.59999999999</v>
      </c>
      <c r="G16" s="210">
        <f>+(G7*' Volume Assumptions'!$C$13+' Volume Assumptions'!$D$13*Metals!G8+Metals!G9*' Volume Assumptions'!$E$13)*G12</f>
        <v>55655.040000000001</v>
      </c>
      <c r="H16" s="210">
        <v>45000</v>
      </c>
      <c r="I16" s="211">
        <f>SUM(B16:H16)</f>
        <v>531671.43999999994</v>
      </c>
    </row>
    <row r="17" spans="1:9" ht="13.5" thickBot="1" x14ac:dyDescent="0.25">
      <c r="A17" s="82" t="s">
        <v>199</v>
      </c>
      <c r="B17" s="209">
        <f>+B15+B16</f>
        <v>241472</v>
      </c>
      <c r="C17" s="203">
        <f t="shared" ref="C17:I17" si="0">+C15+C16</f>
        <v>32512</v>
      </c>
      <c r="D17" s="203">
        <f t="shared" si="0"/>
        <v>20276.256000000001</v>
      </c>
      <c r="E17" s="203">
        <f t="shared" si="0"/>
        <v>48000</v>
      </c>
      <c r="F17" s="203">
        <f t="shared" si="0"/>
        <v>148251.59999999998</v>
      </c>
      <c r="G17" s="203">
        <f t="shared" si="0"/>
        <v>62936.639999999999</v>
      </c>
      <c r="H17" s="203">
        <f t="shared" si="0"/>
        <v>110000</v>
      </c>
      <c r="I17" s="204">
        <f t="shared" si="0"/>
        <v>663448.49599999993</v>
      </c>
    </row>
    <row r="19" spans="1:9" x14ac:dyDescent="0.2">
      <c r="A19" s="42" t="s">
        <v>57</v>
      </c>
    </row>
    <row r="20" spans="1:9" x14ac:dyDescent="0.2">
      <c r="A20" s="42" t="s">
        <v>102</v>
      </c>
    </row>
  </sheetData>
  <printOptions horizontalCentered="1"/>
  <pageMargins left="0.75" right="0.75" top="1" bottom="1" header="0.5" footer="0.5"/>
  <pageSetup scale="90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="75" workbookViewId="0">
      <selection activeCell="B5" sqref="B5"/>
    </sheetView>
  </sheetViews>
  <sheetFormatPr defaultRowHeight="12.75" x14ac:dyDescent="0.2"/>
  <cols>
    <col min="1" max="1" width="37" customWidth="1"/>
    <col min="2" max="2" width="18.28515625" customWidth="1"/>
    <col min="3" max="3" width="15.42578125" customWidth="1"/>
    <col min="4" max="4" width="17.42578125" customWidth="1"/>
    <col min="5" max="5" width="15.7109375" customWidth="1"/>
    <col min="6" max="6" width="14.7109375" customWidth="1"/>
    <col min="7" max="7" width="15" customWidth="1"/>
    <col min="8" max="8" width="14.5703125" customWidth="1"/>
    <col min="9" max="9" width="15.7109375" customWidth="1"/>
    <col min="10" max="10" width="16" customWidth="1"/>
    <col min="11" max="11" width="13.85546875" customWidth="1"/>
  </cols>
  <sheetData>
    <row r="1" spans="1:10" ht="26.25" x14ac:dyDescent="0.4">
      <c r="A1" s="145" t="s">
        <v>62</v>
      </c>
    </row>
    <row r="3" spans="1:10" ht="13.5" thickBot="1" x14ac:dyDescent="0.25"/>
    <row r="4" spans="1:10" ht="39" thickBot="1" x14ac:dyDescent="0.25">
      <c r="A4" s="246" t="s">
        <v>212</v>
      </c>
      <c r="B4" s="220" t="s">
        <v>382</v>
      </c>
      <c r="C4" s="220" t="s">
        <v>383</v>
      </c>
      <c r="D4" s="220" t="s">
        <v>384</v>
      </c>
      <c r="E4" s="220" t="s">
        <v>385</v>
      </c>
      <c r="F4" s="220" t="s">
        <v>386</v>
      </c>
      <c r="G4" s="220" t="s">
        <v>387</v>
      </c>
      <c r="H4" s="220" t="s">
        <v>388</v>
      </c>
      <c r="I4" s="220" t="s">
        <v>389</v>
      </c>
      <c r="J4" s="221" t="s">
        <v>390</v>
      </c>
    </row>
    <row r="5" spans="1:10" x14ac:dyDescent="0.2">
      <c r="A5" s="10"/>
      <c r="B5" s="11"/>
      <c r="C5" s="11"/>
      <c r="D5" s="11"/>
      <c r="E5" s="11"/>
      <c r="F5" s="11"/>
      <c r="G5" s="11"/>
      <c r="H5" s="11"/>
      <c r="I5" s="11"/>
      <c r="J5" s="12"/>
    </row>
    <row r="6" spans="1:10" x14ac:dyDescent="0.2">
      <c r="A6" s="26" t="s">
        <v>21</v>
      </c>
      <c r="B6" s="3">
        <v>979</v>
      </c>
      <c r="C6" s="3">
        <v>16349</v>
      </c>
      <c r="D6" s="3">
        <v>33039</v>
      </c>
      <c r="E6" s="3">
        <v>56452</v>
      </c>
      <c r="F6" s="3">
        <v>11363</v>
      </c>
      <c r="G6" s="3">
        <v>39097</v>
      </c>
      <c r="H6" s="3">
        <v>20071</v>
      </c>
      <c r="I6" s="3">
        <v>61450</v>
      </c>
      <c r="J6" s="19">
        <f>SUM(B6:I6)</f>
        <v>238800</v>
      </c>
    </row>
    <row r="7" spans="1:10" x14ac:dyDescent="0.2">
      <c r="A7" s="26" t="s">
        <v>26</v>
      </c>
      <c r="B7" s="3">
        <f t="shared" ref="B7:I7" si="0">+B9-B6</f>
        <v>3418</v>
      </c>
      <c r="C7" s="3">
        <f t="shared" si="0"/>
        <v>25806</v>
      </c>
      <c r="D7" s="3">
        <f t="shared" si="0"/>
        <v>75375</v>
      </c>
      <c r="E7" s="3">
        <f t="shared" si="0"/>
        <v>96480</v>
      </c>
      <c r="F7" s="3">
        <f t="shared" si="0"/>
        <v>27425</v>
      </c>
      <c r="G7" s="3">
        <f t="shared" si="0"/>
        <v>93903</v>
      </c>
      <c r="H7" s="3">
        <f t="shared" si="0"/>
        <v>14929</v>
      </c>
      <c r="I7" s="3">
        <f t="shared" si="0"/>
        <v>71550</v>
      </c>
      <c r="J7" s="19">
        <f>SUM(B7:I7)</f>
        <v>408886</v>
      </c>
    </row>
    <row r="8" spans="1:10" ht="13.5" thickBot="1" x14ac:dyDescent="0.25">
      <c r="A8" s="13"/>
      <c r="B8" s="30"/>
      <c r="C8" s="30"/>
      <c r="D8" s="30"/>
      <c r="E8" s="30"/>
      <c r="F8" s="30"/>
      <c r="G8" s="30"/>
      <c r="H8" s="30"/>
      <c r="I8" s="30"/>
      <c r="J8" s="31"/>
    </row>
    <row r="9" spans="1:10" ht="13.5" thickBot="1" x14ac:dyDescent="0.25">
      <c r="A9" s="20" t="s">
        <v>11</v>
      </c>
      <c r="B9" s="21">
        <v>4397</v>
      </c>
      <c r="C9" s="21">
        <v>42155</v>
      </c>
      <c r="D9" s="21">
        <v>108414</v>
      </c>
      <c r="E9" s="21">
        <v>152932</v>
      </c>
      <c r="F9" s="21">
        <v>38788</v>
      </c>
      <c r="G9" s="21">
        <v>133000</v>
      </c>
      <c r="H9" s="21">
        <v>35000</v>
      </c>
      <c r="I9" s="21">
        <v>133000</v>
      </c>
      <c r="J9" s="22">
        <f>SUM(B9:I9)</f>
        <v>647686</v>
      </c>
    </row>
    <row r="10" spans="1:10" ht="13.5" thickBot="1" x14ac:dyDescent="0.25">
      <c r="A10" s="10" t="s">
        <v>1</v>
      </c>
      <c r="B10" s="155">
        <v>0.75</v>
      </c>
      <c r="C10" s="155">
        <v>0.7</v>
      </c>
      <c r="D10" s="155">
        <v>0.84</v>
      </c>
      <c r="E10" s="155">
        <v>0.65</v>
      </c>
      <c r="F10" s="155">
        <v>0.75</v>
      </c>
      <c r="G10" s="155">
        <v>0.09</v>
      </c>
      <c r="H10" s="155">
        <v>0.55000000000000004</v>
      </c>
      <c r="I10" s="155">
        <v>0.7</v>
      </c>
      <c r="J10" s="249">
        <f>+J11/J9</f>
        <v>0.58159480056694135</v>
      </c>
    </row>
    <row r="11" spans="1:10" ht="13.5" thickBot="1" x14ac:dyDescent="0.25">
      <c r="A11" s="156" t="s">
        <v>196</v>
      </c>
      <c r="B11" s="203">
        <f t="shared" ref="B11:I11" si="1">+B10*B9</f>
        <v>3297.75</v>
      </c>
      <c r="C11" s="203">
        <f t="shared" si="1"/>
        <v>29508.499999999996</v>
      </c>
      <c r="D11" s="203">
        <f t="shared" si="1"/>
        <v>91067.76</v>
      </c>
      <c r="E11" s="203">
        <f t="shared" si="1"/>
        <v>99405.8</v>
      </c>
      <c r="F11" s="203">
        <f t="shared" si="1"/>
        <v>29091</v>
      </c>
      <c r="G11" s="203">
        <f t="shared" si="1"/>
        <v>11970</v>
      </c>
      <c r="H11" s="203">
        <f t="shared" si="1"/>
        <v>19250</v>
      </c>
      <c r="I11" s="203">
        <f t="shared" si="1"/>
        <v>93100</v>
      </c>
      <c r="J11" s="204">
        <f>SUM(B11:I11)</f>
        <v>376690.81</v>
      </c>
    </row>
    <row r="12" spans="1:10" ht="13.5" thickBot="1" x14ac:dyDescent="0.25">
      <c r="A12" s="24" t="s">
        <v>197</v>
      </c>
      <c r="B12" s="159">
        <f>+B6*B10*' Volume Assumptions'!$B$15</f>
        <v>587.4</v>
      </c>
      <c r="C12" s="159">
        <f>+C6*C10*' Volume Assumptions'!$B$15</f>
        <v>9155.44</v>
      </c>
      <c r="D12" s="159">
        <f>+D6*D10*' Volume Assumptions'!$B$15</f>
        <v>22202.207999999999</v>
      </c>
      <c r="E12" s="159">
        <f>+E6*E10*' Volume Assumptions'!$B$15</f>
        <v>29355.040000000005</v>
      </c>
      <c r="F12" s="159">
        <f>+F6*F10*' Volume Assumptions'!$B$15</f>
        <v>6817.8</v>
      </c>
      <c r="G12" s="159">
        <f>+G6*G10*' Volume Assumptions'!$B$15</f>
        <v>2814.9840000000004</v>
      </c>
      <c r="H12" s="159">
        <f>+H6*H10*' Volume Assumptions'!$B$15</f>
        <v>8831.2400000000016</v>
      </c>
      <c r="I12" s="159">
        <f>+I6*I10*' Volume Assumptions'!$B$15</f>
        <v>34412</v>
      </c>
      <c r="J12" s="160">
        <f>SUM(B12:I12)</f>
        <v>114176.11200000001</v>
      </c>
    </row>
    <row r="13" spans="1:10" ht="13.5" thickBot="1" x14ac:dyDescent="0.25">
      <c r="A13" s="27" t="s">
        <v>213</v>
      </c>
      <c r="B13" s="210">
        <f>+B7*B10*' Volume Assumptions'!$C$15</f>
        <v>1794.4499999999998</v>
      </c>
      <c r="C13" s="210">
        <f>+C7*C10*' Volume Assumptions'!$C$15</f>
        <v>12644.939999999997</v>
      </c>
      <c r="D13" s="210">
        <f>+D7*D10*' Volume Assumptions'!$C$15</f>
        <v>44320.5</v>
      </c>
      <c r="E13" s="210">
        <f>+E7*E10*' Volume Assumptions'!$C$15</f>
        <v>43898.399999999994</v>
      </c>
      <c r="F13" s="210">
        <f>+F7*F10*' Volume Assumptions'!$C$15</f>
        <v>14398.124999999998</v>
      </c>
      <c r="G13" s="210">
        <f>+G7*G10*' Volume Assumptions'!$C$15</f>
        <v>5915.8890000000001</v>
      </c>
      <c r="H13" s="210">
        <f>+H7*H10*' Volume Assumptions'!$C$15</f>
        <v>5747.665</v>
      </c>
      <c r="I13" s="210">
        <f>+I7*I10*' Volume Assumptions'!$C$15</f>
        <v>35059.5</v>
      </c>
      <c r="J13" s="211">
        <f>SUM(B13:I13)</f>
        <v>163779.46899999998</v>
      </c>
    </row>
    <row r="14" spans="1:10" ht="13.5" thickBot="1" x14ac:dyDescent="0.25">
      <c r="A14" s="156" t="s">
        <v>199</v>
      </c>
      <c r="B14" s="203">
        <f>+B13+B12</f>
        <v>2381.85</v>
      </c>
      <c r="C14" s="203">
        <f t="shared" ref="C14:J14" si="2">+C13+C12</f>
        <v>21800.379999999997</v>
      </c>
      <c r="D14" s="203">
        <f t="shared" si="2"/>
        <v>66522.707999999999</v>
      </c>
      <c r="E14" s="203">
        <f t="shared" si="2"/>
        <v>73253.440000000002</v>
      </c>
      <c r="F14" s="203">
        <f t="shared" si="2"/>
        <v>21215.924999999999</v>
      </c>
      <c r="G14" s="203">
        <f t="shared" si="2"/>
        <v>8730.8729999999996</v>
      </c>
      <c r="H14" s="203">
        <f t="shared" si="2"/>
        <v>14578.905000000002</v>
      </c>
      <c r="I14" s="203">
        <f t="shared" si="2"/>
        <v>69471.5</v>
      </c>
      <c r="J14" s="204">
        <f t="shared" si="2"/>
        <v>277955.58100000001</v>
      </c>
    </row>
    <row r="16" spans="1:10" x14ac:dyDescent="0.2">
      <c r="A16" s="40" t="s">
        <v>61</v>
      </c>
    </row>
    <row r="17" spans="1:1" x14ac:dyDescent="0.2">
      <c r="A17" s="40" t="s">
        <v>104</v>
      </c>
    </row>
    <row r="18" spans="1:1" x14ac:dyDescent="0.2">
      <c r="A18" s="40" t="s">
        <v>105</v>
      </c>
    </row>
  </sheetData>
  <printOptions horizontalCentered="1"/>
  <pageMargins left="0.75" right="0.75" top="1" bottom="1" header="0.5" footer="0.5"/>
  <pageSetup scale="68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zoomScale="80" workbookViewId="0">
      <selection activeCell="A17" sqref="A17:H17"/>
    </sheetView>
  </sheetViews>
  <sheetFormatPr defaultRowHeight="12.75" x14ac:dyDescent="0.2"/>
  <cols>
    <col min="1" max="1" width="36.42578125" customWidth="1"/>
    <col min="2" max="2" width="18" customWidth="1"/>
    <col min="3" max="3" width="17.5703125" customWidth="1"/>
    <col min="4" max="4" width="16.7109375" customWidth="1"/>
    <col min="5" max="5" width="15.28515625" customWidth="1"/>
    <col min="6" max="6" width="15.85546875" customWidth="1"/>
    <col min="7" max="7" width="17.5703125" customWidth="1"/>
    <col min="8" max="8" width="16.7109375" customWidth="1"/>
    <col min="9" max="9" width="15.28515625" customWidth="1"/>
  </cols>
  <sheetData>
    <row r="1" spans="1:9" ht="26.25" x14ac:dyDescent="0.4">
      <c r="A1" s="145" t="s">
        <v>27</v>
      </c>
    </row>
    <row r="2" spans="1:9" ht="14.25" customHeight="1" thickBot="1" x14ac:dyDescent="0.25"/>
    <row r="3" spans="1:9" s="6" customFormat="1" ht="45" customHeight="1" thickBot="1" x14ac:dyDescent="0.25">
      <c r="A3" s="189" t="s">
        <v>192</v>
      </c>
      <c r="B3" s="190" t="s">
        <v>188</v>
      </c>
      <c r="C3" s="190" t="s">
        <v>227</v>
      </c>
      <c r="D3" s="190" t="s">
        <v>228</v>
      </c>
      <c r="E3" s="190" t="s">
        <v>189</v>
      </c>
      <c r="F3" s="190" t="s">
        <v>190</v>
      </c>
      <c r="G3" s="190" t="s">
        <v>229</v>
      </c>
      <c r="H3" s="190" t="s">
        <v>226</v>
      </c>
      <c r="I3" s="190" t="s">
        <v>191</v>
      </c>
    </row>
    <row r="4" spans="1:9" s="6" customFormat="1" ht="16.5" customHeight="1" x14ac:dyDescent="0.2">
      <c r="A4" s="114"/>
      <c r="B4" s="149"/>
      <c r="C4" s="16"/>
      <c r="D4" s="16"/>
      <c r="E4" s="16"/>
      <c r="F4" s="16"/>
      <c r="G4" s="16"/>
      <c r="H4" s="16"/>
      <c r="I4" s="17"/>
    </row>
    <row r="5" spans="1:9" s="7" customFormat="1" ht="16.5" customHeight="1" x14ac:dyDescent="0.2">
      <c r="A5" s="18" t="s">
        <v>12</v>
      </c>
      <c r="B5" s="150">
        <v>3325.342596385</v>
      </c>
      <c r="C5" s="4">
        <v>638.65998025500005</v>
      </c>
      <c r="D5" s="4">
        <v>42.388352445000002</v>
      </c>
      <c r="E5" s="4">
        <v>1547.98979618</v>
      </c>
      <c r="F5" s="4">
        <v>509.55207390499993</v>
      </c>
      <c r="G5" s="4">
        <v>1057.1935830099999</v>
      </c>
      <c r="H5" s="4">
        <v>1037.4002725099999</v>
      </c>
      <c r="I5" s="14">
        <v>8158.5266546899984</v>
      </c>
    </row>
    <row r="6" spans="1:9" s="7" customFormat="1" ht="16.5" customHeight="1" x14ac:dyDescent="0.2">
      <c r="A6" s="18" t="s">
        <v>13</v>
      </c>
      <c r="B6" s="150">
        <v>382.51053245599996</v>
      </c>
      <c r="C6" s="4">
        <v>66.500694082999985</v>
      </c>
      <c r="D6" s="4">
        <v>23.374414681999998</v>
      </c>
      <c r="E6" s="4">
        <v>490.23058979623357</v>
      </c>
      <c r="F6" s="4">
        <v>279.15294253840574</v>
      </c>
      <c r="G6" s="4">
        <v>161.37681447423395</v>
      </c>
      <c r="H6" s="4">
        <v>290.77986982296375</v>
      </c>
      <c r="I6" s="14">
        <v>1693.925857852837</v>
      </c>
    </row>
    <row r="7" spans="1:9" s="7" customFormat="1" ht="16.5" customHeight="1" x14ac:dyDescent="0.2">
      <c r="A7" s="18" t="s">
        <v>14</v>
      </c>
      <c r="B7" s="26">
        <v>1121.70332302</v>
      </c>
      <c r="C7" s="3">
        <v>308.69838116500006</v>
      </c>
      <c r="D7" s="3">
        <v>45.539659684999997</v>
      </c>
      <c r="E7" s="3">
        <v>1887.136631802</v>
      </c>
      <c r="F7" s="3">
        <v>770.73679332200004</v>
      </c>
      <c r="G7" s="3">
        <v>330.98926917899996</v>
      </c>
      <c r="H7" s="3">
        <v>910.06737914199994</v>
      </c>
      <c r="I7" s="19">
        <v>5374.8714373150015</v>
      </c>
    </row>
    <row r="8" spans="1:9" s="7" customFormat="1" ht="16.5" customHeight="1" x14ac:dyDescent="0.2">
      <c r="A8" s="18" t="s">
        <v>15</v>
      </c>
      <c r="B8" s="150">
        <v>394.00923</v>
      </c>
      <c r="C8" s="4">
        <v>88.062649999999991</v>
      </c>
      <c r="D8" s="4">
        <v>9.4916670000000032</v>
      </c>
      <c r="E8" s="4">
        <v>427.2968659</v>
      </c>
      <c r="F8" s="4">
        <v>522.96895739999991</v>
      </c>
      <c r="G8" s="4">
        <v>106.02748529999998</v>
      </c>
      <c r="H8" s="4">
        <v>297.24519539999994</v>
      </c>
      <c r="I8" s="14">
        <v>1845.1020510000003</v>
      </c>
    </row>
    <row r="9" spans="1:9" s="7" customFormat="1" ht="16.5" customHeight="1" x14ac:dyDescent="0.2">
      <c r="A9" s="18" t="s">
        <v>16</v>
      </c>
      <c r="B9" s="26">
        <v>265.38274000000007</v>
      </c>
      <c r="C9" s="3">
        <v>47.895429999999998</v>
      </c>
      <c r="D9" s="3">
        <v>84.547044999999997</v>
      </c>
      <c r="E9" s="3">
        <v>416.72695339020015</v>
      </c>
      <c r="F9" s="3">
        <v>379.45262975320003</v>
      </c>
      <c r="G9" s="3">
        <v>139.80751373139998</v>
      </c>
      <c r="H9" s="3">
        <v>214.20860716520002</v>
      </c>
      <c r="I9" s="19">
        <v>1548.0209190399999</v>
      </c>
    </row>
    <row r="10" spans="1:9" s="7" customFormat="1" ht="16.5" customHeight="1" x14ac:dyDescent="0.2">
      <c r="A10" s="18" t="s">
        <v>17</v>
      </c>
      <c r="B10" s="150">
        <v>192.0262900943396</v>
      </c>
      <c r="C10" s="4">
        <v>49.910983993710687</v>
      </c>
      <c r="D10" s="4">
        <v>57.538871257861636</v>
      </c>
      <c r="E10" s="4">
        <v>257.39538301594371</v>
      </c>
      <c r="F10" s="4">
        <v>198.17552575668989</v>
      </c>
      <c r="G10" s="4">
        <v>54.368143647203738</v>
      </c>
      <c r="H10" s="4">
        <v>97.974019298220455</v>
      </c>
      <c r="I10" s="14">
        <v>907.38921706396957</v>
      </c>
    </row>
    <row r="11" spans="1:9" s="7" customFormat="1" ht="16.5" customHeight="1" x14ac:dyDescent="0.2">
      <c r="A11" s="18" t="s">
        <v>18</v>
      </c>
      <c r="B11" s="26">
        <v>1141.1833521929875</v>
      </c>
      <c r="C11" s="3">
        <v>336.01372116861631</v>
      </c>
      <c r="D11" s="3">
        <v>439.16208556776741</v>
      </c>
      <c r="E11" s="3">
        <v>2026.9820327327143</v>
      </c>
      <c r="F11" s="3">
        <v>1354.4465720248315</v>
      </c>
      <c r="G11" s="3">
        <v>606.2240029681227</v>
      </c>
      <c r="H11" s="3">
        <v>1259.8300339842556</v>
      </c>
      <c r="I11" s="19">
        <v>7163.8418006392967</v>
      </c>
    </row>
    <row r="12" spans="1:9" s="6" customFormat="1" ht="16.5" customHeight="1" thickBot="1" x14ac:dyDescent="0.25">
      <c r="A12" s="191"/>
      <c r="B12" s="191"/>
      <c r="C12" s="2"/>
      <c r="D12" s="2"/>
      <c r="E12" s="2"/>
      <c r="F12" s="2"/>
      <c r="G12" s="2"/>
      <c r="H12" s="2"/>
      <c r="I12" s="235"/>
    </row>
    <row r="13" spans="1:9" s="6" customFormat="1" ht="14.25" customHeight="1" x14ac:dyDescent="0.2">
      <c r="A13" s="234" t="s">
        <v>193</v>
      </c>
      <c r="B13" s="234">
        <f>SUM(B5:B12)</f>
        <v>6822.158064148327</v>
      </c>
      <c r="C13" s="25">
        <f t="shared" ref="C13:I13" si="0">SUM(C5:C12)</f>
        <v>1535.7418406653271</v>
      </c>
      <c r="D13" s="25">
        <f t="shared" si="0"/>
        <v>702.04209563762902</v>
      </c>
      <c r="E13" s="25">
        <f t="shared" si="0"/>
        <v>7053.7582528170915</v>
      </c>
      <c r="F13" s="25">
        <f t="shared" si="0"/>
        <v>4014.4854947001268</v>
      </c>
      <c r="G13" s="25">
        <f t="shared" si="0"/>
        <v>2455.9868123099604</v>
      </c>
      <c r="H13" s="25">
        <f t="shared" si="0"/>
        <v>4107.50537732264</v>
      </c>
      <c r="I13" s="239">
        <f t="shared" si="0"/>
        <v>26691.677937601104</v>
      </c>
    </row>
    <row r="14" spans="1:9" ht="13.5" thickBot="1" x14ac:dyDescent="0.25">
      <c r="A14" s="26" t="s">
        <v>1</v>
      </c>
      <c r="B14" s="240">
        <f>0.8543*55</f>
        <v>46.986499999999999</v>
      </c>
      <c r="C14" s="151">
        <f>1.05*55</f>
        <v>57.75</v>
      </c>
      <c r="D14" s="151">
        <f>1.05*55</f>
        <v>57.75</v>
      </c>
      <c r="E14" s="151">
        <f>0.95*55</f>
        <v>52.25</v>
      </c>
      <c r="F14" s="151">
        <f>0.683*55</f>
        <v>37.565000000000005</v>
      </c>
      <c r="G14" s="151">
        <f>0.6975*55</f>
        <v>38.362499999999997</v>
      </c>
      <c r="H14" s="151">
        <v>38</v>
      </c>
      <c r="I14" s="152">
        <f>+I15/I13</f>
        <v>45.686425926350083</v>
      </c>
    </row>
    <row r="15" spans="1:9" ht="13.5" thickBot="1" x14ac:dyDescent="0.25">
      <c r="A15" s="230" t="s">
        <v>196</v>
      </c>
      <c r="B15" s="241">
        <f t="shared" ref="B15:H15" si="1">+B14*B13</f>
        <v>320549.32988110534</v>
      </c>
      <c r="C15" s="242">
        <f t="shared" si="1"/>
        <v>88689.091298422645</v>
      </c>
      <c r="D15" s="242">
        <f t="shared" si="1"/>
        <v>40542.931023073077</v>
      </c>
      <c r="E15" s="242">
        <f t="shared" si="1"/>
        <v>368558.86870969302</v>
      </c>
      <c r="F15" s="242">
        <f t="shared" si="1"/>
        <v>150804.14760841028</v>
      </c>
      <c r="G15" s="242">
        <f t="shared" si="1"/>
        <v>94217.794087240851</v>
      </c>
      <c r="H15" s="242">
        <f t="shared" si="1"/>
        <v>156085.20433826032</v>
      </c>
      <c r="I15" s="243">
        <f>SUM(B15:H15)</f>
        <v>1219447.3669462055</v>
      </c>
    </row>
    <row r="16" spans="1:9" x14ac:dyDescent="0.2">
      <c r="A16" s="26" t="s">
        <v>197</v>
      </c>
      <c r="B16" s="244">
        <f>+B5*' Volume Assumptions'!$B$8*B14</f>
        <v>140621.58891453943</v>
      </c>
      <c r="C16" s="210">
        <f>+C5*' Volume Assumptions'!$B$8*C14</f>
        <v>33194.352473753628</v>
      </c>
      <c r="D16" s="210">
        <f>+D5*' Volume Assumptions'!$B$8*D14</f>
        <v>2203.1346183288751</v>
      </c>
      <c r="E16" s="210">
        <f>+E5*' Volume Assumptions'!$B$8*E14</f>
        <v>72794.220165364502</v>
      </c>
      <c r="F16" s="210">
        <f>+F5*' Volume Assumptions'!$B$8*F14</f>
        <v>17227.191290617193</v>
      </c>
      <c r="G16" s="210">
        <f>+G5*' Volume Assumptions'!$B$8*G14</f>
        <v>36500.92994539901</v>
      </c>
      <c r="H16" s="210">
        <f>+H5*' Volume Assumptions'!$B$8*H14</f>
        <v>35479.089319841994</v>
      </c>
      <c r="I16" s="211">
        <f>SUM(B16:H16)</f>
        <v>338020.50672784459</v>
      </c>
    </row>
    <row r="17" spans="1:9" ht="13.5" thickBot="1" x14ac:dyDescent="0.25">
      <c r="A17" s="26" t="s">
        <v>198</v>
      </c>
      <c r="B17" s="245">
        <f>+(B13*B14-B16)*' Volume Assumptions'!$C$8</f>
        <v>125949.41867659612</v>
      </c>
      <c r="C17" s="159">
        <f>+(C13*C14-C16)*' Volume Assumptions'!$C$8</f>
        <v>38846.317177268313</v>
      </c>
      <c r="D17" s="159">
        <f>+(D13*D14-D16)*' Volume Assumptions'!$C$8</f>
        <v>26837.857483320939</v>
      </c>
      <c r="E17" s="159">
        <f>+(E13*E14-E16)*' Volume Assumptions'!$C$8</f>
        <v>207035.25398102996</v>
      </c>
      <c r="F17" s="159">
        <f>+(F13*F14-F16)*' Volume Assumptions'!$C$8</f>
        <v>93503.869422455158</v>
      </c>
      <c r="G17" s="159">
        <f>+(G13*G14-G16)*' Volume Assumptions'!$C$8</f>
        <v>40401.804899289287</v>
      </c>
      <c r="H17" s="159">
        <f>+(H13*H14-H16)*' Volume Assumptions'!$C$8</f>
        <v>84424.280512892816</v>
      </c>
      <c r="I17" s="160">
        <f>SUM(B17:H17)</f>
        <v>616998.80215285253</v>
      </c>
    </row>
    <row r="18" spans="1:9" ht="13.5" thickBot="1" x14ac:dyDescent="0.25">
      <c r="A18" s="230" t="s">
        <v>199</v>
      </c>
      <c r="B18" s="236">
        <f>+B16+B17</f>
        <v>266571.00759113557</v>
      </c>
      <c r="C18" s="237">
        <f t="shared" ref="C18:I18" si="2">+C16+C17</f>
        <v>72040.669651021948</v>
      </c>
      <c r="D18" s="237">
        <f t="shared" si="2"/>
        <v>29040.992101649812</v>
      </c>
      <c r="E18" s="237">
        <f t="shared" si="2"/>
        <v>279829.47414639447</v>
      </c>
      <c r="F18" s="237">
        <f t="shared" si="2"/>
        <v>110731.06071307235</v>
      </c>
      <c r="G18" s="237">
        <f t="shared" si="2"/>
        <v>76902.734844688297</v>
      </c>
      <c r="H18" s="237">
        <f t="shared" si="2"/>
        <v>119903.36983273481</v>
      </c>
      <c r="I18" s="238">
        <f t="shared" si="2"/>
        <v>955019.30888069712</v>
      </c>
    </row>
    <row r="19" spans="1:9" x14ac:dyDescent="0.2"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39" t="s">
        <v>49</v>
      </c>
    </row>
    <row r="21" spans="1:9" x14ac:dyDescent="0.2">
      <c r="A21" s="39" t="s">
        <v>50</v>
      </c>
    </row>
  </sheetData>
  <printOptions horizontalCentered="1"/>
  <pageMargins left="0.75" right="0.75" top="1" bottom="1" header="0.5" footer="0.5"/>
  <pageSetup scale="73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zoomScale="90" workbookViewId="0">
      <selection activeCell="A17" sqref="A17:H17"/>
    </sheetView>
  </sheetViews>
  <sheetFormatPr defaultRowHeight="12.75" x14ac:dyDescent="0.2"/>
  <cols>
    <col min="1" max="1" width="31.5703125" customWidth="1"/>
    <col min="2" max="2" width="12.5703125" customWidth="1"/>
    <col min="3" max="3" width="14.140625" customWidth="1"/>
    <col min="4" max="4" width="16.28515625" customWidth="1"/>
    <col min="5" max="5" width="14.42578125" customWidth="1"/>
    <col min="6" max="6" width="11.85546875" customWidth="1"/>
    <col min="7" max="7" width="13.28515625" customWidth="1"/>
    <col min="8" max="8" width="12" bestFit="1" customWidth="1"/>
    <col min="9" max="9" width="9.28515625" customWidth="1"/>
    <col min="10" max="10" width="10.5703125" customWidth="1"/>
  </cols>
  <sheetData>
    <row r="1" spans="1:10" ht="26.25" x14ac:dyDescent="0.4">
      <c r="A1" s="145" t="s">
        <v>76</v>
      </c>
    </row>
    <row r="2" spans="1:10" ht="13.5" thickBot="1" x14ac:dyDescent="0.25"/>
    <row r="3" spans="1:10" ht="13.5" thickBot="1" x14ac:dyDescent="0.25">
      <c r="A3" s="57" t="s">
        <v>77</v>
      </c>
      <c r="B3" s="58" t="s">
        <v>72</v>
      </c>
      <c r="C3" s="58" t="s">
        <v>83</v>
      </c>
      <c r="D3" s="58" t="s">
        <v>73</v>
      </c>
      <c r="E3" s="58" t="s">
        <v>74</v>
      </c>
      <c r="F3" s="58" t="s">
        <v>75</v>
      </c>
      <c r="G3" s="58" t="s">
        <v>78</v>
      </c>
      <c r="H3" s="58" t="s">
        <v>79</v>
      </c>
      <c r="I3" s="58" t="s">
        <v>80</v>
      </c>
      <c r="J3" s="59" t="s">
        <v>11</v>
      </c>
    </row>
    <row r="4" spans="1:10" x14ac:dyDescent="0.2">
      <c r="A4" s="10"/>
      <c r="B4" s="11"/>
      <c r="C4" s="11"/>
      <c r="D4" s="11"/>
      <c r="E4" s="11"/>
      <c r="F4" s="11"/>
      <c r="G4" s="11"/>
      <c r="H4" s="11"/>
      <c r="I4" s="11"/>
      <c r="J4" s="12"/>
    </row>
    <row r="5" spans="1:10" x14ac:dyDescent="0.2">
      <c r="A5" s="26" t="s">
        <v>217</v>
      </c>
      <c r="B5" s="3">
        <f>8428/0.099</f>
        <v>85131.313131313131</v>
      </c>
      <c r="C5" s="3">
        <f>7273/0.13</f>
        <v>55946.153846153844</v>
      </c>
      <c r="D5" s="3">
        <f>2429/0.09</f>
        <v>26988.888888888891</v>
      </c>
      <c r="E5" s="3">
        <f>2563/0.19</f>
        <v>13489.473684210527</v>
      </c>
      <c r="F5" s="3">
        <v>11363</v>
      </c>
      <c r="G5" s="3">
        <f>5516/0.16</f>
        <v>34475</v>
      </c>
      <c r="H5" s="3">
        <f>2888/0.12</f>
        <v>24066.666666666668</v>
      </c>
      <c r="I5" s="3">
        <v>61450</v>
      </c>
      <c r="J5" s="19">
        <f>SUM(B5:I5)</f>
        <v>312910.49621723307</v>
      </c>
    </row>
    <row r="6" spans="1:10" ht="13.5" thickBot="1" x14ac:dyDescent="0.25">
      <c r="A6" s="13"/>
      <c r="B6" s="30"/>
      <c r="C6" s="30"/>
      <c r="D6" s="30"/>
      <c r="E6" s="30"/>
      <c r="F6" s="30"/>
      <c r="G6" s="30"/>
      <c r="H6" s="30"/>
      <c r="I6" s="30"/>
      <c r="J6" s="31"/>
    </row>
    <row r="7" spans="1:10" ht="13.5" thickBot="1" x14ac:dyDescent="0.25">
      <c r="A7" s="227" t="s">
        <v>1</v>
      </c>
      <c r="B7" s="200">
        <v>0.7</v>
      </c>
      <c r="C7" s="200">
        <v>0.8</v>
      </c>
      <c r="D7" s="200">
        <v>0.6</v>
      </c>
      <c r="E7" s="200">
        <v>1.25</v>
      </c>
      <c r="F7" s="200">
        <v>0.55000000000000004</v>
      </c>
      <c r="G7" s="200">
        <v>0.7</v>
      </c>
      <c r="H7" s="200">
        <v>0.18</v>
      </c>
      <c r="I7" s="200">
        <v>0.4</v>
      </c>
      <c r="J7" s="201"/>
    </row>
    <row r="8" spans="1:10" ht="13.5" thickBot="1" x14ac:dyDescent="0.25">
      <c r="A8" s="20" t="s">
        <v>196</v>
      </c>
      <c r="B8" s="153">
        <f t="shared" ref="B8:I8" si="0">+B7*B5</f>
        <v>59591.919191919187</v>
      </c>
      <c r="C8" s="153">
        <f t="shared" si="0"/>
        <v>44756.923076923078</v>
      </c>
      <c r="D8" s="153">
        <f t="shared" si="0"/>
        <v>16193.333333333334</v>
      </c>
      <c r="E8" s="153">
        <f t="shared" si="0"/>
        <v>16861.84210526316</v>
      </c>
      <c r="F8" s="153">
        <f t="shared" si="0"/>
        <v>6249.6500000000005</v>
      </c>
      <c r="G8" s="153">
        <f t="shared" si="0"/>
        <v>24132.5</v>
      </c>
      <c r="H8" s="153">
        <f t="shared" si="0"/>
        <v>4332</v>
      </c>
      <c r="I8" s="153">
        <f t="shared" si="0"/>
        <v>24580</v>
      </c>
      <c r="J8" s="154">
        <f>SUM(B8:I8)</f>
        <v>196698.16770743876</v>
      </c>
    </row>
    <row r="9" spans="1:10" ht="13.5" thickBot="1" x14ac:dyDescent="0.25">
      <c r="A9" s="20" t="s">
        <v>183</v>
      </c>
      <c r="B9" s="153">
        <f>+B8*' Volume Assumptions'!$B$18</f>
        <v>41714.343434343427</v>
      </c>
      <c r="C9" s="153">
        <f>+C8*' Volume Assumptions'!$B$18</f>
        <v>31329.846153846152</v>
      </c>
      <c r="D9" s="153">
        <f>+D8*' Volume Assumptions'!$B$18</f>
        <v>11335.333333333334</v>
      </c>
      <c r="E9" s="153">
        <f>+E8*' Volume Assumptions'!$B$18</f>
        <v>11803.289473684212</v>
      </c>
      <c r="F9" s="153">
        <f>+F8*' Volume Assumptions'!$B$18</f>
        <v>4374.7550000000001</v>
      </c>
      <c r="G9" s="153">
        <f>+G8*' Volume Assumptions'!$B$18</f>
        <v>16892.75</v>
      </c>
      <c r="H9" s="153">
        <f>+H8*' Volume Assumptions'!$B$18</f>
        <v>3032.3999999999996</v>
      </c>
      <c r="I9" s="153">
        <f>+I8*' Volume Assumptions'!$B$18</f>
        <v>17206</v>
      </c>
      <c r="J9" s="154">
        <f>+J8*' Volume Assumptions'!$B$18</f>
        <v>137688.71739520712</v>
      </c>
    </row>
    <row r="10" spans="1:10" ht="13.5" thickBot="1" x14ac:dyDescent="0.25"/>
    <row r="11" spans="1:10" ht="13.5" thickBot="1" x14ac:dyDescent="0.25">
      <c r="A11" s="57" t="s">
        <v>77</v>
      </c>
      <c r="B11" s="58" t="s">
        <v>82</v>
      </c>
      <c r="C11" s="58" t="s">
        <v>81</v>
      </c>
      <c r="D11" s="58" t="s">
        <v>84</v>
      </c>
      <c r="E11" s="58" t="s">
        <v>85</v>
      </c>
      <c r="F11" s="58" t="s">
        <v>86</v>
      </c>
      <c r="G11" s="58" t="s">
        <v>87</v>
      </c>
      <c r="H11" s="58" t="s">
        <v>88</v>
      </c>
      <c r="I11" s="58" t="s">
        <v>90</v>
      </c>
      <c r="J11" s="59" t="s">
        <v>11</v>
      </c>
    </row>
    <row r="12" spans="1:10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spans="1:10" x14ac:dyDescent="0.2">
      <c r="A13" s="26" t="s">
        <v>217</v>
      </c>
      <c r="B13" s="3">
        <f>4270/0.08</f>
        <v>53375</v>
      </c>
      <c r="C13" s="3">
        <f>5084/0.17</f>
        <v>29905.882352941175</v>
      </c>
      <c r="D13" s="3">
        <f>1755/0.35</f>
        <v>5014.2857142857147</v>
      </c>
      <c r="E13" s="3">
        <f>704/0.08</f>
        <v>8800</v>
      </c>
      <c r="F13" s="3">
        <f>786/0.14</f>
        <v>5614.2857142857138</v>
      </c>
      <c r="G13" s="3">
        <f>306/0.09</f>
        <v>3400</v>
      </c>
      <c r="H13" s="3">
        <f>2788/0.07</f>
        <v>39828.571428571428</v>
      </c>
      <c r="I13" s="3">
        <f>1932/0.09</f>
        <v>21466.666666666668</v>
      </c>
      <c r="J13" s="19">
        <f>SUM(B13:I13)</f>
        <v>167404.69187675067</v>
      </c>
    </row>
    <row r="14" spans="1:10" ht="13.5" thickBot="1" x14ac:dyDescent="0.25">
      <c r="A14" s="13"/>
      <c r="B14" s="30"/>
      <c r="C14" s="30"/>
      <c r="D14" s="30"/>
      <c r="E14" s="30"/>
      <c r="F14" s="30"/>
      <c r="G14" s="30"/>
      <c r="H14" s="30"/>
      <c r="I14" s="30"/>
      <c r="J14" s="31"/>
    </row>
    <row r="15" spans="1:10" ht="13.5" thickBot="1" x14ac:dyDescent="0.25">
      <c r="A15" s="227" t="s">
        <v>1</v>
      </c>
      <c r="B15" s="200">
        <v>0.5</v>
      </c>
      <c r="C15" s="200">
        <v>0.5</v>
      </c>
      <c r="D15" s="200">
        <v>1.25</v>
      </c>
      <c r="E15" s="200">
        <v>0.7</v>
      </c>
      <c r="F15" s="200">
        <v>1.05</v>
      </c>
      <c r="G15" s="200">
        <v>1.45</v>
      </c>
      <c r="H15" s="200">
        <v>0.4</v>
      </c>
      <c r="I15" s="200">
        <v>0.8</v>
      </c>
      <c r="J15" s="201"/>
    </row>
    <row r="16" spans="1:10" ht="13.5" thickBot="1" x14ac:dyDescent="0.25">
      <c r="A16" s="20" t="s">
        <v>196</v>
      </c>
      <c r="B16" s="153">
        <f t="shared" ref="B16:I16" si="1">+B15*B13</f>
        <v>26687.5</v>
      </c>
      <c r="C16" s="153">
        <f t="shared" si="1"/>
        <v>14952.941176470587</v>
      </c>
      <c r="D16" s="153">
        <f t="shared" si="1"/>
        <v>6267.8571428571431</v>
      </c>
      <c r="E16" s="153">
        <f t="shared" si="1"/>
        <v>6160</v>
      </c>
      <c r="F16" s="153">
        <f t="shared" si="1"/>
        <v>5895</v>
      </c>
      <c r="G16" s="153">
        <f t="shared" si="1"/>
        <v>4930</v>
      </c>
      <c r="H16" s="153">
        <f t="shared" si="1"/>
        <v>15931.428571428572</v>
      </c>
      <c r="I16" s="153">
        <f t="shared" si="1"/>
        <v>17173.333333333336</v>
      </c>
      <c r="J16" s="154">
        <f>SUM(B16:I16)</f>
        <v>97998.060224089655</v>
      </c>
    </row>
    <row r="17" spans="1:10" ht="13.5" thickBot="1" x14ac:dyDescent="0.25">
      <c r="A17" s="20" t="s">
        <v>183</v>
      </c>
      <c r="B17" s="153">
        <f>+B16*' Volume Assumptions'!$B$18</f>
        <v>18681.25</v>
      </c>
      <c r="C17" s="153">
        <f>+C16*' Volume Assumptions'!$B$18</f>
        <v>10467.058823529411</v>
      </c>
      <c r="D17" s="153">
        <f>+D16*' Volume Assumptions'!$B$18</f>
        <v>4387.5</v>
      </c>
      <c r="E17" s="153">
        <f>+E16*' Volume Assumptions'!$B$18</f>
        <v>4312</v>
      </c>
      <c r="F17" s="153">
        <f>+F16*' Volume Assumptions'!$B$18</f>
        <v>4126.5</v>
      </c>
      <c r="G17" s="153">
        <f>+G16*' Volume Assumptions'!$B$18</f>
        <v>3451</v>
      </c>
      <c r="H17" s="153">
        <f>+H16*' Volume Assumptions'!$B$18</f>
        <v>11152</v>
      </c>
      <c r="I17" s="153">
        <f>+I16*' Volume Assumptions'!$B$18</f>
        <v>12021.333333333334</v>
      </c>
      <c r="J17" s="154">
        <f>+J16*' Volume Assumptions'!$B$18</f>
        <v>68598.642156862756</v>
      </c>
    </row>
    <row r="18" spans="1:10" ht="13.5" thickBot="1" x14ac:dyDescent="0.25"/>
    <row r="19" spans="1:10" ht="13.5" thickBot="1" x14ac:dyDescent="0.25">
      <c r="A19" s="57" t="s">
        <v>77</v>
      </c>
      <c r="B19" s="58" t="s">
        <v>89</v>
      </c>
      <c r="C19" s="58" t="s">
        <v>91</v>
      </c>
      <c r="D19" s="58" t="s">
        <v>92</v>
      </c>
      <c r="E19" s="58" t="s">
        <v>93</v>
      </c>
      <c r="F19" s="58" t="s">
        <v>94</v>
      </c>
      <c r="G19" s="58" t="s">
        <v>95</v>
      </c>
      <c r="H19" s="58" t="s">
        <v>96</v>
      </c>
      <c r="I19" s="58" t="s">
        <v>97</v>
      </c>
      <c r="J19" s="59" t="s">
        <v>11</v>
      </c>
    </row>
    <row r="20" spans="1:10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2"/>
    </row>
    <row r="21" spans="1:10" x14ac:dyDescent="0.2">
      <c r="A21" s="26" t="s">
        <v>217</v>
      </c>
      <c r="B21" s="3">
        <f>1755/0.12</f>
        <v>14625</v>
      </c>
      <c r="C21" s="3">
        <f>1100/0.18</f>
        <v>6111.1111111111113</v>
      </c>
      <c r="D21" s="3">
        <f>1034/0.15</f>
        <v>6893.3333333333339</v>
      </c>
      <c r="E21" s="3">
        <f>795/0.41</f>
        <v>1939.0243902439026</v>
      </c>
      <c r="F21" s="3">
        <f>691/0.18</f>
        <v>3838.8888888888891</v>
      </c>
      <c r="G21" s="3">
        <f>924/0.19</f>
        <v>4863.1578947368416</v>
      </c>
      <c r="H21" s="3">
        <f>1850/0.09</f>
        <v>20555.555555555555</v>
      </c>
      <c r="I21" s="3">
        <f>294/0.19</f>
        <v>1547.3684210526314</v>
      </c>
      <c r="J21" s="19">
        <f>SUM(B21:I21)</f>
        <v>60373.439594922267</v>
      </c>
    </row>
    <row r="22" spans="1:10" ht="13.5" thickBot="1" x14ac:dyDescent="0.25">
      <c r="A22" s="13"/>
      <c r="B22" s="30"/>
      <c r="C22" s="30"/>
      <c r="D22" s="30"/>
      <c r="E22" s="30"/>
      <c r="F22" s="30"/>
      <c r="G22" s="30"/>
      <c r="H22" s="30"/>
      <c r="I22" s="30"/>
      <c r="J22" s="31"/>
    </row>
    <row r="23" spans="1:10" ht="13.5" thickBot="1" x14ac:dyDescent="0.25">
      <c r="A23" s="227" t="s">
        <v>1</v>
      </c>
      <c r="B23" s="200">
        <v>0.9</v>
      </c>
      <c r="C23" s="200">
        <v>0.98</v>
      </c>
      <c r="D23" s="200">
        <v>0.75</v>
      </c>
      <c r="E23" s="200">
        <v>3.8</v>
      </c>
      <c r="F23" s="200">
        <v>1.4</v>
      </c>
      <c r="G23" s="200">
        <v>4</v>
      </c>
      <c r="H23" s="200">
        <v>0.35</v>
      </c>
      <c r="I23" s="200">
        <v>2</v>
      </c>
      <c r="J23" s="201"/>
    </row>
    <row r="24" spans="1:10" ht="13.5" thickBot="1" x14ac:dyDescent="0.25">
      <c r="A24" s="20" t="s">
        <v>196</v>
      </c>
      <c r="B24" s="153">
        <f t="shared" ref="B24:I24" si="2">+B23*B21</f>
        <v>13162.5</v>
      </c>
      <c r="C24" s="153">
        <f t="shared" si="2"/>
        <v>5988.8888888888887</v>
      </c>
      <c r="D24" s="153">
        <f t="shared" si="2"/>
        <v>5170</v>
      </c>
      <c r="E24" s="153">
        <f t="shared" si="2"/>
        <v>7368.2926829268299</v>
      </c>
      <c r="F24" s="153">
        <f t="shared" si="2"/>
        <v>5374.4444444444443</v>
      </c>
      <c r="G24" s="153">
        <f t="shared" si="2"/>
        <v>19452.631578947367</v>
      </c>
      <c r="H24" s="153">
        <f t="shared" si="2"/>
        <v>7194.4444444444434</v>
      </c>
      <c r="I24" s="153">
        <f t="shared" si="2"/>
        <v>3094.7368421052629</v>
      </c>
      <c r="J24" s="154">
        <f>SUM(B24:I24)</f>
        <v>66805.938881757233</v>
      </c>
    </row>
    <row r="25" spans="1:10" ht="13.5" thickBot="1" x14ac:dyDescent="0.25">
      <c r="A25" s="20" t="s">
        <v>183</v>
      </c>
      <c r="B25" s="153">
        <f>+B24*' Volume Assumptions'!$B$18</f>
        <v>9213.75</v>
      </c>
      <c r="C25" s="153">
        <f>+C24*' Volume Assumptions'!$B$18</f>
        <v>4192.2222222222217</v>
      </c>
      <c r="D25" s="153">
        <f>+D24*' Volume Assumptions'!$B$18</f>
        <v>3618.9999999999995</v>
      </c>
      <c r="E25" s="153">
        <f>+E24*' Volume Assumptions'!$B$18</f>
        <v>5157.8048780487807</v>
      </c>
      <c r="F25" s="153">
        <f>+F24*' Volume Assumptions'!$B$18</f>
        <v>3762.1111111111109</v>
      </c>
      <c r="G25" s="153">
        <f>+G24*' Volume Assumptions'!$B$18</f>
        <v>13616.842105263157</v>
      </c>
      <c r="H25" s="153">
        <f>+H24*' Volume Assumptions'!$B$18</f>
        <v>5036.1111111111104</v>
      </c>
      <c r="I25" s="153">
        <f>+I24*' Volume Assumptions'!$B$18</f>
        <v>2166.3157894736837</v>
      </c>
      <c r="J25" s="154">
        <f>+J24*' Volume Assumptions'!$B$18</f>
        <v>46764.157217230058</v>
      </c>
    </row>
    <row r="26" spans="1:10" ht="13.5" thickBot="1" x14ac:dyDescent="0.25"/>
    <row r="27" spans="1:10" ht="13.5" thickBot="1" x14ac:dyDescent="0.25">
      <c r="A27" s="57" t="s">
        <v>77</v>
      </c>
      <c r="B27" s="58" t="s">
        <v>98</v>
      </c>
      <c r="C27" s="58" t="s">
        <v>99</v>
      </c>
      <c r="D27" s="58" t="s">
        <v>92</v>
      </c>
      <c r="E27" s="58" t="s">
        <v>100</v>
      </c>
      <c r="F27" s="58" t="s">
        <v>45</v>
      </c>
      <c r="G27" s="58"/>
      <c r="H27" s="58"/>
      <c r="I27" s="58"/>
      <c r="J27" s="59" t="s">
        <v>11</v>
      </c>
    </row>
    <row r="28" spans="1:10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2"/>
    </row>
    <row r="29" spans="1:10" x14ac:dyDescent="0.2">
      <c r="A29" s="26" t="s">
        <v>217</v>
      </c>
      <c r="B29" s="3">
        <f>677/0.29</f>
        <v>2334.4827586206898</v>
      </c>
      <c r="C29" s="3">
        <f>420/0.12</f>
        <v>3500</v>
      </c>
      <c r="D29" s="3">
        <f>2493/0.14</f>
        <v>17807.142857142855</v>
      </c>
      <c r="E29" s="3">
        <f>4881/0.23</f>
        <v>21221.73913043478</v>
      </c>
      <c r="F29" s="3"/>
      <c r="G29" s="3"/>
      <c r="H29" s="3"/>
      <c r="I29" s="3"/>
      <c r="J29" s="19">
        <f>SUM(B29:I29)</f>
        <v>44863.36474619832</v>
      </c>
    </row>
    <row r="30" spans="1:10" ht="13.5" thickBot="1" x14ac:dyDescent="0.25">
      <c r="A30" s="13"/>
      <c r="B30" s="30"/>
      <c r="C30" s="30"/>
      <c r="D30" s="30"/>
      <c r="E30" s="30"/>
      <c r="F30" s="30"/>
      <c r="G30" s="30"/>
      <c r="H30" s="30"/>
      <c r="I30" s="30"/>
      <c r="J30" s="31"/>
    </row>
    <row r="31" spans="1:10" ht="13.5" thickBot="1" x14ac:dyDescent="0.25">
      <c r="A31" s="227" t="s">
        <v>1</v>
      </c>
      <c r="B31" s="200">
        <v>1.4</v>
      </c>
      <c r="C31" s="200">
        <v>0.38</v>
      </c>
      <c r="D31" s="200">
        <v>0.35</v>
      </c>
      <c r="E31" s="200">
        <v>0.7</v>
      </c>
      <c r="F31" s="200"/>
      <c r="G31" s="200"/>
      <c r="H31" s="200"/>
      <c r="I31" s="200"/>
      <c r="J31" s="201">
        <f>+J35/(J29+J21+J13+J5)</f>
        <v>0.74662568946020924</v>
      </c>
    </row>
    <row r="32" spans="1:10" ht="13.5" thickBot="1" x14ac:dyDescent="0.25">
      <c r="A32" s="20" t="s">
        <v>196</v>
      </c>
      <c r="B32" s="153">
        <f>+B31*B29</f>
        <v>3268.2758620689656</v>
      </c>
      <c r="C32" s="153">
        <f>+C31*C29</f>
        <v>1330</v>
      </c>
      <c r="D32" s="153">
        <f>+D31*D29</f>
        <v>6232.4999999999991</v>
      </c>
      <c r="E32" s="153">
        <f>+E29*E31</f>
        <v>14855.217391304344</v>
      </c>
      <c r="F32" s="153">
        <v>50000</v>
      </c>
      <c r="G32" s="153"/>
      <c r="H32" s="153"/>
      <c r="I32" s="153"/>
      <c r="J32" s="154">
        <f>SUM(B32:I32)</f>
        <v>75685.993253373308</v>
      </c>
    </row>
    <row r="33" spans="1:10" ht="13.5" thickBot="1" x14ac:dyDescent="0.25">
      <c r="A33" s="20" t="s">
        <v>183</v>
      </c>
      <c r="B33" s="153">
        <f>+B32*' Volume Assumptions'!$B$18</f>
        <v>2287.7931034482758</v>
      </c>
      <c r="C33" s="153">
        <f>+C32*' Volume Assumptions'!$B$18</f>
        <v>930.99999999999989</v>
      </c>
      <c r="D33" s="153">
        <f>+D32*' Volume Assumptions'!$B$18</f>
        <v>4362.7499999999991</v>
      </c>
      <c r="E33" s="153">
        <f>+E32*' Volume Assumptions'!$B$18</f>
        <v>10398.65217391304</v>
      </c>
      <c r="F33" s="153">
        <f>+F32*' Volume Assumptions'!$B$18</f>
        <v>35000</v>
      </c>
      <c r="G33" s="153">
        <f>+G32*' Volume Assumptions'!$B$18</f>
        <v>0</v>
      </c>
      <c r="H33" s="153">
        <f>+H32*' Volume Assumptions'!$B$18</f>
        <v>0</v>
      </c>
      <c r="I33" s="153">
        <f>+I32*' Volume Assumptions'!$B$18</f>
        <v>0</v>
      </c>
      <c r="J33" s="154">
        <f>+J32*' Volume Assumptions'!$B$18</f>
        <v>52980.195277361316</v>
      </c>
    </row>
    <row r="34" spans="1:10" ht="13.5" thickBot="1" x14ac:dyDescent="0.25"/>
    <row r="35" spans="1:10" x14ac:dyDescent="0.2">
      <c r="A35" s="40" t="s">
        <v>101</v>
      </c>
      <c r="G35" s="60" t="s">
        <v>218</v>
      </c>
      <c r="H35" s="61"/>
      <c r="I35" s="61"/>
      <c r="J35" s="247">
        <f>+J32+J24+J16+J8</f>
        <v>437188.16006665898</v>
      </c>
    </row>
    <row r="36" spans="1:10" ht="13.5" thickBot="1" x14ac:dyDescent="0.25">
      <c r="G36" s="62" t="s">
        <v>199</v>
      </c>
      <c r="H36" s="63"/>
      <c r="I36" s="63"/>
      <c r="J36" s="248">
        <f>+J33+J25+J17+J9</f>
        <v>306031.7120466613</v>
      </c>
    </row>
  </sheetData>
  <printOptions horizontalCentered="1"/>
  <pageMargins left="0.75" right="0.75" top="1" bottom="1" header="0.5" footer="0.5"/>
  <pageSetup scale="84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G4" sqref="G4"/>
    </sheetView>
  </sheetViews>
  <sheetFormatPr defaultRowHeight="12.75" x14ac:dyDescent="0.2"/>
  <cols>
    <col min="1" max="1" width="26" style="605" bestFit="1" customWidth="1"/>
    <col min="2" max="2" width="15.5703125" style="605" bestFit="1" customWidth="1"/>
    <col min="3" max="3" width="9.140625" style="605"/>
    <col min="4" max="4" width="10.5703125" style="605" bestFit="1" customWidth="1"/>
    <col min="5" max="16384" width="9.140625" style="605"/>
  </cols>
  <sheetData>
    <row r="1" spans="1:4" ht="26.25" x14ac:dyDescent="0.4">
      <c r="A1" s="604" t="s">
        <v>56</v>
      </c>
    </row>
    <row r="3" spans="1:4" ht="13.5" thickBot="1" x14ac:dyDescent="0.25"/>
    <row r="4" spans="1:4" ht="13.5" thickBot="1" x14ac:dyDescent="0.25">
      <c r="A4" s="606" t="s">
        <v>204</v>
      </c>
      <c r="B4" s="607" t="s">
        <v>205</v>
      </c>
      <c r="C4" s="607" t="s">
        <v>1</v>
      </c>
      <c r="D4" s="608" t="s">
        <v>2</v>
      </c>
    </row>
    <row r="5" spans="1:4" x14ac:dyDescent="0.2">
      <c r="A5" s="609"/>
      <c r="B5" s="610"/>
      <c r="C5" s="610"/>
      <c r="D5" s="611"/>
    </row>
    <row r="6" spans="1:4" x14ac:dyDescent="0.2">
      <c r="A6" s="612" t="s">
        <v>21</v>
      </c>
      <c r="B6" s="613">
        <v>1833</v>
      </c>
      <c r="C6" s="613" t="s">
        <v>35</v>
      </c>
      <c r="D6" s="614" t="s">
        <v>35</v>
      </c>
    </row>
    <row r="7" spans="1:4" x14ac:dyDescent="0.2">
      <c r="A7" s="612" t="s">
        <v>29</v>
      </c>
      <c r="B7" s="613">
        <v>1061.4734866259973</v>
      </c>
      <c r="C7" s="613" t="s">
        <v>35</v>
      </c>
      <c r="D7" s="614" t="s">
        <v>35</v>
      </c>
    </row>
    <row r="8" spans="1:4" x14ac:dyDescent="0.2">
      <c r="A8" s="612" t="s">
        <v>30</v>
      </c>
      <c r="B8" s="613">
        <v>524.16705771938064</v>
      </c>
      <c r="C8" s="613" t="s">
        <v>35</v>
      </c>
      <c r="D8" s="614" t="s">
        <v>35</v>
      </c>
    </row>
    <row r="9" spans="1:4" x14ac:dyDescent="0.2">
      <c r="A9" s="612" t="s">
        <v>32</v>
      </c>
      <c r="B9" s="613">
        <v>696.3866729235101</v>
      </c>
      <c r="C9" s="613" t="s">
        <v>35</v>
      </c>
      <c r="D9" s="614" t="s">
        <v>35</v>
      </c>
    </row>
    <row r="10" spans="1:4" x14ac:dyDescent="0.2">
      <c r="A10" s="612" t="s">
        <v>33</v>
      </c>
      <c r="B10" s="613">
        <v>1637.259502580948</v>
      </c>
      <c r="C10" s="613" t="s">
        <v>35</v>
      </c>
      <c r="D10" s="614" t="s">
        <v>35</v>
      </c>
    </row>
    <row r="11" spans="1:4" ht="13.5" thickBot="1" x14ac:dyDescent="0.25">
      <c r="A11" s="615"/>
      <c r="B11" s="616"/>
      <c r="C11" s="616"/>
      <c r="D11" s="617"/>
    </row>
    <row r="12" spans="1:4" ht="13.5" thickBot="1" x14ac:dyDescent="0.25">
      <c r="A12" s="606" t="s">
        <v>11</v>
      </c>
      <c r="B12" s="607">
        <f>SUM(B6:B11)</f>
        <v>5752.2867198498352</v>
      </c>
      <c r="C12" s="618" t="s">
        <v>35</v>
      </c>
      <c r="D12" s="619" t="s">
        <v>35</v>
      </c>
    </row>
    <row r="14" spans="1:4" x14ac:dyDescent="0.2">
      <c r="A14" s="620" t="s">
        <v>59</v>
      </c>
    </row>
  </sheetData>
  <pageMargins left="0.75" right="0.75" top="1" bottom="1" header="0.5" footer="0.5"/>
  <pageSetup orientation="landscape" r:id="rId1"/>
  <headerFooter alignWithMargins="0">
    <oddFooter>&amp;LGREEN GIANT&amp;C&amp;D &amp;T&amp;RCONFIDENTIAL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2:H46"/>
  <sheetViews>
    <sheetView topLeftCell="D1" zoomScale="60" workbookViewId="0">
      <selection activeCell="G4" sqref="G4"/>
    </sheetView>
  </sheetViews>
  <sheetFormatPr defaultRowHeight="12.75" x14ac:dyDescent="0.2"/>
  <cols>
    <col min="1" max="16384" width="9.140625" style="605"/>
  </cols>
  <sheetData>
    <row r="42" spans="2:8" ht="8.25" customHeight="1" x14ac:dyDescent="0.2"/>
    <row r="43" spans="2:8" ht="22.5" customHeight="1" x14ac:dyDescent="0.2"/>
    <row r="46" spans="2:8" ht="109.5" customHeight="1" x14ac:dyDescent="0.4">
      <c r="B46" s="658" t="s">
        <v>160</v>
      </c>
      <c r="C46" s="659"/>
      <c r="H46" s="658" t="s">
        <v>161</v>
      </c>
    </row>
  </sheetData>
  <pageMargins left="0.75" right="0.75" top="1" bottom="1" header="0.5" footer="0.5"/>
  <pageSetup scale="61" orientation="landscape" r:id="rId1"/>
  <headerFooter alignWithMargins="0">
    <oddFooter>&amp;LGREEN GIANT&amp;C&amp;D &amp;T&amp;RCONFIDENTIAL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2:H46"/>
  <sheetViews>
    <sheetView zoomScale="63" workbookViewId="0">
      <selection activeCell="Q46" sqref="Q46"/>
    </sheetView>
  </sheetViews>
  <sheetFormatPr defaultRowHeight="12.75" x14ac:dyDescent="0.2"/>
  <cols>
    <col min="1" max="16384" width="9.140625" style="605"/>
  </cols>
  <sheetData>
    <row r="42" spans="2:8" ht="8.25" customHeight="1" x14ac:dyDescent="0.2"/>
    <row r="43" spans="2:8" ht="22.5" customHeight="1" x14ac:dyDescent="0.2"/>
    <row r="46" spans="2:8" ht="30" x14ac:dyDescent="0.4">
      <c r="B46" s="658" t="s">
        <v>160</v>
      </c>
      <c r="C46" s="659"/>
      <c r="H46" s="658" t="s">
        <v>161</v>
      </c>
    </row>
  </sheetData>
  <pageMargins left="0.75" right="0.75" top="1" bottom="1" header="0.5" footer="0.5"/>
  <pageSetup scale="61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67" workbookViewId="0">
      <selection activeCell="B4" sqref="B4:L4"/>
    </sheetView>
  </sheetViews>
  <sheetFormatPr defaultRowHeight="12.75" x14ac:dyDescent="0.2"/>
  <cols>
    <col min="1" max="1" width="43.5703125" style="605" customWidth="1"/>
    <col min="2" max="6" width="15.85546875" style="621" bestFit="1" customWidth="1"/>
    <col min="7" max="7" width="15.42578125" style="621" bestFit="1" customWidth="1"/>
    <col min="8" max="10" width="15.85546875" style="621" bestFit="1" customWidth="1"/>
    <col min="11" max="11" width="14.42578125" style="621" customWidth="1"/>
    <col min="12" max="12" width="15.42578125" style="621" bestFit="1" customWidth="1"/>
    <col min="13" max="13" width="12.42578125" style="605" customWidth="1"/>
    <col min="14" max="16384" width="9.140625" style="605"/>
  </cols>
  <sheetData>
    <row r="1" spans="1:13" ht="26.25" x14ac:dyDescent="0.4">
      <c r="A1" s="604" t="s">
        <v>245</v>
      </c>
    </row>
    <row r="2" spans="1:13" ht="14.25" customHeight="1" x14ac:dyDescent="0.2">
      <c r="A2" s="622"/>
    </row>
    <row r="3" spans="1:13" ht="12.75" customHeight="1" thickBot="1" x14ac:dyDescent="0.25">
      <c r="A3" s="622"/>
    </row>
    <row r="4" spans="1:13" ht="17.25" customHeight="1" thickBot="1" x14ac:dyDescent="0.25">
      <c r="A4" s="623" t="s">
        <v>170</v>
      </c>
      <c r="B4" s="698" t="s">
        <v>115</v>
      </c>
      <c r="C4" s="699"/>
      <c r="D4" s="699"/>
      <c r="E4" s="699"/>
      <c r="F4" s="699"/>
      <c r="G4" s="699"/>
      <c r="H4" s="699"/>
      <c r="I4" s="699"/>
      <c r="J4" s="699"/>
      <c r="K4" s="699"/>
      <c r="L4" s="700"/>
    </row>
    <row r="5" spans="1:13" ht="13.5" thickBot="1" x14ac:dyDescent="0.25">
      <c r="B5" s="624">
        <v>2001</v>
      </c>
      <c r="C5" s="625">
        <v>2002</v>
      </c>
      <c r="D5" s="625">
        <v>2003</v>
      </c>
      <c r="E5" s="625">
        <v>2004</v>
      </c>
      <c r="F5" s="625">
        <v>2005</v>
      </c>
      <c r="G5" s="625">
        <v>2006</v>
      </c>
      <c r="H5" s="625">
        <v>2007</v>
      </c>
      <c r="I5" s="625">
        <v>2008</v>
      </c>
      <c r="J5" s="625">
        <v>2009</v>
      </c>
      <c r="K5" s="625">
        <v>2010</v>
      </c>
      <c r="L5" s="626">
        <v>2011</v>
      </c>
    </row>
    <row r="6" spans="1:13" x14ac:dyDescent="0.2">
      <c r="A6" s="627"/>
      <c r="B6" s="628"/>
      <c r="C6" s="629"/>
      <c r="D6" s="629"/>
      <c r="E6" s="629"/>
      <c r="F6" s="629"/>
      <c r="G6" s="629"/>
      <c r="H6" s="629"/>
      <c r="I6" s="629"/>
      <c r="J6" s="629"/>
      <c r="K6" s="629"/>
      <c r="L6" s="630"/>
    </row>
    <row r="7" spans="1:13" x14ac:dyDescent="0.2">
      <c r="A7" s="631" t="s">
        <v>165</v>
      </c>
      <c r="B7" s="632">
        <f>+'Total Market Size'!B19</f>
        <v>8610525.4947465882</v>
      </c>
      <c r="C7" s="633">
        <f>+'Total Market Size'!C19</f>
        <v>8820993.5811257586</v>
      </c>
      <c r="D7" s="633">
        <f>+'Total Market Size'!D19</f>
        <v>9014342.4527482744</v>
      </c>
      <c r="E7" s="633">
        <f>+'Total Market Size'!E19</f>
        <v>9235373.6267087366</v>
      </c>
      <c r="F7" s="633">
        <f>+'Total Market Size'!F19</f>
        <v>9478359.8398730382</v>
      </c>
      <c r="G7" s="633">
        <f>+'Total Market Size'!G19</f>
        <v>9756339.438057363</v>
      </c>
      <c r="H7" s="633">
        <f>+'Total Market Size'!H19</f>
        <v>10050832.763878206</v>
      </c>
      <c r="I7" s="633">
        <f>+'Total Market Size'!I19</f>
        <v>10367042.828613348</v>
      </c>
      <c r="J7" s="633">
        <f>+'Total Market Size'!J19</f>
        <v>10715077.162124271</v>
      </c>
      <c r="K7" s="633">
        <f>+'Total Market Size'!K19</f>
        <v>11098612.586084101</v>
      </c>
      <c r="L7" s="634">
        <f>+'Total Market Size'!L19</f>
        <v>11536843.821971301</v>
      </c>
    </row>
    <row r="8" spans="1:13" x14ac:dyDescent="0.2">
      <c r="A8" s="631" t="s">
        <v>185</v>
      </c>
      <c r="B8" s="635">
        <f>+'Total Market Size'!B76</f>
        <v>56556544.815782182</v>
      </c>
      <c r="C8" s="636">
        <f>+'Total Market Size'!C76</f>
        <v>58006457.346544936</v>
      </c>
      <c r="D8" s="636">
        <f>+'Total Market Size'!D76</f>
        <v>59369734.493475646</v>
      </c>
      <c r="E8" s="636">
        <f>+'Total Market Size'!E76</f>
        <v>60948456.332331881</v>
      </c>
      <c r="F8" s="636">
        <f>+'Total Market Size'!F76</f>
        <v>62717142.26497528</v>
      </c>
      <c r="G8" s="636">
        <f>+'Total Market Size'!G76</f>
        <v>64777318.047849417</v>
      </c>
      <c r="H8" s="636">
        <f>+'Total Market Size'!H76</f>
        <v>67029918.455082729</v>
      </c>
      <c r="I8" s="636">
        <f>+'Total Market Size'!I76</f>
        <v>69538517.438829228</v>
      </c>
      <c r="J8" s="636">
        <f>+'Total Market Size'!J76</f>
        <v>72409118.724152237</v>
      </c>
      <c r="K8" s="636">
        <f>+'Total Market Size'!K76</f>
        <v>75719592.245579183</v>
      </c>
      <c r="L8" s="637">
        <f>+'Total Market Size'!L76</f>
        <v>79668193.375871941</v>
      </c>
    </row>
    <row r="9" spans="1:13" x14ac:dyDescent="0.2">
      <c r="A9" s="631" t="s">
        <v>251</v>
      </c>
      <c r="B9" s="635">
        <f>+'Total Market Size'!B95</f>
        <v>11427064.136070754</v>
      </c>
      <c r="C9" s="636">
        <f>+'Total Market Size'!C95</f>
        <v>20419141.6068758</v>
      </c>
      <c r="D9" s="636">
        <f>+'Total Market Size'!D95</f>
        <v>24490525.700923692</v>
      </c>
      <c r="E9" s="636">
        <f>+'Total Market Size'!E95</f>
        <v>27250384.214729179</v>
      </c>
      <c r="F9" s="636">
        <f>+'Total Market Size'!F95</f>
        <v>29475570.220312424</v>
      </c>
      <c r="G9" s="636">
        <f>+'Total Market Size'!G95</f>
        <v>31497329.909982536</v>
      </c>
      <c r="H9" s="636">
        <f>+'Total Market Size'!H95</f>
        <v>33393753.793621957</v>
      </c>
      <c r="I9" s="636">
        <f>+'Total Market Size'!I95</f>
        <v>35256336.029869989</v>
      </c>
      <c r="J9" s="636">
        <f>+'Total Market Size'!J95</f>
        <v>37168529.603287525</v>
      </c>
      <c r="K9" s="636">
        <f>+'Total Market Size'!K95</f>
        <v>39181038.879226461</v>
      </c>
      <c r="L9" s="637">
        <f>+'Total Market Size'!L95</f>
        <v>41395290.205303036</v>
      </c>
    </row>
    <row r="10" spans="1:13" x14ac:dyDescent="0.2">
      <c r="A10" s="631" t="s">
        <v>252</v>
      </c>
      <c r="B10" s="635">
        <f>+'Total Market Size'!B114</f>
        <v>7978651.0571019305</v>
      </c>
      <c r="C10" s="636">
        <f>+'Total Market Size'!C114</f>
        <v>13952420.473403119</v>
      </c>
      <c r="D10" s="636">
        <f>+'Total Market Size'!D114</f>
        <v>16553083.592469534</v>
      </c>
      <c r="E10" s="636">
        <f>+'Total Market Size'!E114</f>
        <v>18292795.804483328</v>
      </c>
      <c r="F10" s="636">
        <f>+'Total Market Size'!F114</f>
        <v>19699553.756576657</v>
      </c>
      <c r="G10" s="636">
        <f>+'Total Market Size'!G114</f>
        <v>20996821.112646811</v>
      </c>
      <c r="H10" s="636">
        <f>+'Total Market Size'!H114</f>
        <v>22240784.254677329</v>
      </c>
      <c r="I10" s="636">
        <f>+'Total Market Size'!I114</f>
        <v>23499229.4680903</v>
      </c>
      <c r="J10" s="636">
        <f>+'Total Market Size'!J114</f>
        <v>24837927.136772137</v>
      </c>
      <c r="K10" s="636">
        <f>+'Total Market Size'!K114</f>
        <v>26305750.094042502</v>
      </c>
      <c r="L10" s="637">
        <f>+'Total Market Size'!L114</f>
        <v>27990853.254737351</v>
      </c>
    </row>
    <row r="11" spans="1:13" x14ac:dyDescent="0.2">
      <c r="A11" s="631" t="s">
        <v>166</v>
      </c>
      <c r="B11" s="635">
        <f>+'Total Market Size'!B133</f>
        <v>870465.34497221978</v>
      </c>
      <c r="C11" s="636">
        <f>+'Total Market Size'!C133</f>
        <v>1309121.789652633</v>
      </c>
      <c r="D11" s="636">
        <f>+'Total Market Size'!D133</f>
        <v>1532918.6184401524</v>
      </c>
      <c r="E11" s="636">
        <f>+'Total Market Size'!E133</f>
        <v>1714760.9516455259</v>
      </c>
      <c r="F11" s="636">
        <f>+'Total Market Size'!F133</f>
        <v>1891083.3390982116</v>
      </c>
      <c r="G11" s="636">
        <f>+'Total Market Size'!G133</f>
        <v>2080171.968035741</v>
      </c>
      <c r="H11" s="636">
        <f>+'Total Market Size'!H133</f>
        <v>2288427.919077104</v>
      </c>
      <c r="I11" s="636">
        <f>+'Total Market Size'!I133</f>
        <v>2525508.0833010338</v>
      </c>
      <c r="J11" s="636">
        <f>+'Total Market Size'!J133</f>
        <v>2802875.6978200674</v>
      </c>
      <c r="K11" s="636">
        <f>+'Total Market Size'!K133</f>
        <v>3132227.2154329601</v>
      </c>
      <c r="L11" s="637">
        <f>+'Total Market Size'!L133</f>
        <v>3531792.0575224985</v>
      </c>
    </row>
    <row r="12" spans="1:13" ht="13.5" thickBot="1" x14ac:dyDescent="0.25">
      <c r="A12" s="638" t="s">
        <v>356</v>
      </c>
      <c r="B12" s="639" t="e">
        <f>+'Total Market Size'!#REF!</f>
        <v>#REF!</v>
      </c>
      <c r="C12" s="640" t="e">
        <f>+'Total Market Size'!#REF!</f>
        <v>#REF!</v>
      </c>
      <c r="D12" s="640" t="e">
        <f>+'Total Market Size'!#REF!</f>
        <v>#REF!</v>
      </c>
      <c r="E12" s="640" t="e">
        <f>+'Total Market Size'!#REF!</f>
        <v>#REF!</v>
      </c>
      <c r="F12" s="640" t="e">
        <f>+'Total Market Size'!#REF!</f>
        <v>#REF!</v>
      </c>
      <c r="G12" s="640" t="e">
        <f>+'Total Market Size'!#REF!</f>
        <v>#REF!</v>
      </c>
      <c r="H12" s="640" t="e">
        <f>+'Total Market Size'!#REF!</f>
        <v>#REF!</v>
      </c>
      <c r="I12" s="640" t="e">
        <f>+'Total Market Size'!#REF!</f>
        <v>#REF!</v>
      </c>
      <c r="J12" s="640" t="e">
        <f>+'Total Market Size'!#REF!</f>
        <v>#REF!</v>
      </c>
      <c r="K12" s="640" t="e">
        <f>+'Total Market Size'!#REF!</f>
        <v>#REF!</v>
      </c>
      <c r="L12" s="641" t="e">
        <f>+'Total Market Size'!#REF!</f>
        <v>#REF!</v>
      </c>
    </row>
    <row r="13" spans="1:13" ht="13.5" thickBot="1" x14ac:dyDescent="0.25"/>
    <row r="14" spans="1:13" ht="13.5" thickBot="1" x14ac:dyDescent="0.25">
      <c r="A14" s="642" t="s">
        <v>184</v>
      </c>
      <c r="B14" s="701" t="s">
        <v>115</v>
      </c>
      <c r="C14" s="702"/>
      <c r="D14" s="702"/>
      <c r="E14" s="702"/>
      <c r="F14" s="702"/>
      <c r="G14" s="702"/>
      <c r="H14" s="702"/>
      <c r="I14" s="702"/>
      <c r="J14" s="702"/>
      <c r="K14" s="702"/>
      <c r="L14" s="703"/>
      <c r="M14" s="704" t="s">
        <v>133</v>
      </c>
    </row>
    <row r="15" spans="1:13" ht="13.5" thickBot="1" x14ac:dyDescent="0.25">
      <c r="A15" s="642" t="s">
        <v>171</v>
      </c>
      <c r="B15" s="624">
        <v>2001</v>
      </c>
      <c r="C15" s="625">
        <v>2002</v>
      </c>
      <c r="D15" s="625">
        <v>2003</v>
      </c>
      <c r="E15" s="625">
        <v>2004</v>
      </c>
      <c r="F15" s="625">
        <v>2005</v>
      </c>
      <c r="G15" s="625">
        <v>2006</v>
      </c>
      <c r="H15" s="625">
        <v>2007</v>
      </c>
      <c r="I15" s="625">
        <v>2008</v>
      </c>
      <c r="J15" s="625">
        <v>2009</v>
      </c>
      <c r="K15" s="625">
        <v>2010</v>
      </c>
      <c r="L15" s="626">
        <v>2011</v>
      </c>
      <c r="M15" s="705"/>
    </row>
    <row r="16" spans="1:13" x14ac:dyDescent="0.2">
      <c r="A16" s="643"/>
      <c r="B16" s="644"/>
      <c r="C16" s="645"/>
      <c r="D16" s="645"/>
      <c r="E16" s="645"/>
      <c r="F16" s="645"/>
      <c r="G16" s="645"/>
      <c r="H16" s="645"/>
      <c r="I16" s="645"/>
      <c r="J16" s="645"/>
      <c r="K16" s="645"/>
      <c r="L16" s="646"/>
      <c r="M16" s="647"/>
    </row>
    <row r="17" spans="1:13" x14ac:dyDescent="0.2">
      <c r="A17" s="631" t="s">
        <v>187</v>
      </c>
      <c r="B17" s="632">
        <f>+B8</f>
        <v>56556544.815782182</v>
      </c>
      <c r="C17" s="633">
        <f t="shared" ref="C17:L17" si="0">+C8</f>
        <v>58006457.346544936</v>
      </c>
      <c r="D17" s="633">
        <f t="shared" si="0"/>
        <v>59369734.493475646</v>
      </c>
      <c r="E17" s="633">
        <f t="shared" si="0"/>
        <v>60948456.332331881</v>
      </c>
      <c r="F17" s="633">
        <f t="shared" si="0"/>
        <v>62717142.26497528</v>
      </c>
      <c r="G17" s="633">
        <f t="shared" si="0"/>
        <v>64777318.047849417</v>
      </c>
      <c r="H17" s="633">
        <f t="shared" si="0"/>
        <v>67029918.455082729</v>
      </c>
      <c r="I17" s="633">
        <f t="shared" si="0"/>
        <v>69538517.438829228</v>
      </c>
      <c r="J17" s="633">
        <f t="shared" si="0"/>
        <v>72409118.724152237</v>
      </c>
      <c r="K17" s="633">
        <f t="shared" si="0"/>
        <v>75719592.245579183</v>
      </c>
      <c r="L17" s="634">
        <f t="shared" si="0"/>
        <v>79668193.375871941</v>
      </c>
      <c r="M17" s="637"/>
    </row>
    <row r="18" spans="1:13" x14ac:dyDescent="0.2">
      <c r="A18" s="631" t="s">
        <v>169</v>
      </c>
      <c r="B18" s="635" t="e">
        <f>+SUM(#REF!)+SUMPRODUCT('Total Market Size'!B$64:B$75,#REF!)+SUMPRODUCT('Total Market Size'!B$64:B$75,#REF!,'Many to Many Ass.'!$R$8:$R$19)/1000</f>
        <v>#REF!</v>
      </c>
      <c r="C18" s="636" t="e">
        <f>+SUM(#REF!)+SUMPRODUCT('Total Market Size'!C$64:C$75,#REF!)+SUMPRODUCT('Total Market Size'!C$64:C$75,#REF!,'Many to Many Ass.'!$R$8:$R$19)/1000</f>
        <v>#REF!</v>
      </c>
      <c r="D18" s="636" t="e">
        <f>+SUM(#REF!)+SUMPRODUCT('Total Market Size'!D$64:D$75,#REF!)+SUMPRODUCT('Total Market Size'!D$64:D$75,#REF!,'Many to Many Ass.'!$R$8:$R$19)/1000</f>
        <v>#REF!</v>
      </c>
      <c r="E18" s="636" t="e">
        <f>+SUM(#REF!)+SUMPRODUCT('Total Market Size'!E$64:E$75,#REF!)+SUMPRODUCT('Total Market Size'!E$64:E$75,#REF!,'Many to Many Ass.'!$R$8:$R$19)/1000</f>
        <v>#REF!</v>
      </c>
      <c r="F18" s="636" t="e">
        <f>+SUM(#REF!)+SUMPRODUCT('Total Market Size'!F$64:F$75,#REF!)+SUMPRODUCT('Total Market Size'!F$64:F$75,#REF!,'Many to Many Ass.'!$R$8:$R$19)/1000</f>
        <v>#REF!</v>
      </c>
      <c r="G18" s="636" t="e">
        <f>+SUM(#REF!)+SUMPRODUCT('Total Market Size'!G$64:G$75,#REF!)+SUMPRODUCT('Total Market Size'!G$64:G$75,#REF!,'Many to Many Ass.'!$R$8:$R$19)/1000</f>
        <v>#REF!</v>
      </c>
      <c r="H18" s="636" t="e">
        <f>+SUM(#REF!)+SUMPRODUCT('Total Market Size'!H$64:H$75,#REF!)+SUMPRODUCT('Total Market Size'!H$64:H$75,#REF!,'Many to Many Ass.'!$R$8:$R$19)/1000</f>
        <v>#REF!</v>
      </c>
      <c r="I18" s="636" t="e">
        <f>+SUM(#REF!)+SUMPRODUCT('Total Market Size'!I$64:I$75,#REF!)+SUMPRODUCT('Total Market Size'!I$64:I$75,#REF!,'Many to Many Ass.'!$R$8:$R$19)/1000</f>
        <v>#REF!</v>
      </c>
      <c r="J18" s="636" t="e">
        <f>+SUM(#REF!)+SUMPRODUCT('Total Market Size'!J$64:J$75,#REF!)+SUMPRODUCT('Total Market Size'!J$64:J$75,#REF!,'Many to Many Ass.'!$R$8:$R$19)/1000</f>
        <v>#REF!</v>
      </c>
      <c r="K18" s="636" t="e">
        <f>+SUM(#REF!)+SUMPRODUCT('Total Market Size'!K$64:K$75,#REF!)+SUMPRODUCT('Total Market Size'!K$64:K$75,#REF!,'Many to Many Ass.'!$R$8:$R$19)/1000</f>
        <v>#REF!</v>
      </c>
      <c r="L18" s="637" t="e">
        <f>+SUM(#REF!)+SUMPRODUCT('Total Market Size'!L$64:L$75,#REF!)+SUMPRODUCT('Total Market Size'!L$64:L$75,#REF!,'Many to Many Ass.'!$R$8:$R$19)/1000</f>
        <v>#REF!</v>
      </c>
      <c r="M18" s="637"/>
    </row>
    <row r="19" spans="1:13" x14ac:dyDescent="0.2">
      <c r="A19" s="631" t="s">
        <v>129</v>
      </c>
      <c r="B19" s="635" t="e">
        <f>+#REF!/1000</f>
        <v>#REF!</v>
      </c>
      <c r="C19" s="636" t="e">
        <f>+B$31*(1+IF('Many to Many Ass.'!#REF!="PPI",'Total Market Size'!B$136,'Many to Many Ass.'!#REF!))</f>
        <v>#REF!</v>
      </c>
      <c r="D19" s="636" t="e">
        <f>+C19*(1+IF('Many to Many Ass.'!#REF!="PPI",'Total Market Size'!C$136,'Many to Many Ass.'!#REF!))</f>
        <v>#REF!</v>
      </c>
      <c r="E19" s="636" t="e">
        <f>+D19*(1+IF('Many to Many Ass.'!#REF!="PPI",'Total Market Size'!D$136,'Many to Many Ass.'!#REF!))</f>
        <v>#REF!</v>
      </c>
      <c r="F19" s="636" t="e">
        <f>+E19*(1+IF('Many to Many Ass.'!#REF!="PPI",'Total Market Size'!E$136,'Many to Many Ass.'!#REF!))</f>
        <v>#REF!</v>
      </c>
      <c r="G19" s="636" t="e">
        <f>+F19*(1+IF('Many to Many Ass.'!#REF!="PPI",'Total Market Size'!F$136,'Many to Many Ass.'!#REF!))</f>
        <v>#REF!</v>
      </c>
      <c r="H19" s="636" t="e">
        <f>+G19*(1+IF('Many to Many Ass.'!#REF!="PPI",'Total Market Size'!G$136,'Many to Many Ass.'!#REF!))</f>
        <v>#REF!</v>
      </c>
      <c r="I19" s="636" t="e">
        <f>+H19*(1+IF('Many to Many Ass.'!#REF!="PPI",'Total Market Size'!H$136,'Many to Many Ass.'!#REF!))</f>
        <v>#REF!</v>
      </c>
      <c r="J19" s="636" t="e">
        <f>+I19*(1+IF('Many to Many Ass.'!#REF!="PPI",'Total Market Size'!I$136,'Many to Many Ass.'!#REF!))</f>
        <v>#REF!</v>
      </c>
      <c r="K19" s="636" t="e">
        <f>+J19*(1+IF('Many to Many Ass.'!#REF!="PPI",'Total Market Size'!J$136,'Many to Many Ass.'!#REF!))</f>
        <v>#REF!</v>
      </c>
      <c r="L19" s="637" t="e">
        <f>+K19*(1+IF('Many to Many Ass.'!#REF!="PPI",'Total Market Size'!K$136,'Many to Many Ass.'!#REF!))</f>
        <v>#REF!</v>
      </c>
      <c r="M19" s="637"/>
    </row>
    <row r="20" spans="1:13" x14ac:dyDescent="0.2">
      <c r="A20" s="631" t="s">
        <v>131</v>
      </c>
      <c r="B20" s="635" t="e">
        <f t="shared" ref="B20:L20" si="1">+B18-B19</f>
        <v>#REF!</v>
      </c>
      <c r="C20" s="636" t="e">
        <f t="shared" si="1"/>
        <v>#REF!</v>
      </c>
      <c r="D20" s="636" t="e">
        <f t="shared" si="1"/>
        <v>#REF!</v>
      </c>
      <c r="E20" s="636" t="e">
        <f t="shared" si="1"/>
        <v>#REF!</v>
      </c>
      <c r="F20" s="636" t="e">
        <f t="shared" si="1"/>
        <v>#REF!</v>
      </c>
      <c r="G20" s="636" t="e">
        <f t="shared" si="1"/>
        <v>#REF!</v>
      </c>
      <c r="H20" s="636" t="e">
        <f t="shared" si="1"/>
        <v>#REF!</v>
      </c>
      <c r="I20" s="636" t="e">
        <f t="shared" si="1"/>
        <v>#REF!</v>
      </c>
      <c r="J20" s="636" t="e">
        <f t="shared" si="1"/>
        <v>#REF!</v>
      </c>
      <c r="K20" s="636" t="e">
        <f t="shared" si="1"/>
        <v>#REF!</v>
      </c>
      <c r="L20" s="637" t="e">
        <f t="shared" si="1"/>
        <v>#REF!</v>
      </c>
      <c r="M20" s="637" t="e">
        <f>+L20/(#REF!-#REF!)*(1+#REF!)</f>
        <v>#REF!</v>
      </c>
    </row>
    <row r="21" spans="1:13" ht="13.5" thickBot="1" x14ac:dyDescent="0.25">
      <c r="A21" s="638" t="s">
        <v>132</v>
      </c>
      <c r="B21" s="639" t="e">
        <f>+B20</f>
        <v>#REF!</v>
      </c>
      <c r="C21" s="640" t="e">
        <f>+C20/(1+'Many to Many Ass.'!$B$134)^(#REF!-2001)</f>
        <v>#REF!</v>
      </c>
      <c r="D21" s="640" t="e">
        <f>+D20/(1+'Many to Many Ass.'!$B$134)^(#REF!-2001)</f>
        <v>#REF!</v>
      </c>
      <c r="E21" s="640" t="e">
        <f>+E20/(1+'Many to Many Ass.'!$B$134)^(#REF!-2001)</f>
        <v>#REF!</v>
      </c>
      <c r="F21" s="640" t="e">
        <f>+F20/(1+'Many to Many Ass.'!$B$134)^(#REF!-2001)</f>
        <v>#REF!</v>
      </c>
      <c r="G21" s="640" t="e">
        <f>+G20/(1+'Many to Many Ass.'!$B$134)^(#REF!-2001)</f>
        <v>#REF!</v>
      </c>
      <c r="H21" s="640" t="e">
        <f>+H20/(1+'Many to Many Ass.'!$B$134)^(#REF!-2001)</f>
        <v>#REF!</v>
      </c>
      <c r="I21" s="640" t="e">
        <f>+I20/(1+'Many to Many Ass.'!$B$134)^(#REF!-2001)</f>
        <v>#REF!</v>
      </c>
      <c r="J21" s="640" t="e">
        <f>+J20/(1+'Many to Many Ass.'!$B$134)^(#REF!-2001)</f>
        <v>#REF!</v>
      </c>
      <c r="K21" s="640" t="e">
        <f>+K20/(1+'Many to Many Ass.'!$B$134)^(#REF!-2001)</f>
        <v>#REF!</v>
      </c>
      <c r="L21" s="641" t="e">
        <f>+L20/(1+'Many to Many Ass.'!$B$134)^(#REF!-2001)</f>
        <v>#REF!</v>
      </c>
      <c r="M21" s="641" t="e">
        <f>+M20/(1+#REF!)^(L15-2001)</f>
        <v>#REF!</v>
      </c>
    </row>
    <row r="22" spans="1:13" ht="13.5" thickBot="1" x14ac:dyDescent="0.25"/>
    <row r="23" spans="1:13" ht="13.5" thickBot="1" x14ac:dyDescent="0.25">
      <c r="A23" s="648" t="s">
        <v>135</v>
      </c>
      <c r="B23" s="649" t="e">
        <f>SUM(B21:M21)</f>
        <v>#REF!</v>
      </c>
      <c r="D23" s="650" t="s">
        <v>255</v>
      </c>
      <c r="E23" s="605"/>
      <c r="F23" s="605"/>
      <c r="G23" s="605"/>
      <c r="H23" s="605"/>
    </row>
    <row r="25" spans="1:13" ht="13.5" thickBot="1" x14ac:dyDescent="0.25">
      <c r="A25" s="622"/>
    </row>
    <row r="26" spans="1:13" ht="13.5" thickBot="1" x14ac:dyDescent="0.25">
      <c r="A26" s="642" t="s">
        <v>168</v>
      </c>
      <c r="B26" s="701" t="s">
        <v>115</v>
      </c>
      <c r="C26" s="702"/>
      <c r="D26" s="702"/>
      <c r="E26" s="702"/>
      <c r="F26" s="702"/>
      <c r="G26" s="702"/>
      <c r="H26" s="702"/>
      <c r="I26" s="702"/>
      <c r="J26" s="702"/>
      <c r="K26" s="702"/>
      <c r="L26" s="703"/>
      <c r="M26" s="704" t="s">
        <v>133</v>
      </c>
    </row>
    <row r="27" spans="1:13" ht="13.5" thickBot="1" x14ac:dyDescent="0.25">
      <c r="A27" s="642" t="s">
        <v>171</v>
      </c>
      <c r="B27" s="624">
        <v>2001</v>
      </c>
      <c r="C27" s="625">
        <v>2002</v>
      </c>
      <c r="D27" s="625">
        <v>2003</v>
      </c>
      <c r="E27" s="625">
        <v>2004</v>
      </c>
      <c r="F27" s="625">
        <v>2005</v>
      </c>
      <c r="G27" s="625">
        <v>2006</v>
      </c>
      <c r="H27" s="625">
        <v>2007</v>
      </c>
      <c r="I27" s="625">
        <v>2008</v>
      </c>
      <c r="J27" s="625">
        <v>2009</v>
      </c>
      <c r="K27" s="625">
        <v>2010</v>
      </c>
      <c r="L27" s="626">
        <v>2011</v>
      </c>
      <c r="M27" s="705"/>
    </row>
    <row r="28" spans="1:13" x14ac:dyDescent="0.2">
      <c r="A28" s="643"/>
      <c r="B28" s="644"/>
      <c r="C28" s="645"/>
      <c r="D28" s="645"/>
      <c r="E28" s="645"/>
      <c r="F28" s="645"/>
      <c r="G28" s="645"/>
      <c r="H28" s="645"/>
      <c r="I28" s="645"/>
      <c r="J28" s="645"/>
      <c r="K28" s="645"/>
      <c r="L28" s="646"/>
      <c r="M28" s="647"/>
    </row>
    <row r="29" spans="1:13" x14ac:dyDescent="0.2">
      <c r="A29" s="631" t="s">
        <v>167</v>
      </c>
      <c r="B29" s="632">
        <f>+B9</f>
        <v>11427064.136070754</v>
      </c>
      <c r="C29" s="633">
        <f t="shared" ref="C29:L29" si="2">+C9</f>
        <v>20419141.6068758</v>
      </c>
      <c r="D29" s="633">
        <f t="shared" si="2"/>
        <v>24490525.700923692</v>
      </c>
      <c r="E29" s="633">
        <f t="shared" si="2"/>
        <v>27250384.214729179</v>
      </c>
      <c r="F29" s="633">
        <f t="shared" si="2"/>
        <v>29475570.220312424</v>
      </c>
      <c r="G29" s="633">
        <f t="shared" si="2"/>
        <v>31497329.909982536</v>
      </c>
      <c r="H29" s="633">
        <f t="shared" si="2"/>
        <v>33393753.793621957</v>
      </c>
      <c r="I29" s="633">
        <f t="shared" si="2"/>
        <v>35256336.029869989</v>
      </c>
      <c r="J29" s="633">
        <f t="shared" si="2"/>
        <v>37168529.603287525</v>
      </c>
      <c r="K29" s="633">
        <f t="shared" si="2"/>
        <v>39181038.879226461</v>
      </c>
      <c r="L29" s="634">
        <f t="shared" si="2"/>
        <v>41395290.205303036</v>
      </c>
      <c r="M29" s="637"/>
    </row>
    <row r="30" spans="1:13" x14ac:dyDescent="0.2">
      <c r="A30" s="631" t="s">
        <v>169</v>
      </c>
      <c r="B30" s="635" t="e">
        <f>+SUM(#REF!)+(SUMPRODUCT('Total Market Size'!B$64:B$75,#REF!)+SUMPRODUCT('Total Market Size'!B$64:B$75,#REF!,'Many to Many Ass.'!$R$8:$R$19)/1000)*B29/$B$17</f>
        <v>#REF!</v>
      </c>
      <c r="C30" s="636" t="e">
        <f>+SUM(#REF!)+(SUMPRODUCT('Total Market Size'!C$64:C$75,#REF!)+SUMPRODUCT('Total Market Size'!C$64:C$75,#REF!,'Many to Many Ass.'!$R$8:$R$19)/1000)*C29/$B$17</f>
        <v>#REF!</v>
      </c>
      <c r="D30" s="636" t="e">
        <f>+SUM(#REF!)+(SUMPRODUCT('Total Market Size'!D$64:D$75,#REF!)+SUMPRODUCT('Total Market Size'!D$64:D$75,#REF!,'Many to Many Ass.'!$R$8:$R$19)/1000)*D29/$B$17</f>
        <v>#REF!</v>
      </c>
      <c r="E30" s="636" t="e">
        <f>+SUM(#REF!)+(SUMPRODUCT('Total Market Size'!E$64:E$75,#REF!)+SUMPRODUCT('Total Market Size'!E$64:E$75,#REF!,'Many to Many Ass.'!$R$8:$R$19)/1000)*E29/$B$17</f>
        <v>#REF!</v>
      </c>
      <c r="F30" s="636" t="e">
        <f>+SUM(#REF!)+(SUMPRODUCT('Total Market Size'!F$64:F$75,#REF!)+SUMPRODUCT('Total Market Size'!F$64:F$75,#REF!,'Many to Many Ass.'!$R$8:$R$19)/1000)*F29/$B$17</f>
        <v>#REF!</v>
      </c>
      <c r="G30" s="636" t="e">
        <f>+SUM(#REF!)+(SUMPRODUCT('Total Market Size'!G$64:G$75,#REF!)+SUMPRODUCT('Total Market Size'!G$64:G$75,#REF!,'Many to Many Ass.'!$R$8:$R$19)/1000)*G29/$B$17</f>
        <v>#REF!</v>
      </c>
      <c r="H30" s="636" t="e">
        <f>+SUM(#REF!)+(SUMPRODUCT('Total Market Size'!H$64:H$75,#REF!)+SUMPRODUCT('Total Market Size'!H$64:H$75,#REF!,'Many to Many Ass.'!$R$8:$R$19)/1000)*H29/$B$17</f>
        <v>#REF!</v>
      </c>
      <c r="I30" s="636" t="e">
        <f>+SUM(#REF!)+(SUMPRODUCT('Total Market Size'!I$64:I$75,#REF!)+SUMPRODUCT('Total Market Size'!I$64:I$75,#REF!,'Many to Many Ass.'!$R$8:$R$19)/1000)*I29/$B$17</f>
        <v>#REF!</v>
      </c>
      <c r="J30" s="636" t="e">
        <f>+SUM(#REF!)+(SUMPRODUCT('Total Market Size'!J$64:J$75,#REF!)+SUMPRODUCT('Total Market Size'!J$64:J$75,#REF!,'Many to Many Ass.'!$R$8:$R$19)/1000)*J29/$B$17</f>
        <v>#REF!</v>
      </c>
      <c r="K30" s="636" t="e">
        <f>+SUM(#REF!)+(SUMPRODUCT('Total Market Size'!K$64:K$75,#REF!)+SUMPRODUCT('Total Market Size'!K$64:K$75,#REF!,'Many to Many Ass.'!$R$8:$R$19)/1000)*K29/$B$17</f>
        <v>#REF!</v>
      </c>
      <c r="L30" s="637" t="e">
        <f>+SUM(#REF!)+(SUMPRODUCT('Total Market Size'!L$64:L$75,#REF!)+SUMPRODUCT('Total Market Size'!L$64:L$75,#REF!,'Many to Many Ass.'!$R$8:$R$19)/1000)*L29/$B$17</f>
        <v>#REF!</v>
      </c>
      <c r="M30" s="637"/>
    </row>
    <row r="31" spans="1:13" x14ac:dyDescent="0.2">
      <c r="A31" s="631" t="s">
        <v>129</v>
      </c>
      <c r="B31" s="635" t="e">
        <f>+#REF!/1000</f>
        <v>#REF!</v>
      </c>
      <c r="C31" s="636" t="e">
        <f>+B$31*(1+IF('Many to Many Ass.'!#REF!="PPI",'Total Market Size'!B$136,'Many to Many Ass.'!#REF!))</f>
        <v>#REF!</v>
      </c>
      <c r="D31" s="636" t="e">
        <f>+C31*(1+IF('Many to Many Ass.'!#REF!="PPI",'Total Market Size'!C$136,'Many to Many Ass.'!#REF!))</f>
        <v>#REF!</v>
      </c>
      <c r="E31" s="636" t="e">
        <f>+D31*(1+IF('Many to Many Ass.'!#REF!="PPI",'Total Market Size'!D$136,'Many to Many Ass.'!#REF!))</f>
        <v>#REF!</v>
      </c>
      <c r="F31" s="636" t="e">
        <f>+E31*(1+IF('Many to Many Ass.'!#REF!="PPI",'Total Market Size'!E$136,'Many to Many Ass.'!#REF!))</f>
        <v>#REF!</v>
      </c>
      <c r="G31" s="636" t="e">
        <f>+F31*(1+IF('Many to Many Ass.'!#REF!="PPI",'Total Market Size'!F$136,'Many to Many Ass.'!#REF!))</f>
        <v>#REF!</v>
      </c>
      <c r="H31" s="636" t="e">
        <f>+G31*(1+IF('Many to Many Ass.'!#REF!="PPI",'Total Market Size'!G$136,'Many to Many Ass.'!#REF!))</f>
        <v>#REF!</v>
      </c>
      <c r="I31" s="636" t="e">
        <f>+H31*(1+IF('Many to Many Ass.'!#REF!="PPI",'Total Market Size'!H$136,'Many to Many Ass.'!#REF!))</f>
        <v>#REF!</v>
      </c>
      <c r="J31" s="636" t="e">
        <f>+I31*(1+IF('Many to Many Ass.'!#REF!="PPI",'Total Market Size'!I$136,'Many to Many Ass.'!#REF!))</f>
        <v>#REF!</v>
      </c>
      <c r="K31" s="636" t="e">
        <f>+J31*(1+IF('Many to Many Ass.'!#REF!="PPI",'Total Market Size'!J$136,'Many to Many Ass.'!#REF!))</f>
        <v>#REF!</v>
      </c>
      <c r="L31" s="637" t="e">
        <f>+K31*(1+IF('Many to Many Ass.'!#REF!="PPI",'Total Market Size'!K$136,'Many to Many Ass.'!#REF!))</f>
        <v>#REF!</v>
      </c>
      <c r="M31" s="637"/>
    </row>
    <row r="32" spans="1:13" x14ac:dyDescent="0.2">
      <c r="A32" s="631" t="s">
        <v>131</v>
      </c>
      <c r="B32" s="635" t="e">
        <f>+B30-B31</f>
        <v>#REF!</v>
      </c>
      <c r="C32" s="636" t="e">
        <f t="shared" ref="C32:L32" si="3">+C30-C31</f>
        <v>#REF!</v>
      </c>
      <c r="D32" s="636" t="e">
        <f t="shared" si="3"/>
        <v>#REF!</v>
      </c>
      <c r="E32" s="636" t="e">
        <f t="shared" si="3"/>
        <v>#REF!</v>
      </c>
      <c r="F32" s="636" t="e">
        <f t="shared" si="3"/>
        <v>#REF!</v>
      </c>
      <c r="G32" s="636" t="e">
        <f t="shared" si="3"/>
        <v>#REF!</v>
      </c>
      <c r="H32" s="636" t="e">
        <f t="shared" si="3"/>
        <v>#REF!</v>
      </c>
      <c r="I32" s="636" t="e">
        <f t="shared" si="3"/>
        <v>#REF!</v>
      </c>
      <c r="J32" s="636" t="e">
        <f t="shared" si="3"/>
        <v>#REF!</v>
      </c>
      <c r="K32" s="636" t="e">
        <f t="shared" si="3"/>
        <v>#REF!</v>
      </c>
      <c r="L32" s="637" t="e">
        <f t="shared" si="3"/>
        <v>#REF!</v>
      </c>
      <c r="M32" s="637" t="e">
        <f>+L32/(#REF!-#REF!)*(1+#REF!)</f>
        <v>#REF!</v>
      </c>
    </row>
    <row r="33" spans="1:13" ht="13.5" thickBot="1" x14ac:dyDescent="0.25">
      <c r="A33" s="638" t="s">
        <v>132</v>
      </c>
      <c r="B33" s="639" t="e">
        <f>+B32</f>
        <v>#REF!</v>
      </c>
      <c r="C33" s="640" t="e">
        <f>+C32/(1+'Many to Many Ass.'!$B$134)^(#REF!-2001)</f>
        <v>#REF!</v>
      </c>
      <c r="D33" s="640" t="e">
        <f>+D32/(1+'Many to Many Ass.'!$B$134)^(#REF!-2001)</f>
        <v>#REF!</v>
      </c>
      <c r="E33" s="640" t="e">
        <f>+E32/(1+'Many to Many Ass.'!$B$134)^(#REF!-2001)</f>
        <v>#REF!</v>
      </c>
      <c r="F33" s="640" t="e">
        <f>+F32/(1+'Many to Many Ass.'!$B$134)^(#REF!-2001)</f>
        <v>#REF!</v>
      </c>
      <c r="G33" s="640" t="e">
        <f>+G32/(1+'Many to Many Ass.'!$B$134)^(#REF!-2001)</f>
        <v>#REF!</v>
      </c>
      <c r="H33" s="640" t="e">
        <f>+H32/(1+'Many to Many Ass.'!$B$134)^(#REF!-2001)</f>
        <v>#REF!</v>
      </c>
      <c r="I33" s="640" t="e">
        <f>+I32/(1+'Many to Many Ass.'!$B$134)^(#REF!-2001)</f>
        <v>#REF!</v>
      </c>
      <c r="J33" s="640" t="e">
        <f>+J32/(1+'Many to Many Ass.'!$B$134)^(#REF!-2001)</f>
        <v>#REF!</v>
      </c>
      <c r="K33" s="640" t="e">
        <f>+K32/(1+'Many to Many Ass.'!$B$134)^(#REF!-2001)</f>
        <v>#REF!</v>
      </c>
      <c r="L33" s="641" t="e">
        <f>+L32/(1+'Many to Many Ass.'!$B$134)^(#REF!-2001)</f>
        <v>#REF!</v>
      </c>
      <c r="M33" s="641" t="e">
        <f>+M32/(1+#REF!)^(L27-2001)</f>
        <v>#REF!</v>
      </c>
    </row>
    <row r="34" spans="1:13" ht="13.5" thickBot="1" x14ac:dyDescent="0.25"/>
    <row r="35" spans="1:13" ht="13.5" thickBot="1" x14ac:dyDescent="0.25">
      <c r="A35" s="648" t="s">
        <v>135</v>
      </c>
      <c r="B35" s="649" t="e">
        <f>SUM(B33:M33)</f>
        <v>#REF!</v>
      </c>
      <c r="D35" s="650" t="s">
        <v>260</v>
      </c>
      <c r="E35" s="605"/>
      <c r="F35" s="605"/>
      <c r="G35" s="605"/>
      <c r="H35" s="605"/>
      <c r="I35" s="605"/>
      <c r="J35" s="605"/>
    </row>
    <row r="37" spans="1:13" ht="13.5" thickBot="1" x14ac:dyDescent="0.25"/>
    <row r="38" spans="1:13" ht="13.5" thickBot="1" x14ac:dyDescent="0.25">
      <c r="A38" s="642" t="s">
        <v>172</v>
      </c>
      <c r="B38" s="701" t="s">
        <v>115</v>
      </c>
      <c r="C38" s="702"/>
      <c r="D38" s="702"/>
      <c r="E38" s="702"/>
      <c r="F38" s="702"/>
      <c r="G38" s="702"/>
      <c r="H38" s="702"/>
      <c r="I38" s="702"/>
      <c r="J38" s="702"/>
      <c r="K38" s="702"/>
      <c r="L38" s="703"/>
      <c r="M38" s="704" t="s">
        <v>133</v>
      </c>
    </row>
    <row r="39" spans="1:13" ht="13.5" thickBot="1" x14ac:dyDescent="0.25">
      <c r="A39" s="642" t="s">
        <v>171</v>
      </c>
      <c r="B39" s="624">
        <v>2001</v>
      </c>
      <c r="C39" s="625">
        <v>2002</v>
      </c>
      <c r="D39" s="625">
        <v>2003</v>
      </c>
      <c r="E39" s="625">
        <v>2004</v>
      </c>
      <c r="F39" s="625">
        <v>2005</v>
      </c>
      <c r="G39" s="625">
        <v>2006</v>
      </c>
      <c r="H39" s="625">
        <v>2007</v>
      </c>
      <c r="I39" s="625">
        <v>2008</v>
      </c>
      <c r="J39" s="625">
        <v>2009</v>
      </c>
      <c r="K39" s="625">
        <v>2010</v>
      </c>
      <c r="L39" s="626">
        <v>2011</v>
      </c>
      <c r="M39" s="705"/>
    </row>
    <row r="40" spans="1:13" x14ac:dyDescent="0.2">
      <c r="A40" s="643"/>
      <c r="B40" s="644"/>
      <c r="C40" s="645"/>
      <c r="D40" s="645"/>
      <c r="E40" s="645"/>
      <c r="F40" s="645"/>
      <c r="G40" s="645"/>
      <c r="H40" s="645"/>
      <c r="I40" s="645"/>
      <c r="J40" s="645"/>
      <c r="K40" s="645"/>
      <c r="L40" s="646"/>
      <c r="M40" s="647"/>
    </row>
    <row r="41" spans="1:13" x14ac:dyDescent="0.2">
      <c r="A41" s="631" t="s">
        <v>173</v>
      </c>
      <c r="B41" s="632">
        <f>+B10</f>
        <v>7978651.0571019305</v>
      </c>
      <c r="C41" s="633">
        <f t="shared" ref="C41:L41" si="4">+C10</f>
        <v>13952420.473403119</v>
      </c>
      <c r="D41" s="633">
        <f t="shared" si="4"/>
        <v>16553083.592469534</v>
      </c>
      <c r="E41" s="633">
        <f t="shared" si="4"/>
        <v>18292795.804483328</v>
      </c>
      <c r="F41" s="633">
        <f t="shared" si="4"/>
        <v>19699553.756576657</v>
      </c>
      <c r="G41" s="633">
        <f t="shared" si="4"/>
        <v>20996821.112646811</v>
      </c>
      <c r="H41" s="633">
        <f t="shared" si="4"/>
        <v>22240784.254677329</v>
      </c>
      <c r="I41" s="633">
        <f t="shared" si="4"/>
        <v>23499229.4680903</v>
      </c>
      <c r="J41" s="633">
        <f t="shared" si="4"/>
        <v>24837927.136772137</v>
      </c>
      <c r="K41" s="633">
        <f t="shared" si="4"/>
        <v>26305750.094042502</v>
      </c>
      <c r="L41" s="634">
        <f t="shared" si="4"/>
        <v>27990853.254737351</v>
      </c>
      <c r="M41" s="637"/>
    </row>
    <row r="42" spans="1:13" x14ac:dyDescent="0.2">
      <c r="A42" s="631" t="s">
        <v>169</v>
      </c>
      <c r="B42" s="635" t="e">
        <f>+SUM(#REF!)+(SUMPRODUCT('Total Market Size'!B$64:B$75,#REF!)+SUMPRODUCT('Total Market Size'!B$64:B$75,#REF!,'Many to Many Ass.'!$R$8:$R$19)/1000)*B41/$B$17</f>
        <v>#REF!</v>
      </c>
      <c r="C42" s="636" t="e">
        <f>+SUM(#REF!)+(SUMPRODUCT('Total Market Size'!C$64:C$75,#REF!)+SUMPRODUCT('Total Market Size'!C$64:C$75,#REF!,'Many to Many Ass.'!$R$8:$R$19)/1000)*C41/$B$17</f>
        <v>#REF!</v>
      </c>
      <c r="D42" s="636" t="e">
        <f>+SUM(#REF!)+(SUMPRODUCT('Total Market Size'!D$64:D$75,#REF!)+SUMPRODUCT('Total Market Size'!D$64:D$75,#REF!,'Many to Many Ass.'!$R$8:$R$19)/1000)*D41/$B$17</f>
        <v>#REF!</v>
      </c>
      <c r="E42" s="636" t="e">
        <f>+SUM(#REF!)+(SUMPRODUCT('Total Market Size'!E$64:E$75,#REF!)+SUMPRODUCT('Total Market Size'!E$64:E$75,#REF!,'Many to Many Ass.'!$R$8:$R$19)/1000)*E41/$B$17</f>
        <v>#REF!</v>
      </c>
      <c r="F42" s="636" t="e">
        <f>+SUM(#REF!)+(SUMPRODUCT('Total Market Size'!F$64:F$75,#REF!)+SUMPRODUCT('Total Market Size'!F$64:F$75,#REF!,'Many to Many Ass.'!$R$8:$R$19)/1000)*F41/$B$17</f>
        <v>#REF!</v>
      </c>
      <c r="G42" s="636" t="e">
        <f>+SUM(#REF!)+(SUMPRODUCT('Total Market Size'!G$64:G$75,#REF!)+SUMPRODUCT('Total Market Size'!G$64:G$75,#REF!,'Many to Many Ass.'!$R$8:$R$19)/1000)*G41/$B$17</f>
        <v>#REF!</v>
      </c>
      <c r="H42" s="636" t="e">
        <f>+SUM(#REF!)+(SUMPRODUCT('Total Market Size'!H$64:H$75,#REF!)+SUMPRODUCT('Total Market Size'!H$64:H$75,#REF!,'Many to Many Ass.'!$R$8:$R$19)/1000)*H41/$B$17</f>
        <v>#REF!</v>
      </c>
      <c r="I42" s="636" t="e">
        <f>+SUM(#REF!)+(SUMPRODUCT('Total Market Size'!I$64:I$75,#REF!)+SUMPRODUCT('Total Market Size'!I$64:I$75,#REF!,'Many to Many Ass.'!$R$8:$R$19)/1000)*I41/$B$17</f>
        <v>#REF!</v>
      </c>
      <c r="J42" s="636" t="e">
        <f>+SUM(#REF!)+(SUMPRODUCT('Total Market Size'!J$64:J$75,#REF!)+SUMPRODUCT('Total Market Size'!J$64:J$75,#REF!,'Many to Many Ass.'!$R$8:$R$19)/1000)*J41/$B$17</f>
        <v>#REF!</v>
      </c>
      <c r="K42" s="636" t="e">
        <f>+SUM(#REF!)+(SUMPRODUCT('Total Market Size'!K$64:K$75,#REF!)+SUMPRODUCT('Total Market Size'!K$64:K$75,#REF!,'Many to Many Ass.'!$R$8:$R$19)/1000)*K41/$B$17</f>
        <v>#REF!</v>
      </c>
      <c r="L42" s="637" t="e">
        <f>+SUM(#REF!)+(SUMPRODUCT('Total Market Size'!L$64:L$75,#REF!)+SUMPRODUCT('Total Market Size'!L$64:L$75,#REF!,'Many to Many Ass.'!$R$8:$R$19)/1000)*L41/$B$17</f>
        <v>#REF!</v>
      </c>
      <c r="M42" s="637"/>
    </row>
    <row r="43" spans="1:13" x14ac:dyDescent="0.2">
      <c r="A43" s="631" t="s">
        <v>129</v>
      </c>
      <c r="B43" s="635" t="e">
        <f>+#REF!/1000</f>
        <v>#REF!</v>
      </c>
      <c r="C43" s="636" t="e">
        <f t="shared" ref="C43:L43" si="5">+C31</f>
        <v>#REF!</v>
      </c>
      <c r="D43" s="636" t="e">
        <f t="shared" si="5"/>
        <v>#REF!</v>
      </c>
      <c r="E43" s="636" t="e">
        <f t="shared" si="5"/>
        <v>#REF!</v>
      </c>
      <c r="F43" s="636" t="e">
        <f t="shared" si="5"/>
        <v>#REF!</v>
      </c>
      <c r="G43" s="636" t="e">
        <f t="shared" si="5"/>
        <v>#REF!</v>
      </c>
      <c r="H43" s="636" t="e">
        <f t="shared" si="5"/>
        <v>#REF!</v>
      </c>
      <c r="I43" s="636" t="e">
        <f t="shared" si="5"/>
        <v>#REF!</v>
      </c>
      <c r="J43" s="636" t="e">
        <f t="shared" si="5"/>
        <v>#REF!</v>
      </c>
      <c r="K43" s="636" t="e">
        <f t="shared" si="5"/>
        <v>#REF!</v>
      </c>
      <c r="L43" s="637" t="e">
        <f t="shared" si="5"/>
        <v>#REF!</v>
      </c>
      <c r="M43" s="637"/>
    </row>
    <row r="44" spans="1:13" x14ac:dyDescent="0.2">
      <c r="A44" s="631" t="s">
        <v>131</v>
      </c>
      <c r="B44" s="635" t="e">
        <f t="shared" ref="B44:L44" si="6">+B42-B43</f>
        <v>#REF!</v>
      </c>
      <c r="C44" s="636" t="e">
        <f t="shared" si="6"/>
        <v>#REF!</v>
      </c>
      <c r="D44" s="636" t="e">
        <f t="shared" si="6"/>
        <v>#REF!</v>
      </c>
      <c r="E44" s="636" t="e">
        <f t="shared" si="6"/>
        <v>#REF!</v>
      </c>
      <c r="F44" s="636" t="e">
        <f t="shared" si="6"/>
        <v>#REF!</v>
      </c>
      <c r="G44" s="636" t="e">
        <f t="shared" si="6"/>
        <v>#REF!</v>
      </c>
      <c r="H44" s="636" t="e">
        <f t="shared" si="6"/>
        <v>#REF!</v>
      </c>
      <c r="I44" s="636" t="e">
        <f t="shared" si="6"/>
        <v>#REF!</v>
      </c>
      <c r="J44" s="636" t="e">
        <f t="shared" si="6"/>
        <v>#REF!</v>
      </c>
      <c r="K44" s="636" t="e">
        <f t="shared" si="6"/>
        <v>#REF!</v>
      </c>
      <c r="L44" s="637" t="e">
        <f t="shared" si="6"/>
        <v>#REF!</v>
      </c>
      <c r="M44" s="637" t="e">
        <f>+L44/(#REF!-#REF!)*(1+#REF!)</f>
        <v>#REF!</v>
      </c>
    </row>
    <row r="45" spans="1:13" ht="13.5" thickBot="1" x14ac:dyDescent="0.25">
      <c r="A45" s="638" t="s">
        <v>132</v>
      </c>
      <c r="B45" s="639" t="e">
        <f>+B44</f>
        <v>#REF!</v>
      </c>
      <c r="C45" s="640" t="e">
        <f>+C44/(1+'Many to Many Ass.'!$B$134)^(#REF!-2001)</f>
        <v>#REF!</v>
      </c>
      <c r="D45" s="640" t="e">
        <f>+D44/(1+'Many to Many Ass.'!$B$134)^(#REF!-2001)</f>
        <v>#REF!</v>
      </c>
      <c r="E45" s="640" t="e">
        <f>+E44/(1+'Many to Many Ass.'!$B$134)^(#REF!-2001)</f>
        <v>#REF!</v>
      </c>
      <c r="F45" s="640" t="e">
        <f>+F44/(1+'Many to Many Ass.'!$B$134)^(#REF!-2001)</f>
        <v>#REF!</v>
      </c>
      <c r="G45" s="640" t="e">
        <f>+G44/(1+'Many to Many Ass.'!$B$134)^(#REF!-2001)</f>
        <v>#REF!</v>
      </c>
      <c r="H45" s="640" t="e">
        <f>+H44/(1+'Many to Many Ass.'!$B$134)^(#REF!-2001)</f>
        <v>#REF!</v>
      </c>
      <c r="I45" s="640" t="e">
        <f>+I44/(1+'Many to Many Ass.'!$B$134)^(#REF!-2001)</f>
        <v>#REF!</v>
      </c>
      <c r="J45" s="640" t="e">
        <f>+J44/(1+'Many to Many Ass.'!$B$134)^(#REF!-2001)</f>
        <v>#REF!</v>
      </c>
      <c r="K45" s="640" t="e">
        <f>+K44/(1+'Many to Many Ass.'!$B$134)^(#REF!-2001)</f>
        <v>#REF!</v>
      </c>
      <c r="L45" s="641" t="e">
        <f>+L44/(1+'Many to Many Ass.'!$B$134)^(#REF!-2001)</f>
        <v>#REF!</v>
      </c>
      <c r="M45" s="641" t="e">
        <f>+M44/(1+#REF!)^(L39-2001)</f>
        <v>#REF!</v>
      </c>
    </row>
    <row r="46" spans="1:13" ht="13.5" thickBot="1" x14ac:dyDescent="0.25"/>
    <row r="47" spans="1:13" ht="13.5" thickBot="1" x14ac:dyDescent="0.25">
      <c r="A47" s="648" t="s">
        <v>135</v>
      </c>
      <c r="B47" s="649" t="e">
        <f>SUM(B45:M45)</f>
        <v>#REF!</v>
      </c>
      <c r="D47" s="650" t="s">
        <v>261</v>
      </c>
      <c r="E47" s="605"/>
      <c r="F47" s="605"/>
      <c r="G47" s="605"/>
      <c r="H47" s="605"/>
      <c r="I47" s="605"/>
      <c r="J47" s="605"/>
      <c r="K47" s="605"/>
    </row>
    <row r="49" spans="1:13" ht="13.5" thickBot="1" x14ac:dyDescent="0.25"/>
    <row r="50" spans="1:13" ht="13.5" thickBot="1" x14ac:dyDescent="0.25">
      <c r="A50" s="642" t="s">
        <v>174</v>
      </c>
      <c r="B50" s="701" t="s">
        <v>115</v>
      </c>
      <c r="C50" s="702"/>
      <c r="D50" s="702"/>
      <c r="E50" s="702"/>
      <c r="F50" s="702"/>
      <c r="G50" s="702"/>
      <c r="H50" s="702"/>
      <c r="I50" s="702"/>
      <c r="J50" s="702"/>
      <c r="K50" s="702"/>
      <c r="L50" s="703"/>
      <c r="M50" s="704" t="s">
        <v>133</v>
      </c>
    </row>
    <row r="51" spans="1:13" ht="13.5" thickBot="1" x14ac:dyDescent="0.25">
      <c r="B51" s="624">
        <v>2001</v>
      </c>
      <c r="C51" s="625">
        <v>2002</v>
      </c>
      <c r="D51" s="625">
        <v>2003</v>
      </c>
      <c r="E51" s="625">
        <v>2004</v>
      </c>
      <c r="F51" s="625">
        <v>2005</v>
      </c>
      <c r="G51" s="625">
        <v>2006</v>
      </c>
      <c r="H51" s="625">
        <v>2007</v>
      </c>
      <c r="I51" s="625">
        <v>2008</v>
      </c>
      <c r="J51" s="625">
        <v>2009</v>
      </c>
      <c r="K51" s="625">
        <v>2010</v>
      </c>
      <c r="L51" s="626">
        <v>2011</v>
      </c>
      <c r="M51" s="705"/>
    </row>
    <row r="52" spans="1:13" x14ac:dyDescent="0.2">
      <c r="A52" s="643"/>
      <c r="B52" s="644"/>
      <c r="C52" s="645"/>
      <c r="D52" s="645"/>
      <c r="E52" s="645"/>
      <c r="F52" s="645"/>
      <c r="G52" s="645"/>
      <c r="H52" s="645"/>
      <c r="I52" s="645"/>
      <c r="J52" s="645"/>
      <c r="K52" s="645"/>
      <c r="L52" s="646"/>
      <c r="M52" s="647"/>
    </row>
    <row r="53" spans="1:13" x14ac:dyDescent="0.2">
      <c r="A53" s="631" t="s">
        <v>175</v>
      </c>
      <c r="B53" s="632">
        <f>+B11</f>
        <v>870465.34497221978</v>
      </c>
      <c r="C53" s="633">
        <f t="shared" ref="C53:L53" si="7">+C11</f>
        <v>1309121.789652633</v>
      </c>
      <c r="D53" s="633">
        <f t="shared" si="7"/>
        <v>1532918.6184401524</v>
      </c>
      <c r="E53" s="633">
        <f t="shared" si="7"/>
        <v>1714760.9516455259</v>
      </c>
      <c r="F53" s="633">
        <f t="shared" si="7"/>
        <v>1891083.3390982116</v>
      </c>
      <c r="G53" s="633">
        <f t="shared" si="7"/>
        <v>2080171.968035741</v>
      </c>
      <c r="H53" s="633">
        <f t="shared" si="7"/>
        <v>2288427.919077104</v>
      </c>
      <c r="I53" s="633">
        <f t="shared" si="7"/>
        <v>2525508.0833010338</v>
      </c>
      <c r="J53" s="633">
        <f t="shared" si="7"/>
        <v>2802875.6978200674</v>
      </c>
      <c r="K53" s="633">
        <f t="shared" si="7"/>
        <v>3132227.2154329601</v>
      </c>
      <c r="L53" s="634">
        <f t="shared" si="7"/>
        <v>3531792.0575224985</v>
      </c>
      <c r="M53" s="637"/>
    </row>
    <row r="54" spans="1:13" x14ac:dyDescent="0.2">
      <c r="A54" s="631" t="s">
        <v>157</v>
      </c>
      <c r="B54" s="635" t="e">
        <f>+SUM(#REF!)+(SUMPRODUCT('Total Market Size'!B$64:B$75,#REF!)+SUMPRODUCT('Total Market Size'!B$64:B$75,#REF!,'Many to Many Ass.'!$R$8:$R$19)/1000)*B53/$B$17</f>
        <v>#REF!</v>
      </c>
      <c r="C54" s="636" t="e">
        <f>+SUM(#REF!)+(SUMPRODUCT('Total Market Size'!C$64:C$75,#REF!)+SUMPRODUCT('Total Market Size'!C$64:C$75,#REF!,'Many to Many Ass.'!$R$8:$R$19)/1000)*C53/$B$17</f>
        <v>#REF!</v>
      </c>
      <c r="D54" s="636" t="e">
        <f>+SUM(#REF!)+(SUMPRODUCT('Total Market Size'!D$64:D$75,#REF!)+SUMPRODUCT('Total Market Size'!D$64:D$75,#REF!,'Many to Many Ass.'!$R$8:$R$19)/1000)*D53/$B$17</f>
        <v>#REF!</v>
      </c>
      <c r="E54" s="636" t="e">
        <f>+SUM(#REF!)+(SUMPRODUCT('Total Market Size'!E$64:E$75,#REF!)+SUMPRODUCT('Total Market Size'!E$64:E$75,#REF!,'Many to Many Ass.'!$R$8:$R$19)/1000)*E53/$B$17</f>
        <v>#REF!</v>
      </c>
      <c r="F54" s="636" t="e">
        <f>+SUM(#REF!)+(SUMPRODUCT('Total Market Size'!F$64:F$75,#REF!)+SUMPRODUCT('Total Market Size'!F$64:F$75,#REF!,'Many to Many Ass.'!$R$8:$R$19)/1000)*F53/$B$17</f>
        <v>#REF!</v>
      </c>
      <c r="G54" s="636" t="e">
        <f>+SUM(#REF!)+(SUMPRODUCT('Total Market Size'!G$64:G$75,#REF!)+SUMPRODUCT('Total Market Size'!G$64:G$75,#REF!,'Many to Many Ass.'!$R$8:$R$19)/1000)*G53/$B$17</f>
        <v>#REF!</v>
      </c>
      <c r="H54" s="636" t="e">
        <f>+SUM(#REF!)+(SUMPRODUCT('Total Market Size'!H$64:H$75,#REF!)+SUMPRODUCT('Total Market Size'!H$64:H$75,#REF!,'Many to Many Ass.'!$R$8:$R$19)/1000)*H53/$B$17</f>
        <v>#REF!</v>
      </c>
      <c r="I54" s="636" t="e">
        <f>+SUM(#REF!)+(SUMPRODUCT('Total Market Size'!I$64:I$75,#REF!)+SUMPRODUCT('Total Market Size'!I$64:I$75,#REF!,'Many to Many Ass.'!$R$8:$R$19)/1000)*I53/$B$17</f>
        <v>#REF!</v>
      </c>
      <c r="J54" s="636" t="e">
        <f>+SUM(#REF!)+(SUMPRODUCT('Total Market Size'!J$64:J$75,#REF!)+SUMPRODUCT('Total Market Size'!J$64:J$75,#REF!,'Many to Many Ass.'!$R$8:$R$19)/1000)*J53/$B$17</f>
        <v>#REF!</v>
      </c>
      <c r="K54" s="636" t="e">
        <f>+SUM(#REF!)+(SUMPRODUCT('Total Market Size'!K$64:K$75,#REF!)+SUMPRODUCT('Total Market Size'!K$64:K$75,#REF!,'Many to Many Ass.'!$R$8:$R$19)/1000)*K53/$B$17</f>
        <v>#REF!</v>
      </c>
      <c r="L54" s="637" t="e">
        <f>+SUM(#REF!)+(SUMPRODUCT('Total Market Size'!L$64:L$75,#REF!)+SUMPRODUCT('Total Market Size'!L$64:L$75,#REF!,'Many to Many Ass.'!$R$8:$R$19)/1000)*L53/$B$17</f>
        <v>#REF!</v>
      </c>
      <c r="M54" s="637"/>
    </row>
    <row r="55" spans="1:13" x14ac:dyDescent="0.2">
      <c r="A55" s="631" t="s">
        <v>129</v>
      </c>
      <c r="B55" s="635" t="e">
        <f>+#REF!/1000</f>
        <v>#REF!</v>
      </c>
      <c r="C55" s="636" t="e">
        <f t="shared" ref="C55:L55" si="8">+C43</f>
        <v>#REF!</v>
      </c>
      <c r="D55" s="636" t="e">
        <f t="shared" si="8"/>
        <v>#REF!</v>
      </c>
      <c r="E55" s="636" t="e">
        <f t="shared" si="8"/>
        <v>#REF!</v>
      </c>
      <c r="F55" s="636" t="e">
        <f t="shared" si="8"/>
        <v>#REF!</v>
      </c>
      <c r="G55" s="636" t="e">
        <f t="shared" si="8"/>
        <v>#REF!</v>
      </c>
      <c r="H55" s="636" t="e">
        <f t="shared" si="8"/>
        <v>#REF!</v>
      </c>
      <c r="I55" s="636" t="e">
        <f t="shared" si="8"/>
        <v>#REF!</v>
      </c>
      <c r="J55" s="636" t="e">
        <f t="shared" si="8"/>
        <v>#REF!</v>
      </c>
      <c r="K55" s="636" t="e">
        <f t="shared" si="8"/>
        <v>#REF!</v>
      </c>
      <c r="L55" s="637" t="e">
        <f t="shared" si="8"/>
        <v>#REF!</v>
      </c>
      <c r="M55" s="637"/>
    </row>
    <row r="56" spans="1:13" x14ac:dyDescent="0.2">
      <c r="A56" s="631" t="s">
        <v>131</v>
      </c>
      <c r="B56" s="635" t="e">
        <f t="shared" ref="B56:L56" si="9">+B54-B55</f>
        <v>#REF!</v>
      </c>
      <c r="C56" s="636" t="e">
        <f t="shared" si="9"/>
        <v>#REF!</v>
      </c>
      <c r="D56" s="636" t="e">
        <f t="shared" si="9"/>
        <v>#REF!</v>
      </c>
      <c r="E56" s="636" t="e">
        <f t="shared" si="9"/>
        <v>#REF!</v>
      </c>
      <c r="F56" s="636" t="e">
        <f t="shared" si="9"/>
        <v>#REF!</v>
      </c>
      <c r="G56" s="636" t="e">
        <f t="shared" si="9"/>
        <v>#REF!</v>
      </c>
      <c r="H56" s="636" t="e">
        <f t="shared" si="9"/>
        <v>#REF!</v>
      </c>
      <c r="I56" s="636" t="e">
        <f t="shared" si="9"/>
        <v>#REF!</v>
      </c>
      <c r="J56" s="636" t="e">
        <f t="shared" si="9"/>
        <v>#REF!</v>
      </c>
      <c r="K56" s="636" t="e">
        <f t="shared" si="9"/>
        <v>#REF!</v>
      </c>
      <c r="L56" s="637" t="e">
        <f t="shared" si="9"/>
        <v>#REF!</v>
      </c>
      <c r="M56" s="637" t="e">
        <f>+L56/(#REF!-#REF!)*(1+#REF!)</f>
        <v>#REF!</v>
      </c>
    </row>
    <row r="57" spans="1:13" ht="13.5" thickBot="1" x14ac:dyDescent="0.25">
      <c r="A57" s="638" t="s">
        <v>132</v>
      </c>
      <c r="B57" s="639" t="e">
        <f>+B56</f>
        <v>#REF!</v>
      </c>
      <c r="C57" s="640" t="e">
        <f>+C56/(1+'Many to Many Ass.'!$B$134)^(#REF!-2001)</f>
        <v>#REF!</v>
      </c>
      <c r="D57" s="640" t="e">
        <f>+D56/(1+'Many to Many Ass.'!$B$134)^(#REF!-2001)</f>
        <v>#REF!</v>
      </c>
      <c r="E57" s="640" t="e">
        <f>+E56/(1+'Many to Many Ass.'!$B$134)^(#REF!-2001)</f>
        <v>#REF!</v>
      </c>
      <c r="F57" s="640" t="e">
        <f>+F56/(1+'Many to Many Ass.'!$B$134)^(#REF!-2001)</f>
        <v>#REF!</v>
      </c>
      <c r="G57" s="640" t="e">
        <f>+G56/(1+'Many to Many Ass.'!$B$134)^(#REF!-2001)</f>
        <v>#REF!</v>
      </c>
      <c r="H57" s="640" t="e">
        <f>+H56/(1+'Many to Many Ass.'!$B$134)^(#REF!-2001)</f>
        <v>#REF!</v>
      </c>
      <c r="I57" s="640" t="e">
        <f>+I56/(1+'Many to Many Ass.'!$B$134)^(#REF!-2001)</f>
        <v>#REF!</v>
      </c>
      <c r="J57" s="640" t="e">
        <f>+J56/(1+'Many to Many Ass.'!$B$134)^(#REF!-2001)</f>
        <v>#REF!</v>
      </c>
      <c r="K57" s="640" t="e">
        <f>+K56/(1+'Many to Many Ass.'!$B$134)^(#REF!-2001)</f>
        <v>#REF!</v>
      </c>
      <c r="L57" s="641" t="e">
        <f>+L56/(1+'Many to Many Ass.'!$B$134)^(#REF!-2001)</f>
        <v>#REF!</v>
      </c>
      <c r="M57" s="641" t="e">
        <f>+M56/(1+#REF!)^(L51-2001)</f>
        <v>#REF!</v>
      </c>
    </row>
    <row r="58" spans="1:13" ht="13.5" thickBot="1" x14ac:dyDescent="0.25"/>
    <row r="59" spans="1:13" ht="13.5" thickBot="1" x14ac:dyDescent="0.25">
      <c r="A59" s="648" t="s">
        <v>135</v>
      </c>
      <c r="B59" s="649" t="e">
        <f>SUM(B57:M57)</f>
        <v>#REF!</v>
      </c>
      <c r="D59" s="650" t="s">
        <v>262</v>
      </c>
      <c r="E59" s="605"/>
      <c r="F59" s="605"/>
      <c r="G59" s="605"/>
      <c r="H59" s="605"/>
      <c r="I59" s="605"/>
      <c r="J59" s="605"/>
      <c r="K59" s="605"/>
      <c r="L59" s="605"/>
    </row>
    <row r="61" spans="1:13" ht="13.5" thickBot="1" x14ac:dyDescent="0.25"/>
    <row r="62" spans="1:13" ht="13.5" thickBot="1" x14ac:dyDescent="0.25">
      <c r="A62" s="642" t="s">
        <v>357</v>
      </c>
      <c r="B62" s="701" t="s">
        <v>115</v>
      </c>
      <c r="C62" s="702"/>
      <c r="D62" s="702"/>
      <c r="E62" s="702"/>
      <c r="F62" s="702"/>
      <c r="G62" s="702"/>
      <c r="H62" s="702"/>
      <c r="I62" s="702"/>
      <c r="J62" s="702"/>
      <c r="K62" s="702"/>
      <c r="L62" s="703"/>
      <c r="M62" s="704" t="s">
        <v>133</v>
      </c>
    </row>
    <row r="63" spans="1:13" ht="13.5" thickBot="1" x14ac:dyDescent="0.25">
      <c r="A63" s="642" t="s">
        <v>171</v>
      </c>
      <c r="B63" s="624">
        <v>2001</v>
      </c>
      <c r="C63" s="625">
        <v>2002</v>
      </c>
      <c r="D63" s="625">
        <v>2003</v>
      </c>
      <c r="E63" s="625">
        <v>2004</v>
      </c>
      <c r="F63" s="625">
        <v>2005</v>
      </c>
      <c r="G63" s="625">
        <v>2006</v>
      </c>
      <c r="H63" s="625">
        <v>2007</v>
      </c>
      <c r="I63" s="625">
        <v>2008</v>
      </c>
      <c r="J63" s="625">
        <v>2009</v>
      </c>
      <c r="K63" s="625">
        <v>2010</v>
      </c>
      <c r="L63" s="626">
        <v>2011</v>
      </c>
      <c r="M63" s="705"/>
    </row>
    <row r="64" spans="1:13" x14ac:dyDescent="0.2">
      <c r="A64" s="643"/>
      <c r="B64" s="644"/>
      <c r="C64" s="645"/>
      <c r="D64" s="645"/>
      <c r="E64" s="645"/>
      <c r="F64" s="645"/>
      <c r="G64" s="645"/>
      <c r="H64" s="645"/>
      <c r="I64" s="645"/>
      <c r="J64" s="645"/>
      <c r="K64" s="645"/>
      <c r="L64" s="646"/>
      <c r="M64" s="647"/>
    </row>
    <row r="65" spans="1:13" x14ac:dyDescent="0.2">
      <c r="A65" s="631" t="s">
        <v>175</v>
      </c>
      <c r="B65" s="632" t="e">
        <f>+B12</f>
        <v>#REF!</v>
      </c>
      <c r="C65" s="633" t="e">
        <f t="shared" ref="C65:L65" si="10">+C12</f>
        <v>#REF!</v>
      </c>
      <c r="D65" s="633" t="e">
        <f t="shared" si="10"/>
        <v>#REF!</v>
      </c>
      <c r="E65" s="633" t="e">
        <f t="shared" si="10"/>
        <v>#REF!</v>
      </c>
      <c r="F65" s="633" t="e">
        <f t="shared" si="10"/>
        <v>#REF!</v>
      </c>
      <c r="G65" s="633" t="e">
        <f t="shared" si="10"/>
        <v>#REF!</v>
      </c>
      <c r="H65" s="633" t="e">
        <f t="shared" si="10"/>
        <v>#REF!</v>
      </c>
      <c r="I65" s="633" t="e">
        <f t="shared" si="10"/>
        <v>#REF!</v>
      </c>
      <c r="J65" s="633" t="e">
        <f t="shared" si="10"/>
        <v>#REF!</v>
      </c>
      <c r="K65" s="633" t="e">
        <f t="shared" si="10"/>
        <v>#REF!</v>
      </c>
      <c r="L65" s="634" t="e">
        <f t="shared" si="10"/>
        <v>#REF!</v>
      </c>
      <c r="M65" s="637"/>
    </row>
    <row r="66" spans="1:13" x14ac:dyDescent="0.2">
      <c r="A66" s="631" t="s">
        <v>157</v>
      </c>
      <c r="B66" s="635" t="e">
        <f>+SUM(#REF!)+(SUMPRODUCT('Total Market Size'!B$64:B$75,#REF!)+SUMPRODUCT('Total Market Size'!B$64:B$75,#REF!,'Many to Many Ass.'!$R$8:$R$19)/1000)*B65/$B$17</f>
        <v>#REF!</v>
      </c>
      <c r="C66" s="636" t="e">
        <f>+SUM(#REF!)+(SUMPRODUCT('Total Market Size'!C$64:C$75,#REF!)+SUMPRODUCT('Total Market Size'!C$64:C$75,#REF!,'Many to Many Ass.'!$R$8:$R$19)/1000)*C65/$B$17</f>
        <v>#REF!</v>
      </c>
      <c r="D66" s="636" t="e">
        <f>+SUM(#REF!)+(SUMPRODUCT('Total Market Size'!D$64:D$75,#REF!)+SUMPRODUCT('Total Market Size'!D$64:D$75,#REF!,'Many to Many Ass.'!$R$8:$R$19)/1000)*D65/$B$17</f>
        <v>#REF!</v>
      </c>
      <c r="E66" s="636" t="e">
        <f>+SUM(#REF!)+(SUMPRODUCT('Total Market Size'!E$64:E$75,#REF!)+SUMPRODUCT('Total Market Size'!E$64:E$75,#REF!,'Many to Many Ass.'!$R$8:$R$19)/1000)*E65/$B$17</f>
        <v>#REF!</v>
      </c>
      <c r="F66" s="636" t="e">
        <f>+SUM(#REF!)+(SUMPRODUCT('Total Market Size'!F$64:F$75,#REF!)+SUMPRODUCT('Total Market Size'!F$64:F$75,#REF!,'Many to Many Ass.'!$R$8:$R$19)/1000)*F65/$B$17</f>
        <v>#REF!</v>
      </c>
      <c r="G66" s="636" t="e">
        <f>+SUM(#REF!)+(SUMPRODUCT('Total Market Size'!G$64:G$75,#REF!)+SUMPRODUCT('Total Market Size'!G$64:G$75,#REF!,'Many to Many Ass.'!$R$8:$R$19)/1000)*G65/$B$17</f>
        <v>#REF!</v>
      </c>
      <c r="H66" s="636" t="e">
        <f>+SUM(#REF!)+(SUMPRODUCT('Total Market Size'!H$64:H$75,#REF!)+SUMPRODUCT('Total Market Size'!H$64:H$75,#REF!,'Many to Many Ass.'!$R$8:$R$19)/1000)*H65/$B$17</f>
        <v>#REF!</v>
      </c>
      <c r="I66" s="636" t="e">
        <f>+SUM(#REF!)+(SUMPRODUCT('Total Market Size'!I$64:I$75,#REF!)+SUMPRODUCT('Total Market Size'!I$64:I$75,#REF!,'Many to Many Ass.'!$R$8:$R$19)/1000)*I65/$B$17</f>
        <v>#REF!</v>
      </c>
      <c r="J66" s="636" t="e">
        <f>+SUM(#REF!)+(SUMPRODUCT('Total Market Size'!J$64:J$75,#REF!)+SUMPRODUCT('Total Market Size'!J$64:J$75,#REF!,'Many to Many Ass.'!$R$8:$R$19)/1000)*J65/$B$17</f>
        <v>#REF!</v>
      </c>
      <c r="K66" s="636" t="e">
        <f>+SUM(#REF!)+(SUMPRODUCT('Total Market Size'!K$64:K$75,#REF!)+SUMPRODUCT('Total Market Size'!K$64:K$75,#REF!,'Many to Many Ass.'!$R$8:$R$19)/1000)*K65/$B$17</f>
        <v>#REF!</v>
      </c>
      <c r="L66" s="637" t="e">
        <f>+SUM(#REF!)+(SUMPRODUCT('Total Market Size'!L$64:L$75,#REF!)+SUMPRODUCT('Total Market Size'!L$64:L$75,#REF!,'Many to Many Ass.'!$R$8:$R$19)/1000)*L65/$B$17</f>
        <v>#REF!</v>
      </c>
      <c r="M66" s="637"/>
    </row>
    <row r="67" spans="1:13" x14ac:dyDescent="0.2">
      <c r="A67" s="631" t="s">
        <v>129</v>
      </c>
      <c r="B67" s="635" t="e">
        <f>+#REF!/1000</f>
        <v>#REF!</v>
      </c>
      <c r="C67" s="636" t="e">
        <f t="shared" ref="C67:L67" si="11">+C55</f>
        <v>#REF!</v>
      </c>
      <c r="D67" s="636" t="e">
        <f t="shared" si="11"/>
        <v>#REF!</v>
      </c>
      <c r="E67" s="636" t="e">
        <f t="shared" si="11"/>
        <v>#REF!</v>
      </c>
      <c r="F67" s="636" t="e">
        <f t="shared" si="11"/>
        <v>#REF!</v>
      </c>
      <c r="G67" s="636" t="e">
        <f t="shared" si="11"/>
        <v>#REF!</v>
      </c>
      <c r="H67" s="636" t="e">
        <f t="shared" si="11"/>
        <v>#REF!</v>
      </c>
      <c r="I67" s="636" t="e">
        <f t="shared" si="11"/>
        <v>#REF!</v>
      </c>
      <c r="J67" s="636" t="e">
        <f t="shared" si="11"/>
        <v>#REF!</v>
      </c>
      <c r="K67" s="636" t="e">
        <f t="shared" si="11"/>
        <v>#REF!</v>
      </c>
      <c r="L67" s="637" t="e">
        <f t="shared" si="11"/>
        <v>#REF!</v>
      </c>
      <c r="M67" s="637"/>
    </row>
    <row r="68" spans="1:13" x14ac:dyDescent="0.2">
      <c r="A68" s="631" t="s">
        <v>131</v>
      </c>
      <c r="B68" s="635" t="e">
        <f t="shared" ref="B68:L68" si="12">+B66-B67</f>
        <v>#REF!</v>
      </c>
      <c r="C68" s="636" t="e">
        <f t="shared" si="12"/>
        <v>#REF!</v>
      </c>
      <c r="D68" s="636" t="e">
        <f t="shared" si="12"/>
        <v>#REF!</v>
      </c>
      <c r="E68" s="636" t="e">
        <f t="shared" si="12"/>
        <v>#REF!</v>
      </c>
      <c r="F68" s="636" t="e">
        <f t="shared" si="12"/>
        <v>#REF!</v>
      </c>
      <c r="G68" s="636" t="e">
        <f t="shared" si="12"/>
        <v>#REF!</v>
      </c>
      <c r="H68" s="636" t="e">
        <f t="shared" si="12"/>
        <v>#REF!</v>
      </c>
      <c r="I68" s="636" t="e">
        <f t="shared" si="12"/>
        <v>#REF!</v>
      </c>
      <c r="J68" s="636" t="e">
        <f t="shared" si="12"/>
        <v>#REF!</v>
      </c>
      <c r="K68" s="636" t="e">
        <f t="shared" si="12"/>
        <v>#REF!</v>
      </c>
      <c r="L68" s="637" t="e">
        <f t="shared" si="12"/>
        <v>#REF!</v>
      </c>
      <c r="M68" s="637" t="e">
        <f>+L68/(#REF!-#REF!)*(1+#REF!)</f>
        <v>#REF!</v>
      </c>
    </row>
    <row r="69" spans="1:13" ht="13.5" thickBot="1" x14ac:dyDescent="0.25">
      <c r="A69" s="638" t="s">
        <v>132</v>
      </c>
      <c r="B69" s="639" t="e">
        <f>+B68</f>
        <v>#REF!</v>
      </c>
      <c r="C69" s="640" t="e">
        <f>+C68/(1+'Many to Many Ass.'!$B$134)^(#REF!-2001)</f>
        <v>#REF!</v>
      </c>
      <c r="D69" s="640" t="e">
        <f>+D68/(1+'Many to Many Ass.'!$B$134)^(#REF!-2001)</f>
        <v>#REF!</v>
      </c>
      <c r="E69" s="640" t="e">
        <f>+E68/(1+'Many to Many Ass.'!$B$134)^(#REF!-2001)</f>
        <v>#REF!</v>
      </c>
      <c r="F69" s="640" t="e">
        <f>+F68/(1+'Many to Many Ass.'!$B$134)^(#REF!-2001)</f>
        <v>#REF!</v>
      </c>
      <c r="G69" s="640" t="e">
        <f>+G68/(1+'Many to Many Ass.'!$B$134)^(#REF!-2001)</f>
        <v>#REF!</v>
      </c>
      <c r="H69" s="640" t="e">
        <f>+H68/(1+'Many to Many Ass.'!$B$134)^(#REF!-2001)</f>
        <v>#REF!</v>
      </c>
      <c r="I69" s="640" t="e">
        <f>+I68/(1+'Many to Many Ass.'!$B$134)^(#REF!-2001)</f>
        <v>#REF!</v>
      </c>
      <c r="J69" s="640" t="e">
        <f>+J68/(1+'Many to Many Ass.'!$B$134)^(#REF!-2001)</f>
        <v>#REF!</v>
      </c>
      <c r="K69" s="640" t="e">
        <f>+K68/(1+'Many to Many Ass.'!$B$134)^(#REF!-2001)</f>
        <v>#REF!</v>
      </c>
      <c r="L69" s="641" t="e">
        <f>+L68/(1+'Many to Many Ass.'!$B$134)^(#REF!-2001)</f>
        <v>#REF!</v>
      </c>
      <c r="M69" s="641" t="e">
        <f>+M68/(1+#REF!)^(L63-2001)</f>
        <v>#REF!</v>
      </c>
    </row>
    <row r="70" spans="1:13" ht="13.5" thickBot="1" x14ac:dyDescent="0.25"/>
    <row r="71" spans="1:13" ht="13.5" thickBot="1" x14ac:dyDescent="0.25">
      <c r="A71" s="648" t="s">
        <v>135</v>
      </c>
      <c r="B71" s="649" t="e">
        <f>SUM(B69:M69)</f>
        <v>#REF!</v>
      </c>
      <c r="D71" s="650" t="s">
        <v>262</v>
      </c>
      <c r="E71" s="605"/>
      <c r="F71" s="605"/>
      <c r="G71" s="605"/>
      <c r="H71" s="605"/>
      <c r="I71" s="605"/>
      <c r="J71" s="605"/>
      <c r="K71" s="605"/>
      <c r="L71" s="605"/>
    </row>
  </sheetData>
  <mergeCells count="11">
    <mergeCell ref="M50:M51"/>
    <mergeCell ref="B4:L4"/>
    <mergeCell ref="B14:L14"/>
    <mergeCell ref="M14:M15"/>
    <mergeCell ref="B26:L26"/>
    <mergeCell ref="M26:M27"/>
    <mergeCell ref="B62:L62"/>
    <mergeCell ref="M62:M63"/>
    <mergeCell ref="B38:L38"/>
    <mergeCell ref="M38:M39"/>
    <mergeCell ref="B50:L50"/>
  </mergeCells>
  <printOptions horizontalCentered="1"/>
  <pageMargins left="0.75" right="0.75" top="1" bottom="1" header="0.5" footer="0.5"/>
  <pageSetup scale="5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workbookViewId="0">
      <selection activeCell="B8" sqref="B8"/>
    </sheetView>
  </sheetViews>
  <sheetFormatPr defaultRowHeight="12.75" x14ac:dyDescent="0.2"/>
  <cols>
    <col min="1" max="1" width="32.5703125" bestFit="1" customWidth="1"/>
    <col min="2" max="2" width="11.28515625" bestFit="1" customWidth="1"/>
  </cols>
  <sheetData>
    <row r="1" spans="1:12" x14ac:dyDescent="0.2">
      <c r="A1" s="8" t="s">
        <v>564</v>
      </c>
    </row>
    <row r="2" spans="1:12" ht="13.5" thickBot="1" x14ac:dyDescent="0.25"/>
    <row r="3" spans="1:12" ht="13.5" thickBot="1" x14ac:dyDescent="0.25">
      <c r="B3" s="32">
        <v>2001</v>
      </c>
      <c r="C3" s="410">
        <v>2002</v>
      </c>
      <c r="D3" s="410">
        <v>2003</v>
      </c>
      <c r="E3" s="410">
        <v>2004</v>
      </c>
      <c r="F3" s="410">
        <v>2005</v>
      </c>
      <c r="G3" s="410">
        <v>2006</v>
      </c>
      <c r="H3" s="410">
        <v>2007</v>
      </c>
      <c r="I3" s="410">
        <v>2008</v>
      </c>
      <c r="J3" s="410">
        <v>2009</v>
      </c>
      <c r="K3" s="410">
        <v>2010</v>
      </c>
      <c r="L3" s="33">
        <v>2011</v>
      </c>
    </row>
    <row r="4" spans="1:12" x14ac:dyDescent="0.2">
      <c r="A4" s="122" t="s">
        <v>530</v>
      </c>
    </row>
    <row r="5" spans="1:12" x14ac:dyDescent="0.2">
      <c r="A5" s="124" t="s">
        <v>532</v>
      </c>
    </row>
    <row r="7" spans="1:12" x14ac:dyDescent="0.2">
      <c r="A7" t="s">
        <v>531</v>
      </c>
      <c r="B7" s="226">
        <f>+'Outsourcing and Acquisition Ass'!B13</f>
        <v>20000</v>
      </c>
      <c r="C7" s="226">
        <v>20000</v>
      </c>
      <c r="D7" s="226">
        <v>20000</v>
      </c>
      <c r="E7" s="226">
        <v>20000</v>
      </c>
      <c r="F7" s="226">
        <v>20000</v>
      </c>
      <c r="G7" s="226">
        <v>20000</v>
      </c>
      <c r="H7" s="226">
        <v>20000</v>
      </c>
      <c r="I7" s="226">
        <v>20000</v>
      </c>
      <c r="J7" s="226">
        <v>20000</v>
      </c>
      <c r="K7" s="226">
        <v>20000</v>
      </c>
      <c r="L7" s="226">
        <v>20000</v>
      </c>
    </row>
    <row r="8" spans="1:12" x14ac:dyDescent="0.2">
      <c r="A8" t="s">
        <v>533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 x14ac:dyDescent="0.2">
      <c r="A9" t="s">
        <v>534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</row>
    <row r="10" spans="1:12" x14ac:dyDescent="0.2">
      <c r="A10" t="s">
        <v>535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</row>
    <row r="11" spans="1:12" x14ac:dyDescent="0.2">
      <c r="A11" t="s">
        <v>536</v>
      </c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</row>
    <row r="12" spans="1:12" x14ac:dyDescent="0.2">
      <c r="A12" t="s">
        <v>537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</row>
    <row r="13" spans="1:12" x14ac:dyDescent="0.2"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</row>
    <row r="14" spans="1:12" x14ac:dyDescent="0.2">
      <c r="A14" t="s">
        <v>538</v>
      </c>
      <c r="B14" s="579">
        <f>SUM(B7:B13)</f>
        <v>20000</v>
      </c>
      <c r="C14" s="579">
        <f t="shared" ref="C14:L14" si="0">SUM(C7:C13)</f>
        <v>20000</v>
      </c>
      <c r="D14" s="579">
        <f t="shared" si="0"/>
        <v>20000</v>
      </c>
      <c r="E14" s="579">
        <f t="shared" si="0"/>
        <v>20000</v>
      </c>
      <c r="F14" s="579">
        <f t="shared" si="0"/>
        <v>20000</v>
      </c>
      <c r="G14" s="579">
        <f t="shared" si="0"/>
        <v>20000</v>
      </c>
      <c r="H14" s="579">
        <f t="shared" si="0"/>
        <v>20000</v>
      </c>
      <c r="I14" s="579">
        <f t="shared" si="0"/>
        <v>20000</v>
      </c>
      <c r="J14" s="579">
        <f t="shared" si="0"/>
        <v>20000</v>
      </c>
      <c r="K14" s="579">
        <f t="shared" si="0"/>
        <v>20000</v>
      </c>
      <c r="L14" s="579">
        <f t="shared" si="0"/>
        <v>20000</v>
      </c>
    </row>
    <row r="15" spans="1:12" x14ac:dyDescent="0.2"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</row>
    <row r="16" spans="1:12" x14ac:dyDescent="0.2">
      <c r="A16" s="124" t="s">
        <v>539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</row>
    <row r="17" spans="1:12" x14ac:dyDescent="0.2"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</row>
    <row r="18" spans="1:12" x14ac:dyDescent="0.2">
      <c r="A18" t="s">
        <v>540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</row>
    <row r="19" spans="1:12" x14ac:dyDescent="0.2">
      <c r="A19" t="s">
        <v>563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</row>
    <row r="20" spans="1:12" x14ac:dyDescent="0.2">
      <c r="A20" t="s">
        <v>541</v>
      </c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</row>
    <row r="21" spans="1:12" x14ac:dyDescent="0.2">
      <c r="A21" t="s">
        <v>542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2" x14ac:dyDescent="0.2">
      <c r="A22" t="s">
        <v>577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</row>
    <row r="23" spans="1:12" x14ac:dyDescent="0.2"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</row>
    <row r="24" spans="1:12" x14ac:dyDescent="0.2">
      <c r="A24" t="s">
        <v>543</v>
      </c>
      <c r="B24" s="579">
        <f>SUM(B18:B21)-B22</f>
        <v>0</v>
      </c>
      <c r="C24" s="579">
        <f t="shared" ref="C24:L24" si="1">SUM(C18:C21)-C22</f>
        <v>0</v>
      </c>
      <c r="D24" s="579">
        <f t="shared" si="1"/>
        <v>0</v>
      </c>
      <c r="E24" s="579">
        <f t="shared" si="1"/>
        <v>0</v>
      </c>
      <c r="F24" s="579">
        <f t="shared" si="1"/>
        <v>0</v>
      </c>
      <c r="G24" s="579">
        <f t="shared" si="1"/>
        <v>0</v>
      </c>
      <c r="H24" s="579">
        <f t="shared" si="1"/>
        <v>0</v>
      </c>
      <c r="I24" s="579">
        <f t="shared" si="1"/>
        <v>0</v>
      </c>
      <c r="J24" s="579">
        <f t="shared" si="1"/>
        <v>0</v>
      </c>
      <c r="K24" s="579">
        <f t="shared" si="1"/>
        <v>0</v>
      </c>
      <c r="L24" s="579">
        <f t="shared" si="1"/>
        <v>0</v>
      </c>
    </row>
    <row r="25" spans="1:12" x14ac:dyDescent="0.2"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2" x14ac:dyDescent="0.2">
      <c r="A26" t="s">
        <v>544</v>
      </c>
      <c r="B26" s="579"/>
      <c r="C26" s="579"/>
      <c r="D26" s="579"/>
      <c r="E26" s="579"/>
      <c r="F26" s="579"/>
      <c r="G26" s="579"/>
      <c r="H26" s="579"/>
      <c r="I26" s="579"/>
      <c r="J26" s="579"/>
      <c r="K26" s="579"/>
      <c r="L26" s="579"/>
    </row>
    <row r="27" spans="1:12" x14ac:dyDescent="0.2"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ht="13.5" thickBot="1" x14ac:dyDescent="0.25">
      <c r="A28" t="s">
        <v>11</v>
      </c>
      <c r="B28" s="580">
        <f>+B26+B24+B14</f>
        <v>20000</v>
      </c>
      <c r="C28" s="580">
        <f t="shared" ref="C28:L28" si="2">+C26+C24+C14</f>
        <v>20000</v>
      </c>
      <c r="D28" s="580">
        <f t="shared" si="2"/>
        <v>20000</v>
      </c>
      <c r="E28" s="580">
        <f t="shared" si="2"/>
        <v>20000</v>
      </c>
      <c r="F28" s="580">
        <f t="shared" si="2"/>
        <v>20000</v>
      </c>
      <c r="G28" s="580">
        <f t="shared" si="2"/>
        <v>20000</v>
      </c>
      <c r="H28" s="580">
        <f t="shared" si="2"/>
        <v>20000</v>
      </c>
      <c r="I28" s="580">
        <f t="shared" si="2"/>
        <v>20000</v>
      </c>
      <c r="J28" s="580">
        <f t="shared" si="2"/>
        <v>20000</v>
      </c>
      <c r="K28" s="580">
        <f t="shared" si="2"/>
        <v>20000</v>
      </c>
      <c r="L28" s="580">
        <f t="shared" si="2"/>
        <v>20000</v>
      </c>
    </row>
    <row r="29" spans="1:12" ht="13.5" thickTop="1" x14ac:dyDescent="0.2"/>
    <row r="30" spans="1:12" x14ac:dyDescent="0.2">
      <c r="A30" s="122" t="s">
        <v>553</v>
      </c>
    </row>
    <row r="32" spans="1:12" x14ac:dyDescent="0.2">
      <c r="A32" s="124" t="s">
        <v>545</v>
      </c>
    </row>
    <row r="34" spans="1:12" x14ac:dyDescent="0.2">
      <c r="A34" t="s">
        <v>548</v>
      </c>
    </row>
    <row r="35" spans="1:12" x14ac:dyDescent="0.2">
      <c r="A35" t="s">
        <v>546</v>
      </c>
    </row>
    <row r="36" spans="1:12" x14ac:dyDescent="0.2">
      <c r="A36" t="s">
        <v>547</v>
      </c>
    </row>
    <row r="38" spans="1:12" x14ac:dyDescent="0.2">
      <c r="A38" t="s">
        <v>549</v>
      </c>
      <c r="B38" s="577">
        <f>SUM(B34:B36)</f>
        <v>0</v>
      </c>
      <c r="C38" s="577">
        <f t="shared" ref="C38:L38" si="3">SUM(C34:C36)</f>
        <v>0</v>
      </c>
      <c r="D38" s="577">
        <f t="shared" si="3"/>
        <v>0</v>
      </c>
      <c r="E38" s="577">
        <f t="shared" si="3"/>
        <v>0</v>
      </c>
      <c r="F38" s="577">
        <f t="shared" si="3"/>
        <v>0</v>
      </c>
      <c r="G38" s="577">
        <f t="shared" si="3"/>
        <v>0</v>
      </c>
      <c r="H38" s="577">
        <f t="shared" si="3"/>
        <v>0</v>
      </c>
      <c r="I38" s="577">
        <f t="shared" si="3"/>
        <v>0</v>
      </c>
      <c r="J38" s="577">
        <f t="shared" si="3"/>
        <v>0</v>
      </c>
      <c r="K38" s="577">
        <f t="shared" si="3"/>
        <v>0</v>
      </c>
      <c r="L38" s="577">
        <f t="shared" si="3"/>
        <v>0</v>
      </c>
    </row>
    <row r="40" spans="1:12" x14ac:dyDescent="0.2">
      <c r="A40" s="124" t="s">
        <v>550</v>
      </c>
    </row>
    <row r="42" spans="1:12" x14ac:dyDescent="0.2">
      <c r="A42" s="541" t="s">
        <v>551</v>
      </c>
    </row>
    <row r="43" spans="1:12" x14ac:dyDescent="0.2">
      <c r="A43" t="s">
        <v>552</v>
      </c>
    </row>
    <row r="44" spans="1:12" x14ac:dyDescent="0.2">
      <c r="A44" t="s">
        <v>554</v>
      </c>
    </row>
    <row r="46" spans="1:12" x14ac:dyDescent="0.2">
      <c r="A46" t="s">
        <v>561</v>
      </c>
      <c r="B46" s="577">
        <f>SUM(B42:B44)</f>
        <v>0</v>
      </c>
      <c r="C46" s="577">
        <f t="shared" ref="C46:L46" si="4">SUM(C42:C44)</f>
        <v>0</v>
      </c>
      <c r="D46" s="577">
        <f t="shared" si="4"/>
        <v>0</v>
      </c>
      <c r="E46" s="577">
        <f t="shared" si="4"/>
        <v>0</v>
      </c>
      <c r="F46" s="577">
        <f t="shared" si="4"/>
        <v>0</v>
      </c>
      <c r="G46" s="577">
        <f t="shared" si="4"/>
        <v>0</v>
      </c>
      <c r="H46" s="577">
        <f t="shared" si="4"/>
        <v>0</v>
      </c>
      <c r="I46" s="577">
        <f t="shared" si="4"/>
        <v>0</v>
      </c>
      <c r="J46" s="577">
        <f t="shared" si="4"/>
        <v>0</v>
      </c>
      <c r="K46" s="577">
        <f t="shared" si="4"/>
        <v>0</v>
      </c>
      <c r="L46" s="577">
        <f t="shared" si="4"/>
        <v>0</v>
      </c>
    </row>
    <row r="47" spans="1:12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 ht="13.5" thickBot="1" x14ac:dyDescent="0.25">
      <c r="A48" t="s">
        <v>566</v>
      </c>
      <c r="B48" s="578">
        <f>+B46+B38</f>
        <v>0</v>
      </c>
      <c r="C48" s="578">
        <f t="shared" ref="C48:L48" si="5">+C46+C38</f>
        <v>0</v>
      </c>
      <c r="D48" s="578">
        <f t="shared" si="5"/>
        <v>0</v>
      </c>
      <c r="E48" s="578">
        <f t="shared" si="5"/>
        <v>0</v>
      </c>
      <c r="F48" s="578">
        <f t="shared" si="5"/>
        <v>0</v>
      </c>
      <c r="G48" s="578">
        <f t="shared" si="5"/>
        <v>0</v>
      </c>
      <c r="H48" s="578">
        <f t="shared" si="5"/>
        <v>0</v>
      </c>
      <c r="I48" s="578">
        <f t="shared" si="5"/>
        <v>0</v>
      </c>
      <c r="J48" s="578">
        <f t="shared" si="5"/>
        <v>0</v>
      </c>
      <c r="K48" s="578">
        <f t="shared" si="5"/>
        <v>0</v>
      </c>
      <c r="L48" s="578">
        <f t="shared" si="5"/>
        <v>0</v>
      </c>
    </row>
    <row r="49" spans="1:25" ht="13.5" thickTop="1" x14ac:dyDescent="0.2"/>
    <row r="50" spans="1:25" x14ac:dyDescent="0.2">
      <c r="A50" s="122" t="s">
        <v>555</v>
      </c>
    </row>
    <row r="51" spans="1:25" x14ac:dyDescent="0.2">
      <c r="A51" s="122"/>
    </row>
    <row r="52" spans="1:25" x14ac:dyDescent="0.2">
      <c r="A52" t="s">
        <v>556</v>
      </c>
    </row>
    <row r="53" spans="1:25" x14ac:dyDescent="0.2">
      <c r="A53" t="s">
        <v>557</v>
      </c>
    </row>
    <row r="54" spans="1:25" x14ac:dyDescent="0.2">
      <c r="A54" t="s">
        <v>558</v>
      </c>
    </row>
    <row r="55" spans="1:25" x14ac:dyDescent="0.2">
      <c r="A55" t="s">
        <v>559</v>
      </c>
    </row>
    <row r="56" spans="1:25" x14ac:dyDescent="0.2">
      <c r="A56" t="s">
        <v>560</v>
      </c>
    </row>
    <row r="58" spans="1:25" x14ac:dyDescent="0.2">
      <c r="A58" t="s">
        <v>562</v>
      </c>
      <c r="B58" s="577">
        <f>SUM(B52:B56)</f>
        <v>0</v>
      </c>
      <c r="C58" s="577">
        <f t="shared" ref="C58:L58" si="6">SUM(C52:C56)</f>
        <v>0</v>
      </c>
      <c r="D58" s="577">
        <f t="shared" si="6"/>
        <v>0</v>
      </c>
      <c r="E58" s="577">
        <f t="shared" si="6"/>
        <v>0</v>
      </c>
      <c r="F58" s="577">
        <f t="shared" si="6"/>
        <v>0</v>
      </c>
      <c r="G58" s="577">
        <f t="shared" si="6"/>
        <v>0</v>
      </c>
      <c r="H58" s="577">
        <f t="shared" si="6"/>
        <v>0</v>
      </c>
      <c r="I58" s="577">
        <f t="shared" si="6"/>
        <v>0</v>
      </c>
      <c r="J58" s="577">
        <f t="shared" si="6"/>
        <v>0</v>
      </c>
      <c r="K58" s="577">
        <f t="shared" si="6"/>
        <v>0</v>
      </c>
      <c r="L58" s="577">
        <f t="shared" si="6"/>
        <v>0</v>
      </c>
    </row>
    <row r="60" spans="1:25" ht="13.5" thickBot="1" x14ac:dyDescent="0.25">
      <c r="A60" t="s">
        <v>565</v>
      </c>
      <c r="B60" s="581">
        <f>+B58+B48</f>
        <v>0</v>
      </c>
      <c r="C60" s="581">
        <f t="shared" ref="C60:L60" si="7">+C58+C48</f>
        <v>0</v>
      </c>
      <c r="D60" s="581">
        <f t="shared" si="7"/>
        <v>0</v>
      </c>
      <c r="E60" s="581">
        <f t="shared" si="7"/>
        <v>0</v>
      </c>
      <c r="F60" s="581">
        <f t="shared" si="7"/>
        <v>0</v>
      </c>
      <c r="G60" s="581">
        <f t="shared" si="7"/>
        <v>0</v>
      </c>
      <c r="H60" s="581">
        <f t="shared" si="7"/>
        <v>0</v>
      </c>
      <c r="I60" s="581">
        <f t="shared" si="7"/>
        <v>0</v>
      </c>
      <c r="J60" s="581">
        <f t="shared" si="7"/>
        <v>0</v>
      </c>
      <c r="K60" s="581">
        <f t="shared" si="7"/>
        <v>0</v>
      </c>
      <c r="L60" s="581">
        <f t="shared" si="7"/>
        <v>0</v>
      </c>
      <c r="M60" s="581">
        <f t="shared" ref="M60:Y60" si="8">+M58+M48</f>
        <v>0</v>
      </c>
      <c r="N60" s="581">
        <f t="shared" si="8"/>
        <v>0</v>
      </c>
      <c r="O60" s="581">
        <f t="shared" si="8"/>
        <v>0</v>
      </c>
      <c r="P60" s="581">
        <f t="shared" si="8"/>
        <v>0</v>
      </c>
      <c r="Q60" s="581">
        <f t="shared" si="8"/>
        <v>0</v>
      </c>
      <c r="R60" s="581">
        <f t="shared" si="8"/>
        <v>0</v>
      </c>
      <c r="S60" s="581">
        <f t="shared" si="8"/>
        <v>0</v>
      </c>
      <c r="T60" s="581">
        <f t="shared" si="8"/>
        <v>0</v>
      </c>
      <c r="U60" s="581">
        <f t="shared" si="8"/>
        <v>0</v>
      </c>
      <c r="V60" s="581">
        <f t="shared" si="8"/>
        <v>0</v>
      </c>
      <c r="W60" s="581">
        <f t="shared" si="8"/>
        <v>0</v>
      </c>
      <c r="X60" s="581">
        <f t="shared" si="8"/>
        <v>0</v>
      </c>
      <c r="Y60" s="581">
        <f t="shared" si="8"/>
        <v>0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zoomScale="67" workbookViewId="0">
      <selection activeCell="E2" sqref="E2"/>
    </sheetView>
  </sheetViews>
  <sheetFormatPr defaultRowHeight="12.75" x14ac:dyDescent="0.2"/>
  <cols>
    <col min="1" max="1" width="43.42578125" style="605" customWidth="1"/>
    <col min="2" max="6" width="15.85546875" style="621" bestFit="1" customWidth="1"/>
    <col min="7" max="7" width="15.42578125" style="621" bestFit="1" customWidth="1"/>
    <col min="8" max="10" width="15.85546875" style="621" bestFit="1" customWidth="1"/>
    <col min="11" max="11" width="14.42578125" style="621" customWidth="1"/>
    <col min="12" max="12" width="15.42578125" style="621" bestFit="1" customWidth="1"/>
    <col min="13" max="13" width="12.42578125" style="605" customWidth="1"/>
    <col min="14" max="16384" width="9.140625" style="605"/>
  </cols>
  <sheetData>
    <row r="1" spans="1:13" ht="26.25" x14ac:dyDescent="0.4">
      <c r="A1" s="604" t="s">
        <v>259</v>
      </c>
    </row>
    <row r="2" spans="1:13" ht="14.25" customHeight="1" x14ac:dyDescent="0.2">
      <c r="A2" s="622"/>
    </row>
    <row r="3" spans="1:13" ht="12.75" customHeight="1" thickBot="1" x14ac:dyDescent="0.25">
      <c r="A3" s="622"/>
    </row>
    <row r="4" spans="1:13" ht="17.25" customHeight="1" thickBot="1" x14ac:dyDescent="0.25">
      <c r="A4" s="623" t="s">
        <v>170</v>
      </c>
      <c r="B4" s="698" t="s">
        <v>115</v>
      </c>
      <c r="C4" s="699"/>
      <c r="D4" s="699"/>
      <c r="E4" s="699"/>
      <c r="F4" s="699"/>
      <c r="G4" s="699"/>
      <c r="H4" s="699"/>
      <c r="I4" s="699"/>
      <c r="J4" s="699"/>
      <c r="K4" s="699"/>
      <c r="L4" s="700"/>
    </row>
    <row r="5" spans="1:13" ht="13.5" thickBot="1" x14ac:dyDescent="0.25">
      <c r="B5" s="624">
        <v>2001</v>
      </c>
      <c r="C5" s="625">
        <v>2002</v>
      </c>
      <c r="D5" s="625">
        <v>2003</v>
      </c>
      <c r="E5" s="625">
        <v>2004</v>
      </c>
      <c r="F5" s="625">
        <v>2005</v>
      </c>
      <c r="G5" s="625">
        <v>2006</v>
      </c>
      <c r="H5" s="625">
        <v>2007</v>
      </c>
      <c r="I5" s="625">
        <v>2008</v>
      </c>
      <c r="J5" s="625">
        <v>2009</v>
      </c>
      <c r="K5" s="625">
        <v>2010</v>
      </c>
      <c r="L5" s="626">
        <v>2011</v>
      </c>
    </row>
    <row r="6" spans="1:13" x14ac:dyDescent="0.2">
      <c r="A6" s="627"/>
      <c r="B6" s="628"/>
      <c r="C6" s="629"/>
      <c r="D6" s="629"/>
      <c r="E6" s="629"/>
      <c r="F6" s="629"/>
      <c r="G6" s="629"/>
      <c r="H6" s="629"/>
      <c r="I6" s="629"/>
      <c r="J6" s="629"/>
      <c r="K6" s="629"/>
      <c r="L6" s="630"/>
    </row>
    <row r="7" spans="1:13" x14ac:dyDescent="0.2">
      <c r="A7" s="631" t="s">
        <v>165</v>
      </c>
      <c r="B7" s="632">
        <f>+'Total Market Size'!B19</f>
        <v>8610525.4947465882</v>
      </c>
      <c r="C7" s="633">
        <f>+'Total Market Size'!C19</f>
        <v>8820993.5811257586</v>
      </c>
      <c r="D7" s="633">
        <f>+'Total Market Size'!D19</f>
        <v>9014342.4527482744</v>
      </c>
      <c r="E7" s="633">
        <f>+'Total Market Size'!E19</f>
        <v>9235373.6267087366</v>
      </c>
      <c r="F7" s="633">
        <f>+'Total Market Size'!F19</f>
        <v>9478359.8398730382</v>
      </c>
      <c r="G7" s="633">
        <f>+'Total Market Size'!G19</f>
        <v>9756339.438057363</v>
      </c>
      <c r="H7" s="633">
        <f>+'Total Market Size'!H19</f>
        <v>10050832.763878206</v>
      </c>
      <c r="I7" s="633">
        <f>+'Total Market Size'!I19</f>
        <v>10367042.828613348</v>
      </c>
      <c r="J7" s="633">
        <f>+'Total Market Size'!J19</f>
        <v>10715077.162124271</v>
      </c>
      <c r="K7" s="633">
        <f>+'Total Market Size'!K19</f>
        <v>11098612.586084101</v>
      </c>
      <c r="L7" s="634">
        <f>+'Total Market Size'!L19</f>
        <v>11536843.821971301</v>
      </c>
    </row>
    <row r="8" spans="1:13" x14ac:dyDescent="0.2">
      <c r="A8" s="631" t="s">
        <v>185</v>
      </c>
      <c r="B8" s="635">
        <f>+'Total Market Size'!B76</f>
        <v>56556544.815782182</v>
      </c>
      <c r="C8" s="636">
        <f>+'Total Market Size'!C76</f>
        <v>58006457.346544936</v>
      </c>
      <c r="D8" s="636">
        <f>+'Total Market Size'!D76</f>
        <v>59369734.493475646</v>
      </c>
      <c r="E8" s="636">
        <f>+'Total Market Size'!E76</f>
        <v>60948456.332331881</v>
      </c>
      <c r="F8" s="636">
        <f>+'Total Market Size'!F76</f>
        <v>62717142.26497528</v>
      </c>
      <c r="G8" s="636">
        <f>+'Total Market Size'!G76</f>
        <v>64777318.047849417</v>
      </c>
      <c r="H8" s="636">
        <f>+'Total Market Size'!H76</f>
        <v>67029918.455082729</v>
      </c>
      <c r="I8" s="636">
        <f>+'Total Market Size'!I76</f>
        <v>69538517.438829228</v>
      </c>
      <c r="J8" s="636">
        <f>+'Total Market Size'!J76</f>
        <v>72409118.724152237</v>
      </c>
      <c r="K8" s="636">
        <f>+'Total Market Size'!K76</f>
        <v>75719592.245579183</v>
      </c>
      <c r="L8" s="637">
        <f>+'Total Market Size'!L76</f>
        <v>79668193.375871941</v>
      </c>
    </row>
    <row r="9" spans="1:13" x14ac:dyDescent="0.2">
      <c r="A9" s="631" t="s">
        <v>251</v>
      </c>
      <c r="B9" s="635">
        <f>+'Total Market Size'!B95</f>
        <v>11427064.136070754</v>
      </c>
      <c r="C9" s="636">
        <f>+'Total Market Size'!C95</f>
        <v>20419141.6068758</v>
      </c>
      <c r="D9" s="636">
        <f>+'Total Market Size'!D95</f>
        <v>24490525.700923692</v>
      </c>
      <c r="E9" s="636">
        <f>+'Total Market Size'!E95</f>
        <v>27250384.214729179</v>
      </c>
      <c r="F9" s="636">
        <f>+'Total Market Size'!F95</f>
        <v>29475570.220312424</v>
      </c>
      <c r="G9" s="636">
        <f>+'Total Market Size'!G95</f>
        <v>31497329.909982536</v>
      </c>
      <c r="H9" s="636">
        <f>+'Total Market Size'!H95</f>
        <v>33393753.793621957</v>
      </c>
      <c r="I9" s="636">
        <f>+'Total Market Size'!I95</f>
        <v>35256336.029869989</v>
      </c>
      <c r="J9" s="636">
        <f>+'Total Market Size'!J95</f>
        <v>37168529.603287525</v>
      </c>
      <c r="K9" s="636">
        <f>+'Total Market Size'!K95</f>
        <v>39181038.879226461</v>
      </c>
      <c r="L9" s="637">
        <f>+'Total Market Size'!L95</f>
        <v>41395290.205303036</v>
      </c>
    </row>
    <row r="10" spans="1:13" x14ac:dyDescent="0.2">
      <c r="A10" s="631" t="s">
        <v>252</v>
      </c>
      <c r="B10" s="635">
        <f>+'Total Market Size'!B114</f>
        <v>7978651.0571019305</v>
      </c>
      <c r="C10" s="636">
        <f>+'Total Market Size'!C114</f>
        <v>13952420.473403119</v>
      </c>
      <c r="D10" s="636">
        <f>+'Total Market Size'!D114</f>
        <v>16553083.592469534</v>
      </c>
      <c r="E10" s="636">
        <f>+'Total Market Size'!E114</f>
        <v>18292795.804483328</v>
      </c>
      <c r="F10" s="636">
        <f>+'Total Market Size'!F114</f>
        <v>19699553.756576657</v>
      </c>
      <c r="G10" s="636">
        <f>+'Total Market Size'!G114</f>
        <v>20996821.112646811</v>
      </c>
      <c r="H10" s="636">
        <f>+'Total Market Size'!H114</f>
        <v>22240784.254677329</v>
      </c>
      <c r="I10" s="636">
        <f>+'Total Market Size'!I114</f>
        <v>23499229.4680903</v>
      </c>
      <c r="J10" s="636">
        <f>+'Total Market Size'!J114</f>
        <v>24837927.136772137</v>
      </c>
      <c r="K10" s="636">
        <f>+'Total Market Size'!K114</f>
        <v>26305750.094042502</v>
      </c>
      <c r="L10" s="637">
        <f>+'Total Market Size'!L114</f>
        <v>27990853.254737351</v>
      </c>
    </row>
    <row r="11" spans="1:13" x14ac:dyDescent="0.2">
      <c r="A11" s="631" t="s">
        <v>166</v>
      </c>
      <c r="B11" s="635">
        <f>+'Total Market Size'!B133</f>
        <v>870465.34497221978</v>
      </c>
      <c r="C11" s="636">
        <f>+'Total Market Size'!C133</f>
        <v>1309121.789652633</v>
      </c>
      <c r="D11" s="636">
        <f>+'Total Market Size'!D133</f>
        <v>1532918.6184401524</v>
      </c>
      <c r="E11" s="636">
        <f>+'Total Market Size'!E133</f>
        <v>1714760.9516455259</v>
      </c>
      <c r="F11" s="636">
        <f>+'Total Market Size'!F133</f>
        <v>1891083.3390982116</v>
      </c>
      <c r="G11" s="636">
        <f>+'Total Market Size'!G133</f>
        <v>2080171.968035741</v>
      </c>
      <c r="H11" s="636">
        <f>+'Total Market Size'!H133</f>
        <v>2288427.919077104</v>
      </c>
      <c r="I11" s="636">
        <f>+'Total Market Size'!I133</f>
        <v>2525508.0833010338</v>
      </c>
      <c r="J11" s="636">
        <f>+'Total Market Size'!J133</f>
        <v>2802875.6978200674</v>
      </c>
      <c r="K11" s="636">
        <f>+'Total Market Size'!K133</f>
        <v>3132227.2154329601</v>
      </c>
      <c r="L11" s="637">
        <f>+'Total Market Size'!L133</f>
        <v>3531792.0575224985</v>
      </c>
    </row>
    <row r="12" spans="1:13" ht="13.5" thickBot="1" x14ac:dyDescent="0.25">
      <c r="A12" s="638" t="s">
        <v>356</v>
      </c>
      <c r="B12" s="639" t="e">
        <f>+'Total Market Size'!#REF!</f>
        <v>#REF!</v>
      </c>
      <c r="C12" s="640" t="e">
        <f>+'Total Market Size'!#REF!</f>
        <v>#REF!</v>
      </c>
      <c r="D12" s="640" t="e">
        <f>+'Total Market Size'!#REF!</f>
        <v>#REF!</v>
      </c>
      <c r="E12" s="640" t="e">
        <f>+'Total Market Size'!#REF!</f>
        <v>#REF!</v>
      </c>
      <c r="F12" s="640" t="e">
        <f>+'Total Market Size'!#REF!</f>
        <v>#REF!</v>
      </c>
      <c r="G12" s="640" t="e">
        <f>+'Total Market Size'!#REF!</f>
        <v>#REF!</v>
      </c>
      <c r="H12" s="640" t="e">
        <f>+'Total Market Size'!#REF!</f>
        <v>#REF!</v>
      </c>
      <c r="I12" s="640" t="e">
        <f>+'Total Market Size'!#REF!</f>
        <v>#REF!</v>
      </c>
      <c r="J12" s="640" t="e">
        <f>+'Total Market Size'!#REF!</f>
        <v>#REF!</v>
      </c>
      <c r="K12" s="640" t="e">
        <f>+'Total Market Size'!#REF!</f>
        <v>#REF!</v>
      </c>
      <c r="L12" s="641" t="e">
        <f>+'Total Market Size'!#REF!</f>
        <v>#REF!</v>
      </c>
    </row>
    <row r="13" spans="1:13" ht="13.5" thickBot="1" x14ac:dyDescent="0.25"/>
    <row r="14" spans="1:13" ht="13.5" thickBot="1" x14ac:dyDescent="0.25">
      <c r="A14" s="642" t="s">
        <v>184</v>
      </c>
      <c r="B14" s="701" t="s">
        <v>115</v>
      </c>
      <c r="C14" s="702"/>
      <c r="D14" s="702"/>
      <c r="E14" s="702"/>
      <c r="F14" s="702"/>
      <c r="G14" s="702"/>
      <c r="H14" s="702"/>
      <c r="I14" s="702"/>
      <c r="J14" s="702"/>
      <c r="K14" s="702"/>
      <c r="L14" s="703"/>
      <c r="M14" s="704" t="s">
        <v>133</v>
      </c>
    </row>
    <row r="15" spans="1:13" ht="13.5" thickBot="1" x14ac:dyDescent="0.25">
      <c r="A15" s="642" t="s">
        <v>171</v>
      </c>
      <c r="B15" s="624">
        <v>2001</v>
      </c>
      <c r="C15" s="625">
        <v>2002</v>
      </c>
      <c r="D15" s="625">
        <v>2003</v>
      </c>
      <c r="E15" s="625">
        <v>2004</v>
      </c>
      <c r="F15" s="625">
        <v>2005</v>
      </c>
      <c r="G15" s="625">
        <v>2006</v>
      </c>
      <c r="H15" s="625">
        <v>2007</v>
      </c>
      <c r="I15" s="625">
        <v>2008</v>
      </c>
      <c r="J15" s="625">
        <v>2009</v>
      </c>
      <c r="K15" s="625">
        <v>2010</v>
      </c>
      <c r="L15" s="626">
        <v>2011</v>
      </c>
      <c r="M15" s="705"/>
    </row>
    <row r="16" spans="1:13" x14ac:dyDescent="0.2">
      <c r="A16" s="643"/>
      <c r="B16" s="644"/>
      <c r="C16" s="645"/>
      <c r="D16" s="645"/>
      <c r="E16" s="645"/>
      <c r="F16" s="645"/>
      <c r="G16" s="645"/>
      <c r="H16" s="645"/>
      <c r="I16" s="645"/>
      <c r="J16" s="645"/>
      <c r="K16" s="645"/>
      <c r="L16" s="646"/>
      <c r="M16" s="647"/>
    </row>
    <row r="17" spans="1:13" x14ac:dyDescent="0.2">
      <c r="A17" s="631" t="s">
        <v>187</v>
      </c>
      <c r="B17" s="632">
        <f t="shared" ref="B17:L17" si="0">+B8</f>
        <v>56556544.815782182</v>
      </c>
      <c r="C17" s="633">
        <f t="shared" si="0"/>
        <v>58006457.346544936</v>
      </c>
      <c r="D17" s="633">
        <f t="shared" si="0"/>
        <v>59369734.493475646</v>
      </c>
      <c r="E17" s="633">
        <f t="shared" si="0"/>
        <v>60948456.332331881</v>
      </c>
      <c r="F17" s="633">
        <f t="shared" si="0"/>
        <v>62717142.26497528</v>
      </c>
      <c r="G17" s="633">
        <f t="shared" si="0"/>
        <v>64777318.047849417</v>
      </c>
      <c r="H17" s="633">
        <f t="shared" si="0"/>
        <v>67029918.455082729</v>
      </c>
      <c r="I17" s="633">
        <f t="shared" si="0"/>
        <v>69538517.438829228</v>
      </c>
      <c r="J17" s="633">
        <f t="shared" si="0"/>
        <v>72409118.724152237</v>
      </c>
      <c r="K17" s="633">
        <f t="shared" si="0"/>
        <v>75719592.245579183</v>
      </c>
      <c r="L17" s="634">
        <f t="shared" si="0"/>
        <v>79668193.375871941</v>
      </c>
      <c r="M17" s="637"/>
    </row>
    <row r="18" spans="1:13" x14ac:dyDescent="0.2">
      <c r="A18" s="631" t="s">
        <v>169</v>
      </c>
      <c r="B18" s="635" t="e">
        <f>+'VAS CF'!B18+#REF!</f>
        <v>#REF!</v>
      </c>
      <c r="C18" s="636" t="e">
        <f>+'VAS CF'!C18+#REF!</f>
        <v>#REF!</v>
      </c>
      <c r="D18" s="636" t="e">
        <f>+'VAS CF'!D18+#REF!</f>
        <v>#REF!</v>
      </c>
      <c r="E18" s="636" t="e">
        <f>+'VAS CF'!E18+#REF!</f>
        <v>#REF!</v>
      </c>
      <c r="F18" s="636" t="e">
        <f>+'VAS CF'!F18+#REF!</f>
        <v>#REF!</v>
      </c>
      <c r="G18" s="636" t="e">
        <f>+'VAS CF'!G18+#REF!</f>
        <v>#REF!</v>
      </c>
      <c r="H18" s="636" t="e">
        <f>+'VAS CF'!H18+#REF!</f>
        <v>#REF!</v>
      </c>
      <c r="I18" s="636" t="e">
        <f>+'VAS CF'!I18+#REF!</f>
        <v>#REF!</v>
      </c>
      <c r="J18" s="636" t="e">
        <f>+'VAS CF'!J18+#REF!</f>
        <v>#REF!</v>
      </c>
      <c r="K18" s="636" t="e">
        <f>+'VAS CF'!K18+#REF!</f>
        <v>#REF!</v>
      </c>
      <c r="L18" s="637" t="e">
        <f>+'VAS CF'!L18+#REF!</f>
        <v>#REF!</v>
      </c>
      <c r="M18" s="637"/>
    </row>
    <row r="19" spans="1:13" x14ac:dyDescent="0.2">
      <c r="A19" s="631" t="s">
        <v>129</v>
      </c>
      <c r="B19" s="635" t="e">
        <f>+'VAS CF'!B19+#REF!</f>
        <v>#REF!</v>
      </c>
      <c r="C19" s="636" t="e">
        <f>+'VAS CF'!C19+#REF!</f>
        <v>#REF!</v>
      </c>
      <c r="D19" s="636" t="e">
        <f>+'VAS CF'!D19+#REF!</f>
        <v>#REF!</v>
      </c>
      <c r="E19" s="636" t="e">
        <f>+'VAS CF'!E19+#REF!</f>
        <v>#REF!</v>
      </c>
      <c r="F19" s="636" t="e">
        <f>+'VAS CF'!F19+#REF!</f>
        <v>#REF!</v>
      </c>
      <c r="G19" s="636" t="e">
        <f>+'VAS CF'!G19+#REF!</f>
        <v>#REF!</v>
      </c>
      <c r="H19" s="636" t="e">
        <f>+'VAS CF'!H19+#REF!</f>
        <v>#REF!</v>
      </c>
      <c r="I19" s="636" t="e">
        <f>+'VAS CF'!I19+#REF!</f>
        <v>#REF!</v>
      </c>
      <c r="J19" s="636" t="e">
        <f>+'VAS CF'!J19+#REF!</f>
        <v>#REF!</v>
      </c>
      <c r="K19" s="636" t="e">
        <f>+'VAS CF'!K19+#REF!</f>
        <v>#REF!</v>
      </c>
      <c r="L19" s="637" t="e">
        <f>+'VAS CF'!L19+#REF!</f>
        <v>#REF!</v>
      </c>
      <c r="M19" s="637"/>
    </row>
    <row r="20" spans="1:13" x14ac:dyDescent="0.2">
      <c r="A20" s="631" t="s">
        <v>131</v>
      </c>
      <c r="B20" s="635" t="e">
        <f t="shared" ref="B20:L20" si="1">+B18-B19</f>
        <v>#REF!</v>
      </c>
      <c r="C20" s="636" t="e">
        <f t="shared" si="1"/>
        <v>#REF!</v>
      </c>
      <c r="D20" s="636" t="e">
        <f t="shared" si="1"/>
        <v>#REF!</v>
      </c>
      <c r="E20" s="636" t="e">
        <f t="shared" si="1"/>
        <v>#REF!</v>
      </c>
      <c r="F20" s="636" t="e">
        <f t="shared" si="1"/>
        <v>#REF!</v>
      </c>
      <c r="G20" s="636" t="e">
        <f t="shared" si="1"/>
        <v>#REF!</v>
      </c>
      <c r="H20" s="636" t="e">
        <f t="shared" si="1"/>
        <v>#REF!</v>
      </c>
      <c r="I20" s="636" t="e">
        <f t="shared" si="1"/>
        <v>#REF!</v>
      </c>
      <c r="J20" s="636" t="e">
        <f t="shared" si="1"/>
        <v>#REF!</v>
      </c>
      <c r="K20" s="636" t="e">
        <f t="shared" si="1"/>
        <v>#REF!</v>
      </c>
      <c r="L20" s="637" t="e">
        <f t="shared" si="1"/>
        <v>#REF!</v>
      </c>
      <c r="M20" s="637" t="e">
        <f>+L20/(#REF!-#REF!)*(1+#REF!)</f>
        <v>#REF!</v>
      </c>
    </row>
    <row r="21" spans="1:13" ht="13.5" thickBot="1" x14ac:dyDescent="0.25">
      <c r="A21" s="638" t="s">
        <v>132</v>
      </c>
      <c r="B21" s="639" t="e">
        <f>+B20</f>
        <v>#REF!</v>
      </c>
      <c r="C21" s="640" t="e">
        <f>+C20/(1+'Many to Many Ass.'!$B$134)^(#REF!-2001)</f>
        <v>#REF!</v>
      </c>
      <c r="D21" s="640" t="e">
        <f>+D20/(1+'Many to Many Ass.'!$B$134)^(#REF!-2001)</f>
        <v>#REF!</v>
      </c>
      <c r="E21" s="640" t="e">
        <f>+E20/(1+'Many to Many Ass.'!$B$134)^(#REF!-2001)</f>
        <v>#REF!</v>
      </c>
      <c r="F21" s="640" t="e">
        <f>+F20/(1+'Many to Many Ass.'!$B$134)^(#REF!-2001)</f>
        <v>#REF!</v>
      </c>
      <c r="G21" s="640" t="e">
        <f>+G20/(1+'Many to Many Ass.'!$B$134)^(#REF!-2001)</f>
        <v>#REF!</v>
      </c>
      <c r="H21" s="640" t="e">
        <f>+H20/(1+'Many to Many Ass.'!$B$134)^(#REF!-2001)</f>
        <v>#REF!</v>
      </c>
      <c r="I21" s="640" t="e">
        <f>+I20/(1+'Many to Many Ass.'!$B$134)^(#REF!-2001)</f>
        <v>#REF!</v>
      </c>
      <c r="J21" s="640" t="e">
        <f>+J20/(1+'Many to Many Ass.'!$B$134)^(#REF!-2001)</f>
        <v>#REF!</v>
      </c>
      <c r="K21" s="640" t="e">
        <f>+K20/(1+'Many to Many Ass.'!$B$134)^(#REF!-2001)</f>
        <v>#REF!</v>
      </c>
      <c r="L21" s="641" t="e">
        <f>+L20/(1+'Many to Many Ass.'!$B$134)^(#REF!-2001)</f>
        <v>#REF!</v>
      </c>
      <c r="M21" s="641" t="e">
        <f>+M20/(1+'Many to Many Ass.'!$B$134)^(#REF!-2001)</f>
        <v>#REF!</v>
      </c>
    </row>
    <row r="22" spans="1:13" ht="13.5" thickBot="1" x14ac:dyDescent="0.25"/>
    <row r="23" spans="1:13" ht="13.5" thickBot="1" x14ac:dyDescent="0.25">
      <c r="A23" s="648" t="s">
        <v>135</v>
      </c>
      <c r="B23" s="649" t="e">
        <f>SUM(B21:M21)</f>
        <v>#REF!</v>
      </c>
      <c r="D23" s="650" t="s">
        <v>255</v>
      </c>
      <c r="E23" s="605"/>
      <c r="F23" s="605"/>
      <c r="G23" s="605"/>
      <c r="H23" s="605"/>
    </row>
    <row r="25" spans="1:13" ht="13.5" thickBot="1" x14ac:dyDescent="0.25">
      <c r="A25" s="622"/>
    </row>
    <row r="26" spans="1:13" ht="13.5" thickBot="1" x14ac:dyDescent="0.25">
      <c r="A26" s="642" t="s">
        <v>168</v>
      </c>
      <c r="B26" s="701" t="s">
        <v>115</v>
      </c>
      <c r="C26" s="702"/>
      <c r="D26" s="702"/>
      <c r="E26" s="702"/>
      <c r="F26" s="702"/>
      <c r="G26" s="702"/>
      <c r="H26" s="702"/>
      <c r="I26" s="702"/>
      <c r="J26" s="702"/>
      <c r="K26" s="702"/>
      <c r="L26" s="703"/>
      <c r="M26" s="704" t="s">
        <v>133</v>
      </c>
    </row>
    <row r="27" spans="1:13" ht="13.5" thickBot="1" x14ac:dyDescent="0.25">
      <c r="A27" s="642" t="s">
        <v>171</v>
      </c>
      <c r="B27" s="624">
        <v>2001</v>
      </c>
      <c r="C27" s="625">
        <v>2002</v>
      </c>
      <c r="D27" s="625">
        <v>2003</v>
      </c>
      <c r="E27" s="625">
        <v>2004</v>
      </c>
      <c r="F27" s="625">
        <v>2005</v>
      </c>
      <c r="G27" s="625">
        <v>2006</v>
      </c>
      <c r="H27" s="625">
        <v>2007</v>
      </c>
      <c r="I27" s="625">
        <v>2008</v>
      </c>
      <c r="J27" s="625">
        <v>2009</v>
      </c>
      <c r="K27" s="625">
        <v>2010</v>
      </c>
      <c r="L27" s="626">
        <v>2011</v>
      </c>
      <c r="M27" s="705"/>
    </row>
    <row r="28" spans="1:13" x14ac:dyDescent="0.2">
      <c r="A28" s="643"/>
      <c r="B28" s="644"/>
      <c r="C28" s="645"/>
      <c r="D28" s="645"/>
      <c r="E28" s="645"/>
      <c r="F28" s="645"/>
      <c r="G28" s="645"/>
      <c r="H28" s="645"/>
      <c r="I28" s="645"/>
      <c r="J28" s="645"/>
      <c r="K28" s="645"/>
      <c r="L28" s="646"/>
      <c r="M28" s="647"/>
    </row>
    <row r="29" spans="1:13" x14ac:dyDescent="0.2">
      <c r="A29" s="631" t="s">
        <v>167</v>
      </c>
      <c r="B29" s="632">
        <f>+B9</f>
        <v>11427064.136070754</v>
      </c>
      <c r="C29" s="633">
        <f t="shared" ref="C29:L29" si="2">+C9</f>
        <v>20419141.6068758</v>
      </c>
      <c r="D29" s="633">
        <f t="shared" si="2"/>
        <v>24490525.700923692</v>
      </c>
      <c r="E29" s="633">
        <f t="shared" si="2"/>
        <v>27250384.214729179</v>
      </c>
      <c r="F29" s="633">
        <f t="shared" si="2"/>
        <v>29475570.220312424</v>
      </c>
      <c r="G29" s="633">
        <f t="shared" si="2"/>
        <v>31497329.909982536</v>
      </c>
      <c r="H29" s="633">
        <f t="shared" si="2"/>
        <v>33393753.793621957</v>
      </c>
      <c r="I29" s="633">
        <f t="shared" si="2"/>
        <v>35256336.029869989</v>
      </c>
      <c r="J29" s="633">
        <f t="shared" si="2"/>
        <v>37168529.603287525</v>
      </c>
      <c r="K29" s="633">
        <f t="shared" si="2"/>
        <v>39181038.879226461</v>
      </c>
      <c r="L29" s="634">
        <f t="shared" si="2"/>
        <v>41395290.205303036</v>
      </c>
      <c r="M29" s="637"/>
    </row>
    <row r="30" spans="1:13" x14ac:dyDescent="0.2">
      <c r="A30" s="631" t="s">
        <v>169</v>
      </c>
      <c r="B30" s="635" t="e">
        <f>+'VAS CF'!B30+#REF!</f>
        <v>#REF!</v>
      </c>
      <c r="C30" s="636" t="e">
        <f>+'VAS CF'!C30+#REF!</f>
        <v>#REF!</v>
      </c>
      <c r="D30" s="636" t="e">
        <f>+'VAS CF'!D30+#REF!</f>
        <v>#REF!</v>
      </c>
      <c r="E30" s="636" t="e">
        <f>+'VAS CF'!E30+#REF!</f>
        <v>#REF!</v>
      </c>
      <c r="F30" s="636" t="e">
        <f>+'VAS CF'!F30+#REF!</f>
        <v>#REF!</v>
      </c>
      <c r="G30" s="636" t="e">
        <f>+'VAS CF'!G30+#REF!</f>
        <v>#REF!</v>
      </c>
      <c r="H30" s="636" t="e">
        <f>+'VAS CF'!H30+#REF!</f>
        <v>#REF!</v>
      </c>
      <c r="I30" s="636" t="e">
        <f>+'VAS CF'!I30+#REF!</f>
        <v>#REF!</v>
      </c>
      <c r="J30" s="636" t="e">
        <f>+'VAS CF'!J30+#REF!</f>
        <v>#REF!</v>
      </c>
      <c r="K30" s="636" t="e">
        <f>+'VAS CF'!K30+#REF!</f>
        <v>#REF!</v>
      </c>
      <c r="L30" s="637" t="e">
        <f>+'VAS CF'!L30+#REF!</f>
        <v>#REF!</v>
      </c>
      <c r="M30" s="637"/>
    </row>
    <row r="31" spans="1:13" x14ac:dyDescent="0.2">
      <c r="A31" s="631" t="s">
        <v>129</v>
      </c>
      <c r="B31" s="635" t="e">
        <f>+'VAS CF'!B31+#REF!</f>
        <v>#REF!</v>
      </c>
      <c r="C31" s="636" t="e">
        <f>+'VAS CF'!C31+#REF!</f>
        <v>#REF!</v>
      </c>
      <c r="D31" s="636" t="e">
        <f>+'VAS CF'!D31+#REF!</f>
        <v>#REF!</v>
      </c>
      <c r="E31" s="636" t="e">
        <f>+'VAS CF'!E31+#REF!</f>
        <v>#REF!</v>
      </c>
      <c r="F31" s="636" t="e">
        <f>+'VAS CF'!F31+#REF!</f>
        <v>#REF!</v>
      </c>
      <c r="G31" s="636" t="e">
        <f>+'VAS CF'!G31+#REF!</f>
        <v>#REF!</v>
      </c>
      <c r="H31" s="636" t="e">
        <f>+'VAS CF'!H31+#REF!</f>
        <v>#REF!</v>
      </c>
      <c r="I31" s="636" t="e">
        <f>+'VAS CF'!I31+#REF!</f>
        <v>#REF!</v>
      </c>
      <c r="J31" s="636" t="e">
        <f>+'VAS CF'!J31+#REF!</f>
        <v>#REF!</v>
      </c>
      <c r="K31" s="636" t="e">
        <f>+'VAS CF'!K31+#REF!</f>
        <v>#REF!</v>
      </c>
      <c r="L31" s="637" t="e">
        <f>+'VAS CF'!L31+#REF!</f>
        <v>#REF!</v>
      </c>
      <c r="M31" s="637"/>
    </row>
    <row r="32" spans="1:13" x14ac:dyDescent="0.2">
      <c r="A32" s="631" t="s">
        <v>131</v>
      </c>
      <c r="B32" s="635" t="e">
        <f>+B30-B31</f>
        <v>#REF!</v>
      </c>
      <c r="C32" s="636" t="e">
        <f t="shared" ref="C32:L32" si="3">+C30-C31</f>
        <v>#REF!</v>
      </c>
      <c r="D32" s="636" t="e">
        <f t="shared" si="3"/>
        <v>#REF!</v>
      </c>
      <c r="E32" s="636" t="e">
        <f t="shared" si="3"/>
        <v>#REF!</v>
      </c>
      <c r="F32" s="636" t="e">
        <f t="shared" si="3"/>
        <v>#REF!</v>
      </c>
      <c r="G32" s="636" t="e">
        <f t="shared" si="3"/>
        <v>#REF!</v>
      </c>
      <c r="H32" s="636" t="e">
        <f t="shared" si="3"/>
        <v>#REF!</v>
      </c>
      <c r="I32" s="636" t="e">
        <f t="shared" si="3"/>
        <v>#REF!</v>
      </c>
      <c r="J32" s="636" t="e">
        <f t="shared" si="3"/>
        <v>#REF!</v>
      </c>
      <c r="K32" s="636" t="e">
        <f t="shared" si="3"/>
        <v>#REF!</v>
      </c>
      <c r="L32" s="637" t="e">
        <f t="shared" si="3"/>
        <v>#REF!</v>
      </c>
      <c r="M32" s="637" t="e">
        <f>+L32/(#REF!-#REF!)*(1+#REF!)</f>
        <v>#REF!</v>
      </c>
    </row>
    <row r="33" spans="1:13" ht="13.5" thickBot="1" x14ac:dyDescent="0.25">
      <c r="A33" s="638" t="s">
        <v>132</v>
      </c>
      <c r="B33" s="639" t="e">
        <f>+B32</f>
        <v>#REF!</v>
      </c>
      <c r="C33" s="640" t="e">
        <f>+C32/(1+'Many to Many Ass.'!$B$134)^(#REF!-2001)</f>
        <v>#REF!</v>
      </c>
      <c r="D33" s="640" t="e">
        <f>+D32/(1+'Many to Many Ass.'!$B$134)^(#REF!-2001)</f>
        <v>#REF!</v>
      </c>
      <c r="E33" s="640" t="e">
        <f>+E32/(1+'Many to Many Ass.'!$B$134)^(#REF!-2001)</f>
        <v>#REF!</v>
      </c>
      <c r="F33" s="640" t="e">
        <f>+F32/(1+'Many to Many Ass.'!$B$134)^(#REF!-2001)</f>
        <v>#REF!</v>
      </c>
      <c r="G33" s="640" t="e">
        <f>+G32/(1+'Many to Many Ass.'!$B$134)^(#REF!-2001)</f>
        <v>#REF!</v>
      </c>
      <c r="H33" s="640" t="e">
        <f>+H32/(1+'Many to Many Ass.'!$B$134)^(#REF!-2001)</f>
        <v>#REF!</v>
      </c>
      <c r="I33" s="640" t="e">
        <f>+I32/(1+'Many to Many Ass.'!$B$134)^(#REF!-2001)</f>
        <v>#REF!</v>
      </c>
      <c r="J33" s="640" t="e">
        <f>+J32/(1+'Many to Many Ass.'!$B$134)^(#REF!-2001)</f>
        <v>#REF!</v>
      </c>
      <c r="K33" s="640" t="e">
        <f>+K32/(1+'Many to Many Ass.'!$B$134)^(#REF!-2001)</f>
        <v>#REF!</v>
      </c>
      <c r="L33" s="641" t="e">
        <f>+L32/(1+'Many to Many Ass.'!$B$134)^(#REF!-2001)</f>
        <v>#REF!</v>
      </c>
      <c r="M33" s="641" t="e">
        <f>+M32/(1+'Many to Many Ass.'!$B$134)^(#REF!-2001)</f>
        <v>#REF!</v>
      </c>
    </row>
    <row r="34" spans="1:13" ht="13.5" thickBot="1" x14ac:dyDescent="0.25"/>
    <row r="35" spans="1:13" ht="13.5" thickBot="1" x14ac:dyDescent="0.25">
      <c r="A35" s="648" t="s">
        <v>135</v>
      </c>
      <c r="B35" s="649" t="e">
        <f>SUM(B33:M33)</f>
        <v>#REF!</v>
      </c>
      <c r="D35" s="650" t="s">
        <v>260</v>
      </c>
      <c r="E35" s="605"/>
      <c r="F35" s="605"/>
      <c r="G35" s="605"/>
      <c r="H35" s="605"/>
      <c r="I35" s="605"/>
      <c r="J35" s="605"/>
    </row>
    <row r="37" spans="1:13" ht="13.5" thickBot="1" x14ac:dyDescent="0.25"/>
    <row r="38" spans="1:13" ht="13.5" thickBot="1" x14ac:dyDescent="0.25">
      <c r="A38" s="642" t="s">
        <v>172</v>
      </c>
      <c r="B38" s="701" t="s">
        <v>115</v>
      </c>
      <c r="C38" s="702"/>
      <c r="D38" s="702"/>
      <c r="E38" s="702"/>
      <c r="F38" s="702"/>
      <c r="G38" s="702"/>
      <c r="H38" s="702"/>
      <c r="I38" s="702"/>
      <c r="J38" s="702"/>
      <c r="K38" s="702"/>
      <c r="L38" s="703"/>
      <c r="M38" s="704" t="s">
        <v>133</v>
      </c>
    </row>
    <row r="39" spans="1:13" ht="13.5" thickBot="1" x14ac:dyDescent="0.25">
      <c r="A39" s="642" t="s">
        <v>171</v>
      </c>
      <c r="B39" s="624">
        <v>2001</v>
      </c>
      <c r="C39" s="625">
        <v>2002</v>
      </c>
      <c r="D39" s="625">
        <v>2003</v>
      </c>
      <c r="E39" s="625">
        <v>2004</v>
      </c>
      <c r="F39" s="625">
        <v>2005</v>
      </c>
      <c r="G39" s="625">
        <v>2006</v>
      </c>
      <c r="H39" s="625">
        <v>2007</v>
      </c>
      <c r="I39" s="625">
        <v>2008</v>
      </c>
      <c r="J39" s="625">
        <v>2009</v>
      </c>
      <c r="K39" s="625">
        <v>2010</v>
      </c>
      <c r="L39" s="626">
        <v>2011</v>
      </c>
      <c r="M39" s="705"/>
    </row>
    <row r="40" spans="1:13" x14ac:dyDescent="0.2">
      <c r="A40" s="643"/>
      <c r="B40" s="644"/>
      <c r="C40" s="645"/>
      <c r="D40" s="645"/>
      <c r="E40" s="645"/>
      <c r="F40" s="645"/>
      <c r="G40" s="645"/>
      <c r="H40" s="645"/>
      <c r="I40" s="645"/>
      <c r="J40" s="645"/>
      <c r="K40" s="645"/>
      <c r="L40" s="646"/>
      <c r="M40" s="647"/>
    </row>
    <row r="41" spans="1:13" x14ac:dyDescent="0.2">
      <c r="A41" s="631" t="s">
        <v>173</v>
      </c>
      <c r="B41" s="632">
        <f>+B10</f>
        <v>7978651.0571019305</v>
      </c>
      <c r="C41" s="633">
        <f t="shared" ref="C41:L41" si="4">+C10</f>
        <v>13952420.473403119</v>
      </c>
      <c r="D41" s="633">
        <f t="shared" si="4"/>
        <v>16553083.592469534</v>
      </c>
      <c r="E41" s="633">
        <f t="shared" si="4"/>
        <v>18292795.804483328</v>
      </c>
      <c r="F41" s="633">
        <f t="shared" si="4"/>
        <v>19699553.756576657</v>
      </c>
      <c r="G41" s="633">
        <f t="shared" si="4"/>
        <v>20996821.112646811</v>
      </c>
      <c r="H41" s="633">
        <f t="shared" si="4"/>
        <v>22240784.254677329</v>
      </c>
      <c r="I41" s="633">
        <f t="shared" si="4"/>
        <v>23499229.4680903</v>
      </c>
      <c r="J41" s="633">
        <f t="shared" si="4"/>
        <v>24837927.136772137</v>
      </c>
      <c r="K41" s="633">
        <f t="shared" si="4"/>
        <v>26305750.094042502</v>
      </c>
      <c r="L41" s="634">
        <f t="shared" si="4"/>
        <v>27990853.254737351</v>
      </c>
      <c r="M41" s="637"/>
    </row>
    <row r="42" spans="1:13" x14ac:dyDescent="0.2">
      <c r="A42" s="631" t="s">
        <v>169</v>
      </c>
      <c r="B42" s="635" t="e">
        <f>+'VAS CF'!B42+#REF!</f>
        <v>#REF!</v>
      </c>
      <c r="C42" s="636" t="e">
        <f>+'VAS CF'!C42+#REF!</f>
        <v>#REF!</v>
      </c>
      <c r="D42" s="636" t="e">
        <f>+'VAS CF'!D42+#REF!</f>
        <v>#REF!</v>
      </c>
      <c r="E42" s="636" t="e">
        <f>+'VAS CF'!E42+#REF!</f>
        <v>#REF!</v>
      </c>
      <c r="F42" s="636" t="e">
        <f>+'VAS CF'!F42+#REF!</f>
        <v>#REF!</v>
      </c>
      <c r="G42" s="636" t="e">
        <f>+'VAS CF'!G42+#REF!</f>
        <v>#REF!</v>
      </c>
      <c r="H42" s="636" t="e">
        <f>+'VAS CF'!H42+#REF!</f>
        <v>#REF!</v>
      </c>
      <c r="I42" s="636" t="e">
        <f>+'VAS CF'!I42+#REF!</f>
        <v>#REF!</v>
      </c>
      <c r="J42" s="636" t="e">
        <f>+'VAS CF'!J42+#REF!</f>
        <v>#REF!</v>
      </c>
      <c r="K42" s="636" t="e">
        <f>+'VAS CF'!K42+#REF!</f>
        <v>#REF!</v>
      </c>
      <c r="L42" s="637" t="e">
        <f>+'VAS CF'!L42+#REF!</f>
        <v>#REF!</v>
      </c>
      <c r="M42" s="637"/>
    </row>
    <row r="43" spans="1:13" x14ac:dyDescent="0.2">
      <c r="A43" s="631" t="s">
        <v>129</v>
      </c>
      <c r="B43" s="635" t="e">
        <f>+'VAS CF'!B43+#REF!</f>
        <v>#REF!</v>
      </c>
      <c r="C43" s="636" t="e">
        <f>+'VAS CF'!C43+#REF!</f>
        <v>#REF!</v>
      </c>
      <c r="D43" s="636" t="e">
        <f>+'VAS CF'!D43+#REF!</f>
        <v>#REF!</v>
      </c>
      <c r="E43" s="636" t="e">
        <f>+'VAS CF'!E43+#REF!</f>
        <v>#REF!</v>
      </c>
      <c r="F43" s="636" t="e">
        <f>+'VAS CF'!F43+#REF!</f>
        <v>#REF!</v>
      </c>
      <c r="G43" s="636" t="e">
        <f>+'VAS CF'!G43+#REF!</f>
        <v>#REF!</v>
      </c>
      <c r="H43" s="636" t="e">
        <f>+'VAS CF'!H43+#REF!</f>
        <v>#REF!</v>
      </c>
      <c r="I43" s="636" t="e">
        <f>+'VAS CF'!I43+#REF!</f>
        <v>#REF!</v>
      </c>
      <c r="J43" s="636" t="e">
        <f>+'VAS CF'!J43+#REF!</f>
        <v>#REF!</v>
      </c>
      <c r="K43" s="636" t="e">
        <f>+'VAS CF'!K43+#REF!</f>
        <v>#REF!</v>
      </c>
      <c r="L43" s="637" t="e">
        <f>+'VAS CF'!L43+#REF!</f>
        <v>#REF!</v>
      </c>
      <c r="M43" s="637"/>
    </row>
    <row r="44" spans="1:13" x14ac:dyDescent="0.2">
      <c r="A44" s="631" t="s">
        <v>131</v>
      </c>
      <c r="B44" s="635" t="e">
        <f t="shared" ref="B44:L44" si="5">+B42-B43</f>
        <v>#REF!</v>
      </c>
      <c r="C44" s="636" t="e">
        <f t="shared" si="5"/>
        <v>#REF!</v>
      </c>
      <c r="D44" s="636" t="e">
        <f t="shared" si="5"/>
        <v>#REF!</v>
      </c>
      <c r="E44" s="636" t="e">
        <f t="shared" si="5"/>
        <v>#REF!</v>
      </c>
      <c r="F44" s="636" t="e">
        <f t="shared" si="5"/>
        <v>#REF!</v>
      </c>
      <c r="G44" s="636" t="e">
        <f t="shared" si="5"/>
        <v>#REF!</v>
      </c>
      <c r="H44" s="636" t="e">
        <f t="shared" si="5"/>
        <v>#REF!</v>
      </c>
      <c r="I44" s="636" t="e">
        <f t="shared" si="5"/>
        <v>#REF!</v>
      </c>
      <c r="J44" s="636" t="e">
        <f t="shared" si="5"/>
        <v>#REF!</v>
      </c>
      <c r="K44" s="636" t="e">
        <f t="shared" si="5"/>
        <v>#REF!</v>
      </c>
      <c r="L44" s="637" t="e">
        <f t="shared" si="5"/>
        <v>#REF!</v>
      </c>
      <c r="M44" s="637" t="e">
        <f>+L44/(#REF!-#REF!)*(1+#REF!)</f>
        <v>#REF!</v>
      </c>
    </row>
    <row r="45" spans="1:13" ht="13.5" thickBot="1" x14ac:dyDescent="0.25">
      <c r="A45" s="638" t="s">
        <v>132</v>
      </c>
      <c r="B45" s="639" t="e">
        <f>+B44</f>
        <v>#REF!</v>
      </c>
      <c r="C45" s="640" t="e">
        <f>+C44/(1+'Many to Many Ass.'!$B$134)^(#REF!-2001)</f>
        <v>#REF!</v>
      </c>
      <c r="D45" s="640" t="e">
        <f>+D44/(1+'Many to Many Ass.'!$B$134)^(#REF!-2001)</f>
        <v>#REF!</v>
      </c>
      <c r="E45" s="640" t="e">
        <f>+E44/(1+'Many to Many Ass.'!$B$134)^(#REF!-2001)</f>
        <v>#REF!</v>
      </c>
      <c r="F45" s="640" t="e">
        <f>+F44/(1+'Many to Many Ass.'!$B$134)^(#REF!-2001)</f>
        <v>#REF!</v>
      </c>
      <c r="G45" s="640" t="e">
        <f>+G44/(1+'Many to Many Ass.'!$B$134)^(#REF!-2001)</f>
        <v>#REF!</v>
      </c>
      <c r="H45" s="640" t="e">
        <f>+H44/(1+'Many to Many Ass.'!$B$134)^(#REF!-2001)</f>
        <v>#REF!</v>
      </c>
      <c r="I45" s="640" t="e">
        <f>+I44/(1+'Many to Many Ass.'!$B$134)^(#REF!-2001)</f>
        <v>#REF!</v>
      </c>
      <c r="J45" s="640" t="e">
        <f>+J44/(1+'Many to Many Ass.'!$B$134)^(#REF!-2001)</f>
        <v>#REF!</v>
      </c>
      <c r="K45" s="640" t="e">
        <f>+K44/(1+'Many to Many Ass.'!$B$134)^(#REF!-2001)</f>
        <v>#REF!</v>
      </c>
      <c r="L45" s="641" t="e">
        <f>+L44/(1+'Many to Many Ass.'!$B$134)^(#REF!-2001)</f>
        <v>#REF!</v>
      </c>
      <c r="M45" s="641" t="e">
        <f>+M44/(1+'Many to Many Ass.'!$B$134)^(#REF!-2001)</f>
        <v>#REF!</v>
      </c>
    </row>
    <row r="46" spans="1:13" ht="13.5" thickBot="1" x14ac:dyDescent="0.25"/>
    <row r="47" spans="1:13" ht="13.5" thickBot="1" x14ac:dyDescent="0.25">
      <c r="A47" s="648" t="s">
        <v>135</v>
      </c>
      <c r="B47" s="649" t="e">
        <f>SUM(B45:M45)</f>
        <v>#REF!</v>
      </c>
      <c r="D47" s="650" t="s">
        <v>261</v>
      </c>
      <c r="E47" s="605"/>
      <c r="F47" s="605"/>
      <c r="G47" s="605"/>
      <c r="H47" s="605"/>
      <c r="I47" s="605"/>
      <c r="J47" s="605"/>
      <c r="K47" s="605"/>
    </row>
    <row r="49" spans="1:13" ht="13.5" thickBot="1" x14ac:dyDescent="0.25"/>
    <row r="50" spans="1:13" ht="13.5" thickBot="1" x14ac:dyDescent="0.25">
      <c r="A50" s="642" t="s">
        <v>174</v>
      </c>
      <c r="B50" s="701" t="s">
        <v>115</v>
      </c>
      <c r="C50" s="702"/>
      <c r="D50" s="702"/>
      <c r="E50" s="702"/>
      <c r="F50" s="702"/>
      <c r="G50" s="702"/>
      <c r="H50" s="702"/>
      <c r="I50" s="702"/>
      <c r="J50" s="702"/>
      <c r="K50" s="702"/>
      <c r="L50" s="703"/>
      <c r="M50" s="704" t="s">
        <v>133</v>
      </c>
    </row>
    <row r="51" spans="1:13" ht="13.5" thickBot="1" x14ac:dyDescent="0.25">
      <c r="B51" s="624">
        <v>2001</v>
      </c>
      <c r="C51" s="625">
        <v>2002</v>
      </c>
      <c r="D51" s="625">
        <v>2003</v>
      </c>
      <c r="E51" s="625">
        <v>2004</v>
      </c>
      <c r="F51" s="625">
        <v>2005</v>
      </c>
      <c r="G51" s="625">
        <v>2006</v>
      </c>
      <c r="H51" s="625">
        <v>2007</v>
      </c>
      <c r="I51" s="625">
        <v>2008</v>
      </c>
      <c r="J51" s="625">
        <v>2009</v>
      </c>
      <c r="K51" s="625">
        <v>2010</v>
      </c>
      <c r="L51" s="626">
        <v>2011</v>
      </c>
      <c r="M51" s="705"/>
    </row>
    <row r="52" spans="1:13" x14ac:dyDescent="0.2">
      <c r="A52" s="643"/>
      <c r="B52" s="644"/>
      <c r="C52" s="645"/>
      <c r="D52" s="645"/>
      <c r="E52" s="645"/>
      <c r="F52" s="645"/>
      <c r="G52" s="645"/>
      <c r="H52" s="645"/>
      <c r="I52" s="645"/>
      <c r="J52" s="645"/>
      <c r="K52" s="645"/>
      <c r="L52" s="646"/>
      <c r="M52" s="647"/>
    </row>
    <row r="53" spans="1:13" x14ac:dyDescent="0.2">
      <c r="A53" s="631" t="s">
        <v>175</v>
      </c>
      <c r="B53" s="632">
        <f>+'Total Market Size'!B133</f>
        <v>870465.34497221978</v>
      </c>
      <c r="C53" s="633">
        <f>+'Total Market Size'!C133</f>
        <v>1309121.789652633</v>
      </c>
      <c r="D53" s="633">
        <f>+'Total Market Size'!D133</f>
        <v>1532918.6184401524</v>
      </c>
      <c r="E53" s="633">
        <f>+'Total Market Size'!E133</f>
        <v>1714760.9516455259</v>
      </c>
      <c r="F53" s="633">
        <f>+'Total Market Size'!F133</f>
        <v>1891083.3390982116</v>
      </c>
      <c r="G53" s="633">
        <f>+'Total Market Size'!G133</f>
        <v>2080171.968035741</v>
      </c>
      <c r="H53" s="633">
        <f>+'Total Market Size'!H133</f>
        <v>2288427.919077104</v>
      </c>
      <c r="I53" s="633">
        <f>+'Total Market Size'!I133</f>
        <v>2525508.0833010338</v>
      </c>
      <c r="J53" s="633">
        <f>+'Total Market Size'!J133</f>
        <v>2802875.6978200674</v>
      </c>
      <c r="K53" s="633">
        <f>+'Total Market Size'!K133</f>
        <v>3132227.2154329601</v>
      </c>
      <c r="L53" s="634">
        <f>+'Total Market Size'!L133</f>
        <v>3531792.0575224985</v>
      </c>
      <c r="M53" s="637"/>
    </row>
    <row r="54" spans="1:13" x14ac:dyDescent="0.2">
      <c r="A54" s="631" t="s">
        <v>157</v>
      </c>
      <c r="B54" s="635" t="e">
        <f>+'VAS CF'!B54+#REF!</f>
        <v>#REF!</v>
      </c>
      <c r="C54" s="636" t="e">
        <f>+'VAS CF'!C54+#REF!</f>
        <v>#REF!</v>
      </c>
      <c r="D54" s="636" t="e">
        <f>+'VAS CF'!D54+#REF!</f>
        <v>#REF!</v>
      </c>
      <c r="E54" s="636" t="e">
        <f>+'VAS CF'!E54+#REF!</f>
        <v>#REF!</v>
      </c>
      <c r="F54" s="636" t="e">
        <f>+'VAS CF'!F54+#REF!</f>
        <v>#REF!</v>
      </c>
      <c r="G54" s="636" t="e">
        <f>+'VAS CF'!G54+#REF!</f>
        <v>#REF!</v>
      </c>
      <c r="H54" s="636" t="e">
        <f>+'VAS CF'!H54+#REF!</f>
        <v>#REF!</v>
      </c>
      <c r="I54" s="636" t="e">
        <f>+'VAS CF'!I54+#REF!</f>
        <v>#REF!</v>
      </c>
      <c r="J54" s="636" t="e">
        <f>+'VAS CF'!J54+#REF!</f>
        <v>#REF!</v>
      </c>
      <c r="K54" s="636" t="e">
        <f>+'VAS CF'!K54+#REF!</f>
        <v>#REF!</v>
      </c>
      <c r="L54" s="637" t="e">
        <f>+'VAS CF'!L54+#REF!</f>
        <v>#REF!</v>
      </c>
      <c r="M54" s="637"/>
    </row>
    <row r="55" spans="1:13" x14ac:dyDescent="0.2">
      <c r="A55" s="631" t="s">
        <v>129</v>
      </c>
      <c r="B55" s="635" t="e">
        <f>+'VAS CF'!B55+#REF!</f>
        <v>#REF!</v>
      </c>
      <c r="C55" s="636" t="e">
        <f>+'VAS CF'!C55+#REF!</f>
        <v>#REF!</v>
      </c>
      <c r="D55" s="636" t="e">
        <f>+'VAS CF'!D55+#REF!</f>
        <v>#REF!</v>
      </c>
      <c r="E55" s="636" t="e">
        <f>+'VAS CF'!E55+#REF!</f>
        <v>#REF!</v>
      </c>
      <c r="F55" s="636" t="e">
        <f>+'VAS CF'!F55+#REF!</f>
        <v>#REF!</v>
      </c>
      <c r="G55" s="636" t="e">
        <f>+'VAS CF'!G55+#REF!</f>
        <v>#REF!</v>
      </c>
      <c r="H55" s="636" t="e">
        <f>+'VAS CF'!H55+#REF!</f>
        <v>#REF!</v>
      </c>
      <c r="I55" s="636" t="e">
        <f>+'VAS CF'!I55+#REF!</f>
        <v>#REF!</v>
      </c>
      <c r="J55" s="636" t="e">
        <f>+'VAS CF'!J55+#REF!</f>
        <v>#REF!</v>
      </c>
      <c r="K55" s="636" t="e">
        <f>+'VAS CF'!K55+#REF!</f>
        <v>#REF!</v>
      </c>
      <c r="L55" s="637" t="e">
        <f>+'VAS CF'!L55+#REF!</f>
        <v>#REF!</v>
      </c>
      <c r="M55" s="637"/>
    </row>
    <row r="56" spans="1:13" x14ac:dyDescent="0.2">
      <c r="A56" s="631" t="s">
        <v>131</v>
      </c>
      <c r="B56" s="635" t="e">
        <f t="shared" ref="B56:L56" si="6">+B54-B55</f>
        <v>#REF!</v>
      </c>
      <c r="C56" s="636" t="e">
        <f t="shared" si="6"/>
        <v>#REF!</v>
      </c>
      <c r="D56" s="636" t="e">
        <f t="shared" si="6"/>
        <v>#REF!</v>
      </c>
      <c r="E56" s="636" t="e">
        <f t="shared" si="6"/>
        <v>#REF!</v>
      </c>
      <c r="F56" s="636" t="e">
        <f t="shared" si="6"/>
        <v>#REF!</v>
      </c>
      <c r="G56" s="636" t="e">
        <f t="shared" si="6"/>
        <v>#REF!</v>
      </c>
      <c r="H56" s="636" t="e">
        <f t="shared" si="6"/>
        <v>#REF!</v>
      </c>
      <c r="I56" s="636" t="e">
        <f t="shared" si="6"/>
        <v>#REF!</v>
      </c>
      <c r="J56" s="636" t="e">
        <f t="shared" si="6"/>
        <v>#REF!</v>
      </c>
      <c r="K56" s="636" t="e">
        <f t="shared" si="6"/>
        <v>#REF!</v>
      </c>
      <c r="L56" s="637" t="e">
        <f t="shared" si="6"/>
        <v>#REF!</v>
      </c>
      <c r="M56" s="637" t="e">
        <f>+L56/(#REF!-#REF!)*(1+#REF!)</f>
        <v>#REF!</v>
      </c>
    </row>
    <row r="57" spans="1:13" ht="13.5" thickBot="1" x14ac:dyDescent="0.25">
      <c r="A57" s="638" t="s">
        <v>132</v>
      </c>
      <c r="B57" s="639" t="e">
        <f>+B56</f>
        <v>#REF!</v>
      </c>
      <c r="C57" s="640" t="e">
        <f>+C56/(1+'Many to Many Ass.'!$B$134)^(#REF!-2001)</f>
        <v>#REF!</v>
      </c>
      <c r="D57" s="640" t="e">
        <f>+D56/(1+'Many to Many Ass.'!$B$134)^(#REF!-2001)</f>
        <v>#REF!</v>
      </c>
      <c r="E57" s="640" t="e">
        <f>+E56/(1+'Many to Many Ass.'!$B$134)^(#REF!-2001)</f>
        <v>#REF!</v>
      </c>
      <c r="F57" s="640" t="e">
        <f>+F56/(1+'Many to Many Ass.'!$B$134)^(#REF!-2001)</f>
        <v>#REF!</v>
      </c>
      <c r="G57" s="640" t="e">
        <f>+G56/(1+'Many to Many Ass.'!$B$134)^(#REF!-2001)</f>
        <v>#REF!</v>
      </c>
      <c r="H57" s="640" t="e">
        <f>+H56/(1+'Many to Many Ass.'!$B$134)^(#REF!-2001)</f>
        <v>#REF!</v>
      </c>
      <c r="I57" s="640" t="e">
        <f>+I56/(1+'Many to Many Ass.'!$B$134)^(#REF!-2001)</f>
        <v>#REF!</v>
      </c>
      <c r="J57" s="640" t="e">
        <f>+J56/(1+'Many to Many Ass.'!$B$134)^(#REF!-2001)</f>
        <v>#REF!</v>
      </c>
      <c r="K57" s="640" t="e">
        <f>+K56/(1+'Many to Many Ass.'!$B$134)^(#REF!-2001)</f>
        <v>#REF!</v>
      </c>
      <c r="L57" s="641" t="e">
        <f>+L56/(1+'Many to Many Ass.'!$B$134)^(#REF!-2001)</f>
        <v>#REF!</v>
      </c>
      <c r="M57" s="641" t="e">
        <f>+M56/(1+'Many to Many Ass.'!$B$134)^(#REF!-2001)</f>
        <v>#REF!</v>
      </c>
    </row>
    <row r="58" spans="1:13" ht="13.5" thickBot="1" x14ac:dyDescent="0.25"/>
    <row r="59" spans="1:13" ht="13.5" thickBot="1" x14ac:dyDescent="0.25">
      <c r="A59" s="648" t="s">
        <v>135</v>
      </c>
      <c r="B59" s="649" t="e">
        <f>SUM(B57:M57)</f>
        <v>#REF!</v>
      </c>
      <c r="D59" s="650" t="s">
        <v>262</v>
      </c>
      <c r="E59" s="605"/>
      <c r="F59" s="605"/>
      <c r="G59" s="605"/>
      <c r="H59" s="605"/>
      <c r="I59" s="605"/>
      <c r="J59" s="605"/>
      <c r="K59" s="605"/>
      <c r="L59" s="605"/>
    </row>
    <row r="61" spans="1:13" ht="13.5" thickBot="1" x14ac:dyDescent="0.25"/>
    <row r="62" spans="1:13" ht="13.5" thickBot="1" x14ac:dyDescent="0.25">
      <c r="A62" s="642" t="s">
        <v>358</v>
      </c>
      <c r="B62" s="701" t="s">
        <v>115</v>
      </c>
      <c r="C62" s="702"/>
      <c r="D62" s="702"/>
      <c r="E62" s="702"/>
      <c r="F62" s="702"/>
      <c r="G62" s="702"/>
      <c r="H62" s="702"/>
      <c r="I62" s="702"/>
      <c r="J62" s="702"/>
      <c r="K62" s="702"/>
      <c r="L62" s="703"/>
      <c r="M62" s="704" t="s">
        <v>133</v>
      </c>
    </row>
    <row r="63" spans="1:13" ht="13.5" thickBot="1" x14ac:dyDescent="0.25">
      <c r="A63" s="642" t="s">
        <v>171</v>
      </c>
      <c r="B63" s="624">
        <v>2001</v>
      </c>
      <c r="C63" s="625">
        <v>2002</v>
      </c>
      <c r="D63" s="625">
        <v>2003</v>
      </c>
      <c r="E63" s="625">
        <v>2004</v>
      </c>
      <c r="F63" s="625">
        <v>2005</v>
      </c>
      <c r="G63" s="625">
        <v>2006</v>
      </c>
      <c r="H63" s="625">
        <v>2007</v>
      </c>
      <c r="I63" s="625">
        <v>2008</v>
      </c>
      <c r="J63" s="625">
        <v>2009</v>
      </c>
      <c r="K63" s="625">
        <v>2010</v>
      </c>
      <c r="L63" s="626">
        <v>2011</v>
      </c>
      <c r="M63" s="705"/>
    </row>
    <row r="64" spans="1:13" x14ac:dyDescent="0.2">
      <c r="A64" s="643"/>
      <c r="B64" s="644"/>
      <c r="C64" s="645"/>
      <c r="D64" s="645"/>
      <c r="E64" s="645"/>
      <c r="F64" s="645"/>
      <c r="G64" s="645"/>
      <c r="H64" s="645"/>
      <c r="I64" s="645"/>
      <c r="J64" s="645"/>
      <c r="K64" s="645"/>
      <c r="L64" s="646"/>
      <c r="M64" s="647"/>
    </row>
    <row r="65" spans="1:13" x14ac:dyDescent="0.2">
      <c r="A65" s="631" t="s">
        <v>175</v>
      </c>
      <c r="B65" s="632" t="e">
        <f>+B12</f>
        <v>#REF!</v>
      </c>
      <c r="C65" s="633" t="e">
        <f t="shared" ref="C65:L65" si="7">+C12</f>
        <v>#REF!</v>
      </c>
      <c r="D65" s="633" t="e">
        <f t="shared" si="7"/>
        <v>#REF!</v>
      </c>
      <c r="E65" s="633" t="e">
        <f t="shared" si="7"/>
        <v>#REF!</v>
      </c>
      <c r="F65" s="633" t="e">
        <f t="shared" si="7"/>
        <v>#REF!</v>
      </c>
      <c r="G65" s="633" t="e">
        <f t="shared" si="7"/>
        <v>#REF!</v>
      </c>
      <c r="H65" s="633" t="e">
        <f t="shared" si="7"/>
        <v>#REF!</v>
      </c>
      <c r="I65" s="633" t="e">
        <f t="shared" si="7"/>
        <v>#REF!</v>
      </c>
      <c r="J65" s="633" t="e">
        <f t="shared" si="7"/>
        <v>#REF!</v>
      </c>
      <c r="K65" s="633" t="e">
        <f t="shared" si="7"/>
        <v>#REF!</v>
      </c>
      <c r="L65" s="634" t="e">
        <f t="shared" si="7"/>
        <v>#REF!</v>
      </c>
      <c r="M65" s="637"/>
    </row>
    <row r="66" spans="1:13" x14ac:dyDescent="0.2">
      <c r="A66" s="631" t="s">
        <v>157</v>
      </c>
      <c r="B66" s="635" t="e">
        <f>+'VAS CF'!B66+#REF!</f>
        <v>#REF!</v>
      </c>
      <c r="C66" s="636" t="e">
        <f>+'VAS CF'!C66+#REF!</f>
        <v>#REF!</v>
      </c>
      <c r="D66" s="636" t="e">
        <f>+'VAS CF'!D66+#REF!</f>
        <v>#REF!</v>
      </c>
      <c r="E66" s="636" t="e">
        <f>+'VAS CF'!E66+#REF!</f>
        <v>#REF!</v>
      </c>
      <c r="F66" s="636" t="e">
        <f>+'VAS CF'!F66+#REF!</f>
        <v>#REF!</v>
      </c>
      <c r="G66" s="636" t="e">
        <f>+'VAS CF'!G66+#REF!</f>
        <v>#REF!</v>
      </c>
      <c r="H66" s="636" t="e">
        <f>+'VAS CF'!H66+#REF!</f>
        <v>#REF!</v>
      </c>
      <c r="I66" s="636" t="e">
        <f>+'VAS CF'!I66+#REF!</f>
        <v>#REF!</v>
      </c>
      <c r="J66" s="636" t="e">
        <f>+'VAS CF'!J66+#REF!</f>
        <v>#REF!</v>
      </c>
      <c r="K66" s="636" t="e">
        <f>+'VAS CF'!K66+#REF!</f>
        <v>#REF!</v>
      </c>
      <c r="L66" s="637" t="e">
        <f>+'VAS CF'!L66+#REF!</f>
        <v>#REF!</v>
      </c>
      <c r="M66" s="637"/>
    </row>
    <row r="67" spans="1:13" x14ac:dyDescent="0.2">
      <c r="A67" s="631" t="s">
        <v>129</v>
      </c>
      <c r="B67" s="635" t="e">
        <f>+'VAS CF'!B67+#REF!</f>
        <v>#REF!</v>
      </c>
      <c r="C67" s="636" t="e">
        <f>+'VAS CF'!C67+#REF!</f>
        <v>#REF!</v>
      </c>
      <c r="D67" s="636" t="e">
        <f>+'VAS CF'!D67+#REF!</f>
        <v>#REF!</v>
      </c>
      <c r="E67" s="636" t="e">
        <f>+'VAS CF'!E67+#REF!</f>
        <v>#REF!</v>
      </c>
      <c r="F67" s="636" t="e">
        <f>+'VAS CF'!F67+#REF!</f>
        <v>#REF!</v>
      </c>
      <c r="G67" s="636" t="e">
        <f>+'VAS CF'!G67+#REF!</f>
        <v>#REF!</v>
      </c>
      <c r="H67" s="636" t="e">
        <f>+'VAS CF'!H67+#REF!</f>
        <v>#REF!</v>
      </c>
      <c r="I67" s="636" t="e">
        <f>+'VAS CF'!I67+#REF!</f>
        <v>#REF!</v>
      </c>
      <c r="J67" s="636" t="e">
        <f>+'VAS CF'!J67+#REF!</f>
        <v>#REF!</v>
      </c>
      <c r="K67" s="636" t="e">
        <f>+'VAS CF'!K67+#REF!</f>
        <v>#REF!</v>
      </c>
      <c r="L67" s="637" t="e">
        <f>+'VAS CF'!L67+#REF!</f>
        <v>#REF!</v>
      </c>
      <c r="M67" s="637"/>
    </row>
    <row r="68" spans="1:13" x14ac:dyDescent="0.2">
      <c r="A68" s="631" t="s">
        <v>131</v>
      </c>
      <c r="B68" s="635" t="e">
        <f t="shared" ref="B68:L68" si="8">+B66-B67</f>
        <v>#REF!</v>
      </c>
      <c r="C68" s="636" t="e">
        <f t="shared" si="8"/>
        <v>#REF!</v>
      </c>
      <c r="D68" s="636" t="e">
        <f t="shared" si="8"/>
        <v>#REF!</v>
      </c>
      <c r="E68" s="636" t="e">
        <f t="shared" si="8"/>
        <v>#REF!</v>
      </c>
      <c r="F68" s="636" t="e">
        <f t="shared" si="8"/>
        <v>#REF!</v>
      </c>
      <c r="G68" s="636" t="e">
        <f t="shared" si="8"/>
        <v>#REF!</v>
      </c>
      <c r="H68" s="636" t="e">
        <f t="shared" si="8"/>
        <v>#REF!</v>
      </c>
      <c r="I68" s="636" t="e">
        <f t="shared" si="8"/>
        <v>#REF!</v>
      </c>
      <c r="J68" s="636" t="e">
        <f t="shared" si="8"/>
        <v>#REF!</v>
      </c>
      <c r="K68" s="636" t="e">
        <f t="shared" si="8"/>
        <v>#REF!</v>
      </c>
      <c r="L68" s="637" t="e">
        <f t="shared" si="8"/>
        <v>#REF!</v>
      </c>
      <c r="M68" s="637" t="e">
        <f>+L68/(#REF!-#REF!)*(1+#REF!)</f>
        <v>#REF!</v>
      </c>
    </row>
    <row r="69" spans="1:13" ht="13.5" thickBot="1" x14ac:dyDescent="0.25">
      <c r="A69" s="638" t="s">
        <v>132</v>
      </c>
      <c r="B69" s="639" t="e">
        <f>+B68</f>
        <v>#REF!</v>
      </c>
      <c r="C69" s="640" t="e">
        <f>+C68/(1+'Many to Many Ass.'!$B$134)^(#REF!-2001)</f>
        <v>#REF!</v>
      </c>
      <c r="D69" s="640" t="e">
        <f>+D68/(1+'Many to Many Ass.'!$B$134)^(#REF!-2001)</f>
        <v>#REF!</v>
      </c>
      <c r="E69" s="640" t="e">
        <f>+E68/(1+'Many to Many Ass.'!$B$134)^(#REF!-2001)</f>
        <v>#REF!</v>
      </c>
      <c r="F69" s="640" t="e">
        <f>+F68/(1+'Many to Many Ass.'!$B$134)^(#REF!-2001)</f>
        <v>#REF!</v>
      </c>
      <c r="G69" s="640" t="e">
        <f>+G68/(1+'Many to Many Ass.'!$B$134)^(#REF!-2001)</f>
        <v>#REF!</v>
      </c>
      <c r="H69" s="640" t="e">
        <f>+H68/(1+'Many to Many Ass.'!$B$134)^(#REF!-2001)</f>
        <v>#REF!</v>
      </c>
      <c r="I69" s="640" t="e">
        <f>+I68/(1+'Many to Many Ass.'!$B$134)^(#REF!-2001)</f>
        <v>#REF!</v>
      </c>
      <c r="J69" s="640" t="e">
        <f>+J68/(1+'Many to Many Ass.'!$B$134)^(#REF!-2001)</f>
        <v>#REF!</v>
      </c>
      <c r="K69" s="640" t="e">
        <f>+K68/(1+'Many to Many Ass.'!$B$134)^(#REF!-2001)</f>
        <v>#REF!</v>
      </c>
      <c r="L69" s="641" t="e">
        <f>+L68/(1+'Many to Many Ass.'!$B$134)^(#REF!-2001)</f>
        <v>#REF!</v>
      </c>
      <c r="M69" s="641" t="e">
        <f>+M68/(1+'Many to Many Ass.'!$B$134)^(#REF!-2001)</f>
        <v>#REF!</v>
      </c>
    </row>
    <row r="70" spans="1:13" ht="13.5" thickBot="1" x14ac:dyDescent="0.25"/>
    <row r="71" spans="1:13" ht="13.5" thickBot="1" x14ac:dyDescent="0.25">
      <c r="A71" s="648" t="s">
        <v>135</v>
      </c>
      <c r="B71" s="649" t="e">
        <f>SUM(B69:M69)</f>
        <v>#REF!</v>
      </c>
      <c r="D71" s="650" t="s">
        <v>359</v>
      </c>
      <c r="E71" s="605"/>
      <c r="F71" s="605"/>
      <c r="G71" s="605"/>
      <c r="H71" s="605"/>
      <c r="I71" s="605"/>
      <c r="J71" s="605"/>
      <c r="K71" s="605"/>
      <c r="L71" s="605"/>
    </row>
    <row r="75" spans="1:13" x14ac:dyDescent="0.2">
      <c r="D75" s="651" t="s">
        <v>378</v>
      </c>
    </row>
    <row r="76" spans="1:13" ht="13.5" thickBot="1" x14ac:dyDescent="0.25"/>
    <row r="77" spans="1:13" ht="18.75" thickBot="1" x14ac:dyDescent="0.3">
      <c r="A77" s="652" t="s">
        <v>377</v>
      </c>
      <c r="B77" s="653"/>
      <c r="C77" s="654"/>
      <c r="D77" s="652" t="e">
        <f>+B59*'Many to Many Ass.'!B134</f>
        <v>#REF!</v>
      </c>
    </row>
    <row r="78" spans="1:13" ht="18.75" thickBot="1" x14ac:dyDescent="0.3">
      <c r="A78" s="655" t="s">
        <v>376</v>
      </c>
      <c r="B78" s="656"/>
      <c r="C78" s="653"/>
      <c r="D78" s="657" t="e">
        <f>+B71*'Many to Many Ass.'!B134</f>
        <v>#REF!</v>
      </c>
    </row>
  </sheetData>
  <mergeCells count="11">
    <mergeCell ref="M50:M51"/>
    <mergeCell ref="B4:L4"/>
    <mergeCell ref="B14:L14"/>
    <mergeCell ref="M14:M15"/>
    <mergeCell ref="B26:L26"/>
    <mergeCell ref="M26:M27"/>
    <mergeCell ref="B62:L62"/>
    <mergeCell ref="M62:M63"/>
    <mergeCell ref="B38:L38"/>
    <mergeCell ref="M38:M39"/>
    <mergeCell ref="B50:L50"/>
  </mergeCells>
  <printOptions horizontalCentered="1"/>
  <pageMargins left="0.75" right="0.75" top="1" bottom="1" header="0.5" footer="0.5"/>
  <pageSetup scale="5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B28" sqref="B28"/>
    </sheetView>
  </sheetViews>
  <sheetFormatPr defaultRowHeight="12.75" x14ac:dyDescent="0.2"/>
  <cols>
    <col min="1" max="1" width="36" bestFit="1" customWidth="1"/>
    <col min="2" max="2" width="13.28515625" customWidth="1"/>
    <col min="3" max="12" width="11.28515625" bestFit="1" customWidth="1"/>
    <col min="13" max="13" width="12.140625" customWidth="1"/>
  </cols>
  <sheetData>
    <row r="1" spans="1:13" ht="27" thickBot="1" x14ac:dyDescent="0.45">
      <c r="A1" s="145" t="s">
        <v>512</v>
      </c>
    </row>
    <row r="2" spans="1:13" x14ac:dyDescent="0.2">
      <c r="M2" s="684" t="s">
        <v>133</v>
      </c>
    </row>
    <row r="3" spans="1:13" ht="13.5" thickBot="1" x14ac:dyDescent="0.25">
      <c r="M3" s="685"/>
    </row>
    <row r="4" spans="1:13" ht="13.5" thickBot="1" x14ac:dyDescent="0.25">
      <c r="A4" s="586" t="s">
        <v>523</v>
      </c>
      <c r="B4" s="431">
        <v>2001</v>
      </c>
      <c r="C4" s="432">
        <v>2002</v>
      </c>
      <c r="D4" s="432">
        <v>2003</v>
      </c>
      <c r="E4" s="432">
        <v>2004</v>
      </c>
      <c r="F4" s="432">
        <v>2005</v>
      </c>
      <c r="G4" s="432">
        <v>2006</v>
      </c>
      <c r="H4" s="432">
        <v>2007</v>
      </c>
      <c r="I4" s="432">
        <v>2008</v>
      </c>
      <c r="J4" s="432">
        <v>2009</v>
      </c>
      <c r="K4" s="432">
        <v>2010</v>
      </c>
      <c r="L4" s="433">
        <v>2011</v>
      </c>
      <c r="M4" s="75">
        <v>2012</v>
      </c>
    </row>
    <row r="5" spans="1:13" x14ac:dyDescent="0.2">
      <c r="A5" s="568" t="s">
        <v>511</v>
      </c>
      <c r="B5" s="140">
        <f>+'Private Label Revenue'!B19</f>
        <v>22095.955234765046</v>
      </c>
      <c r="C5" s="141">
        <f>+'Private Label Revenue'!C19</f>
        <v>37331.224410329283</v>
      </c>
      <c r="D5" s="141">
        <f>+'Private Label Revenue'!D19</f>
        <v>53099.452347803795</v>
      </c>
      <c r="E5" s="141">
        <f>+'Private Label Revenue'!E19</f>
        <v>69619.719024607315</v>
      </c>
      <c r="F5" s="141">
        <f>+'Private Label Revenue'!F19</f>
        <v>86926.149098003574</v>
      </c>
      <c r="G5" s="141">
        <f>+'Private Label Revenue'!G19</f>
        <v>105197.10877467974</v>
      </c>
      <c r="H5" s="141">
        <f>+'Private Label Revenue'!H19</f>
        <v>124266.64013464151</v>
      </c>
      <c r="I5" s="141">
        <f>+'Private Label Revenue'!I19</f>
        <v>144137.0545455346</v>
      </c>
      <c r="J5" s="141">
        <f>+'Private Label Revenue'!J19</f>
        <v>164857.46624951434</v>
      </c>
      <c r="K5" s="141">
        <f>+'Private Label Revenue'!K19</f>
        <v>186336.8066245825</v>
      </c>
      <c r="L5" s="142">
        <f>+'Private Label Revenue'!L19</f>
        <v>208676.18217220259</v>
      </c>
    </row>
    <row r="6" spans="1:13" x14ac:dyDescent="0.2">
      <c r="A6" s="348" t="s">
        <v>513</v>
      </c>
      <c r="B6" s="133">
        <f>+'Many to Many Revenue'!B19</f>
        <v>0</v>
      </c>
      <c r="C6" s="134">
        <f>+'Many to Many Revenue'!C19</f>
        <v>0</v>
      </c>
      <c r="D6" s="134">
        <f>+'Many to Many Revenue'!D19</f>
        <v>0</v>
      </c>
      <c r="E6" s="134">
        <f>+'Many to Many Revenue'!E19</f>
        <v>0</v>
      </c>
      <c r="F6" s="134">
        <f>+'Many to Many Revenue'!F19</f>
        <v>0</v>
      </c>
      <c r="G6" s="134">
        <f>+'Many to Many Revenue'!G19</f>
        <v>0</v>
      </c>
      <c r="H6" s="134">
        <f>+'Many to Many Revenue'!H19</f>
        <v>0</v>
      </c>
      <c r="I6" s="134">
        <f>+'Many to Many Revenue'!I19</f>
        <v>0</v>
      </c>
      <c r="J6" s="134">
        <f>+'Many to Many Revenue'!J19</f>
        <v>0</v>
      </c>
      <c r="K6" s="134">
        <f>+'Many to Many Revenue'!K19</f>
        <v>0</v>
      </c>
      <c r="L6" s="135">
        <f>+'Many to Many Revenue'!L19</f>
        <v>0</v>
      </c>
    </row>
    <row r="7" spans="1:13" x14ac:dyDescent="0.2">
      <c r="A7" s="348" t="s">
        <v>514</v>
      </c>
      <c r="B7" s="133">
        <f>+('Outsourcing and Acquisition Ass'!$B$6+1)*Expenses!B201/1000</f>
        <v>1996.9573650000002</v>
      </c>
      <c r="C7" s="134">
        <f>+('Outsourcing and Acquisition Ass'!$B$6+1)*Expenses!C201/1000</f>
        <v>2052.8721712199999</v>
      </c>
      <c r="D7" s="134">
        <f>+('Outsourcing and Acquisition Ass'!$B$6+1)*Expenses!D201/1000</f>
        <v>2100.0882311580599</v>
      </c>
      <c r="E7" s="134">
        <f>+('Outsourcing and Acquisition Ass'!$B$6+1)*Expenses!E201/1000</f>
        <v>2142.0899957812212</v>
      </c>
      <c r="F7" s="134">
        <f>+('Outsourcing and Acquisition Ass'!$B$6+1)*Expenses!F201/1000</f>
        <v>2189.215975688408</v>
      </c>
      <c r="G7" s="134">
        <f>+('Outsourcing and Acquisition Ass'!$B$6+1)*Expenses!G201/1000</f>
        <v>2239.5679431292415</v>
      </c>
      <c r="H7" s="134">
        <f>+('Outsourcing and Acquisition Ass'!$B$6+1)*Expenses!H201/1000</f>
        <v>2295.5571417074721</v>
      </c>
      <c r="I7" s="134">
        <f>+('Outsourcing and Acquisition Ass'!$B$6+1)*Expenses!I201/1000</f>
        <v>2351.7982916793048</v>
      </c>
      <c r="J7" s="134">
        <f>+('Outsourcing and Acquisition Ass'!$B$6+1)*Expenses!J201/1000</f>
        <v>2408.2414506796085</v>
      </c>
      <c r="K7" s="134">
        <f>+('Outsourcing and Acquisition Ass'!$B$6+1)*Expenses!K201/1000</f>
        <v>2465.5575972057832</v>
      </c>
      <c r="L7" s="135">
        <f>+('Outsourcing and Acquisition Ass'!$B$6+1)*Expenses!L201/1000</f>
        <v>2522.2654219415163</v>
      </c>
    </row>
    <row r="8" spans="1:13" x14ac:dyDescent="0.2">
      <c r="A8" s="583" t="s">
        <v>461</v>
      </c>
      <c r="B8" s="574">
        <f>SUM(B5:B7)</f>
        <v>24092.912599765048</v>
      </c>
      <c r="C8" s="575">
        <f t="shared" ref="C8:L8" si="0">SUM(C5:C7)</f>
        <v>39384.096581549282</v>
      </c>
      <c r="D8" s="575">
        <f t="shared" si="0"/>
        <v>55199.540578961853</v>
      </c>
      <c r="E8" s="575">
        <f t="shared" si="0"/>
        <v>71761.809020388537</v>
      </c>
      <c r="F8" s="575">
        <f t="shared" si="0"/>
        <v>89115.365073691981</v>
      </c>
      <c r="G8" s="575">
        <f t="shared" si="0"/>
        <v>107436.67671780898</v>
      </c>
      <c r="H8" s="575">
        <f t="shared" si="0"/>
        <v>126562.19727634898</v>
      </c>
      <c r="I8" s="575">
        <f t="shared" si="0"/>
        <v>146488.8528372139</v>
      </c>
      <c r="J8" s="575">
        <f t="shared" si="0"/>
        <v>167265.70770019395</v>
      </c>
      <c r="K8" s="575">
        <f t="shared" si="0"/>
        <v>188802.36422178827</v>
      </c>
      <c r="L8" s="576">
        <f t="shared" si="0"/>
        <v>211198.44759414412</v>
      </c>
    </row>
    <row r="9" spans="1:13" x14ac:dyDescent="0.2">
      <c r="A9" s="582" t="s">
        <v>569</v>
      </c>
      <c r="B9" s="13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3" x14ac:dyDescent="0.2">
      <c r="A10" s="348" t="s">
        <v>524</v>
      </c>
      <c r="B10" s="133">
        <f>+Expenses!B68/1000</f>
        <v>1369.5962919223296</v>
      </c>
      <c r="C10" s="134">
        <f>+Expenses!C68/1000</f>
        <v>1401.0970066365428</v>
      </c>
      <c r="D10" s="134">
        <f>+Expenses!D68/1000</f>
        <v>1429.1189467692741</v>
      </c>
      <c r="E10" s="134">
        <f>+Expenses!E68/1000</f>
        <v>1460.5595635981977</v>
      </c>
      <c r="F10" s="134">
        <f>+Expenses!F68/1000</f>
        <v>1494.1524335609561</v>
      </c>
      <c r="G10" s="134">
        <f>+Expenses!G68/1000</f>
        <v>1531.50624439998</v>
      </c>
      <c r="H10" s="134">
        <f>+Expenses!H68/1000</f>
        <v>1569.0281473877799</v>
      </c>
      <c r="I10" s="134">
        <f>+Expenses!I68/1000</f>
        <v>1606.684822925087</v>
      </c>
      <c r="J10" s="134">
        <f>+Expenses!J68/1000</f>
        <v>1644.9239217107036</v>
      </c>
      <c r="K10" s="134">
        <f>+Expenses!K68/1000</f>
        <v>1682.7571719100497</v>
      </c>
      <c r="L10" s="135">
        <f>+Expenses!L68/1000</f>
        <v>1721.1240354295987</v>
      </c>
    </row>
    <row r="11" spans="1:13" x14ac:dyDescent="0.2">
      <c r="A11" s="348" t="s">
        <v>525</v>
      </c>
      <c r="B11" s="133">
        <f>+Expenses!B69*SUM('Private Label Ass'!$B21:B21)/1000*'Private Label Ass'!$C$3</f>
        <v>2011.52</v>
      </c>
      <c r="C11" s="134">
        <f>+Expenses!C69*SUM('Private Label Ass'!$B21:C21)/1000*'Private Label Ass'!$C$3</f>
        <v>4115.5699200000035</v>
      </c>
      <c r="D11" s="134">
        <f>+Expenses!D69*SUM('Private Label Ass'!$B21:D21)/1000*'Private Label Ass'!$C$3</f>
        <v>6296.8219775999942</v>
      </c>
      <c r="E11" s="134">
        <f>+Expenses!E69*SUM('Private Label Ass'!$B21:E21)/1000*'Private Label Ass'!$C$3</f>
        <v>8580.4694148096041</v>
      </c>
      <c r="F11" s="134">
        <f>+Expenses!F69*SUM('Private Label Ass'!$B21:F21)/1000*'Private Label Ass'!$C$3</f>
        <v>10972.27526418778</v>
      </c>
      <c r="G11" s="134">
        <f>+Expenses!G69*SUM('Private Label Ass'!$B21:G21)/1000*'Private Label Ass'!$C$3</f>
        <v>13495.898574950957</v>
      </c>
      <c r="H11" s="134">
        <f>+Expenses!H69*SUM('Private Label Ass'!$B21:H21)/1000*'Private Label Ass'!$C$3</f>
        <v>16130.972771710116</v>
      </c>
      <c r="I11" s="134">
        <f>+Expenses!I69*SUM('Private Label Ass'!$B21:I21)/1000*'Private Label Ass'!$C$3</f>
        <v>18877.846992264156</v>
      </c>
      <c r="J11" s="134">
        <f>+Expenses!J69*SUM('Private Label Ass'!$B21:J21)/1000*'Private Label Ass'!$C$3</f>
        <v>21743.032219515087</v>
      </c>
      <c r="K11" s="134">
        <f>+Expenses!K69*SUM('Private Label Ass'!$B21:K21)/1000*'Private Label Ass'!$C$3</f>
        <v>24714.579956182148</v>
      </c>
      <c r="L11" s="135">
        <f>+Expenses!L69*SUM('Private Label Ass'!$B21:L21)/1000*'Private Label Ass'!$C$3</f>
        <v>27805.879617101393</v>
      </c>
    </row>
    <row r="12" spans="1:13" x14ac:dyDescent="0.2">
      <c r="A12" s="348" t="s">
        <v>526</v>
      </c>
      <c r="B12" s="133">
        <f>+Expenses!B138/1000</f>
        <v>4334.2199708285789</v>
      </c>
      <c r="C12" s="134">
        <f>+Expenses!C138/1000</f>
        <v>4433.9070301576357</v>
      </c>
      <c r="D12" s="134">
        <f>+Expenses!D138/1000</f>
        <v>4522.585170760789</v>
      </c>
      <c r="E12" s="134">
        <f>+Expenses!E138/1000</f>
        <v>4622.0820445175268</v>
      </c>
      <c r="F12" s="134">
        <f>+Expenses!F138/1000</f>
        <v>4728.3899315414292</v>
      </c>
      <c r="G12" s="134">
        <f>+Expenses!G138/1000</f>
        <v>4846.5996798299648</v>
      </c>
      <c r="H12" s="134">
        <f>+Expenses!H138/1000</f>
        <v>4965.341371985799</v>
      </c>
      <c r="I12" s="134">
        <f>+Expenses!I138/1000</f>
        <v>5084.5095649134582</v>
      </c>
      <c r="J12" s="134">
        <f>+Expenses!J138/1000</f>
        <v>5205.5208925583984</v>
      </c>
      <c r="K12" s="134">
        <f>+Expenses!K138/1000</f>
        <v>5325.2478730872417</v>
      </c>
      <c r="L12" s="135">
        <f>+Expenses!L138/1000</f>
        <v>5446.6635245936295</v>
      </c>
    </row>
    <row r="13" spans="1:13" x14ac:dyDescent="0.2">
      <c r="A13" s="348" t="s">
        <v>572</v>
      </c>
      <c r="B13" s="13">
        <f>+'Balance Sheet'!B21/'Outsourcing and Acquisition Ass'!$B$17</f>
        <v>0</v>
      </c>
      <c r="C13" s="30">
        <f>+'Balance Sheet'!C21/'Outsourcing and Acquisition Ass'!$B$17</f>
        <v>0</v>
      </c>
      <c r="D13" s="30">
        <f>+'Balance Sheet'!D21/'Outsourcing and Acquisition Ass'!$B$17</f>
        <v>0</v>
      </c>
      <c r="E13" s="30">
        <f>+'Balance Sheet'!E21/'Outsourcing and Acquisition Ass'!$B$17</f>
        <v>0</v>
      </c>
      <c r="F13" s="30">
        <f>+'Balance Sheet'!F21/'Outsourcing and Acquisition Ass'!$B$17</f>
        <v>0</v>
      </c>
      <c r="G13" s="30">
        <f>+'Balance Sheet'!G21/'Outsourcing and Acquisition Ass'!$B$17</f>
        <v>0</v>
      </c>
      <c r="H13" s="30">
        <f>+'Balance Sheet'!H21/'Outsourcing and Acquisition Ass'!$B$17</f>
        <v>0</v>
      </c>
      <c r="I13" s="30">
        <f>+'Balance Sheet'!I21/'Outsourcing and Acquisition Ass'!$B$17</f>
        <v>0</v>
      </c>
      <c r="J13" s="30">
        <f>+'Balance Sheet'!J21/'Outsourcing and Acquisition Ass'!$B$17</f>
        <v>0</v>
      </c>
      <c r="K13" s="30">
        <f>+'Balance Sheet'!K21/'Outsourcing and Acquisition Ass'!$B$17</f>
        <v>0</v>
      </c>
      <c r="L13" s="31">
        <f>+'Balance Sheet'!L21/'Outsourcing and Acquisition Ass'!$B$17</f>
        <v>0</v>
      </c>
    </row>
    <row r="14" spans="1:13" x14ac:dyDescent="0.2">
      <c r="A14" s="348" t="s">
        <v>576</v>
      </c>
      <c r="B14" s="13">
        <f>+'Balance Sheet'!B18/'Outsourcing and Acquisition Ass'!$B$18</f>
        <v>0</v>
      </c>
      <c r="C14" s="30">
        <f>+'Balance Sheet'!C18/'Outsourcing and Acquisition Ass'!$B$18</f>
        <v>0</v>
      </c>
      <c r="D14" s="30">
        <f>+'Balance Sheet'!D18/'Outsourcing and Acquisition Ass'!$B$18</f>
        <v>0</v>
      </c>
      <c r="E14" s="30">
        <f>+'Balance Sheet'!E18/'Outsourcing and Acquisition Ass'!$B$18</f>
        <v>0</v>
      </c>
      <c r="F14" s="30">
        <f>+'Balance Sheet'!F18/'Outsourcing and Acquisition Ass'!$B$18</f>
        <v>0</v>
      </c>
      <c r="G14" s="30">
        <f>+'Balance Sheet'!G18/'Outsourcing and Acquisition Ass'!$B$18</f>
        <v>0</v>
      </c>
      <c r="H14" s="30">
        <f>+'Balance Sheet'!H18/'Outsourcing and Acquisition Ass'!$B$18</f>
        <v>0</v>
      </c>
      <c r="I14" s="30">
        <f>+'Balance Sheet'!I18/'Outsourcing and Acquisition Ass'!$B$18</f>
        <v>0</v>
      </c>
      <c r="J14" s="30">
        <f>+'Balance Sheet'!J18/'Outsourcing and Acquisition Ass'!$B$18</f>
        <v>0</v>
      </c>
      <c r="K14" s="30">
        <f>+'Balance Sheet'!K18/'Outsourcing and Acquisition Ass'!$B$18</f>
        <v>0</v>
      </c>
      <c r="L14" s="31">
        <f>+'Balance Sheet'!L18/'Outsourcing and Acquisition Ass'!$B$18</f>
        <v>0</v>
      </c>
    </row>
    <row r="15" spans="1:13" x14ac:dyDescent="0.2">
      <c r="A15" s="585" t="s">
        <v>570</v>
      </c>
      <c r="B15" s="574">
        <f>SUM(B10:B14)</f>
        <v>7715.3362627509086</v>
      </c>
      <c r="C15" s="575">
        <f t="shared" ref="C15:L15" si="1">SUM(C10:C14)</f>
        <v>9950.5739567941819</v>
      </c>
      <c r="D15" s="575">
        <f t="shared" si="1"/>
        <v>12248.526095130057</v>
      </c>
      <c r="E15" s="575">
        <f t="shared" si="1"/>
        <v>14663.111022925328</v>
      </c>
      <c r="F15" s="575">
        <f t="shared" si="1"/>
        <v>17194.817629290163</v>
      </c>
      <c r="G15" s="575">
        <f t="shared" si="1"/>
        <v>19874.004499180901</v>
      </c>
      <c r="H15" s="575">
        <f t="shared" si="1"/>
        <v>22665.342291083696</v>
      </c>
      <c r="I15" s="575">
        <f t="shared" si="1"/>
        <v>25569.041380102703</v>
      </c>
      <c r="J15" s="575">
        <f t="shared" si="1"/>
        <v>28593.477033784187</v>
      </c>
      <c r="K15" s="575">
        <f t="shared" si="1"/>
        <v>31722.585001179439</v>
      </c>
      <c r="L15" s="576">
        <f t="shared" si="1"/>
        <v>34973.667177124618</v>
      </c>
    </row>
    <row r="16" spans="1:13" x14ac:dyDescent="0.2">
      <c r="A16" s="585" t="s">
        <v>529</v>
      </c>
      <c r="B16" s="574">
        <f>+B8-B15</f>
        <v>16377.576337014139</v>
      </c>
      <c r="C16" s="575">
        <f t="shared" ref="C16:L16" si="2">+C8-C15</f>
        <v>29433.5226247551</v>
      </c>
      <c r="D16" s="575">
        <f t="shared" si="2"/>
        <v>42951.014483831794</v>
      </c>
      <c r="E16" s="575">
        <f t="shared" si="2"/>
        <v>57098.697997463212</v>
      </c>
      <c r="F16" s="575">
        <f t="shared" si="2"/>
        <v>71920.547444401818</v>
      </c>
      <c r="G16" s="575">
        <f t="shared" si="2"/>
        <v>87562.672218628082</v>
      </c>
      <c r="H16" s="575">
        <f t="shared" si="2"/>
        <v>103896.85498526528</v>
      </c>
      <c r="I16" s="575">
        <f t="shared" si="2"/>
        <v>120919.81145711119</v>
      </c>
      <c r="J16" s="575">
        <f t="shared" si="2"/>
        <v>138672.23066640977</v>
      </c>
      <c r="K16" s="575">
        <f t="shared" si="2"/>
        <v>157079.77922060882</v>
      </c>
      <c r="L16" s="576">
        <f t="shared" si="2"/>
        <v>176224.7804170195</v>
      </c>
    </row>
    <row r="17" spans="1:13" x14ac:dyDescent="0.2">
      <c r="A17" s="348" t="s">
        <v>575</v>
      </c>
      <c r="B17" s="13">
        <f>(+'Balance Sheet'!B35+'Balance Sheet'!B36+'Balance Sheet'!B42)*'Outsourcing and Acquisition Ass'!B16</f>
        <v>0</v>
      </c>
      <c r="C17" s="30">
        <f>(+'Balance Sheet'!C35+'Balance Sheet'!C36+'Balance Sheet'!C42)*'Outsourcing and Acquisition Ass'!C16</f>
        <v>0</v>
      </c>
      <c r="D17" s="30">
        <f>(+'Balance Sheet'!D35+'Balance Sheet'!D36+'Balance Sheet'!D42)*'Outsourcing and Acquisition Ass'!D13</f>
        <v>0</v>
      </c>
      <c r="E17" s="30">
        <f>(+'Balance Sheet'!E35+'Balance Sheet'!E36+'Balance Sheet'!E42)*'Outsourcing and Acquisition Ass'!E13</f>
        <v>0</v>
      </c>
      <c r="F17" s="30">
        <f>(+'Balance Sheet'!F35+'Balance Sheet'!F36+'Balance Sheet'!F42)*'Outsourcing and Acquisition Ass'!F13</f>
        <v>0</v>
      </c>
      <c r="G17" s="30">
        <f>(+'Balance Sheet'!G35+'Balance Sheet'!G36+'Balance Sheet'!G42)*'Outsourcing and Acquisition Ass'!G13</f>
        <v>0</v>
      </c>
      <c r="H17" s="30">
        <f>(+'Balance Sheet'!H35+'Balance Sheet'!H36+'Balance Sheet'!H42)*'Outsourcing and Acquisition Ass'!H13</f>
        <v>0</v>
      </c>
      <c r="I17" s="30">
        <f>(+'Balance Sheet'!I35+'Balance Sheet'!I36+'Balance Sheet'!I42)*'Outsourcing and Acquisition Ass'!I13</f>
        <v>0</v>
      </c>
      <c r="J17" s="30">
        <f>(+'Balance Sheet'!J35+'Balance Sheet'!J36+'Balance Sheet'!J42)*'Outsourcing and Acquisition Ass'!J13</f>
        <v>0</v>
      </c>
      <c r="K17" s="30">
        <f>(+'Balance Sheet'!K35+'Balance Sheet'!K36+'Balance Sheet'!K42)*'Outsourcing and Acquisition Ass'!K13</f>
        <v>0</v>
      </c>
      <c r="L17" s="31">
        <f>(+'Balance Sheet'!L35+'Balance Sheet'!L36+'Balance Sheet'!L42)*'Outsourcing and Acquisition Ass'!L13</f>
        <v>0</v>
      </c>
    </row>
    <row r="18" spans="1:13" x14ac:dyDescent="0.2">
      <c r="A18" s="348" t="s">
        <v>579</v>
      </c>
      <c r="B18" s="13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3" x14ac:dyDescent="0.2">
      <c r="A19" s="583" t="s">
        <v>580</v>
      </c>
      <c r="B19" s="574">
        <f>+B18+B16-B17</f>
        <v>16377.576337014139</v>
      </c>
      <c r="C19" s="575">
        <f t="shared" ref="C19:L19" si="3">+C18+C16-C17</f>
        <v>29433.5226247551</v>
      </c>
      <c r="D19" s="575">
        <f t="shared" si="3"/>
        <v>42951.014483831794</v>
      </c>
      <c r="E19" s="575">
        <f t="shared" si="3"/>
        <v>57098.697997463212</v>
      </c>
      <c r="F19" s="575">
        <f t="shared" si="3"/>
        <v>71920.547444401818</v>
      </c>
      <c r="G19" s="575">
        <f t="shared" si="3"/>
        <v>87562.672218628082</v>
      </c>
      <c r="H19" s="575">
        <f t="shared" si="3"/>
        <v>103896.85498526528</v>
      </c>
      <c r="I19" s="575">
        <f t="shared" si="3"/>
        <v>120919.81145711119</v>
      </c>
      <c r="J19" s="575">
        <f t="shared" si="3"/>
        <v>138672.23066640977</v>
      </c>
      <c r="K19" s="575">
        <f t="shared" si="3"/>
        <v>157079.77922060882</v>
      </c>
      <c r="L19" s="576">
        <f t="shared" si="3"/>
        <v>176224.7804170195</v>
      </c>
    </row>
    <row r="20" spans="1:13" x14ac:dyDescent="0.2">
      <c r="A20" s="348" t="s">
        <v>581</v>
      </c>
      <c r="B20" s="133">
        <f>+B19*'Outsourcing and Acquisition Ass'!$B$15</f>
        <v>5732.1517179549483</v>
      </c>
      <c r="C20" s="134">
        <f>+C19*'Outsourcing and Acquisition Ass'!$B$15</f>
        <v>10301.732918664284</v>
      </c>
      <c r="D20" s="134">
        <f>+D19*'Outsourcing and Acquisition Ass'!$B$15</f>
        <v>15032.855069341127</v>
      </c>
      <c r="E20" s="134">
        <f>+E19*'Outsourcing and Acquisition Ass'!$B$15</f>
        <v>19984.544299112124</v>
      </c>
      <c r="F20" s="134">
        <f>+F19*'Outsourcing and Acquisition Ass'!$B$15</f>
        <v>25172.191605540636</v>
      </c>
      <c r="G20" s="134">
        <f>+G19*'Outsourcing and Acquisition Ass'!$B$15</f>
        <v>30646.935276519827</v>
      </c>
      <c r="H20" s="134">
        <f>+H19*'Outsourcing and Acquisition Ass'!$B$15</f>
        <v>36363.899244842847</v>
      </c>
      <c r="I20" s="134">
        <f>+I19*'Outsourcing and Acquisition Ass'!$B$15</f>
        <v>42321.934009988916</v>
      </c>
      <c r="J20" s="134">
        <f>+J19*'Outsourcing and Acquisition Ass'!$B$15</f>
        <v>48535.280733243417</v>
      </c>
      <c r="K20" s="134">
        <f>+K19*'Outsourcing and Acquisition Ass'!$B$15</f>
        <v>54977.922727213081</v>
      </c>
      <c r="L20" s="135">
        <f>+L19*'Outsourcing and Acquisition Ass'!$B$15</f>
        <v>61678.673145956818</v>
      </c>
    </row>
    <row r="21" spans="1:13" x14ac:dyDescent="0.2">
      <c r="A21" s="348" t="s">
        <v>583</v>
      </c>
      <c r="B21" s="13">
        <f>+B13+B14</f>
        <v>0</v>
      </c>
      <c r="C21" s="30">
        <f t="shared" ref="C21:L21" si="4">+C13+C14</f>
        <v>0</v>
      </c>
      <c r="D21" s="30">
        <f t="shared" si="4"/>
        <v>0</v>
      </c>
      <c r="E21" s="30">
        <f t="shared" si="4"/>
        <v>0</v>
      </c>
      <c r="F21" s="30">
        <f t="shared" si="4"/>
        <v>0</v>
      </c>
      <c r="G21" s="30">
        <f t="shared" si="4"/>
        <v>0</v>
      </c>
      <c r="H21" s="30">
        <f t="shared" si="4"/>
        <v>0</v>
      </c>
      <c r="I21" s="30">
        <f t="shared" si="4"/>
        <v>0</v>
      </c>
      <c r="J21" s="30">
        <f t="shared" si="4"/>
        <v>0</v>
      </c>
      <c r="K21" s="30">
        <f t="shared" si="4"/>
        <v>0</v>
      </c>
      <c r="L21" s="31">
        <f t="shared" si="4"/>
        <v>0</v>
      </c>
    </row>
    <row r="22" spans="1:13" x14ac:dyDescent="0.2">
      <c r="A22" s="583" t="s">
        <v>584</v>
      </c>
      <c r="B22" s="574">
        <f>+B19-B20+B21</f>
        <v>10645.424619059191</v>
      </c>
      <c r="C22" s="575">
        <f t="shared" ref="C22:L22" si="5">+C19-C20+C21</f>
        <v>19131.789706090814</v>
      </c>
      <c r="D22" s="575">
        <f t="shared" si="5"/>
        <v>27918.159414490667</v>
      </c>
      <c r="E22" s="575">
        <f t="shared" si="5"/>
        <v>37114.153698351089</v>
      </c>
      <c r="F22" s="575">
        <f t="shared" si="5"/>
        <v>46748.355838861185</v>
      </c>
      <c r="G22" s="575">
        <f t="shared" si="5"/>
        <v>56915.736942108255</v>
      </c>
      <c r="H22" s="575">
        <f t="shared" si="5"/>
        <v>67532.955740422432</v>
      </c>
      <c r="I22" s="575">
        <f t="shared" si="5"/>
        <v>78597.877447122271</v>
      </c>
      <c r="J22" s="575">
        <f t="shared" si="5"/>
        <v>90136.949933166354</v>
      </c>
      <c r="K22" s="575">
        <f t="shared" si="5"/>
        <v>102101.85649339574</v>
      </c>
      <c r="L22" s="576">
        <f t="shared" si="5"/>
        <v>114546.10727106268</v>
      </c>
    </row>
    <row r="23" spans="1:13" x14ac:dyDescent="0.2">
      <c r="A23" s="348" t="s">
        <v>585</v>
      </c>
      <c r="B23" s="13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3" x14ac:dyDescent="0.2">
      <c r="A24" s="348" t="s">
        <v>586</v>
      </c>
      <c r="B24" s="13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5" spans="1:13" ht="13.5" thickBot="1" x14ac:dyDescent="0.25">
      <c r="A25" s="348" t="s">
        <v>587</v>
      </c>
      <c r="B25" s="13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6" spans="1:13" ht="13.5" thickBot="1" x14ac:dyDescent="0.25">
      <c r="A26" s="584" t="s">
        <v>510</v>
      </c>
      <c r="B26" s="587">
        <f>B22-SUM(B23:B25)</f>
        <v>10645.424619059191</v>
      </c>
      <c r="C26" s="588">
        <f t="shared" ref="C26:L26" si="6">C22-SUM(C23:C25)</f>
        <v>19131.789706090814</v>
      </c>
      <c r="D26" s="588">
        <f t="shared" si="6"/>
        <v>27918.159414490667</v>
      </c>
      <c r="E26" s="588">
        <f t="shared" si="6"/>
        <v>37114.153698351089</v>
      </c>
      <c r="F26" s="588">
        <f t="shared" si="6"/>
        <v>46748.355838861185</v>
      </c>
      <c r="G26" s="588">
        <f t="shared" si="6"/>
        <v>56915.736942108255</v>
      </c>
      <c r="H26" s="588">
        <f t="shared" si="6"/>
        <v>67532.955740422432</v>
      </c>
      <c r="I26" s="588">
        <f t="shared" si="6"/>
        <v>78597.877447122271</v>
      </c>
      <c r="J26" s="588">
        <f t="shared" si="6"/>
        <v>90136.949933166354</v>
      </c>
      <c r="K26" s="588">
        <f t="shared" si="6"/>
        <v>102101.85649339574</v>
      </c>
      <c r="L26" s="589">
        <f t="shared" si="6"/>
        <v>114546.10727106268</v>
      </c>
      <c r="M26" s="499">
        <f>+L26*'Outsourcing and Acquisition Ass'!B21</f>
        <v>1573099.873189261</v>
      </c>
    </row>
    <row r="27" spans="1:13" ht="13.5" thickBot="1" x14ac:dyDescent="0.25"/>
    <row r="28" spans="1:13" ht="13.5" thickBot="1" x14ac:dyDescent="0.25">
      <c r="A28" s="36" t="s">
        <v>590</v>
      </c>
      <c r="B28" s="139">
        <f>+XNPV('Outsourcing and Acquisition Ass'!B20,B26:M26,B4:M4)</f>
        <v>2218560.8548067133</v>
      </c>
    </row>
  </sheetData>
  <mergeCells count="1">
    <mergeCell ref="M2:M3"/>
  </mergeCells>
  <pageMargins left="0.75" right="0.75" top="1" bottom="1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78" zoomScale="75" workbookViewId="0">
      <selection activeCell="A2" sqref="A2"/>
    </sheetView>
  </sheetViews>
  <sheetFormatPr defaultRowHeight="12.75" x14ac:dyDescent="0.2"/>
  <cols>
    <col min="1" max="1" width="17.140625" customWidth="1"/>
    <col min="2" max="2" width="13.28515625" customWidth="1"/>
    <col min="3" max="7" width="13.7109375" customWidth="1"/>
    <col min="8" max="9" width="13.28515625" customWidth="1"/>
    <col min="10" max="12" width="13.7109375" customWidth="1"/>
  </cols>
  <sheetData>
    <row r="1" spans="1:12" ht="26.25" x14ac:dyDescent="0.4">
      <c r="A1" s="145" t="s">
        <v>596</v>
      </c>
    </row>
    <row r="4" spans="1:12" x14ac:dyDescent="0.2">
      <c r="A4" s="8" t="s">
        <v>484</v>
      </c>
    </row>
    <row r="5" spans="1:12" ht="13.5" thickBot="1" x14ac:dyDescent="0.25"/>
    <row r="6" spans="1:12" ht="13.5" thickBot="1" x14ac:dyDescent="0.25">
      <c r="B6" s="440">
        <v>2001</v>
      </c>
      <c r="C6" s="441">
        <v>2002</v>
      </c>
      <c r="D6" s="441">
        <v>2003</v>
      </c>
      <c r="E6" s="441">
        <v>2004</v>
      </c>
      <c r="F6" s="441">
        <v>2005</v>
      </c>
      <c r="G6" s="441">
        <v>2006</v>
      </c>
      <c r="H6" s="441">
        <v>2007</v>
      </c>
      <c r="I6" s="441">
        <v>2008</v>
      </c>
      <c r="J6" s="441">
        <v>2009</v>
      </c>
      <c r="K6" s="441">
        <v>2010</v>
      </c>
      <c r="L6" s="442">
        <v>2011</v>
      </c>
    </row>
    <row r="7" spans="1:12" x14ac:dyDescent="0.2">
      <c r="A7" s="50" t="s">
        <v>64</v>
      </c>
      <c r="B7" s="488">
        <f>+B42+B59+B76+B93</f>
        <v>0</v>
      </c>
      <c r="C7" s="489">
        <f t="shared" ref="C7:L7" si="0">+C42+C59+C76+C93</f>
        <v>0</v>
      </c>
      <c r="D7" s="489">
        <f t="shared" si="0"/>
        <v>0</v>
      </c>
      <c r="E7" s="489">
        <f t="shared" si="0"/>
        <v>0</v>
      </c>
      <c r="F7" s="489">
        <f t="shared" si="0"/>
        <v>0</v>
      </c>
      <c r="G7" s="489">
        <f t="shared" si="0"/>
        <v>0</v>
      </c>
      <c r="H7" s="489">
        <f t="shared" si="0"/>
        <v>0</v>
      </c>
      <c r="I7" s="489">
        <f t="shared" si="0"/>
        <v>0</v>
      </c>
      <c r="J7" s="489">
        <f t="shared" si="0"/>
        <v>0</v>
      </c>
      <c r="K7" s="489">
        <f t="shared" si="0"/>
        <v>0</v>
      </c>
      <c r="L7" s="490">
        <f t="shared" si="0"/>
        <v>0</v>
      </c>
    </row>
    <row r="8" spans="1:12" x14ac:dyDescent="0.2">
      <c r="A8" s="51" t="s">
        <v>65</v>
      </c>
      <c r="B8" s="491">
        <f t="shared" ref="B8:L18" si="1">+B43+B60+B77+B94</f>
        <v>0</v>
      </c>
      <c r="C8" s="492">
        <f t="shared" si="1"/>
        <v>0</v>
      </c>
      <c r="D8" s="492">
        <f t="shared" si="1"/>
        <v>0</v>
      </c>
      <c r="E8" s="492">
        <f t="shared" si="1"/>
        <v>0</v>
      </c>
      <c r="F8" s="492">
        <f t="shared" si="1"/>
        <v>0</v>
      </c>
      <c r="G8" s="492">
        <f t="shared" si="1"/>
        <v>0</v>
      </c>
      <c r="H8" s="492">
        <f t="shared" si="1"/>
        <v>0</v>
      </c>
      <c r="I8" s="492">
        <f t="shared" si="1"/>
        <v>0</v>
      </c>
      <c r="J8" s="492">
        <f t="shared" si="1"/>
        <v>0</v>
      </c>
      <c r="K8" s="492">
        <f t="shared" si="1"/>
        <v>0</v>
      </c>
      <c r="L8" s="493">
        <f t="shared" si="1"/>
        <v>0</v>
      </c>
    </row>
    <row r="9" spans="1:12" x14ac:dyDescent="0.2">
      <c r="A9" s="51" t="s">
        <v>66</v>
      </c>
      <c r="B9" s="491">
        <f t="shared" si="1"/>
        <v>0</v>
      </c>
      <c r="C9" s="492">
        <f t="shared" si="1"/>
        <v>0</v>
      </c>
      <c r="D9" s="492">
        <f t="shared" si="1"/>
        <v>0</v>
      </c>
      <c r="E9" s="492">
        <f t="shared" si="1"/>
        <v>0</v>
      </c>
      <c r="F9" s="492">
        <f t="shared" si="1"/>
        <v>0</v>
      </c>
      <c r="G9" s="492">
        <f t="shared" si="1"/>
        <v>0</v>
      </c>
      <c r="H9" s="492">
        <f t="shared" si="1"/>
        <v>0</v>
      </c>
      <c r="I9" s="492">
        <f t="shared" si="1"/>
        <v>0</v>
      </c>
      <c r="J9" s="492">
        <f t="shared" si="1"/>
        <v>0</v>
      </c>
      <c r="K9" s="492">
        <f t="shared" si="1"/>
        <v>0</v>
      </c>
      <c r="L9" s="493">
        <f t="shared" si="1"/>
        <v>0</v>
      </c>
    </row>
    <row r="10" spans="1:12" x14ac:dyDescent="0.2">
      <c r="A10" s="51" t="s">
        <v>112</v>
      </c>
      <c r="B10" s="491">
        <f t="shared" si="1"/>
        <v>0</v>
      </c>
      <c r="C10" s="492">
        <f t="shared" si="1"/>
        <v>0</v>
      </c>
      <c r="D10" s="492">
        <f t="shared" si="1"/>
        <v>0</v>
      </c>
      <c r="E10" s="492">
        <f t="shared" si="1"/>
        <v>0</v>
      </c>
      <c r="F10" s="492">
        <f t="shared" si="1"/>
        <v>0</v>
      </c>
      <c r="G10" s="492">
        <f t="shared" si="1"/>
        <v>0</v>
      </c>
      <c r="H10" s="492">
        <f t="shared" si="1"/>
        <v>0</v>
      </c>
      <c r="I10" s="492">
        <f t="shared" si="1"/>
        <v>0</v>
      </c>
      <c r="J10" s="492">
        <f t="shared" si="1"/>
        <v>0</v>
      </c>
      <c r="K10" s="492">
        <f t="shared" si="1"/>
        <v>0</v>
      </c>
      <c r="L10" s="493">
        <f t="shared" si="1"/>
        <v>0</v>
      </c>
    </row>
    <row r="11" spans="1:12" x14ac:dyDescent="0.2">
      <c r="A11" s="51" t="s">
        <v>67</v>
      </c>
      <c r="B11" s="491">
        <f t="shared" si="1"/>
        <v>0</v>
      </c>
      <c r="C11" s="492">
        <f t="shared" si="1"/>
        <v>0</v>
      </c>
      <c r="D11" s="492">
        <f t="shared" si="1"/>
        <v>0</v>
      </c>
      <c r="E11" s="492">
        <f t="shared" si="1"/>
        <v>0</v>
      </c>
      <c r="F11" s="492">
        <f t="shared" si="1"/>
        <v>0</v>
      </c>
      <c r="G11" s="492">
        <f t="shared" si="1"/>
        <v>0</v>
      </c>
      <c r="H11" s="492">
        <f t="shared" si="1"/>
        <v>0</v>
      </c>
      <c r="I11" s="492">
        <f t="shared" si="1"/>
        <v>0</v>
      </c>
      <c r="J11" s="492">
        <f t="shared" si="1"/>
        <v>0</v>
      </c>
      <c r="K11" s="492">
        <f t="shared" si="1"/>
        <v>0</v>
      </c>
      <c r="L11" s="493">
        <f t="shared" si="1"/>
        <v>0</v>
      </c>
    </row>
    <row r="12" spans="1:12" x14ac:dyDescent="0.2">
      <c r="A12" s="51" t="s">
        <v>68</v>
      </c>
      <c r="B12" s="491">
        <f t="shared" si="1"/>
        <v>0</v>
      </c>
      <c r="C12" s="492">
        <f t="shared" si="1"/>
        <v>0</v>
      </c>
      <c r="D12" s="492">
        <f t="shared" si="1"/>
        <v>0</v>
      </c>
      <c r="E12" s="492">
        <f t="shared" si="1"/>
        <v>0</v>
      </c>
      <c r="F12" s="492">
        <f t="shared" si="1"/>
        <v>0</v>
      </c>
      <c r="G12" s="492">
        <f t="shared" si="1"/>
        <v>0</v>
      </c>
      <c r="H12" s="492">
        <f t="shared" si="1"/>
        <v>0</v>
      </c>
      <c r="I12" s="492">
        <f t="shared" si="1"/>
        <v>0</v>
      </c>
      <c r="J12" s="492">
        <f t="shared" si="1"/>
        <v>0</v>
      </c>
      <c r="K12" s="492">
        <f t="shared" si="1"/>
        <v>0</v>
      </c>
      <c r="L12" s="493">
        <f t="shared" si="1"/>
        <v>0</v>
      </c>
    </row>
    <row r="13" spans="1:12" x14ac:dyDescent="0.2">
      <c r="A13" s="51" t="s">
        <v>69</v>
      </c>
      <c r="B13" s="491">
        <f t="shared" si="1"/>
        <v>0</v>
      </c>
      <c r="C13" s="492">
        <f t="shared" si="1"/>
        <v>0</v>
      </c>
      <c r="D13" s="492">
        <f t="shared" si="1"/>
        <v>0</v>
      </c>
      <c r="E13" s="492">
        <f t="shared" si="1"/>
        <v>0</v>
      </c>
      <c r="F13" s="492">
        <f t="shared" si="1"/>
        <v>0</v>
      </c>
      <c r="G13" s="492">
        <f t="shared" si="1"/>
        <v>0</v>
      </c>
      <c r="H13" s="492">
        <f t="shared" si="1"/>
        <v>0</v>
      </c>
      <c r="I13" s="492">
        <f t="shared" si="1"/>
        <v>0</v>
      </c>
      <c r="J13" s="492">
        <f t="shared" si="1"/>
        <v>0</v>
      </c>
      <c r="K13" s="492">
        <f t="shared" si="1"/>
        <v>0</v>
      </c>
      <c r="L13" s="493">
        <f t="shared" si="1"/>
        <v>0</v>
      </c>
    </row>
    <row r="14" spans="1:12" x14ac:dyDescent="0.2">
      <c r="A14" s="51" t="s">
        <v>70</v>
      </c>
      <c r="B14" s="491">
        <f t="shared" si="1"/>
        <v>0</v>
      </c>
      <c r="C14" s="492">
        <f t="shared" si="1"/>
        <v>0</v>
      </c>
      <c r="D14" s="492">
        <f t="shared" si="1"/>
        <v>0</v>
      </c>
      <c r="E14" s="492">
        <f t="shared" si="1"/>
        <v>0</v>
      </c>
      <c r="F14" s="492">
        <f t="shared" si="1"/>
        <v>0</v>
      </c>
      <c r="G14" s="492">
        <f t="shared" si="1"/>
        <v>0</v>
      </c>
      <c r="H14" s="492">
        <f t="shared" si="1"/>
        <v>0</v>
      </c>
      <c r="I14" s="492">
        <f t="shared" si="1"/>
        <v>0</v>
      </c>
      <c r="J14" s="492">
        <f t="shared" si="1"/>
        <v>0</v>
      </c>
      <c r="K14" s="492">
        <f t="shared" si="1"/>
        <v>0</v>
      </c>
      <c r="L14" s="493">
        <f t="shared" si="1"/>
        <v>0</v>
      </c>
    </row>
    <row r="15" spans="1:12" x14ac:dyDescent="0.2">
      <c r="A15" s="51" t="s">
        <v>71</v>
      </c>
      <c r="B15" s="491">
        <f t="shared" si="1"/>
        <v>0</v>
      </c>
      <c r="C15" s="492">
        <f t="shared" si="1"/>
        <v>0</v>
      </c>
      <c r="D15" s="492">
        <f t="shared" si="1"/>
        <v>0</v>
      </c>
      <c r="E15" s="492">
        <f t="shared" si="1"/>
        <v>0</v>
      </c>
      <c r="F15" s="492">
        <f t="shared" si="1"/>
        <v>0</v>
      </c>
      <c r="G15" s="492">
        <f t="shared" si="1"/>
        <v>0</v>
      </c>
      <c r="H15" s="492">
        <f t="shared" si="1"/>
        <v>0</v>
      </c>
      <c r="I15" s="492">
        <f t="shared" si="1"/>
        <v>0</v>
      </c>
      <c r="J15" s="492">
        <f t="shared" si="1"/>
        <v>0</v>
      </c>
      <c r="K15" s="492">
        <f t="shared" si="1"/>
        <v>0</v>
      </c>
      <c r="L15" s="493">
        <f t="shared" si="1"/>
        <v>0</v>
      </c>
    </row>
    <row r="16" spans="1:12" x14ac:dyDescent="0.2">
      <c r="A16" s="71" t="s">
        <v>119</v>
      </c>
      <c r="B16" s="491">
        <f t="shared" si="1"/>
        <v>0</v>
      </c>
      <c r="C16" s="492">
        <f t="shared" si="1"/>
        <v>0</v>
      </c>
      <c r="D16" s="492">
        <f t="shared" si="1"/>
        <v>0</v>
      </c>
      <c r="E16" s="492">
        <f t="shared" si="1"/>
        <v>0</v>
      </c>
      <c r="F16" s="492">
        <f t="shared" si="1"/>
        <v>0</v>
      </c>
      <c r="G16" s="492">
        <f t="shared" si="1"/>
        <v>0</v>
      </c>
      <c r="H16" s="492">
        <f t="shared" si="1"/>
        <v>0</v>
      </c>
      <c r="I16" s="492">
        <f t="shared" si="1"/>
        <v>0</v>
      </c>
      <c r="J16" s="492">
        <f t="shared" si="1"/>
        <v>0</v>
      </c>
      <c r="K16" s="492">
        <f t="shared" si="1"/>
        <v>0</v>
      </c>
      <c r="L16" s="493">
        <f t="shared" si="1"/>
        <v>0</v>
      </c>
    </row>
    <row r="17" spans="1:12" x14ac:dyDescent="0.2">
      <c r="A17" s="71" t="s">
        <v>120</v>
      </c>
      <c r="B17" s="491">
        <f t="shared" si="1"/>
        <v>0</v>
      </c>
      <c r="C17" s="492">
        <f t="shared" si="1"/>
        <v>0</v>
      </c>
      <c r="D17" s="492">
        <f t="shared" si="1"/>
        <v>0</v>
      </c>
      <c r="E17" s="492">
        <f t="shared" si="1"/>
        <v>0</v>
      </c>
      <c r="F17" s="492">
        <f t="shared" si="1"/>
        <v>0</v>
      </c>
      <c r="G17" s="492">
        <f t="shared" si="1"/>
        <v>0</v>
      </c>
      <c r="H17" s="492">
        <f t="shared" si="1"/>
        <v>0</v>
      </c>
      <c r="I17" s="492">
        <f t="shared" si="1"/>
        <v>0</v>
      </c>
      <c r="J17" s="492">
        <f t="shared" si="1"/>
        <v>0</v>
      </c>
      <c r="K17" s="492">
        <f t="shared" si="1"/>
        <v>0</v>
      </c>
      <c r="L17" s="493">
        <f t="shared" si="1"/>
        <v>0</v>
      </c>
    </row>
    <row r="18" spans="1:12" ht="13.5" thickBot="1" x14ac:dyDescent="0.25">
      <c r="A18" s="52" t="s">
        <v>113</v>
      </c>
      <c r="B18" s="494">
        <f t="shared" si="1"/>
        <v>0</v>
      </c>
      <c r="C18" s="495">
        <f t="shared" si="1"/>
        <v>0</v>
      </c>
      <c r="D18" s="495">
        <f t="shared" si="1"/>
        <v>0</v>
      </c>
      <c r="E18" s="495">
        <f t="shared" si="1"/>
        <v>0</v>
      </c>
      <c r="F18" s="495">
        <f t="shared" si="1"/>
        <v>0</v>
      </c>
      <c r="G18" s="495">
        <f t="shared" si="1"/>
        <v>0</v>
      </c>
      <c r="H18" s="495">
        <f t="shared" si="1"/>
        <v>0</v>
      </c>
      <c r="I18" s="495">
        <f t="shared" si="1"/>
        <v>0</v>
      </c>
      <c r="J18" s="495">
        <f t="shared" si="1"/>
        <v>0</v>
      </c>
      <c r="K18" s="495">
        <f t="shared" si="1"/>
        <v>0</v>
      </c>
      <c r="L18" s="496">
        <f t="shared" si="1"/>
        <v>0</v>
      </c>
    </row>
    <row r="19" spans="1:12" ht="13.5" thickBot="1" x14ac:dyDescent="0.25">
      <c r="A19" s="36" t="s">
        <v>462</v>
      </c>
      <c r="B19" s="497">
        <f>SUM(B7:B18)</f>
        <v>0</v>
      </c>
      <c r="C19" s="498">
        <f t="shared" ref="C19:L19" si="2">SUM(C7:C18)</f>
        <v>0</v>
      </c>
      <c r="D19" s="498">
        <f t="shared" si="2"/>
        <v>0</v>
      </c>
      <c r="E19" s="498">
        <f t="shared" si="2"/>
        <v>0</v>
      </c>
      <c r="F19" s="498">
        <f t="shared" si="2"/>
        <v>0</v>
      </c>
      <c r="G19" s="498">
        <f t="shared" si="2"/>
        <v>0</v>
      </c>
      <c r="H19" s="498">
        <f t="shared" si="2"/>
        <v>0</v>
      </c>
      <c r="I19" s="498">
        <f t="shared" si="2"/>
        <v>0</v>
      </c>
      <c r="J19" s="498">
        <f t="shared" si="2"/>
        <v>0</v>
      </c>
      <c r="K19" s="498">
        <f t="shared" si="2"/>
        <v>0</v>
      </c>
      <c r="L19" s="499">
        <f t="shared" si="2"/>
        <v>0</v>
      </c>
    </row>
    <row r="20" spans="1:12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x14ac:dyDescent="0.2">
      <c r="A21" s="527" t="s">
        <v>501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13.5" thickBo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2" ht="13.5" thickBot="1" x14ac:dyDescent="0.25">
      <c r="B23" s="440">
        <v>2001</v>
      </c>
      <c r="C23" s="441">
        <v>2002</v>
      </c>
      <c r="D23" s="441">
        <v>2003</v>
      </c>
      <c r="E23" s="441">
        <v>2004</v>
      </c>
      <c r="F23" s="441">
        <v>2005</v>
      </c>
      <c r="G23" s="441">
        <v>2006</v>
      </c>
      <c r="H23" s="441">
        <v>2007</v>
      </c>
      <c r="I23" s="441">
        <v>2008</v>
      </c>
      <c r="J23" s="441">
        <v>2009</v>
      </c>
      <c r="K23" s="441">
        <v>2010</v>
      </c>
      <c r="L23" s="442">
        <v>2011</v>
      </c>
    </row>
    <row r="24" spans="1:12" x14ac:dyDescent="0.2">
      <c r="A24" s="50" t="s">
        <v>64</v>
      </c>
      <c r="B24" s="488">
        <f>+'Total Market Size'!B121*'Many to Many Ass.'!B8*'Control Page'!$G7*1000</f>
        <v>0</v>
      </c>
      <c r="C24" s="489">
        <f>+'Total Market Size'!C121*'Many to Many Ass.'!C8*'Control Page'!$G7*1000</f>
        <v>0</v>
      </c>
      <c r="D24" s="489">
        <f>+'Total Market Size'!D121*'Many to Many Ass.'!D8*'Control Page'!$G7*1000</f>
        <v>0</v>
      </c>
      <c r="E24" s="489">
        <f>+'Total Market Size'!E121*'Many to Many Ass.'!E8*'Control Page'!$G7*1000</f>
        <v>0</v>
      </c>
      <c r="F24" s="489">
        <f>+'Total Market Size'!F121*'Many to Many Ass.'!F8*'Control Page'!$G7*1000</f>
        <v>0</v>
      </c>
      <c r="G24" s="489">
        <f>+'Total Market Size'!G121*'Many to Many Ass.'!G8*'Control Page'!$G7*1000</f>
        <v>0</v>
      </c>
      <c r="H24" s="489">
        <f>+'Total Market Size'!H121*'Many to Many Ass.'!H8*'Control Page'!$G7*1000</f>
        <v>0</v>
      </c>
      <c r="I24" s="489">
        <f>+'Total Market Size'!I121*'Many to Many Ass.'!I8*'Control Page'!$G7*1000</f>
        <v>0</v>
      </c>
      <c r="J24" s="489">
        <f>+'Total Market Size'!J121*'Many to Many Ass.'!J8*'Control Page'!$G7*1000</f>
        <v>0</v>
      </c>
      <c r="K24" s="489">
        <f>+'Total Market Size'!K121*'Many to Many Ass.'!K8*'Control Page'!$G7*1000</f>
        <v>0</v>
      </c>
      <c r="L24" s="490">
        <f>+'Total Market Size'!L121*'Many to Many Ass.'!L8*'Control Page'!$G7*1000</f>
        <v>0</v>
      </c>
    </row>
    <row r="25" spans="1:12" x14ac:dyDescent="0.2">
      <c r="A25" s="51" t="s">
        <v>65</v>
      </c>
      <c r="B25" s="491">
        <f>+'Total Market Size'!B122*'Many to Many Ass.'!B9*'Control Page'!$G8*1000</f>
        <v>0</v>
      </c>
      <c r="C25" s="492">
        <f>+'Total Market Size'!C122*'Many to Many Ass.'!C9*'Control Page'!$G8*1000</f>
        <v>0</v>
      </c>
      <c r="D25" s="492">
        <f>+'Total Market Size'!D122*'Many to Many Ass.'!D9*'Control Page'!$G8*1000</f>
        <v>0</v>
      </c>
      <c r="E25" s="492">
        <f>+'Total Market Size'!E122*'Many to Many Ass.'!E9*'Control Page'!$G8*1000</f>
        <v>0</v>
      </c>
      <c r="F25" s="492">
        <f>+'Total Market Size'!F122*'Many to Many Ass.'!F9*'Control Page'!$G8*1000</f>
        <v>0</v>
      </c>
      <c r="G25" s="492">
        <f>+'Total Market Size'!G122*'Many to Many Ass.'!G9*'Control Page'!$G8*1000</f>
        <v>0</v>
      </c>
      <c r="H25" s="492">
        <f>+'Total Market Size'!H122*'Many to Many Ass.'!H9*'Control Page'!$G8*1000</f>
        <v>0</v>
      </c>
      <c r="I25" s="492">
        <f>+'Total Market Size'!I122*'Many to Many Ass.'!I9*'Control Page'!$G8*1000</f>
        <v>0</v>
      </c>
      <c r="J25" s="492">
        <f>+'Total Market Size'!J122*'Many to Many Ass.'!J9*'Control Page'!$G8*1000</f>
        <v>0</v>
      </c>
      <c r="K25" s="492">
        <f>+'Total Market Size'!K122*'Many to Many Ass.'!K9*'Control Page'!$G8*1000</f>
        <v>0</v>
      </c>
      <c r="L25" s="493">
        <f>+'Total Market Size'!L122*'Many to Many Ass.'!L9*'Control Page'!$G8*1000</f>
        <v>0</v>
      </c>
    </row>
    <row r="26" spans="1:12" x14ac:dyDescent="0.2">
      <c r="A26" s="51" t="s">
        <v>66</v>
      </c>
      <c r="B26" s="491">
        <f>+'Total Market Size'!B123*'Many to Many Ass.'!B10*'Control Page'!$G9*1000</f>
        <v>0</v>
      </c>
      <c r="C26" s="492">
        <f>+'Total Market Size'!C123*'Many to Many Ass.'!C10*'Control Page'!$G9*1000</f>
        <v>0</v>
      </c>
      <c r="D26" s="492">
        <f>+'Total Market Size'!D123*'Many to Many Ass.'!D10*'Control Page'!$G9*1000</f>
        <v>0</v>
      </c>
      <c r="E26" s="492">
        <f>+'Total Market Size'!E123*'Many to Many Ass.'!E10*'Control Page'!$G9*1000</f>
        <v>0</v>
      </c>
      <c r="F26" s="492">
        <f>+'Total Market Size'!F123*'Many to Many Ass.'!F10*'Control Page'!$G9*1000</f>
        <v>0</v>
      </c>
      <c r="G26" s="492">
        <f>+'Total Market Size'!G123*'Many to Many Ass.'!G10*'Control Page'!$G9*1000</f>
        <v>0</v>
      </c>
      <c r="H26" s="492">
        <f>+'Total Market Size'!H123*'Many to Many Ass.'!H10*'Control Page'!$G9*1000</f>
        <v>0</v>
      </c>
      <c r="I26" s="492">
        <f>+'Total Market Size'!I123*'Many to Many Ass.'!I10*'Control Page'!$G9*1000</f>
        <v>0</v>
      </c>
      <c r="J26" s="492">
        <f>+'Total Market Size'!J123*'Many to Many Ass.'!J10*'Control Page'!$G9*1000</f>
        <v>0</v>
      </c>
      <c r="K26" s="492">
        <f>+'Total Market Size'!K123*'Many to Many Ass.'!K10*'Control Page'!$G9*1000</f>
        <v>0</v>
      </c>
      <c r="L26" s="493">
        <f>+'Total Market Size'!L123*'Many to Many Ass.'!L10*'Control Page'!$G9*1000</f>
        <v>0</v>
      </c>
    </row>
    <row r="27" spans="1:12" x14ac:dyDescent="0.2">
      <c r="A27" s="51" t="s">
        <v>112</v>
      </c>
      <c r="B27" s="491">
        <f>+'Total Market Size'!B124*'Many to Many Ass.'!B11*'Control Page'!$G10*1000</f>
        <v>0</v>
      </c>
      <c r="C27" s="492">
        <f>+'Total Market Size'!C124*'Many to Many Ass.'!C11*'Control Page'!$G10*1000</f>
        <v>0</v>
      </c>
      <c r="D27" s="492">
        <f>+'Total Market Size'!D124*'Many to Many Ass.'!D11*'Control Page'!$G10*1000</f>
        <v>0</v>
      </c>
      <c r="E27" s="492">
        <f>+'Total Market Size'!E124*'Many to Many Ass.'!E11*'Control Page'!$G10*1000</f>
        <v>0</v>
      </c>
      <c r="F27" s="492">
        <f>+'Total Market Size'!F124*'Many to Many Ass.'!F11*'Control Page'!$G10*1000</f>
        <v>0</v>
      </c>
      <c r="G27" s="492">
        <f>+'Total Market Size'!G124*'Many to Many Ass.'!G11*'Control Page'!$G10*1000</f>
        <v>0</v>
      </c>
      <c r="H27" s="492">
        <f>+'Total Market Size'!H124*'Many to Many Ass.'!H11*'Control Page'!$G10*1000</f>
        <v>0</v>
      </c>
      <c r="I27" s="492">
        <f>+'Total Market Size'!I124*'Many to Many Ass.'!I11*'Control Page'!$G10*1000</f>
        <v>0</v>
      </c>
      <c r="J27" s="492">
        <f>+'Total Market Size'!J124*'Many to Many Ass.'!J11*'Control Page'!$G10*1000</f>
        <v>0</v>
      </c>
      <c r="K27" s="492">
        <f>+'Total Market Size'!K124*'Many to Many Ass.'!K11*'Control Page'!$G10*1000</f>
        <v>0</v>
      </c>
      <c r="L27" s="493">
        <f>+'Total Market Size'!L124*'Many to Many Ass.'!L11*'Control Page'!$G10*1000</f>
        <v>0</v>
      </c>
    </row>
    <row r="28" spans="1:12" x14ac:dyDescent="0.2">
      <c r="A28" s="51" t="s">
        <v>67</v>
      </c>
      <c r="B28" s="491">
        <f>+'Total Market Size'!B125*'Many to Many Ass.'!B12*'Control Page'!$G11*1000</f>
        <v>0</v>
      </c>
      <c r="C28" s="492">
        <f>+'Total Market Size'!C125*'Many to Many Ass.'!C12*'Control Page'!$G11*1000</f>
        <v>0</v>
      </c>
      <c r="D28" s="492">
        <f>+'Total Market Size'!D125*'Many to Many Ass.'!D12*'Control Page'!$G11*1000</f>
        <v>0</v>
      </c>
      <c r="E28" s="492">
        <f>+'Total Market Size'!E125*'Many to Many Ass.'!E12*'Control Page'!$G11*1000</f>
        <v>0</v>
      </c>
      <c r="F28" s="492">
        <f>+'Total Market Size'!F125*'Many to Many Ass.'!F12*'Control Page'!$G11*1000</f>
        <v>0</v>
      </c>
      <c r="G28" s="492">
        <f>+'Total Market Size'!G125*'Many to Many Ass.'!G12*'Control Page'!$G11*1000</f>
        <v>0</v>
      </c>
      <c r="H28" s="492">
        <f>+'Total Market Size'!H125*'Many to Many Ass.'!H12*'Control Page'!$G11*1000</f>
        <v>0</v>
      </c>
      <c r="I28" s="492">
        <f>+'Total Market Size'!I125*'Many to Many Ass.'!I12*'Control Page'!$G11*1000</f>
        <v>0</v>
      </c>
      <c r="J28" s="492">
        <f>+'Total Market Size'!J125*'Many to Many Ass.'!J12*'Control Page'!$G11*1000</f>
        <v>0</v>
      </c>
      <c r="K28" s="492">
        <f>+'Total Market Size'!K125*'Many to Many Ass.'!K12*'Control Page'!$G11*1000</f>
        <v>0</v>
      </c>
      <c r="L28" s="493">
        <f>+'Total Market Size'!L125*'Many to Many Ass.'!L12*'Control Page'!$G11*1000</f>
        <v>0</v>
      </c>
    </row>
    <row r="29" spans="1:12" x14ac:dyDescent="0.2">
      <c r="A29" s="51" t="s">
        <v>68</v>
      </c>
      <c r="B29" s="491">
        <f>+'Total Market Size'!B126*'Many to Many Ass.'!B13*'Control Page'!$G12*1000</f>
        <v>0</v>
      </c>
      <c r="C29" s="492">
        <f>+'Total Market Size'!C126*'Many to Many Ass.'!C13*'Control Page'!$G12*1000</f>
        <v>0</v>
      </c>
      <c r="D29" s="492">
        <f>+'Total Market Size'!D126*'Many to Many Ass.'!D13*'Control Page'!$G12*1000</f>
        <v>0</v>
      </c>
      <c r="E29" s="492">
        <f>+'Total Market Size'!E126*'Many to Many Ass.'!E13*'Control Page'!$G12*1000</f>
        <v>0</v>
      </c>
      <c r="F29" s="492">
        <f>+'Total Market Size'!F126*'Many to Many Ass.'!F13*'Control Page'!$G12*1000</f>
        <v>0</v>
      </c>
      <c r="G29" s="492">
        <f>+'Total Market Size'!G126*'Many to Many Ass.'!G13*'Control Page'!$G12*1000</f>
        <v>0</v>
      </c>
      <c r="H29" s="492">
        <f>+'Total Market Size'!H126*'Many to Many Ass.'!H13*'Control Page'!$G12*1000</f>
        <v>0</v>
      </c>
      <c r="I29" s="492">
        <f>+'Total Market Size'!I126*'Many to Many Ass.'!I13*'Control Page'!$G12*1000</f>
        <v>0</v>
      </c>
      <c r="J29" s="492">
        <f>+'Total Market Size'!J126*'Many to Many Ass.'!J13*'Control Page'!$G12*1000</f>
        <v>0</v>
      </c>
      <c r="K29" s="492">
        <f>+'Total Market Size'!K126*'Many to Many Ass.'!K13*'Control Page'!$G12*1000</f>
        <v>0</v>
      </c>
      <c r="L29" s="493">
        <f>+'Total Market Size'!L126*'Many to Many Ass.'!L13*'Control Page'!$G12*1000</f>
        <v>0</v>
      </c>
    </row>
    <row r="30" spans="1:12" x14ac:dyDescent="0.2">
      <c r="A30" s="51" t="s">
        <v>69</v>
      </c>
      <c r="B30" s="491">
        <f>+'Total Market Size'!B127*'Many to Many Ass.'!B14*'Control Page'!$G13*1000</f>
        <v>0</v>
      </c>
      <c r="C30" s="492">
        <f>+'Total Market Size'!C127*'Many to Many Ass.'!C14*'Control Page'!$G13*1000</f>
        <v>0</v>
      </c>
      <c r="D30" s="492">
        <f>+'Total Market Size'!D127*'Many to Many Ass.'!D14*'Control Page'!$G13*1000</f>
        <v>0</v>
      </c>
      <c r="E30" s="492">
        <f>+'Total Market Size'!E127*'Many to Many Ass.'!E14*'Control Page'!$G13*1000</f>
        <v>0</v>
      </c>
      <c r="F30" s="492">
        <f>+'Total Market Size'!F127*'Many to Many Ass.'!F14*'Control Page'!$G13*1000</f>
        <v>0</v>
      </c>
      <c r="G30" s="492">
        <f>+'Total Market Size'!G127*'Many to Many Ass.'!G14*'Control Page'!$G13*1000</f>
        <v>0</v>
      </c>
      <c r="H30" s="492">
        <f>+'Total Market Size'!H127*'Many to Many Ass.'!H14*'Control Page'!$G13*1000</f>
        <v>0</v>
      </c>
      <c r="I30" s="492">
        <f>+'Total Market Size'!I127*'Many to Many Ass.'!I14*'Control Page'!$G13*1000</f>
        <v>0</v>
      </c>
      <c r="J30" s="492">
        <f>+'Total Market Size'!J127*'Many to Many Ass.'!J14*'Control Page'!$G13*1000</f>
        <v>0</v>
      </c>
      <c r="K30" s="492">
        <f>+'Total Market Size'!K127*'Many to Many Ass.'!K14*'Control Page'!$G13*1000</f>
        <v>0</v>
      </c>
      <c r="L30" s="493">
        <f>+'Total Market Size'!L127*'Many to Many Ass.'!L14*'Control Page'!$G13*1000</f>
        <v>0</v>
      </c>
    </row>
    <row r="31" spans="1:12" x14ac:dyDescent="0.2">
      <c r="A31" s="51" t="s">
        <v>70</v>
      </c>
      <c r="B31" s="491">
        <f>+'Total Market Size'!B128*'Many to Many Ass.'!B15*'Control Page'!$G14*1000</f>
        <v>0</v>
      </c>
      <c r="C31" s="492">
        <f>+'Total Market Size'!C128*'Many to Many Ass.'!C15*'Control Page'!$G14*1000</f>
        <v>0</v>
      </c>
      <c r="D31" s="492">
        <f>+'Total Market Size'!D128*'Many to Many Ass.'!D15*'Control Page'!$G14*1000</f>
        <v>0</v>
      </c>
      <c r="E31" s="492">
        <f>+'Total Market Size'!E128*'Many to Many Ass.'!E15*'Control Page'!$G14*1000</f>
        <v>0</v>
      </c>
      <c r="F31" s="492">
        <f>+'Total Market Size'!F128*'Many to Many Ass.'!F15*'Control Page'!$G14*1000</f>
        <v>0</v>
      </c>
      <c r="G31" s="492">
        <f>+'Total Market Size'!G128*'Many to Many Ass.'!G15*'Control Page'!$G14*1000</f>
        <v>0</v>
      </c>
      <c r="H31" s="492">
        <f>+'Total Market Size'!H128*'Many to Many Ass.'!H15*'Control Page'!$G14*1000</f>
        <v>0</v>
      </c>
      <c r="I31" s="492">
        <f>+'Total Market Size'!I128*'Many to Many Ass.'!I15*'Control Page'!$G14*1000</f>
        <v>0</v>
      </c>
      <c r="J31" s="492">
        <f>+'Total Market Size'!J128*'Many to Many Ass.'!J15*'Control Page'!$G14*1000</f>
        <v>0</v>
      </c>
      <c r="K31" s="492">
        <f>+'Total Market Size'!K128*'Many to Many Ass.'!K15*'Control Page'!$G14*1000</f>
        <v>0</v>
      </c>
      <c r="L31" s="493">
        <f>+'Total Market Size'!L128*'Many to Many Ass.'!L15*'Control Page'!$G14*1000</f>
        <v>0</v>
      </c>
    </row>
    <row r="32" spans="1:12" x14ac:dyDescent="0.2">
      <c r="A32" s="51" t="s">
        <v>71</v>
      </c>
      <c r="B32" s="491">
        <f>+'Total Market Size'!B129*'Many to Many Ass.'!B16*'Control Page'!$G15*1000</f>
        <v>0</v>
      </c>
      <c r="C32" s="492">
        <f>+'Total Market Size'!C129*'Many to Many Ass.'!C16*'Control Page'!$G15*1000</f>
        <v>0</v>
      </c>
      <c r="D32" s="492">
        <f>+'Total Market Size'!D129*'Many to Many Ass.'!D16*'Control Page'!$G15*1000</f>
        <v>0</v>
      </c>
      <c r="E32" s="492">
        <f>+'Total Market Size'!E129*'Many to Many Ass.'!E16*'Control Page'!$G15*1000</f>
        <v>0</v>
      </c>
      <c r="F32" s="492">
        <f>+'Total Market Size'!F129*'Many to Many Ass.'!F16*'Control Page'!$G15*1000</f>
        <v>0</v>
      </c>
      <c r="G32" s="492">
        <f>+'Total Market Size'!G129*'Many to Many Ass.'!G16*'Control Page'!$G15*1000</f>
        <v>0</v>
      </c>
      <c r="H32" s="492">
        <f>+'Total Market Size'!H129*'Many to Many Ass.'!H16*'Control Page'!$G15*1000</f>
        <v>0</v>
      </c>
      <c r="I32" s="492">
        <f>+'Total Market Size'!I129*'Many to Many Ass.'!I16*'Control Page'!$G15*1000</f>
        <v>0</v>
      </c>
      <c r="J32" s="492">
        <f>+'Total Market Size'!J129*'Many to Many Ass.'!J16*'Control Page'!$G15*1000</f>
        <v>0</v>
      </c>
      <c r="K32" s="492">
        <f>+'Total Market Size'!K129*'Many to Many Ass.'!K16*'Control Page'!$G15*1000</f>
        <v>0</v>
      </c>
      <c r="L32" s="493">
        <f>+'Total Market Size'!L129*'Many to Many Ass.'!L16*'Control Page'!$G15*1000</f>
        <v>0</v>
      </c>
    </row>
    <row r="33" spans="1:12" x14ac:dyDescent="0.2">
      <c r="A33" s="71" t="s">
        <v>119</v>
      </c>
      <c r="B33" s="491">
        <f>+'Total Market Size'!B130*'Many to Many Ass.'!B17*'Control Page'!$G16*1000</f>
        <v>0</v>
      </c>
      <c r="C33" s="492">
        <f>+'Total Market Size'!C130*'Many to Many Ass.'!C17*'Control Page'!$G16*1000</f>
        <v>0</v>
      </c>
      <c r="D33" s="492">
        <f>+'Total Market Size'!D130*'Many to Many Ass.'!D17*'Control Page'!$G16*1000</f>
        <v>0</v>
      </c>
      <c r="E33" s="492">
        <f>+'Total Market Size'!E130*'Many to Many Ass.'!E17*'Control Page'!$G16*1000</f>
        <v>0</v>
      </c>
      <c r="F33" s="492">
        <f>+'Total Market Size'!F130*'Many to Many Ass.'!F17*'Control Page'!$G16*1000</f>
        <v>0</v>
      </c>
      <c r="G33" s="492">
        <f>+'Total Market Size'!G130*'Many to Many Ass.'!G17*'Control Page'!$G16*1000</f>
        <v>0</v>
      </c>
      <c r="H33" s="492">
        <f>+'Total Market Size'!H130*'Many to Many Ass.'!H17*'Control Page'!$G16*1000</f>
        <v>0</v>
      </c>
      <c r="I33" s="492">
        <f>+'Total Market Size'!I130*'Many to Many Ass.'!I17*'Control Page'!$G16*1000</f>
        <v>0</v>
      </c>
      <c r="J33" s="492">
        <f>+'Total Market Size'!J130*'Many to Many Ass.'!J17*'Control Page'!$G16*1000</f>
        <v>0</v>
      </c>
      <c r="K33" s="492">
        <f>+'Total Market Size'!K130*'Many to Many Ass.'!K17*'Control Page'!$G16*1000</f>
        <v>0</v>
      </c>
      <c r="L33" s="493">
        <f>+'Total Market Size'!L130*'Many to Many Ass.'!L17*'Control Page'!$G16*1000</f>
        <v>0</v>
      </c>
    </row>
    <row r="34" spans="1:12" x14ac:dyDescent="0.2">
      <c r="A34" s="71" t="s">
        <v>120</v>
      </c>
      <c r="B34" s="491">
        <f>+'Total Market Size'!B131*'Many to Many Ass.'!B18*'Control Page'!$G17*1000</f>
        <v>0</v>
      </c>
      <c r="C34" s="492">
        <f>+'Total Market Size'!C131*'Many to Many Ass.'!C18*'Control Page'!$G17*1000</f>
        <v>0</v>
      </c>
      <c r="D34" s="492">
        <f>+'Total Market Size'!D131*'Many to Many Ass.'!D18*'Control Page'!$G17*1000</f>
        <v>0</v>
      </c>
      <c r="E34" s="492">
        <f>+'Total Market Size'!E131*'Many to Many Ass.'!E18*'Control Page'!$G17*1000</f>
        <v>0</v>
      </c>
      <c r="F34" s="492">
        <f>+'Total Market Size'!F131*'Many to Many Ass.'!F18*'Control Page'!$G17*1000</f>
        <v>0</v>
      </c>
      <c r="G34" s="492">
        <f>+'Total Market Size'!G131*'Many to Many Ass.'!G18*'Control Page'!$G17*1000</f>
        <v>0</v>
      </c>
      <c r="H34" s="492">
        <f>+'Total Market Size'!H131*'Many to Many Ass.'!H18*'Control Page'!$G17*1000</f>
        <v>0</v>
      </c>
      <c r="I34" s="492">
        <f>+'Total Market Size'!I131*'Many to Many Ass.'!I18*'Control Page'!$G17*1000</f>
        <v>0</v>
      </c>
      <c r="J34" s="492">
        <f>+'Total Market Size'!J131*'Many to Many Ass.'!J18*'Control Page'!$G17*1000</f>
        <v>0</v>
      </c>
      <c r="K34" s="492">
        <f>+'Total Market Size'!K131*'Many to Many Ass.'!K18*'Control Page'!$G17*1000</f>
        <v>0</v>
      </c>
      <c r="L34" s="493">
        <f>+'Total Market Size'!L131*'Many to Many Ass.'!L18*'Control Page'!$G17*1000</f>
        <v>0</v>
      </c>
    </row>
    <row r="35" spans="1:12" ht="13.5" thickBot="1" x14ac:dyDescent="0.25">
      <c r="A35" s="52" t="s">
        <v>113</v>
      </c>
      <c r="B35" s="494">
        <f>+'Total Market Size'!B132*'Many to Many Ass.'!B19*'Control Page'!$G18*1000</f>
        <v>0</v>
      </c>
      <c r="C35" s="495">
        <f>+'Total Market Size'!C132*'Many to Many Ass.'!C19*'Control Page'!$G18*1000</f>
        <v>0</v>
      </c>
      <c r="D35" s="495">
        <f>+'Total Market Size'!D132*'Many to Many Ass.'!D19*'Control Page'!$G18*1000</f>
        <v>0</v>
      </c>
      <c r="E35" s="495">
        <f>+'Total Market Size'!E132*'Many to Many Ass.'!E19*'Control Page'!$G18*1000</f>
        <v>0</v>
      </c>
      <c r="F35" s="495">
        <f>+'Total Market Size'!F132*'Many to Many Ass.'!F19*'Control Page'!$G18*1000</f>
        <v>0</v>
      </c>
      <c r="G35" s="495">
        <f>+'Total Market Size'!G132*'Many to Many Ass.'!G19*'Control Page'!$G18*1000</f>
        <v>0</v>
      </c>
      <c r="H35" s="495">
        <f>+'Total Market Size'!H132*'Many to Many Ass.'!H19*'Control Page'!$G18*1000</f>
        <v>0</v>
      </c>
      <c r="I35" s="495">
        <f>+'Total Market Size'!I132*'Many to Many Ass.'!I19*'Control Page'!$G18*1000</f>
        <v>0</v>
      </c>
      <c r="J35" s="495">
        <f>+'Total Market Size'!J132*'Many to Many Ass.'!J19*'Control Page'!$G18*1000</f>
        <v>0</v>
      </c>
      <c r="K35" s="495">
        <f>+'Total Market Size'!K132*'Many to Many Ass.'!K19*'Control Page'!$G18*1000</f>
        <v>0</v>
      </c>
      <c r="L35" s="496">
        <f>+'Total Market Size'!L132*'Many to Many Ass.'!L19*'Control Page'!$G18*1000</f>
        <v>0</v>
      </c>
    </row>
    <row r="36" spans="1:12" ht="13.5" thickBot="1" x14ac:dyDescent="0.25">
      <c r="A36" s="36" t="s">
        <v>462</v>
      </c>
      <c r="B36" s="497">
        <f t="shared" ref="B36:L36" si="3">SUM(B24:B35)</f>
        <v>0</v>
      </c>
      <c r="C36" s="498">
        <f t="shared" si="3"/>
        <v>0</v>
      </c>
      <c r="D36" s="498">
        <f t="shared" si="3"/>
        <v>0</v>
      </c>
      <c r="E36" s="498">
        <f t="shared" si="3"/>
        <v>0</v>
      </c>
      <c r="F36" s="498">
        <f t="shared" si="3"/>
        <v>0</v>
      </c>
      <c r="G36" s="498">
        <f t="shared" si="3"/>
        <v>0</v>
      </c>
      <c r="H36" s="498">
        <f t="shared" si="3"/>
        <v>0</v>
      </c>
      <c r="I36" s="498">
        <f t="shared" si="3"/>
        <v>0</v>
      </c>
      <c r="J36" s="498">
        <f t="shared" si="3"/>
        <v>0</v>
      </c>
      <c r="K36" s="498">
        <f t="shared" si="3"/>
        <v>0</v>
      </c>
      <c r="L36" s="499">
        <f t="shared" si="3"/>
        <v>0</v>
      </c>
    </row>
    <row r="37" spans="1:12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">
      <c r="A39" s="8" t="s">
        <v>485</v>
      </c>
      <c r="D39" s="500"/>
    </row>
    <row r="40" spans="1:12" ht="13.5" thickBot="1" x14ac:dyDescent="0.25"/>
    <row r="41" spans="1:12" ht="13.5" thickBot="1" x14ac:dyDescent="0.25">
      <c r="B41" s="440">
        <v>2001</v>
      </c>
      <c r="C41" s="441">
        <v>2002</v>
      </c>
      <c r="D41" s="441">
        <v>2003</v>
      </c>
      <c r="E41" s="441">
        <v>2004</v>
      </c>
      <c r="F41" s="441">
        <v>2005</v>
      </c>
      <c r="G41" s="441">
        <v>2006</v>
      </c>
      <c r="H41" s="441">
        <v>2007</v>
      </c>
      <c r="I41" s="441">
        <v>2008</v>
      </c>
      <c r="J41" s="441">
        <v>2009</v>
      </c>
      <c r="K41" s="441">
        <v>2010</v>
      </c>
      <c r="L41" s="442">
        <v>2011</v>
      </c>
    </row>
    <row r="42" spans="1:12" x14ac:dyDescent="0.2">
      <c r="A42" s="50" t="s">
        <v>64</v>
      </c>
      <c r="B42" s="488">
        <f>+'Many to Many Ass.'!B39*'Many to Many Ass.'!$B55*'Control Page'!$G7*B$109</f>
        <v>0</v>
      </c>
      <c r="C42" s="489">
        <f>+'Many to Many Ass.'!C39*'Many to Many Ass.'!$B55*'Control Page'!$G7*C$109</f>
        <v>0</v>
      </c>
      <c r="D42" s="489">
        <f>+'Many to Many Ass.'!D39*'Many to Many Ass.'!$B55*'Control Page'!$G7*D$109</f>
        <v>0</v>
      </c>
      <c r="E42" s="489">
        <f>+'Many to Many Ass.'!E39*'Many to Many Ass.'!$B55*'Control Page'!$G7*E$109</f>
        <v>0</v>
      </c>
      <c r="F42" s="489">
        <f>+'Many to Many Ass.'!F39*'Many to Many Ass.'!$B55*'Control Page'!$G7*F$109</f>
        <v>0</v>
      </c>
      <c r="G42" s="489">
        <f>+'Many to Many Ass.'!G39*'Many to Many Ass.'!$B55*'Control Page'!$G7*G$109</f>
        <v>0</v>
      </c>
      <c r="H42" s="489">
        <f>+'Many to Many Ass.'!H39*'Many to Many Ass.'!$B55*'Control Page'!$G7*H$109</f>
        <v>0</v>
      </c>
      <c r="I42" s="489">
        <f>+'Many to Many Ass.'!I39*'Many to Many Ass.'!$B55*'Control Page'!$G7*I$109</f>
        <v>0</v>
      </c>
      <c r="J42" s="489">
        <f>+'Many to Many Ass.'!J39*'Many to Many Ass.'!$B55*'Control Page'!$G7*J$109</f>
        <v>0</v>
      </c>
      <c r="K42" s="489">
        <f>+'Many to Many Ass.'!K39*'Many to Many Ass.'!$B55*'Control Page'!$G7*K$109</f>
        <v>0</v>
      </c>
      <c r="L42" s="490">
        <f>+'Many to Many Ass.'!L39*'Many to Many Ass.'!$B55*'Control Page'!$G7*L$109</f>
        <v>0</v>
      </c>
    </row>
    <row r="43" spans="1:12" x14ac:dyDescent="0.2">
      <c r="A43" s="51" t="s">
        <v>65</v>
      </c>
      <c r="B43" s="491">
        <f>+'Many to Many Ass.'!B40*'Many to Many Ass.'!$B56*'Control Page'!$G8*B$109</f>
        <v>0</v>
      </c>
      <c r="C43" s="492">
        <f>+'Many to Many Ass.'!C40*'Many to Many Ass.'!$B56*'Control Page'!$G8*C$109</f>
        <v>0</v>
      </c>
      <c r="D43" s="492">
        <f>+'Many to Many Ass.'!D40*'Many to Many Ass.'!$B56*'Control Page'!$G8*D$109</f>
        <v>0</v>
      </c>
      <c r="E43" s="492">
        <f>+'Many to Many Ass.'!E40*'Many to Many Ass.'!$B56*'Control Page'!$G8*E$109</f>
        <v>0</v>
      </c>
      <c r="F43" s="492">
        <f>+'Many to Many Ass.'!F40*'Many to Many Ass.'!$B56*'Control Page'!$G8*F$109</f>
        <v>0</v>
      </c>
      <c r="G43" s="492">
        <f>+'Many to Many Ass.'!G40*'Many to Many Ass.'!$B56*'Control Page'!$G8*G$109</f>
        <v>0</v>
      </c>
      <c r="H43" s="492">
        <f>+'Many to Many Ass.'!H40*'Many to Many Ass.'!$B56*'Control Page'!$G8*H$109</f>
        <v>0</v>
      </c>
      <c r="I43" s="492">
        <f>+'Many to Many Ass.'!I40*'Many to Many Ass.'!$B56*'Control Page'!$G8*I$109</f>
        <v>0</v>
      </c>
      <c r="J43" s="492">
        <f>+'Many to Many Ass.'!J40*'Many to Many Ass.'!$B56*'Control Page'!$G8*J$109</f>
        <v>0</v>
      </c>
      <c r="K43" s="492">
        <f>+'Many to Many Ass.'!K40*'Many to Many Ass.'!$B56*'Control Page'!$G8*K$109</f>
        <v>0</v>
      </c>
      <c r="L43" s="493">
        <f>+'Many to Many Ass.'!L40*'Many to Many Ass.'!$B56*'Control Page'!$G8*L$109</f>
        <v>0</v>
      </c>
    </row>
    <row r="44" spans="1:12" x14ac:dyDescent="0.2">
      <c r="A44" s="51" t="s">
        <v>66</v>
      </c>
      <c r="B44" s="491">
        <f>+'Many to Many Ass.'!B41*'Many to Many Ass.'!$B57*'Control Page'!$G9*B$109</f>
        <v>0</v>
      </c>
      <c r="C44" s="492">
        <f>+'Many to Many Ass.'!C41*'Many to Many Ass.'!$B57*'Control Page'!$G9*C$109</f>
        <v>0</v>
      </c>
      <c r="D44" s="492">
        <f>+'Many to Many Ass.'!D41*'Many to Many Ass.'!$B57*'Control Page'!$G9*D$109</f>
        <v>0</v>
      </c>
      <c r="E44" s="492">
        <f>+'Many to Many Ass.'!E41*'Many to Many Ass.'!$B57*'Control Page'!$G9*E$109</f>
        <v>0</v>
      </c>
      <c r="F44" s="492">
        <f>+'Many to Many Ass.'!F41*'Many to Many Ass.'!$B57*'Control Page'!$G9*F$109</f>
        <v>0</v>
      </c>
      <c r="G44" s="492">
        <f>+'Many to Many Ass.'!G41*'Many to Many Ass.'!$B57*'Control Page'!$G9*G$109</f>
        <v>0</v>
      </c>
      <c r="H44" s="492">
        <f>+'Many to Many Ass.'!H41*'Many to Many Ass.'!$B57*'Control Page'!$G9*H$109</f>
        <v>0</v>
      </c>
      <c r="I44" s="492">
        <f>+'Many to Many Ass.'!I41*'Many to Many Ass.'!$B57*'Control Page'!$G9*I$109</f>
        <v>0</v>
      </c>
      <c r="J44" s="492">
        <f>+'Many to Many Ass.'!J41*'Many to Many Ass.'!$B57*'Control Page'!$G9*J$109</f>
        <v>0</v>
      </c>
      <c r="K44" s="492">
        <f>+'Many to Many Ass.'!K41*'Many to Many Ass.'!$B57*'Control Page'!$G9*K$109</f>
        <v>0</v>
      </c>
      <c r="L44" s="493">
        <f>+'Many to Many Ass.'!L41*'Many to Many Ass.'!$B57*'Control Page'!$G9*L$109</f>
        <v>0</v>
      </c>
    </row>
    <row r="45" spans="1:12" x14ac:dyDescent="0.2">
      <c r="A45" s="51" t="s">
        <v>112</v>
      </c>
      <c r="B45" s="491">
        <f>+'Many to Many Ass.'!B42*'Many to Many Ass.'!$B58*'Control Page'!$G10*B$109</f>
        <v>0</v>
      </c>
      <c r="C45" s="492">
        <f>+'Many to Many Ass.'!C42*'Many to Many Ass.'!$B58*'Control Page'!$G10*C$109</f>
        <v>0</v>
      </c>
      <c r="D45" s="492">
        <f>+'Many to Many Ass.'!D42*'Many to Many Ass.'!$B58*'Control Page'!$G10*D$109</f>
        <v>0</v>
      </c>
      <c r="E45" s="492">
        <f>+'Many to Many Ass.'!E42*'Many to Many Ass.'!$B58*'Control Page'!$G10*E$109</f>
        <v>0</v>
      </c>
      <c r="F45" s="492">
        <f>+'Many to Many Ass.'!F42*'Many to Many Ass.'!$B58*'Control Page'!$G10*F$109</f>
        <v>0</v>
      </c>
      <c r="G45" s="492">
        <f>+'Many to Many Ass.'!G42*'Many to Many Ass.'!$B58*'Control Page'!$G10*G$109</f>
        <v>0</v>
      </c>
      <c r="H45" s="492">
        <f>+'Many to Many Ass.'!H42*'Many to Many Ass.'!$B58*'Control Page'!$G10*H$109</f>
        <v>0</v>
      </c>
      <c r="I45" s="492">
        <f>+'Many to Many Ass.'!I42*'Many to Many Ass.'!$B58*'Control Page'!$G10*I$109</f>
        <v>0</v>
      </c>
      <c r="J45" s="492">
        <f>+'Many to Many Ass.'!J42*'Many to Many Ass.'!$B58*'Control Page'!$G10*J$109</f>
        <v>0</v>
      </c>
      <c r="K45" s="492">
        <f>+'Many to Many Ass.'!K42*'Many to Many Ass.'!$B58*'Control Page'!$G10*K$109</f>
        <v>0</v>
      </c>
      <c r="L45" s="493">
        <f>+'Many to Many Ass.'!L42*'Many to Many Ass.'!$B58*'Control Page'!$G10*L$109</f>
        <v>0</v>
      </c>
    </row>
    <row r="46" spans="1:12" x14ac:dyDescent="0.2">
      <c r="A46" s="51" t="s">
        <v>67</v>
      </c>
      <c r="B46" s="491">
        <f>+'Many to Many Ass.'!B43*'Many to Many Ass.'!$B59*'Control Page'!$G11*B$109</f>
        <v>0</v>
      </c>
      <c r="C46" s="492">
        <f>+'Many to Many Ass.'!C43*'Many to Many Ass.'!$B59*'Control Page'!$G11*C$109</f>
        <v>0</v>
      </c>
      <c r="D46" s="492">
        <f>+'Many to Many Ass.'!D43*'Many to Many Ass.'!$B59*'Control Page'!$G11*D$109</f>
        <v>0</v>
      </c>
      <c r="E46" s="492">
        <f>+'Many to Many Ass.'!E43*'Many to Many Ass.'!$B59*'Control Page'!$G11*E$109</f>
        <v>0</v>
      </c>
      <c r="F46" s="492">
        <f>+'Many to Many Ass.'!F43*'Many to Many Ass.'!$B59*'Control Page'!$G11*F$109</f>
        <v>0</v>
      </c>
      <c r="G46" s="492">
        <f>+'Many to Many Ass.'!G43*'Many to Many Ass.'!$B59*'Control Page'!$G11*G$109</f>
        <v>0</v>
      </c>
      <c r="H46" s="492">
        <f>+'Many to Many Ass.'!H43*'Many to Many Ass.'!$B59*'Control Page'!$G11*H$109</f>
        <v>0</v>
      </c>
      <c r="I46" s="492">
        <f>+'Many to Many Ass.'!I43*'Many to Many Ass.'!$B59*'Control Page'!$G11*I$109</f>
        <v>0</v>
      </c>
      <c r="J46" s="492">
        <f>+'Many to Many Ass.'!J43*'Many to Many Ass.'!$B59*'Control Page'!$G11*J$109</f>
        <v>0</v>
      </c>
      <c r="K46" s="492">
        <f>+'Many to Many Ass.'!K43*'Many to Many Ass.'!$B59*'Control Page'!$G11*K$109</f>
        <v>0</v>
      </c>
      <c r="L46" s="493">
        <f>+'Many to Many Ass.'!L43*'Many to Many Ass.'!$B59*'Control Page'!$G11*L$109</f>
        <v>0</v>
      </c>
    </row>
    <row r="47" spans="1:12" x14ac:dyDescent="0.2">
      <c r="A47" s="51" t="s">
        <v>68</v>
      </c>
      <c r="B47" s="491">
        <f>+'Many to Many Ass.'!B44*'Many to Many Ass.'!$B60*'Control Page'!$G12*B$109</f>
        <v>0</v>
      </c>
      <c r="C47" s="492">
        <f>+'Many to Many Ass.'!C44*'Many to Many Ass.'!$B60*'Control Page'!$G12*C$109</f>
        <v>0</v>
      </c>
      <c r="D47" s="492">
        <f>+'Many to Many Ass.'!D44*'Many to Many Ass.'!$B60*'Control Page'!$G12*D$109</f>
        <v>0</v>
      </c>
      <c r="E47" s="492">
        <f>+'Many to Many Ass.'!E44*'Many to Many Ass.'!$B60*'Control Page'!$G12*E$109</f>
        <v>0</v>
      </c>
      <c r="F47" s="492">
        <f>+'Many to Many Ass.'!F44*'Many to Many Ass.'!$B60*'Control Page'!$G12*F$109</f>
        <v>0</v>
      </c>
      <c r="G47" s="492">
        <f>+'Many to Many Ass.'!G44*'Many to Many Ass.'!$B60*'Control Page'!$G12*G$109</f>
        <v>0</v>
      </c>
      <c r="H47" s="492">
        <f>+'Many to Many Ass.'!H44*'Many to Many Ass.'!$B60*'Control Page'!$G12*H$109</f>
        <v>0</v>
      </c>
      <c r="I47" s="492">
        <f>+'Many to Many Ass.'!I44*'Many to Many Ass.'!$B60*'Control Page'!$G12*I$109</f>
        <v>0</v>
      </c>
      <c r="J47" s="492">
        <f>+'Many to Many Ass.'!J44*'Many to Many Ass.'!$B60*'Control Page'!$G12*J$109</f>
        <v>0</v>
      </c>
      <c r="K47" s="492">
        <f>+'Many to Many Ass.'!K44*'Many to Many Ass.'!$B60*'Control Page'!$G12*K$109</f>
        <v>0</v>
      </c>
      <c r="L47" s="493">
        <f>+'Many to Many Ass.'!L44*'Many to Many Ass.'!$B60*'Control Page'!$G12*L$109</f>
        <v>0</v>
      </c>
    </row>
    <row r="48" spans="1:12" x14ac:dyDescent="0.2">
      <c r="A48" s="51" t="s">
        <v>69</v>
      </c>
      <c r="B48" s="491">
        <f>+'Many to Many Ass.'!B45*'Many to Many Ass.'!$B61*'Control Page'!$G13*B$109</f>
        <v>0</v>
      </c>
      <c r="C48" s="492">
        <f>+'Many to Many Ass.'!C45*'Many to Many Ass.'!$B61*'Control Page'!$G13*C$109</f>
        <v>0</v>
      </c>
      <c r="D48" s="492">
        <f>+'Many to Many Ass.'!D45*'Many to Many Ass.'!$B61*'Control Page'!$G13*D$109</f>
        <v>0</v>
      </c>
      <c r="E48" s="492">
        <f>+'Many to Many Ass.'!E45*'Many to Many Ass.'!$B61*'Control Page'!$G13*E$109</f>
        <v>0</v>
      </c>
      <c r="F48" s="492">
        <f>+'Many to Many Ass.'!F45*'Many to Many Ass.'!$B61*'Control Page'!$G13*F$109</f>
        <v>0</v>
      </c>
      <c r="G48" s="492">
        <f>+'Many to Many Ass.'!G45*'Many to Many Ass.'!$B61*'Control Page'!$G13*G$109</f>
        <v>0</v>
      </c>
      <c r="H48" s="492">
        <f>+'Many to Many Ass.'!H45*'Many to Many Ass.'!$B61*'Control Page'!$G13*H$109</f>
        <v>0</v>
      </c>
      <c r="I48" s="492">
        <f>+'Many to Many Ass.'!I45*'Many to Many Ass.'!$B61*'Control Page'!$G13*I$109</f>
        <v>0</v>
      </c>
      <c r="J48" s="492">
        <f>+'Many to Many Ass.'!J45*'Many to Many Ass.'!$B61*'Control Page'!$G13*J$109</f>
        <v>0</v>
      </c>
      <c r="K48" s="492">
        <f>+'Many to Many Ass.'!K45*'Many to Many Ass.'!$B61*'Control Page'!$G13*K$109</f>
        <v>0</v>
      </c>
      <c r="L48" s="493">
        <f>+'Many to Many Ass.'!L45*'Many to Many Ass.'!$B61*'Control Page'!$G13*L$109</f>
        <v>0</v>
      </c>
    </row>
    <row r="49" spans="1:12" x14ac:dyDescent="0.2">
      <c r="A49" s="51" t="s">
        <v>70</v>
      </c>
      <c r="B49" s="491">
        <f>+'Many to Many Ass.'!B46*'Many to Many Ass.'!$B62*'Control Page'!$G14*B$109</f>
        <v>0</v>
      </c>
      <c r="C49" s="492">
        <f>+'Many to Many Ass.'!C46*'Many to Many Ass.'!$B62*'Control Page'!$G14*C$109</f>
        <v>0</v>
      </c>
      <c r="D49" s="492">
        <f>+'Many to Many Ass.'!D46*'Many to Many Ass.'!$B62*'Control Page'!$G14*D$109</f>
        <v>0</v>
      </c>
      <c r="E49" s="492">
        <f>+'Many to Many Ass.'!E46*'Many to Many Ass.'!$B62*'Control Page'!$G14*E$109</f>
        <v>0</v>
      </c>
      <c r="F49" s="492">
        <f>+'Many to Many Ass.'!F46*'Many to Many Ass.'!$B62*'Control Page'!$G14*F$109</f>
        <v>0</v>
      </c>
      <c r="G49" s="492">
        <f>+'Many to Many Ass.'!G46*'Many to Many Ass.'!$B62*'Control Page'!$G14*G$109</f>
        <v>0</v>
      </c>
      <c r="H49" s="492">
        <f>+'Many to Many Ass.'!H46*'Many to Many Ass.'!$B62*'Control Page'!$G14*H$109</f>
        <v>0</v>
      </c>
      <c r="I49" s="492">
        <f>+'Many to Many Ass.'!I46*'Many to Many Ass.'!$B62*'Control Page'!$G14*I$109</f>
        <v>0</v>
      </c>
      <c r="J49" s="492">
        <f>+'Many to Many Ass.'!J46*'Many to Many Ass.'!$B62*'Control Page'!$G14*J$109</f>
        <v>0</v>
      </c>
      <c r="K49" s="492">
        <f>+'Many to Many Ass.'!K46*'Many to Many Ass.'!$B62*'Control Page'!$G14*K$109</f>
        <v>0</v>
      </c>
      <c r="L49" s="493">
        <f>+'Many to Many Ass.'!L46*'Many to Many Ass.'!$B62*'Control Page'!$G14*L$109</f>
        <v>0</v>
      </c>
    </row>
    <row r="50" spans="1:12" x14ac:dyDescent="0.2">
      <c r="A50" s="51" t="s">
        <v>71</v>
      </c>
      <c r="B50" s="491">
        <f>+'Many to Many Ass.'!B47*'Many to Many Ass.'!$B63*'Control Page'!$G15*B$109</f>
        <v>0</v>
      </c>
      <c r="C50" s="492">
        <f>+'Many to Many Ass.'!C47*'Many to Many Ass.'!$B63*'Control Page'!$G15*C$109</f>
        <v>0</v>
      </c>
      <c r="D50" s="492">
        <f>+'Many to Many Ass.'!D47*'Many to Many Ass.'!$B63*'Control Page'!$G15*D$109</f>
        <v>0</v>
      </c>
      <c r="E50" s="492">
        <f>+'Many to Many Ass.'!E47*'Many to Many Ass.'!$B63*'Control Page'!$G15*E$109</f>
        <v>0</v>
      </c>
      <c r="F50" s="492">
        <f>+'Many to Many Ass.'!F47*'Many to Many Ass.'!$B63*'Control Page'!$G15*F$109</f>
        <v>0</v>
      </c>
      <c r="G50" s="492">
        <f>+'Many to Many Ass.'!G47*'Many to Many Ass.'!$B63*'Control Page'!$G15*G$109</f>
        <v>0</v>
      </c>
      <c r="H50" s="492">
        <f>+'Many to Many Ass.'!H47*'Many to Many Ass.'!$B63*'Control Page'!$G15*H$109</f>
        <v>0</v>
      </c>
      <c r="I50" s="492">
        <f>+'Many to Many Ass.'!I47*'Many to Many Ass.'!$B63*'Control Page'!$G15*I$109</f>
        <v>0</v>
      </c>
      <c r="J50" s="492">
        <f>+'Many to Many Ass.'!J47*'Many to Many Ass.'!$B63*'Control Page'!$G15*J$109</f>
        <v>0</v>
      </c>
      <c r="K50" s="492">
        <f>+'Many to Many Ass.'!K47*'Many to Many Ass.'!$B63*'Control Page'!$G15*K$109</f>
        <v>0</v>
      </c>
      <c r="L50" s="493">
        <f>+'Many to Many Ass.'!L47*'Many to Many Ass.'!$B63*'Control Page'!$G15*L$109</f>
        <v>0</v>
      </c>
    </row>
    <row r="51" spans="1:12" x14ac:dyDescent="0.2">
      <c r="A51" s="71" t="s">
        <v>119</v>
      </c>
      <c r="B51" s="491">
        <f>+'Many to Many Ass.'!B48*'Many to Many Ass.'!$B64*'Control Page'!$G16*B$109</f>
        <v>0</v>
      </c>
      <c r="C51" s="492">
        <f>+'Many to Many Ass.'!C48*'Many to Many Ass.'!$B64*'Control Page'!$G16*C$109</f>
        <v>0</v>
      </c>
      <c r="D51" s="492">
        <f>+'Many to Many Ass.'!D48*'Many to Many Ass.'!$B64*'Control Page'!$G16*D$109</f>
        <v>0</v>
      </c>
      <c r="E51" s="492">
        <f>+'Many to Many Ass.'!E48*'Many to Many Ass.'!$B64*'Control Page'!$G16*E$109</f>
        <v>0</v>
      </c>
      <c r="F51" s="492">
        <f>+'Many to Many Ass.'!F48*'Many to Many Ass.'!$B64*'Control Page'!$G16*F$109</f>
        <v>0</v>
      </c>
      <c r="G51" s="492">
        <f>+'Many to Many Ass.'!G48*'Many to Many Ass.'!$B64*'Control Page'!$G16*G$109</f>
        <v>0</v>
      </c>
      <c r="H51" s="492">
        <f>+'Many to Many Ass.'!H48*'Many to Many Ass.'!$B64*'Control Page'!$G16*H$109</f>
        <v>0</v>
      </c>
      <c r="I51" s="492">
        <f>+'Many to Many Ass.'!I48*'Many to Many Ass.'!$B64*'Control Page'!$G16*I$109</f>
        <v>0</v>
      </c>
      <c r="J51" s="492">
        <f>+'Many to Many Ass.'!J48*'Many to Many Ass.'!$B64*'Control Page'!$G16*J$109</f>
        <v>0</v>
      </c>
      <c r="K51" s="492">
        <f>+'Many to Many Ass.'!K48*'Many to Many Ass.'!$B64*'Control Page'!$G16*K$109</f>
        <v>0</v>
      </c>
      <c r="L51" s="493">
        <f>+'Many to Many Ass.'!L48*'Many to Many Ass.'!$B64*'Control Page'!$G16*L$109</f>
        <v>0</v>
      </c>
    </row>
    <row r="52" spans="1:12" x14ac:dyDescent="0.2">
      <c r="A52" s="71" t="s">
        <v>120</v>
      </c>
      <c r="B52" s="491">
        <f>+'Many to Many Ass.'!B49*'Many to Many Ass.'!$B65*'Control Page'!$G17*B$109</f>
        <v>0</v>
      </c>
      <c r="C52" s="492">
        <f>+'Many to Many Ass.'!C49*'Many to Many Ass.'!$B65*'Control Page'!$G17*C$109</f>
        <v>0</v>
      </c>
      <c r="D52" s="492">
        <f>+'Many to Many Ass.'!D49*'Many to Many Ass.'!$B65*'Control Page'!$G17*D$109</f>
        <v>0</v>
      </c>
      <c r="E52" s="492">
        <f>+'Many to Many Ass.'!E49*'Many to Many Ass.'!$B65*'Control Page'!$G17*E$109</f>
        <v>0</v>
      </c>
      <c r="F52" s="492">
        <f>+'Many to Many Ass.'!F49*'Many to Many Ass.'!$B65*'Control Page'!$G17*F$109</f>
        <v>0</v>
      </c>
      <c r="G52" s="492">
        <f>+'Many to Many Ass.'!G49*'Many to Many Ass.'!$B65*'Control Page'!$G17*G$109</f>
        <v>0</v>
      </c>
      <c r="H52" s="492">
        <f>+'Many to Many Ass.'!H49*'Many to Many Ass.'!$B65*'Control Page'!$G17*H$109</f>
        <v>0</v>
      </c>
      <c r="I52" s="492">
        <f>+'Many to Many Ass.'!I49*'Many to Many Ass.'!$B65*'Control Page'!$G17*I$109</f>
        <v>0</v>
      </c>
      <c r="J52" s="492">
        <f>+'Many to Many Ass.'!J49*'Many to Many Ass.'!$B65*'Control Page'!$G17*J$109</f>
        <v>0</v>
      </c>
      <c r="K52" s="492">
        <f>+'Many to Many Ass.'!K49*'Many to Many Ass.'!$B65*'Control Page'!$G17*K$109</f>
        <v>0</v>
      </c>
      <c r="L52" s="493">
        <f>+'Many to Many Ass.'!L49*'Many to Many Ass.'!$B65*'Control Page'!$G17*L$109</f>
        <v>0</v>
      </c>
    </row>
    <row r="53" spans="1:12" ht="13.5" thickBot="1" x14ac:dyDescent="0.25">
      <c r="A53" s="52" t="s">
        <v>113</v>
      </c>
      <c r="B53" s="494">
        <f>+'Many to Many Ass.'!B50*'Many to Many Ass.'!$B66*'Control Page'!$G18*B$109</f>
        <v>0</v>
      </c>
      <c r="C53" s="495">
        <f>+'Many to Many Ass.'!C50*'Many to Many Ass.'!$B66*'Control Page'!$G18*C$109</f>
        <v>0</v>
      </c>
      <c r="D53" s="495">
        <f>+'Many to Many Ass.'!D50*'Many to Many Ass.'!$B66*'Control Page'!$G18*D$109</f>
        <v>0</v>
      </c>
      <c r="E53" s="495">
        <f>+'Many to Many Ass.'!E50*'Many to Many Ass.'!$B66*'Control Page'!$G18*E$109</f>
        <v>0</v>
      </c>
      <c r="F53" s="495">
        <f>+'Many to Many Ass.'!F50*'Many to Many Ass.'!$B66*'Control Page'!$G18*F$109</f>
        <v>0</v>
      </c>
      <c r="G53" s="495">
        <f>+'Many to Many Ass.'!G50*'Many to Many Ass.'!$B66*'Control Page'!$G18*G$109</f>
        <v>0</v>
      </c>
      <c r="H53" s="495">
        <f>+'Many to Many Ass.'!H50*'Many to Many Ass.'!$B66*'Control Page'!$G18*H$109</f>
        <v>0</v>
      </c>
      <c r="I53" s="495">
        <f>+'Many to Many Ass.'!I50*'Many to Many Ass.'!$B66*'Control Page'!$G18*I$109</f>
        <v>0</v>
      </c>
      <c r="J53" s="495">
        <f>+'Many to Many Ass.'!J50*'Many to Many Ass.'!$B66*'Control Page'!$G18*J$109</f>
        <v>0</v>
      </c>
      <c r="K53" s="495">
        <f>+'Many to Many Ass.'!K50*'Many to Many Ass.'!$B66*'Control Page'!$G18*K$109</f>
        <v>0</v>
      </c>
      <c r="L53" s="496">
        <f>+'Many to Many Ass.'!L50*'Many to Many Ass.'!$B66*'Control Page'!$G18*L$109</f>
        <v>0</v>
      </c>
    </row>
    <row r="54" spans="1:12" ht="13.5" thickBot="1" x14ac:dyDescent="0.25">
      <c r="A54" s="36" t="s">
        <v>462</v>
      </c>
      <c r="B54" s="497">
        <f>SUM(B42:B53)</f>
        <v>0</v>
      </c>
      <c r="C54" s="498">
        <f t="shared" ref="C54:L54" si="4">SUM(C42:C53)</f>
        <v>0</v>
      </c>
      <c r="D54" s="498">
        <f t="shared" si="4"/>
        <v>0</v>
      </c>
      <c r="E54" s="498">
        <f t="shared" si="4"/>
        <v>0</v>
      </c>
      <c r="F54" s="498">
        <f t="shared" si="4"/>
        <v>0</v>
      </c>
      <c r="G54" s="498">
        <f t="shared" si="4"/>
        <v>0</v>
      </c>
      <c r="H54" s="498">
        <f t="shared" si="4"/>
        <v>0</v>
      </c>
      <c r="I54" s="498">
        <f t="shared" si="4"/>
        <v>0</v>
      </c>
      <c r="J54" s="498">
        <f t="shared" si="4"/>
        <v>0</v>
      </c>
      <c r="K54" s="498">
        <f t="shared" si="4"/>
        <v>0</v>
      </c>
      <c r="L54" s="499">
        <f t="shared" si="4"/>
        <v>0</v>
      </c>
    </row>
    <row r="55" spans="1:12" x14ac:dyDescent="0.2">
      <c r="B55">
        <f>+B$109</f>
        <v>1</v>
      </c>
    </row>
    <row r="56" spans="1:12" x14ac:dyDescent="0.2">
      <c r="A56" s="8" t="s">
        <v>500</v>
      </c>
    </row>
    <row r="57" spans="1:12" ht="13.5" thickBot="1" x14ac:dyDescent="0.25"/>
    <row r="58" spans="1:12" ht="13.5" thickBot="1" x14ac:dyDescent="0.25">
      <c r="B58" s="440">
        <v>2001</v>
      </c>
      <c r="C58" s="441">
        <v>2002</v>
      </c>
      <c r="D58" s="441">
        <v>2003</v>
      </c>
      <c r="E58" s="441">
        <v>2004</v>
      </c>
      <c r="F58" s="441">
        <v>2005</v>
      </c>
      <c r="G58" s="441">
        <v>2006</v>
      </c>
      <c r="H58" s="441">
        <v>2007</v>
      </c>
      <c r="I58" s="441">
        <v>2008</v>
      </c>
      <c r="J58" s="441">
        <v>2009</v>
      </c>
      <c r="K58" s="441">
        <v>2010</v>
      </c>
      <c r="L58" s="442">
        <v>2011</v>
      </c>
    </row>
    <row r="59" spans="1:12" x14ac:dyDescent="0.2">
      <c r="A59" s="50" t="s">
        <v>64</v>
      </c>
      <c r="B59" s="488">
        <f>+SUM('Many to Many Ass.'!$B39:B39)*'Many to Many Ass.'!$C55*'Control Page'!$G7*B$109</f>
        <v>0</v>
      </c>
      <c r="C59" s="489">
        <f>+SUM('Many to Many Ass.'!$B39:C39)*'Many to Many Ass.'!$C55*'Control Page'!$G7*C$109</f>
        <v>0</v>
      </c>
      <c r="D59" s="489">
        <f>+SUM('Many to Many Ass.'!$B39:D39)*'Many to Many Ass.'!$C55*'Control Page'!$G7*D$109</f>
        <v>0</v>
      </c>
      <c r="E59" s="489">
        <f>+SUM('Many to Many Ass.'!$B39:E39)*'Many to Many Ass.'!$C55*'Control Page'!$G7*E$109</f>
        <v>0</v>
      </c>
      <c r="F59" s="489">
        <f>+SUM('Many to Many Ass.'!$B39:F39)*'Many to Many Ass.'!$C55*'Control Page'!$G7*F$109</f>
        <v>0</v>
      </c>
      <c r="G59" s="489">
        <f>+SUM('Many to Many Ass.'!$B39:G39)*'Many to Many Ass.'!$C55*'Control Page'!$G7*G$109</f>
        <v>0</v>
      </c>
      <c r="H59" s="489">
        <f>+SUM('Many to Many Ass.'!$B39:H39)*'Many to Many Ass.'!$C55*'Control Page'!$G7*H$109</f>
        <v>0</v>
      </c>
      <c r="I59" s="489">
        <f>+SUM('Many to Many Ass.'!$B39:I39)*'Many to Many Ass.'!$C55*'Control Page'!$G7*I$109</f>
        <v>0</v>
      </c>
      <c r="J59" s="489">
        <f>+SUM('Many to Many Ass.'!$B39:J39)*'Many to Many Ass.'!$C55*'Control Page'!$G7*J$109</f>
        <v>0</v>
      </c>
      <c r="K59" s="489">
        <f>+SUM('Many to Many Ass.'!$B39:K39)*'Many to Many Ass.'!$C55*'Control Page'!$G7*K$109</f>
        <v>0</v>
      </c>
      <c r="L59" s="490">
        <f>+SUM('Many to Many Ass.'!$B39:L39)*'Many to Many Ass.'!$C55*'Control Page'!$G7*L$109</f>
        <v>0</v>
      </c>
    </row>
    <row r="60" spans="1:12" x14ac:dyDescent="0.2">
      <c r="A60" s="51" t="s">
        <v>65</v>
      </c>
      <c r="B60" s="491">
        <f>+SUM('Many to Many Ass.'!$B40:B40)*'Many to Many Ass.'!$C56*'Control Page'!$G8*B$109</f>
        <v>0</v>
      </c>
      <c r="C60" s="492">
        <f>+SUM('Many to Many Ass.'!$B40:C40)*'Many to Many Ass.'!$C56*'Control Page'!$G8*C$109</f>
        <v>0</v>
      </c>
      <c r="D60" s="492">
        <f>+SUM('Many to Many Ass.'!$B40:D40)*'Many to Many Ass.'!$C56*'Control Page'!$G8*D$109</f>
        <v>0</v>
      </c>
      <c r="E60" s="492">
        <f>+SUM('Many to Many Ass.'!$B40:E40)*'Many to Many Ass.'!$C56*'Control Page'!$G8*E$109</f>
        <v>0</v>
      </c>
      <c r="F60" s="492">
        <f>+SUM('Many to Many Ass.'!$B40:F40)*'Many to Many Ass.'!$C56*'Control Page'!$G8*F$109</f>
        <v>0</v>
      </c>
      <c r="G60" s="492">
        <f>+SUM('Many to Many Ass.'!$B40:G40)*'Many to Many Ass.'!$C56*'Control Page'!$G8*G$109</f>
        <v>0</v>
      </c>
      <c r="H60" s="492">
        <f>+SUM('Many to Many Ass.'!$B40:H40)*'Many to Many Ass.'!$C56*'Control Page'!$G8*H$109</f>
        <v>0</v>
      </c>
      <c r="I60" s="492">
        <f>+SUM('Many to Many Ass.'!$B40:I40)*'Many to Many Ass.'!$C56*'Control Page'!$G8*I$109</f>
        <v>0</v>
      </c>
      <c r="J60" s="492">
        <f>+SUM('Many to Many Ass.'!$B40:J40)*'Many to Many Ass.'!$C56*'Control Page'!$G8*J$109</f>
        <v>0</v>
      </c>
      <c r="K60" s="492">
        <f>+SUM('Many to Many Ass.'!$B40:K40)*'Many to Many Ass.'!$C56*'Control Page'!$G8*K$109</f>
        <v>0</v>
      </c>
      <c r="L60" s="493">
        <f>+SUM('Many to Many Ass.'!$B40:L40)*'Many to Many Ass.'!$C56*'Control Page'!$G8*L$109</f>
        <v>0</v>
      </c>
    </row>
    <row r="61" spans="1:12" x14ac:dyDescent="0.2">
      <c r="A61" s="51" t="s">
        <v>66</v>
      </c>
      <c r="B61" s="491">
        <f>+SUM('Many to Many Ass.'!$B41:B41)*'Many to Many Ass.'!$C57*'Control Page'!$G9*B$109</f>
        <v>0</v>
      </c>
      <c r="C61" s="492">
        <f>+SUM('Many to Many Ass.'!$B41:C41)*'Many to Many Ass.'!$C57*'Control Page'!$G9*C$109</f>
        <v>0</v>
      </c>
      <c r="D61" s="492">
        <f>+SUM('Many to Many Ass.'!$B41:D41)*'Many to Many Ass.'!$C57*'Control Page'!$G9*D$109</f>
        <v>0</v>
      </c>
      <c r="E61" s="492">
        <f>+SUM('Many to Many Ass.'!$B41:E41)*'Many to Many Ass.'!$C57*'Control Page'!$G9*E$109</f>
        <v>0</v>
      </c>
      <c r="F61" s="492">
        <f>+SUM('Many to Many Ass.'!$B41:F41)*'Many to Many Ass.'!$C57*'Control Page'!$G9*F$109</f>
        <v>0</v>
      </c>
      <c r="G61" s="492">
        <f>+SUM('Many to Many Ass.'!$B41:G41)*'Many to Many Ass.'!$C57*'Control Page'!$G9*G$109</f>
        <v>0</v>
      </c>
      <c r="H61" s="492">
        <f>+SUM('Many to Many Ass.'!$B41:H41)*'Many to Many Ass.'!$C57*'Control Page'!$G9*H$109</f>
        <v>0</v>
      </c>
      <c r="I61" s="492">
        <f>+SUM('Many to Many Ass.'!$B41:I41)*'Many to Many Ass.'!$C57*'Control Page'!$G9*I$109</f>
        <v>0</v>
      </c>
      <c r="J61" s="492">
        <f>+SUM('Many to Many Ass.'!$B41:J41)*'Many to Many Ass.'!$C57*'Control Page'!$G9*J$109</f>
        <v>0</v>
      </c>
      <c r="K61" s="492">
        <f>+SUM('Many to Many Ass.'!$B41:K41)*'Many to Many Ass.'!$C57*'Control Page'!$G9*K$109</f>
        <v>0</v>
      </c>
      <c r="L61" s="493">
        <f>+SUM('Many to Many Ass.'!$B41:L41)*'Many to Many Ass.'!$C57*'Control Page'!$G9*L$109</f>
        <v>0</v>
      </c>
    </row>
    <row r="62" spans="1:12" x14ac:dyDescent="0.2">
      <c r="A62" s="51" t="s">
        <v>112</v>
      </c>
      <c r="B62" s="491">
        <f>+SUM('Many to Many Ass.'!$B42:B42)*'Many to Many Ass.'!$C58*'Control Page'!$G10*B$109</f>
        <v>0</v>
      </c>
      <c r="C62" s="492">
        <f>+SUM('Many to Many Ass.'!$B42:C42)*'Many to Many Ass.'!$C58*'Control Page'!$G10*C$109</f>
        <v>0</v>
      </c>
      <c r="D62" s="492">
        <f>+SUM('Many to Many Ass.'!$B42:D42)*'Many to Many Ass.'!$C58*'Control Page'!$G10*D$109</f>
        <v>0</v>
      </c>
      <c r="E62" s="492">
        <f>+SUM('Many to Many Ass.'!$B42:E42)*'Many to Many Ass.'!$C58*'Control Page'!$G10*E$109</f>
        <v>0</v>
      </c>
      <c r="F62" s="492">
        <f>+SUM('Many to Many Ass.'!$B42:F42)*'Many to Many Ass.'!$C58*'Control Page'!$G10*F$109</f>
        <v>0</v>
      </c>
      <c r="G62" s="492">
        <f>+SUM('Many to Many Ass.'!$B42:G42)*'Many to Many Ass.'!$C58*'Control Page'!$G10*G$109</f>
        <v>0</v>
      </c>
      <c r="H62" s="492">
        <f>+SUM('Many to Many Ass.'!$B42:H42)*'Many to Many Ass.'!$C58*'Control Page'!$G10*H$109</f>
        <v>0</v>
      </c>
      <c r="I62" s="492">
        <f>+SUM('Many to Many Ass.'!$B42:I42)*'Many to Many Ass.'!$C58*'Control Page'!$G10*I$109</f>
        <v>0</v>
      </c>
      <c r="J62" s="492">
        <f>+SUM('Many to Many Ass.'!$B42:J42)*'Many to Many Ass.'!$C58*'Control Page'!$G10*J$109</f>
        <v>0</v>
      </c>
      <c r="K62" s="492">
        <f>+SUM('Many to Many Ass.'!$B42:K42)*'Many to Many Ass.'!$C58*'Control Page'!$G10*K$109</f>
        <v>0</v>
      </c>
      <c r="L62" s="493">
        <f>+SUM('Many to Many Ass.'!$B42:L42)*'Many to Many Ass.'!$C58*'Control Page'!$G10*L$109</f>
        <v>0</v>
      </c>
    </row>
    <row r="63" spans="1:12" x14ac:dyDescent="0.2">
      <c r="A63" s="51" t="s">
        <v>67</v>
      </c>
      <c r="B63" s="491">
        <f>+SUM('Many to Many Ass.'!$B43:B43)*'Many to Many Ass.'!$C59*'Control Page'!$G11*B$109</f>
        <v>0</v>
      </c>
      <c r="C63" s="492">
        <f>+SUM('Many to Many Ass.'!$B43:C43)*'Many to Many Ass.'!$C59*'Control Page'!$G11*C$109</f>
        <v>0</v>
      </c>
      <c r="D63" s="492">
        <f>+SUM('Many to Many Ass.'!$B43:D43)*'Many to Many Ass.'!$C59*'Control Page'!$G11*D$109</f>
        <v>0</v>
      </c>
      <c r="E63" s="492">
        <f>+SUM('Many to Many Ass.'!$B43:E43)*'Many to Many Ass.'!$C59*'Control Page'!$G11*E$109</f>
        <v>0</v>
      </c>
      <c r="F63" s="492">
        <f>+SUM('Many to Many Ass.'!$B43:F43)*'Many to Many Ass.'!$C59*'Control Page'!$G11*F$109</f>
        <v>0</v>
      </c>
      <c r="G63" s="492">
        <f>+SUM('Many to Many Ass.'!$B43:G43)*'Many to Many Ass.'!$C59*'Control Page'!$G11*G$109</f>
        <v>0</v>
      </c>
      <c r="H63" s="492">
        <f>+SUM('Many to Many Ass.'!$B43:H43)*'Many to Many Ass.'!$C59*'Control Page'!$G11*H$109</f>
        <v>0</v>
      </c>
      <c r="I63" s="492">
        <f>+SUM('Many to Many Ass.'!$B43:I43)*'Many to Many Ass.'!$C59*'Control Page'!$G11*I$109</f>
        <v>0</v>
      </c>
      <c r="J63" s="492">
        <f>+SUM('Many to Many Ass.'!$B43:J43)*'Many to Many Ass.'!$C59*'Control Page'!$G11*J$109</f>
        <v>0</v>
      </c>
      <c r="K63" s="492">
        <f>+SUM('Many to Many Ass.'!$B43:K43)*'Many to Many Ass.'!$C59*'Control Page'!$G11*K$109</f>
        <v>0</v>
      </c>
      <c r="L63" s="493">
        <f>+SUM('Many to Many Ass.'!$B43:L43)*'Many to Many Ass.'!$C59*'Control Page'!$G11*L$109</f>
        <v>0</v>
      </c>
    </row>
    <row r="64" spans="1:12" x14ac:dyDescent="0.2">
      <c r="A64" s="51" t="s">
        <v>68</v>
      </c>
      <c r="B64" s="491">
        <f>+SUM('Many to Many Ass.'!$B44:B44)*'Many to Many Ass.'!$C60*'Control Page'!$G12*B$109</f>
        <v>0</v>
      </c>
      <c r="C64" s="492">
        <f>+SUM('Many to Many Ass.'!$B44:C44)*'Many to Many Ass.'!$C60*'Control Page'!$G12*C$109</f>
        <v>0</v>
      </c>
      <c r="D64" s="492">
        <f>+SUM('Many to Many Ass.'!$B44:D44)*'Many to Many Ass.'!$C60*'Control Page'!$G12*D$109</f>
        <v>0</v>
      </c>
      <c r="E64" s="492">
        <f>+SUM('Many to Many Ass.'!$B44:E44)*'Many to Many Ass.'!$C60*'Control Page'!$G12*E$109</f>
        <v>0</v>
      </c>
      <c r="F64" s="492">
        <f>+SUM('Many to Many Ass.'!$B44:F44)*'Many to Many Ass.'!$C60*'Control Page'!$G12*F$109</f>
        <v>0</v>
      </c>
      <c r="G64" s="492">
        <f>+SUM('Many to Many Ass.'!$B44:G44)*'Many to Many Ass.'!$C60*'Control Page'!$G12*G$109</f>
        <v>0</v>
      </c>
      <c r="H64" s="492">
        <f>+SUM('Many to Many Ass.'!$B44:H44)*'Many to Many Ass.'!$C60*'Control Page'!$G12*H$109</f>
        <v>0</v>
      </c>
      <c r="I64" s="492">
        <f>+SUM('Many to Many Ass.'!$B44:I44)*'Many to Many Ass.'!$C60*'Control Page'!$G12*I$109</f>
        <v>0</v>
      </c>
      <c r="J64" s="492">
        <f>+SUM('Many to Many Ass.'!$B44:J44)*'Many to Many Ass.'!$C60*'Control Page'!$G12*J$109</f>
        <v>0</v>
      </c>
      <c r="K64" s="492">
        <f>+SUM('Many to Many Ass.'!$B44:K44)*'Many to Many Ass.'!$C60*'Control Page'!$G12*K$109</f>
        <v>0</v>
      </c>
      <c r="L64" s="493">
        <f>+SUM('Many to Many Ass.'!$B44:L44)*'Many to Many Ass.'!$C60*'Control Page'!$G12*L$109</f>
        <v>0</v>
      </c>
    </row>
    <row r="65" spans="1:12" x14ac:dyDescent="0.2">
      <c r="A65" s="51" t="s">
        <v>69</v>
      </c>
      <c r="B65" s="491">
        <f>+SUM('Many to Many Ass.'!$B45:B45)*'Many to Many Ass.'!$C61*'Control Page'!$G13*B$109</f>
        <v>0</v>
      </c>
      <c r="C65" s="492">
        <f>+SUM('Many to Many Ass.'!$B45:C45)*'Many to Many Ass.'!$C61*'Control Page'!$G13*C$109</f>
        <v>0</v>
      </c>
      <c r="D65" s="492">
        <f>+SUM('Many to Many Ass.'!$B45:D45)*'Many to Many Ass.'!$C61*'Control Page'!$G13*D$109</f>
        <v>0</v>
      </c>
      <c r="E65" s="492">
        <f>+SUM('Many to Many Ass.'!$B45:E45)*'Many to Many Ass.'!$C61*'Control Page'!$G13*E$109</f>
        <v>0</v>
      </c>
      <c r="F65" s="492">
        <f>+SUM('Many to Many Ass.'!$B45:F45)*'Many to Many Ass.'!$C61*'Control Page'!$G13*F$109</f>
        <v>0</v>
      </c>
      <c r="G65" s="492">
        <f>+SUM('Many to Many Ass.'!$B45:G45)*'Many to Many Ass.'!$C61*'Control Page'!$G13*G$109</f>
        <v>0</v>
      </c>
      <c r="H65" s="492">
        <f>+SUM('Many to Many Ass.'!$B45:H45)*'Many to Many Ass.'!$C61*'Control Page'!$G13*H$109</f>
        <v>0</v>
      </c>
      <c r="I65" s="492">
        <f>+SUM('Many to Many Ass.'!$B45:I45)*'Many to Many Ass.'!$C61*'Control Page'!$G13*I$109</f>
        <v>0</v>
      </c>
      <c r="J65" s="492">
        <f>+SUM('Many to Many Ass.'!$B45:J45)*'Many to Many Ass.'!$C61*'Control Page'!$G13*J$109</f>
        <v>0</v>
      </c>
      <c r="K65" s="492">
        <f>+SUM('Many to Many Ass.'!$B45:K45)*'Many to Many Ass.'!$C61*'Control Page'!$G13*K$109</f>
        <v>0</v>
      </c>
      <c r="L65" s="493">
        <f>+SUM('Many to Many Ass.'!$B45:L45)*'Many to Many Ass.'!$C61*'Control Page'!$G13*L$109</f>
        <v>0</v>
      </c>
    </row>
    <row r="66" spans="1:12" x14ac:dyDescent="0.2">
      <c r="A66" s="51" t="s">
        <v>70</v>
      </c>
      <c r="B66" s="491">
        <f>+SUM('Many to Many Ass.'!$B46:B46)*'Many to Many Ass.'!$C62*'Control Page'!$G14*B$109</f>
        <v>0</v>
      </c>
      <c r="C66" s="492">
        <f>+SUM('Many to Many Ass.'!$B46:C46)*'Many to Many Ass.'!$C62*'Control Page'!$G14*C$109</f>
        <v>0</v>
      </c>
      <c r="D66" s="492">
        <f>+SUM('Many to Many Ass.'!$B46:D46)*'Many to Many Ass.'!$C62*'Control Page'!$G14*D$109</f>
        <v>0</v>
      </c>
      <c r="E66" s="492">
        <f>+SUM('Many to Many Ass.'!$B46:E46)*'Many to Many Ass.'!$C62*'Control Page'!$G14*E$109</f>
        <v>0</v>
      </c>
      <c r="F66" s="492">
        <f>+SUM('Many to Many Ass.'!$B46:F46)*'Many to Many Ass.'!$C62*'Control Page'!$G14*F$109</f>
        <v>0</v>
      </c>
      <c r="G66" s="492">
        <f>+SUM('Many to Many Ass.'!$B46:G46)*'Many to Many Ass.'!$C62*'Control Page'!$G14*G$109</f>
        <v>0</v>
      </c>
      <c r="H66" s="492">
        <f>+SUM('Many to Many Ass.'!$B46:H46)*'Many to Many Ass.'!$C62*'Control Page'!$G14*H$109</f>
        <v>0</v>
      </c>
      <c r="I66" s="492">
        <f>+SUM('Many to Many Ass.'!$B46:I46)*'Many to Many Ass.'!$C62*'Control Page'!$G14*I$109</f>
        <v>0</v>
      </c>
      <c r="J66" s="492">
        <f>+SUM('Many to Many Ass.'!$B46:J46)*'Many to Many Ass.'!$C62*'Control Page'!$G14*J$109</f>
        <v>0</v>
      </c>
      <c r="K66" s="492">
        <f>+SUM('Many to Many Ass.'!$B46:K46)*'Many to Many Ass.'!$C62*'Control Page'!$G14*K$109</f>
        <v>0</v>
      </c>
      <c r="L66" s="493">
        <f>+SUM('Many to Many Ass.'!$B46:L46)*'Many to Many Ass.'!$C62*'Control Page'!$G14*L$109</f>
        <v>0</v>
      </c>
    </row>
    <row r="67" spans="1:12" x14ac:dyDescent="0.2">
      <c r="A67" s="51" t="s">
        <v>71</v>
      </c>
      <c r="B67" s="491">
        <f>+SUM('Many to Many Ass.'!$B47:B47)*'Many to Many Ass.'!$C63*'Control Page'!$G15*B$109</f>
        <v>0</v>
      </c>
      <c r="C67" s="492">
        <f>+SUM('Many to Many Ass.'!$B47:C47)*'Many to Many Ass.'!$C63*'Control Page'!$G15*C$109</f>
        <v>0</v>
      </c>
      <c r="D67" s="492">
        <f>+SUM('Many to Many Ass.'!$B47:D47)*'Many to Many Ass.'!$C63*'Control Page'!$G15*D$109</f>
        <v>0</v>
      </c>
      <c r="E67" s="492">
        <f>+SUM('Many to Many Ass.'!$B47:E47)*'Many to Many Ass.'!$C63*'Control Page'!$G15*E$109</f>
        <v>0</v>
      </c>
      <c r="F67" s="492">
        <f>+SUM('Many to Many Ass.'!$B47:F47)*'Many to Many Ass.'!$C63*'Control Page'!$G15*F$109</f>
        <v>0</v>
      </c>
      <c r="G67" s="492">
        <f>+SUM('Many to Many Ass.'!$B47:G47)*'Many to Many Ass.'!$C63*'Control Page'!$G15*G$109</f>
        <v>0</v>
      </c>
      <c r="H67" s="492">
        <f>+SUM('Many to Many Ass.'!$B47:H47)*'Many to Many Ass.'!$C63*'Control Page'!$G15*H$109</f>
        <v>0</v>
      </c>
      <c r="I67" s="492">
        <f>+SUM('Many to Many Ass.'!$B47:I47)*'Many to Many Ass.'!$C63*'Control Page'!$G15*I$109</f>
        <v>0</v>
      </c>
      <c r="J67" s="492">
        <f>+SUM('Many to Many Ass.'!$B47:J47)*'Many to Many Ass.'!$C63*'Control Page'!$G15*J$109</f>
        <v>0</v>
      </c>
      <c r="K67" s="492">
        <f>+SUM('Many to Many Ass.'!$B47:K47)*'Many to Many Ass.'!$C63*'Control Page'!$G15*K$109</f>
        <v>0</v>
      </c>
      <c r="L67" s="493">
        <f>+SUM('Many to Many Ass.'!$B47:L47)*'Many to Many Ass.'!$C63*'Control Page'!$G15*L$109</f>
        <v>0</v>
      </c>
    </row>
    <row r="68" spans="1:12" x14ac:dyDescent="0.2">
      <c r="A68" s="71" t="s">
        <v>119</v>
      </c>
      <c r="B68" s="491">
        <f>+SUM('Many to Many Ass.'!$B48:B48)*'Many to Many Ass.'!$C64*'Control Page'!$G16*B$109</f>
        <v>0</v>
      </c>
      <c r="C68" s="492">
        <f>+SUM('Many to Many Ass.'!$B48:C48)*'Many to Many Ass.'!$C64*'Control Page'!$G16*C$109</f>
        <v>0</v>
      </c>
      <c r="D68" s="492">
        <f>+SUM('Many to Many Ass.'!$B48:D48)*'Many to Many Ass.'!$C64*'Control Page'!$G16*D$109</f>
        <v>0</v>
      </c>
      <c r="E68" s="492">
        <f>+SUM('Many to Many Ass.'!$B48:E48)*'Many to Many Ass.'!$C64*'Control Page'!$G16*E$109</f>
        <v>0</v>
      </c>
      <c r="F68" s="492">
        <f>+SUM('Many to Many Ass.'!$B48:F48)*'Many to Many Ass.'!$C64*'Control Page'!$G16*F$109</f>
        <v>0</v>
      </c>
      <c r="G68" s="492">
        <f>+SUM('Many to Many Ass.'!$B48:G48)*'Many to Many Ass.'!$C64*'Control Page'!$G16*G$109</f>
        <v>0</v>
      </c>
      <c r="H68" s="492">
        <f>+SUM('Many to Many Ass.'!$B48:H48)*'Many to Many Ass.'!$C64*'Control Page'!$G16*H$109</f>
        <v>0</v>
      </c>
      <c r="I68" s="492">
        <f>+SUM('Many to Many Ass.'!$B48:I48)*'Many to Many Ass.'!$C64*'Control Page'!$G16*I$109</f>
        <v>0</v>
      </c>
      <c r="J68" s="492">
        <f>+SUM('Many to Many Ass.'!$B48:J48)*'Many to Many Ass.'!$C64*'Control Page'!$G16*J$109</f>
        <v>0</v>
      </c>
      <c r="K68" s="492">
        <f>+SUM('Many to Many Ass.'!$B48:K48)*'Many to Many Ass.'!$C64*'Control Page'!$G16*K$109</f>
        <v>0</v>
      </c>
      <c r="L68" s="493">
        <f>+SUM('Many to Many Ass.'!$B48:L48)*'Many to Many Ass.'!$C64*'Control Page'!$G16*L$109</f>
        <v>0</v>
      </c>
    </row>
    <row r="69" spans="1:12" x14ac:dyDescent="0.2">
      <c r="A69" s="71" t="s">
        <v>120</v>
      </c>
      <c r="B69" s="491">
        <f>+SUM('Many to Many Ass.'!$B49:B49)*'Many to Many Ass.'!$C65*'Control Page'!$G17*B$109</f>
        <v>0</v>
      </c>
      <c r="C69" s="492">
        <f>+SUM('Many to Many Ass.'!$B49:C49)*'Many to Many Ass.'!$C65*'Control Page'!$G17*C$109</f>
        <v>0</v>
      </c>
      <c r="D69" s="492">
        <f>+SUM('Many to Many Ass.'!$B49:D49)*'Many to Many Ass.'!$C65*'Control Page'!$G17*D$109</f>
        <v>0</v>
      </c>
      <c r="E69" s="492">
        <f>+SUM('Many to Many Ass.'!$B49:E49)*'Many to Many Ass.'!$C65*'Control Page'!$G17*E$109</f>
        <v>0</v>
      </c>
      <c r="F69" s="492">
        <f>+SUM('Many to Many Ass.'!$B49:F49)*'Many to Many Ass.'!$C65*'Control Page'!$G17*F$109</f>
        <v>0</v>
      </c>
      <c r="G69" s="492">
        <f>+SUM('Many to Many Ass.'!$B49:G49)*'Many to Many Ass.'!$C65*'Control Page'!$G17*G$109</f>
        <v>0</v>
      </c>
      <c r="H69" s="492">
        <f>+SUM('Many to Many Ass.'!$B49:H49)*'Many to Many Ass.'!$C65*'Control Page'!$G17*H$109</f>
        <v>0</v>
      </c>
      <c r="I69" s="492">
        <f>+SUM('Many to Many Ass.'!$B49:I49)*'Many to Many Ass.'!$C65*'Control Page'!$G17*I$109</f>
        <v>0</v>
      </c>
      <c r="J69" s="492">
        <f>+SUM('Many to Many Ass.'!$B49:J49)*'Many to Many Ass.'!$C65*'Control Page'!$G17*J$109</f>
        <v>0</v>
      </c>
      <c r="K69" s="492">
        <f>+SUM('Many to Many Ass.'!$B49:K49)*'Many to Many Ass.'!$C65*'Control Page'!$G17*K$109</f>
        <v>0</v>
      </c>
      <c r="L69" s="493">
        <f>+SUM('Many to Many Ass.'!$B49:L49)*'Many to Many Ass.'!$C65*'Control Page'!$G17*L$109</f>
        <v>0</v>
      </c>
    </row>
    <row r="70" spans="1:12" ht="13.5" thickBot="1" x14ac:dyDescent="0.25">
      <c r="A70" s="52" t="s">
        <v>113</v>
      </c>
      <c r="B70" s="494">
        <f>+SUM('Many to Many Ass.'!$B50:B50)*'Many to Many Ass.'!$C66*'Control Page'!$G18*B$109</f>
        <v>0</v>
      </c>
      <c r="C70" s="495">
        <f>+SUM('Many to Many Ass.'!$B50:C50)*'Many to Many Ass.'!$C66*'Control Page'!$G18*C$109</f>
        <v>0</v>
      </c>
      <c r="D70" s="495">
        <f>+SUM('Many to Many Ass.'!$B50:D50)*'Many to Many Ass.'!$C66*'Control Page'!$G18*D$109</f>
        <v>0</v>
      </c>
      <c r="E70" s="495">
        <f>+SUM('Many to Many Ass.'!$B50:E50)*'Many to Many Ass.'!$C66*'Control Page'!$G18*E$109</f>
        <v>0</v>
      </c>
      <c r="F70" s="495">
        <f>+SUM('Many to Many Ass.'!$B50:F50)*'Many to Many Ass.'!$C66*'Control Page'!$G18*F$109</f>
        <v>0</v>
      </c>
      <c r="G70" s="495">
        <f>+SUM('Many to Many Ass.'!$B50:G50)*'Many to Many Ass.'!$C66*'Control Page'!$G18*G$109</f>
        <v>0</v>
      </c>
      <c r="H70" s="495">
        <f>+SUM('Many to Many Ass.'!$B50:H50)*'Many to Many Ass.'!$C66*'Control Page'!$G18*H$109</f>
        <v>0</v>
      </c>
      <c r="I70" s="495">
        <f>+SUM('Many to Many Ass.'!$B50:I50)*'Many to Many Ass.'!$C66*'Control Page'!$G18*I$109</f>
        <v>0</v>
      </c>
      <c r="J70" s="495">
        <f>+SUM('Many to Many Ass.'!$B50:J50)*'Many to Many Ass.'!$C66*'Control Page'!$G18*J$109</f>
        <v>0</v>
      </c>
      <c r="K70" s="495">
        <f>+SUM('Many to Many Ass.'!$B50:K50)*'Many to Many Ass.'!$C66*'Control Page'!$G18*K$109</f>
        <v>0</v>
      </c>
      <c r="L70" s="496">
        <f>+SUM('Many to Many Ass.'!$B50:L50)*'Many to Many Ass.'!$C66*'Control Page'!$G18*L$109</f>
        <v>0</v>
      </c>
    </row>
    <row r="71" spans="1:12" ht="13.5" thickBot="1" x14ac:dyDescent="0.25">
      <c r="A71" s="36" t="s">
        <v>462</v>
      </c>
      <c r="B71" s="497">
        <f>SUM(B59:B70)</f>
        <v>0</v>
      </c>
      <c r="C71" s="498">
        <f t="shared" ref="C71:L71" si="5">SUM(C59:C70)</f>
        <v>0</v>
      </c>
      <c r="D71" s="498">
        <f t="shared" si="5"/>
        <v>0</v>
      </c>
      <c r="E71" s="498">
        <f t="shared" si="5"/>
        <v>0</v>
      </c>
      <c r="F71" s="498">
        <f t="shared" si="5"/>
        <v>0</v>
      </c>
      <c r="G71" s="498">
        <f t="shared" si="5"/>
        <v>0</v>
      </c>
      <c r="H71" s="498">
        <f t="shared" si="5"/>
        <v>0</v>
      </c>
      <c r="I71" s="498">
        <f t="shared" si="5"/>
        <v>0</v>
      </c>
      <c r="J71" s="498">
        <f t="shared" si="5"/>
        <v>0</v>
      </c>
      <c r="K71" s="498">
        <f t="shared" si="5"/>
        <v>0</v>
      </c>
      <c r="L71" s="499">
        <f t="shared" si="5"/>
        <v>0</v>
      </c>
    </row>
    <row r="72" spans="1:12" x14ac:dyDescent="0.2">
      <c r="A72" s="8"/>
    </row>
    <row r="73" spans="1:12" x14ac:dyDescent="0.2">
      <c r="A73" s="8" t="s">
        <v>486</v>
      </c>
    </row>
    <row r="74" spans="1:12" ht="13.5" thickBot="1" x14ac:dyDescent="0.25"/>
    <row r="75" spans="1:12" ht="13.5" thickBot="1" x14ac:dyDescent="0.25">
      <c r="B75" s="440">
        <v>2001</v>
      </c>
      <c r="C75" s="441">
        <v>2002</v>
      </c>
      <c r="D75" s="441">
        <v>2003</v>
      </c>
      <c r="E75" s="441">
        <v>2004</v>
      </c>
      <c r="F75" s="441">
        <v>2005</v>
      </c>
      <c r="G75" s="441">
        <v>2006</v>
      </c>
      <c r="H75" s="441">
        <v>2007</v>
      </c>
      <c r="I75" s="441">
        <v>2008</v>
      </c>
      <c r="J75" s="441">
        <v>2009</v>
      </c>
      <c r="K75" s="441">
        <v>2010</v>
      </c>
      <c r="L75" s="442">
        <v>2011</v>
      </c>
    </row>
    <row r="76" spans="1:12" x14ac:dyDescent="0.2">
      <c r="A76" s="50" t="s">
        <v>64</v>
      </c>
      <c r="B76" s="488">
        <f>+'Total Market Size'!B121*'Many to Many Ass.'!$D55/'Many to Many Ass.'!$B$23*'Control Page'!$G7</f>
        <v>0</v>
      </c>
      <c r="C76" s="489">
        <f>+'Total Market Size'!C121*'Many to Many Ass.'!$D55/'Many to Many Ass.'!$B$23*'Control Page'!$G7</f>
        <v>0</v>
      </c>
      <c r="D76" s="489">
        <f>+'Total Market Size'!D121*'Many to Many Ass.'!$D55/'Many to Many Ass.'!$B$23*'Control Page'!$G7</f>
        <v>0</v>
      </c>
      <c r="E76" s="489">
        <f>+'Total Market Size'!E121*'Many to Many Ass.'!$D55/'Many to Many Ass.'!$B$23*'Control Page'!$G7</f>
        <v>0</v>
      </c>
      <c r="F76" s="489">
        <f>+'Total Market Size'!F121*'Many to Many Ass.'!$D55/'Many to Many Ass.'!$B$23*'Control Page'!$G7</f>
        <v>0</v>
      </c>
      <c r="G76" s="489">
        <f>+'Total Market Size'!G121*'Many to Many Ass.'!$D55/'Many to Many Ass.'!$B$23*'Control Page'!$G7</f>
        <v>0</v>
      </c>
      <c r="H76" s="489">
        <f>+'Total Market Size'!H121*'Many to Many Ass.'!$D55/'Many to Many Ass.'!$B$23*'Control Page'!$G7</f>
        <v>0</v>
      </c>
      <c r="I76" s="489">
        <f>+'Total Market Size'!I121*'Many to Many Ass.'!$D55/'Many to Many Ass.'!$B$23*'Control Page'!$G7</f>
        <v>0</v>
      </c>
      <c r="J76" s="489">
        <f>+'Total Market Size'!J121*'Many to Many Ass.'!$D55/'Many to Many Ass.'!$B$23*'Control Page'!$G7</f>
        <v>0</v>
      </c>
      <c r="K76" s="489">
        <f>+'Total Market Size'!K121*'Many to Many Ass.'!$D55/'Many to Many Ass.'!$B$23*'Control Page'!$G7</f>
        <v>0</v>
      </c>
      <c r="L76" s="490">
        <f>+'Total Market Size'!L121*'Many to Many Ass.'!$D55/'Many to Many Ass.'!$B$23*'Control Page'!$G7</f>
        <v>0</v>
      </c>
    </row>
    <row r="77" spans="1:12" x14ac:dyDescent="0.2">
      <c r="A77" s="51" t="s">
        <v>65</v>
      </c>
      <c r="B77" s="491">
        <f>+'Total Market Size'!B122*'Many to Many Ass.'!$D56/'Many to Many Ass.'!$B$23*'Control Page'!$G8</f>
        <v>0</v>
      </c>
      <c r="C77" s="492">
        <f>+'Total Market Size'!C122*'Many to Many Ass.'!$D56/'Many to Many Ass.'!$B$23*'Control Page'!$G8</f>
        <v>0</v>
      </c>
      <c r="D77" s="492">
        <f>+'Total Market Size'!D122*'Many to Many Ass.'!$D56/'Many to Many Ass.'!$B$23*'Control Page'!$G8</f>
        <v>0</v>
      </c>
      <c r="E77" s="492">
        <f>+'Total Market Size'!E122*'Many to Many Ass.'!$D56/'Many to Many Ass.'!$B$23*'Control Page'!$G8</f>
        <v>0</v>
      </c>
      <c r="F77" s="492">
        <f>+'Total Market Size'!F122*'Many to Many Ass.'!$D56/'Many to Many Ass.'!$B$23*'Control Page'!$G8</f>
        <v>0</v>
      </c>
      <c r="G77" s="492">
        <f>+'Total Market Size'!G122*'Many to Many Ass.'!$D56/'Many to Many Ass.'!$B$23*'Control Page'!$G8</f>
        <v>0</v>
      </c>
      <c r="H77" s="492">
        <f>+'Total Market Size'!H122*'Many to Many Ass.'!$D56/'Many to Many Ass.'!$B$23*'Control Page'!$G8</f>
        <v>0</v>
      </c>
      <c r="I77" s="492">
        <f>+'Total Market Size'!I122*'Many to Many Ass.'!$D56/'Many to Many Ass.'!$B$23*'Control Page'!$G8</f>
        <v>0</v>
      </c>
      <c r="J77" s="492">
        <f>+'Total Market Size'!J122*'Many to Many Ass.'!$D56/'Many to Many Ass.'!$B$23*'Control Page'!$G8</f>
        <v>0</v>
      </c>
      <c r="K77" s="492">
        <f>+'Total Market Size'!K122*'Many to Many Ass.'!$D56/'Many to Many Ass.'!$B$23*'Control Page'!$G8</f>
        <v>0</v>
      </c>
      <c r="L77" s="493">
        <f>+'Total Market Size'!L122*'Many to Many Ass.'!$D56/'Many to Many Ass.'!$B$23*'Control Page'!$G8</f>
        <v>0</v>
      </c>
    </row>
    <row r="78" spans="1:12" x14ac:dyDescent="0.2">
      <c r="A78" s="51" t="s">
        <v>66</v>
      </c>
      <c r="B78" s="491">
        <f>+'Total Market Size'!B123*'Many to Many Ass.'!$D57/'Many to Many Ass.'!$B$23*'Control Page'!$G9</f>
        <v>0</v>
      </c>
      <c r="C78" s="492">
        <f>+'Total Market Size'!C123*'Many to Many Ass.'!$D57/'Many to Many Ass.'!$B$23*'Control Page'!$G9</f>
        <v>0</v>
      </c>
      <c r="D78" s="492">
        <f>+'Total Market Size'!D123*'Many to Many Ass.'!$D57/'Many to Many Ass.'!$B$23*'Control Page'!$G9</f>
        <v>0</v>
      </c>
      <c r="E78" s="492">
        <f>+'Total Market Size'!E123*'Many to Many Ass.'!$D57/'Many to Many Ass.'!$B$23*'Control Page'!$G9</f>
        <v>0</v>
      </c>
      <c r="F78" s="492">
        <f>+'Total Market Size'!F123*'Many to Many Ass.'!$D57/'Many to Many Ass.'!$B$23*'Control Page'!$G9</f>
        <v>0</v>
      </c>
      <c r="G78" s="492">
        <f>+'Total Market Size'!G123*'Many to Many Ass.'!$D57/'Many to Many Ass.'!$B$23*'Control Page'!$G9</f>
        <v>0</v>
      </c>
      <c r="H78" s="492">
        <f>+'Total Market Size'!H123*'Many to Many Ass.'!$D57/'Many to Many Ass.'!$B$23*'Control Page'!$G9</f>
        <v>0</v>
      </c>
      <c r="I78" s="492">
        <f>+'Total Market Size'!I123*'Many to Many Ass.'!$D57/'Many to Many Ass.'!$B$23*'Control Page'!$G9</f>
        <v>0</v>
      </c>
      <c r="J78" s="492">
        <f>+'Total Market Size'!J123*'Many to Many Ass.'!$D57/'Many to Many Ass.'!$B$23*'Control Page'!$G9</f>
        <v>0</v>
      </c>
      <c r="K78" s="492">
        <f>+'Total Market Size'!K123*'Many to Many Ass.'!$D57/'Many to Many Ass.'!$B$23*'Control Page'!$G9</f>
        <v>0</v>
      </c>
      <c r="L78" s="493">
        <f>+'Total Market Size'!L123*'Many to Many Ass.'!$D57/'Many to Many Ass.'!$B$23*'Control Page'!$G9</f>
        <v>0</v>
      </c>
    </row>
    <row r="79" spans="1:12" x14ac:dyDescent="0.2">
      <c r="A79" s="51" t="s">
        <v>112</v>
      </c>
      <c r="B79" s="491">
        <f>+'Total Market Size'!B124*'Many to Many Ass.'!$D58/'Many to Many Ass.'!$B$23*'Control Page'!$G10</f>
        <v>0</v>
      </c>
      <c r="C79" s="492">
        <f>+'Total Market Size'!C124*'Many to Many Ass.'!$D58/'Many to Many Ass.'!$B$23*'Control Page'!$G10</f>
        <v>0</v>
      </c>
      <c r="D79" s="492">
        <f>+'Total Market Size'!D124*'Many to Many Ass.'!$D58/'Many to Many Ass.'!$B$23*'Control Page'!$G10</f>
        <v>0</v>
      </c>
      <c r="E79" s="492">
        <f>+'Total Market Size'!E124*'Many to Many Ass.'!$D58/'Many to Many Ass.'!$B$23*'Control Page'!$G10</f>
        <v>0</v>
      </c>
      <c r="F79" s="492">
        <f>+'Total Market Size'!F124*'Many to Many Ass.'!$D58/'Many to Many Ass.'!$B$23*'Control Page'!$G10</f>
        <v>0</v>
      </c>
      <c r="G79" s="492">
        <f>+'Total Market Size'!G124*'Many to Many Ass.'!$D58/'Many to Many Ass.'!$B$23*'Control Page'!$G10</f>
        <v>0</v>
      </c>
      <c r="H79" s="492">
        <f>+'Total Market Size'!H124*'Many to Many Ass.'!$D58/'Many to Many Ass.'!$B$23*'Control Page'!$G10</f>
        <v>0</v>
      </c>
      <c r="I79" s="492">
        <f>+'Total Market Size'!I124*'Many to Many Ass.'!$D58/'Many to Many Ass.'!$B$23*'Control Page'!$G10</f>
        <v>0</v>
      </c>
      <c r="J79" s="492">
        <f>+'Total Market Size'!J124*'Many to Many Ass.'!$D58/'Many to Many Ass.'!$B$23*'Control Page'!$G10</f>
        <v>0</v>
      </c>
      <c r="K79" s="492">
        <f>+'Total Market Size'!K124*'Many to Many Ass.'!$D58/'Many to Many Ass.'!$B$23*'Control Page'!$G10</f>
        <v>0</v>
      </c>
      <c r="L79" s="493">
        <f>+'Total Market Size'!L124*'Many to Many Ass.'!$D58/'Many to Many Ass.'!$B$23*'Control Page'!$G10</f>
        <v>0</v>
      </c>
    </row>
    <row r="80" spans="1:12" x14ac:dyDescent="0.2">
      <c r="A80" s="51" t="s">
        <v>67</v>
      </c>
      <c r="B80" s="491">
        <f>+'Total Market Size'!B125*'Many to Many Ass.'!$D59/'Many to Many Ass.'!$B$23*'Control Page'!$G11</f>
        <v>0</v>
      </c>
      <c r="C80" s="492">
        <f>+'Total Market Size'!C125*'Many to Many Ass.'!$D59/'Many to Many Ass.'!$B$23*'Control Page'!$G11</f>
        <v>0</v>
      </c>
      <c r="D80" s="492">
        <f>+'Total Market Size'!D125*'Many to Many Ass.'!$D59/'Many to Many Ass.'!$B$23*'Control Page'!$G11</f>
        <v>0</v>
      </c>
      <c r="E80" s="492">
        <f>+'Total Market Size'!E125*'Many to Many Ass.'!$D59/'Many to Many Ass.'!$B$23*'Control Page'!$G11</f>
        <v>0</v>
      </c>
      <c r="F80" s="492">
        <f>+'Total Market Size'!F125*'Many to Many Ass.'!$D59/'Many to Many Ass.'!$B$23*'Control Page'!$G11</f>
        <v>0</v>
      </c>
      <c r="G80" s="492">
        <f>+'Total Market Size'!G125*'Many to Many Ass.'!$D59/'Many to Many Ass.'!$B$23*'Control Page'!$G11</f>
        <v>0</v>
      </c>
      <c r="H80" s="492">
        <f>+'Total Market Size'!H125*'Many to Many Ass.'!$D59/'Many to Many Ass.'!$B$23*'Control Page'!$G11</f>
        <v>0</v>
      </c>
      <c r="I80" s="492">
        <f>+'Total Market Size'!I125*'Many to Many Ass.'!$D59/'Many to Many Ass.'!$B$23*'Control Page'!$G11</f>
        <v>0</v>
      </c>
      <c r="J80" s="492">
        <f>+'Total Market Size'!J125*'Many to Many Ass.'!$D59/'Many to Many Ass.'!$B$23*'Control Page'!$G11</f>
        <v>0</v>
      </c>
      <c r="K80" s="492">
        <f>+'Total Market Size'!K125*'Many to Many Ass.'!$D59/'Many to Many Ass.'!$B$23*'Control Page'!$G11</f>
        <v>0</v>
      </c>
      <c r="L80" s="493">
        <f>+'Total Market Size'!L125*'Many to Many Ass.'!$D59/'Many to Many Ass.'!$B$23*'Control Page'!$G11</f>
        <v>0</v>
      </c>
    </row>
    <row r="81" spans="1:18" x14ac:dyDescent="0.2">
      <c r="A81" s="51" t="s">
        <v>68</v>
      </c>
      <c r="B81" s="491">
        <f>+'Total Market Size'!B126*'Many to Many Ass.'!$D60/'Many to Many Ass.'!$B$23*'Control Page'!$G12</f>
        <v>0</v>
      </c>
      <c r="C81" s="492">
        <f>+'Total Market Size'!C126*'Many to Many Ass.'!$D60/'Many to Many Ass.'!$B$23*'Control Page'!$G12</f>
        <v>0</v>
      </c>
      <c r="D81" s="492">
        <f>+'Total Market Size'!D126*'Many to Many Ass.'!$D60/'Many to Many Ass.'!$B$23*'Control Page'!$G12</f>
        <v>0</v>
      </c>
      <c r="E81" s="492">
        <f>+'Total Market Size'!E126*'Many to Many Ass.'!$D60/'Many to Many Ass.'!$B$23*'Control Page'!$G12</f>
        <v>0</v>
      </c>
      <c r="F81" s="492">
        <f>+'Total Market Size'!F126*'Many to Many Ass.'!$D60/'Many to Many Ass.'!$B$23*'Control Page'!$G12</f>
        <v>0</v>
      </c>
      <c r="G81" s="492">
        <f>+'Total Market Size'!G126*'Many to Many Ass.'!$D60/'Many to Many Ass.'!$B$23*'Control Page'!$G12</f>
        <v>0</v>
      </c>
      <c r="H81" s="492">
        <f>+'Total Market Size'!H126*'Many to Many Ass.'!$D60/'Many to Many Ass.'!$B$23*'Control Page'!$G12</f>
        <v>0</v>
      </c>
      <c r="I81" s="492">
        <f>+'Total Market Size'!I126*'Many to Many Ass.'!$D60/'Many to Many Ass.'!$B$23*'Control Page'!$G12</f>
        <v>0</v>
      </c>
      <c r="J81" s="492">
        <f>+'Total Market Size'!J126*'Many to Many Ass.'!$D60/'Many to Many Ass.'!$B$23*'Control Page'!$G12</f>
        <v>0</v>
      </c>
      <c r="K81" s="492">
        <f>+'Total Market Size'!K126*'Many to Many Ass.'!$D60/'Many to Many Ass.'!$B$23*'Control Page'!$G12</f>
        <v>0</v>
      </c>
      <c r="L81" s="493">
        <f>+'Total Market Size'!L126*'Many to Many Ass.'!$D60/'Many to Many Ass.'!$B$23*'Control Page'!$G12</f>
        <v>0</v>
      </c>
    </row>
    <row r="82" spans="1:18" x14ac:dyDescent="0.2">
      <c r="A82" s="51" t="s">
        <v>69</v>
      </c>
      <c r="B82" s="491">
        <f>+'Total Market Size'!B127*'Many to Many Ass.'!$D61/'Many to Many Ass.'!$B$23*'Control Page'!$G13</f>
        <v>0</v>
      </c>
      <c r="C82" s="492">
        <f>+'Total Market Size'!C127*'Many to Many Ass.'!$D61/'Many to Many Ass.'!$B$23*'Control Page'!$G13</f>
        <v>0</v>
      </c>
      <c r="D82" s="492">
        <f>+'Total Market Size'!D127*'Many to Many Ass.'!$D61/'Many to Many Ass.'!$B$23*'Control Page'!$G13</f>
        <v>0</v>
      </c>
      <c r="E82" s="492">
        <f>+'Total Market Size'!E127*'Many to Many Ass.'!$D61/'Many to Many Ass.'!$B$23*'Control Page'!$G13</f>
        <v>0</v>
      </c>
      <c r="F82" s="492">
        <f>+'Total Market Size'!F127*'Many to Many Ass.'!$D61/'Many to Many Ass.'!$B$23*'Control Page'!$G13</f>
        <v>0</v>
      </c>
      <c r="G82" s="492">
        <f>+'Total Market Size'!G127*'Many to Many Ass.'!$D61/'Many to Many Ass.'!$B$23*'Control Page'!$G13</f>
        <v>0</v>
      </c>
      <c r="H82" s="492">
        <f>+'Total Market Size'!H127*'Many to Many Ass.'!$D61/'Many to Many Ass.'!$B$23*'Control Page'!$G13</f>
        <v>0</v>
      </c>
      <c r="I82" s="492">
        <f>+'Total Market Size'!I127*'Many to Many Ass.'!$D61/'Many to Many Ass.'!$B$23*'Control Page'!$G13</f>
        <v>0</v>
      </c>
      <c r="J82" s="492">
        <f>+'Total Market Size'!J127*'Many to Many Ass.'!$D61/'Many to Many Ass.'!$B$23*'Control Page'!$G13</f>
        <v>0</v>
      </c>
      <c r="K82" s="492">
        <f>+'Total Market Size'!K127*'Many to Many Ass.'!$D61/'Many to Many Ass.'!$B$23*'Control Page'!$G13</f>
        <v>0</v>
      </c>
      <c r="L82" s="493">
        <f>+'Total Market Size'!L127*'Many to Many Ass.'!$D61/'Many to Many Ass.'!$B$23*'Control Page'!$G13</f>
        <v>0</v>
      </c>
    </row>
    <row r="83" spans="1:18" x14ac:dyDescent="0.2">
      <c r="A83" s="51" t="s">
        <v>70</v>
      </c>
      <c r="B83" s="491">
        <f>+'Total Market Size'!B128*'Many to Many Ass.'!$D62/'Many to Many Ass.'!$B$23*'Control Page'!$G14</f>
        <v>0</v>
      </c>
      <c r="C83" s="492">
        <f>+'Total Market Size'!C128*'Many to Many Ass.'!$D62/'Many to Many Ass.'!$B$23*'Control Page'!$G14</f>
        <v>0</v>
      </c>
      <c r="D83" s="492">
        <f>+'Total Market Size'!D128*'Many to Many Ass.'!$D62/'Many to Many Ass.'!$B$23*'Control Page'!$G14</f>
        <v>0</v>
      </c>
      <c r="E83" s="492">
        <f>+'Total Market Size'!E128*'Many to Many Ass.'!$D62/'Many to Many Ass.'!$B$23*'Control Page'!$G14</f>
        <v>0</v>
      </c>
      <c r="F83" s="492">
        <f>+'Total Market Size'!F128*'Many to Many Ass.'!$D62/'Many to Many Ass.'!$B$23*'Control Page'!$G14</f>
        <v>0</v>
      </c>
      <c r="G83" s="492">
        <f>+'Total Market Size'!G128*'Many to Many Ass.'!$D62/'Many to Many Ass.'!$B$23*'Control Page'!$G14</f>
        <v>0</v>
      </c>
      <c r="H83" s="492">
        <f>+'Total Market Size'!H128*'Many to Many Ass.'!$D62/'Many to Many Ass.'!$B$23*'Control Page'!$G14</f>
        <v>0</v>
      </c>
      <c r="I83" s="492">
        <f>+'Total Market Size'!I128*'Many to Many Ass.'!$D62/'Many to Many Ass.'!$B$23*'Control Page'!$G14</f>
        <v>0</v>
      </c>
      <c r="J83" s="492">
        <f>+'Total Market Size'!J128*'Many to Many Ass.'!$D62/'Many to Many Ass.'!$B$23*'Control Page'!$G14</f>
        <v>0</v>
      </c>
      <c r="K83" s="492">
        <f>+'Total Market Size'!K128*'Many to Many Ass.'!$D62/'Many to Many Ass.'!$B$23*'Control Page'!$G14</f>
        <v>0</v>
      </c>
      <c r="L83" s="493">
        <f>+'Total Market Size'!L128*'Many to Many Ass.'!$D62/'Many to Many Ass.'!$B$23*'Control Page'!$G14</f>
        <v>0</v>
      </c>
    </row>
    <row r="84" spans="1:18" x14ac:dyDescent="0.2">
      <c r="A84" s="51" t="s">
        <v>71</v>
      </c>
      <c r="B84" s="491">
        <f>+'Total Market Size'!B129*'Many to Many Ass.'!$D63/'Many to Many Ass.'!$B$23*'Control Page'!$G15</f>
        <v>0</v>
      </c>
      <c r="C84" s="492">
        <f>+'Total Market Size'!C129*'Many to Many Ass.'!$D63/'Many to Many Ass.'!$B$23*'Control Page'!$G15</f>
        <v>0</v>
      </c>
      <c r="D84" s="492">
        <f>+'Total Market Size'!D129*'Many to Many Ass.'!$D63/'Many to Many Ass.'!$B$23*'Control Page'!$G15</f>
        <v>0</v>
      </c>
      <c r="E84" s="492">
        <f>+'Total Market Size'!E129*'Many to Many Ass.'!$D63/'Many to Many Ass.'!$B$23*'Control Page'!$G15</f>
        <v>0</v>
      </c>
      <c r="F84" s="492">
        <f>+'Total Market Size'!F129*'Many to Many Ass.'!$D63/'Many to Many Ass.'!$B$23*'Control Page'!$G15</f>
        <v>0</v>
      </c>
      <c r="G84" s="492">
        <f>+'Total Market Size'!G129*'Many to Many Ass.'!$D63/'Many to Many Ass.'!$B$23*'Control Page'!$G15</f>
        <v>0</v>
      </c>
      <c r="H84" s="492">
        <f>+'Total Market Size'!H129*'Many to Many Ass.'!$D63/'Many to Many Ass.'!$B$23*'Control Page'!$G15</f>
        <v>0</v>
      </c>
      <c r="I84" s="492">
        <f>+'Total Market Size'!I129*'Many to Many Ass.'!$D63/'Many to Many Ass.'!$B$23*'Control Page'!$G15</f>
        <v>0</v>
      </c>
      <c r="J84" s="492">
        <f>+'Total Market Size'!J129*'Many to Many Ass.'!$D63/'Many to Many Ass.'!$B$23*'Control Page'!$G15</f>
        <v>0</v>
      </c>
      <c r="K84" s="492">
        <f>+'Total Market Size'!K129*'Many to Many Ass.'!$D63/'Many to Many Ass.'!$B$23*'Control Page'!$G15</f>
        <v>0</v>
      </c>
      <c r="L84" s="493">
        <f>+'Total Market Size'!L129*'Many to Many Ass.'!$D63/'Many to Many Ass.'!$B$23*'Control Page'!$G15</f>
        <v>0</v>
      </c>
      <c r="R84" s="8"/>
    </row>
    <row r="85" spans="1:18" x14ac:dyDescent="0.2">
      <c r="A85" s="71" t="s">
        <v>119</v>
      </c>
      <c r="B85" s="491">
        <f>+'Total Market Size'!B130*'Many to Many Ass.'!$D64/'Many to Many Ass.'!$B$23*'Control Page'!$G16</f>
        <v>0</v>
      </c>
      <c r="C85" s="492">
        <f>+'Total Market Size'!C130*'Many to Many Ass.'!$D64/'Many to Many Ass.'!$B$23*'Control Page'!$G16</f>
        <v>0</v>
      </c>
      <c r="D85" s="492">
        <f>+'Total Market Size'!D130*'Many to Many Ass.'!$D64/'Many to Many Ass.'!$B$23*'Control Page'!$G16</f>
        <v>0</v>
      </c>
      <c r="E85" s="492">
        <f>+'Total Market Size'!E130*'Many to Many Ass.'!$D64/'Many to Many Ass.'!$B$23*'Control Page'!$G16</f>
        <v>0</v>
      </c>
      <c r="F85" s="492">
        <f>+'Total Market Size'!F130*'Many to Many Ass.'!$D64/'Many to Many Ass.'!$B$23*'Control Page'!$G16</f>
        <v>0</v>
      </c>
      <c r="G85" s="492">
        <f>+'Total Market Size'!G130*'Many to Many Ass.'!$D64/'Many to Many Ass.'!$B$23*'Control Page'!$G16</f>
        <v>0</v>
      </c>
      <c r="H85" s="492">
        <f>+'Total Market Size'!H130*'Many to Many Ass.'!$D64/'Many to Many Ass.'!$B$23*'Control Page'!$G16</f>
        <v>0</v>
      </c>
      <c r="I85" s="492">
        <f>+'Total Market Size'!I130*'Many to Many Ass.'!$D64/'Many to Many Ass.'!$B$23*'Control Page'!$G16</f>
        <v>0</v>
      </c>
      <c r="J85" s="492">
        <f>+'Total Market Size'!J130*'Many to Many Ass.'!$D64/'Many to Many Ass.'!$B$23*'Control Page'!$G16</f>
        <v>0</v>
      </c>
      <c r="K85" s="492">
        <f>+'Total Market Size'!K130*'Many to Many Ass.'!$D64/'Many to Many Ass.'!$B$23*'Control Page'!$G16</f>
        <v>0</v>
      </c>
      <c r="L85" s="493">
        <f>+'Total Market Size'!L130*'Many to Many Ass.'!$D64/'Many to Many Ass.'!$B$23*'Control Page'!$G16</f>
        <v>0</v>
      </c>
      <c r="R85" s="8"/>
    </row>
    <row r="86" spans="1:18" x14ac:dyDescent="0.2">
      <c r="A86" s="71" t="s">
        <v>120</v>
      </c>
      <c r="B86" s="491">
        <f>+'Total Market Size'!B131*'Many to Many Ass.'!$D65/'Many to Many Ass.'!$B$23*'Control Page'!$G17</f>
        <v>0</v>
      </c>
      <c r="C86" s="492">
        <f>+'Total Market Size'!C131*'Many to Many Ass.'!$D65/'Many to Many Ass.'!$B$23*'Control Page'!$G17</f>
        <v>0</v>
      </c>
      <c r="D86" s="492">
        <f>+'Total Market Size'!D131*'Many to Many Ass.'!$D65/'Many to Many Ass.'!$B$23*'Control Page'!$G17</f>
        <v>0</v>
      </c>
      <c r="E86" s="492">
        <f>+'Total Market Size'!E131*'Many to Many Ass.'!$D65/'Many to Many Ass.'!$B$23*'Control Page'!$G17</f>
        <v>0</v>
      </c>
      <c r="F86" s="492">
        <f>+'Total Market Size'!F131*'Many to Many Ass.'!$D65/'Many to Many Ass.'!$B$23*'Control Page'!$G17</f>
        <v>0</v>
      </c>
      <c r="G86" s="492">
        <f>+'Total Market Size'!G131*'Many to Many Ass.'!$D65/'Many to Many Ass.'!$B$23*'Control Page'!$G17</f>
        <v>0</v>
      </c>
      <c r="H86" s="492">
        <f>+'Total Market Size'!H131*'Many to Many Ass.'!$D65/'Many to Many Ass.'!$B$23*'Control Page'!$G17</f>
        <v>0</v>
      </c>
      <c r="I86" s="492">
        <f>+'Total Market Size'!I131*'Many to Many Ass.'!$D65/'Many to Many Ass.'!$B$23*'Control Page'!$G17</f>
        <v>0</v>
      </c>
      <c r="J86" s="492">
        <f>+'Total Market Size'!J131*'Many to Many Ass.'!$D65/'Many to Many Ass.'!$B$23*'Control Page'!$G17</f>
        <v>0</v>
      </c>
      <c r="K86" s="492">
        <f>+'Total Market Size'!K131*'Many to Many Ass.'!$D65/'Many to Many Ass.'!$B$23*'Control Page'!$G17</f>
        <v>0</v>
      </c>
      <c r="L86" s="493">
        <f>+'Total Market Size'!L131*'Many to Many Ass.'!$D65/'Many to Many Ass.'!$B$23*'Control Page'!$G17</f>
        <v>0</v>
      </c>
    </row>
    <row r="87" spans="1:18" ht="13.5" thickBot="1" x14ac:dyDescent="0.25">
      <c r="A87" s="52" t="s">
        <v>113</v>
      </c>
      <c r="B87" s="494">
        <f>+'Total Market Size'!B132*'Many to Many Ass.'!$D66/'Many to Many Ass.'!$B$23*'Control Page'!$G18</f>
        <v>0</v>
      </c>
      <c r="C87" s="495">
        <f>+'Total Market Size'!C132*'Many to Many Ass.'!$D66/'Many to Many Ass.'!$B$23*'Control Page'!$G18</f>
        <v>0</v>
      </c>
      <c r="D87" s="495">
        <f>+'Total Market Size'!D132*'Many to Many Ass.'!$D66/'Many to Many Ass.'!$B$23*'Control Page'!$G18</f>
        <v>0</v>
      </c>
      <c r="E87" s="495">
        <f>+'Total Market Size'!E132*'Many to Many Ass.'!$D66/'Many to Many Ass.'!$B$23*'Control Page'!$G18</f>
        <v>0</v>
      </c>
      <c r="F87" s="495">
        <f>+'Total Market Size'!F132*'Many to Many Ass.'!$D66/'Many to Many Ass.'!$B$23*'Control Page'!$G18</f>
        <v>0</v>
      </c>
      <c r="G87" s="495">
        <f>+'Total Market Size'!G132*'Many to Many Ass.'!$D66/'Many to Many Ass.'!$B$23*'Control Page'!$G18</f>
        <v>0</v>
      </c>
      <c r="H87" s="495">
        <f>+'Total Market Size'!H132*'Many to Many Ass.'!$D66/'Many to Many Ass.'!$B$23*'Control Page'!$G18</f>
        <v>0</v>
      </c>
      <c r="I87" s="495">
        <f>+'Total Market Size'!I132*'Many to Many Ass.'!$D66/'Many to Many Ass.'!$B$23*'Control Page'!$G18</f>
        <v>0</v>
      </c>
      <c r="J87" s="495">
        <f>+'Total Market Size'!J132*'Many to Many Ass.'!$D66/'Many to Many Ass.'!$B$23*'Control Page'!$G18</f>
        <v>0</v>
      </c>
      <c r="K87" s="495">
        <f>+'Total Market Size'!K132*'Many to Many Ass.'!$D66/'Many to Many Ass.'!$B$23*'Control Page'!$G18</f>
        <v>0</v>
      </c>
      <c r="L87" s="496">
        <f>+'Total Market Size'!L132*'Many to Many Ass.'!$D66/'Many to Many Ass.'!$B$23*'Control Page'!$G18</f>
        <v>0</v>
      </c>
    </row>
    <row r="88" spans="1:18" ht="13.5" thickBot="1" x14ac:dyDescent="0.25">
      <c r="A88" s="36" t="s">
        <v>462</v>
      </c>
      <c r="B88" s="497">
        <f>SUM(B76:B87)</f>
        <v>0</v>
      </c>
      <c r="C88" s="498">
        <f t="shared" ref="C88:L88" si="6">SUM(C76:C87)</f>
        <v>0</v>
      </c>
      <c r="D88" s="498">
        <f t="shared" si="6"/>
        <v>0</v>
      </c>
      <c r="E88" s="498">
        <f t="shared" si="6"/>
        <v>0</v>
      </c>
      <c r="F88" s="498">
        <f t="shared" si="6"/>
        <v>0</v>
      </c>
      <c r="G88" s="498">
        <f t="shared" si="6"/>
        <v>0</v>
      </c>
      <c r="H88" s="498">
        <f t="shared" si="6"/>
        <v>0</v>
      </c>
      <c r="I88" s="498">
        <f t="shared" si="6"/>
        <v>0</v>
      </c>
      <c r="J88" s="498">
        <f t="shared" si="6"/>
        <v>0</v>
      </c>
      <c r="K88" s="498">
        <f t="shared" si="6"/>
        <v>0</v>
      </c>
      <c r="L88" s="499">
        <f t="shared" si="6"/>
        <v>0</v>
      </c>
    </row>
    <row r="90" spans="1:18" x14ac:dyDescent="0.2">
      <c r="A90" s="8" t="s">
        <v>487</v>
      </c>
    </row>
    <row r="91" spans="1:18" ht="13.5" thickBot="1" x14ac:dyDescent="0.25"/>
    <row r="92" spans="1:18" ht="13.5" thickBot="1" x14ac:dyDescent="0.25">
      <c r="B92" s="440">
        <v>2001</v>
      </c>
      <c r="C92" s="441">
        <v>2002</v>
      </c>
      <c r="D92" s="441">
        <v>2003</v>
      </c>
      <c r="E92" s="441">
        <v>2004</v>
      </c>
      <c r="F92" s="441">
        <v>2005</v>
      </c>
      <c r="G92" s="441">
        <v>2006</v>
      </c>
      <c r="H92" s="441">
        <v>2007</v>
      </c>
      <c r="I92" s="441">
        <v>2008</v>
      </c>
      <c r="J92" s="441">
        <v>2009</v>
      </c>
      <c r="K92" s="441">
        <v>2010</v>
      </c>
      <c r="L92" s="442">
        <v>2011</v>
      </c>
    </row>
    <row r="93" spans="1:18" x14ac:dyDescent="0.2">
      <c r="A93" s="50" t="s">
        <v>64</v>
      </c>
      <c r="B93" s="488">
        <f>+'Total Market Size'!B121*'Many to Many Ass.'!$E55*'Control Page'!$G7*1000</f>
        <v>0</v>
      </c>
      <c r="C93" s="489">
        <f>+'Total Market Size'!C121*'Many to Many Ass.'!$E55*'Control Page'!$G7*1000</f>
        <v>0</v>
      </c>
      <c r="D93" s="489">
        <f>+'Total Market Size'!D121*'Many to Many Ass.'!$E55*'Control Page'!$G7*1000</f>
        <v>0</v>
      </c>
      <c r="E93" s="489">
        <f>+'Total Market Size'!E121*'Many to Many Ass.'!$E55*'Control Page'!$G7*1000</f>
        <v>0</v>
      </c>
      <c r="F93" s="489">
        <f>+'Total Market Size'!F121*'Many to Many Ass.'!$E55*'Control Page'!$G7*1000</f>
        <v>0</v>
      </c>
      <c r="G93" s="489">
        <f>+'Total Market Size'!G121*'Many to Many Ass.'!$E55*'Control Page'!$G7*1000</f>
        <v>0</v>
      </c>
      <c r="H93" s="489">
        <f>+'Total Market Size'!H121*'Many to Many Ass.'!$E55*'Control Page'!$G7*1000</f>
        <v>0</v>
      </c>
      <c r="I93" s="489">
        <f>+'Total Market Size'!I121*'Many to Many Ass.'!$E55*'Control Page'!$G7*1000</f>
        <v>0</v>
      </c>
      <c r="J93" s="489">
        <f>+'Total Market Size'!J121*'Many to Many Ass.'!$E55*'Control Page'!$G7*1000</f>
        <v>0</v>
      </c>
      <c r="K93" s="489">
        <f>+'Total Market Size'!K121*'Many to Many Ass.'!$E55*'Control Page'!$G7*1000</f>
        <v>0</v>
      </c>
      <c r="L93" s="490">
        <f>+'Total Market Size'!L121*'Many to Many Ass.'!$E55*'Control Page'!$G7*1000</f>
        <v>0</v>
      </c>
    </row>
    <row r="94" spans="1:18" x14ac:dyDescent="0.2">
      <c r="A94" s="51" t="s">
        <v>65</v>
      </c>
      <c r="B94" s="491">
        <f>+'Total Market Size'!B122*'Many to Many Ass.'!$E56*'Control Page'!$G8*1000</f>
        <v>0</v>
      </c>
      <c r="C94" s="492">
        <f>+'Total Market Size'!C122*'Many to Many Ass.'!$E56*'Control Page'!$G8*1000</f>
        <v>0</v>
      </c>
      <c r="D94" s="492">
        <f>+'Total Market Size'!D122*'Many to Many Ass.'!$E56*'Control Page'!$G8*1000</f>
        <v>0</v>
      </c>
      <c r="E94" s="492">
        <f>+'Total Market Size'!E122*'Many to Many Ass.'!$E56*'Control Page'!$G8*1000</f>
        <v>0</v>
      </c>
      <c r="F94" s="492">
        <f>+'Total Market Size'!F122*'Many to Many Ass.'!$E56*'Control Page'!$G8*1000</f>
        <v>0</v>
      </c>
      <c r="G94" s="492">
        <f>+'Total Market Size'!G122*'Many to Many Ass.'!$E56*'Control Page'!$G8*1000</f>
        <v>0</v>
      </c>
      <c r="H94" s="492">
        <f>+'Total Market Size'!H122*'Many to Many Ass.'!$E56*'Control Page'!$G8*1000</f>
        <v>0</v>
      </c>
      <c r="I94" s="492">
        <f>+'Total Market Size'!I122*'Many to Many Ass.'!$E56*'Control Page'!$G8*1000</f>
        <v>0</v>
      </c>
      <c r="J94" s="492">
        <f>+'Total Market Size'!J122*'Many to Many Ass.'!$E56*'Control Page'!$G8*1000</f>
        <v>0</v>
      </c>
      <c r="K94" s="492">
        <f>+'Total Market Size'!K122*'Many to Many Ass.'!$E56*'Control Page'!$G8*1000</f>
        <v>0</v>
      </c>
      <c r="L94" s="493">
        <f>+'Total Market Size'!L122*'Many to Many Ass.'!$E56*'Control Page'!$G8*1000</f>
        <v>0</v>
      </c>
    </row>
    <row r="95" spans="1:18" x14ac:dyDescent="0.2">
      <c r="A95" s="51" t="s">
        <v>66</v>
      </c>
      <c r="B95" s="491">
        <f>+'Total Market Size'!B123*'Many to Many Ass.'!$E57*'Control Page'!$G9*1000</f>
        <v>0</v>
      </c>
      <c r="C95" s="492">
        <f>+'Total Market Size'!C123*'Many to Many Ass.'!$E57*'Control Page'!$G9*1000</f>
        <v>0</v>
      </c>
      <c r="D95" s="492">
        <f>+'Total Market Size'!D123*'Many to Many Ass.'!$E57*'Control Page'!$G9*1000</f>
        <v>0</v>
      </c>
      <c r="E95" s="492">
        <f>+'Total Market Size'!E123*'Many to Many Ass.'!$E57*'Control Page'!$G9*1000</f>
        <v>0</v>
      </c>
      <c r="F95" s="492">
        <f>+'Total Market Size'!F123*'Many to Many Ass.'!$E57*'Control Page'!$G9*1000</f>
        <v>0</v>
      </c>
      <c r="G95" s="492">
        <f>+'Total Market Size'!G123*'Many to Many Ass.'!$E57*'Control Page'!$G9*1000</f>
        <v>0</v>
      </c>
      <c r="H95" s="492">
        <f>+'Total Market Size'!H123*'Many to Many Ass.'!$E57*'Control Page'!$G9*1000</f>
        <v>0</v>
      </c>
      <c r="I95" s="492">
        <f>+'Total Market Size'!I123*'Many to Many Ass.'!$E57*'Control Page'!$G9*1000</f>
        <v>0</v>
      </c>
      <c r="J95" s="492">
        <f>+'Total Market Size'!J123*'Many to Many Ass.'!$E57*'Control Page'!$G9*1000</f>
        <v>0</v>
      </c>
      <c r="K95" s="492">
        <f>+'Total Market Size'!K123*'Many to Many Ass.'!$E57*'Control Page'!$G9*1000</f>
        <v>0</v>
      </c>
      <c r="L95" s="493">
        <f>+'Total Market Size'!L123*'Many to Many Ass.'!$E57*'Control Page'!$G9*1000</f>
        <v>0</v>
      </c>
    </row>
    <row r="96" spans="1:18" x14ac:dyDescent="0.2">
      <c r="A96" s="51" t="s">
        <v>112</v>
      </c>
      <c r="B96" s="491">
        <f>+'Total Market Size'!B124*'Many to Many Ass.'!$E58*'Control Page'!$G10*1000</f>
        <v>0</v>
      </c>
      <c r="C96" s="492">
        <f>+'Total Market Size'!C124*'Many to Many Ass.'!$E58*'Control Page'!$G10*1000</f>
        <v>0</v>
      </c>
      <c r="D96" s="492">
        <f>+'Total Market Size'!D124*'Many to Many Ass.'!$E58*'Control Page'!$G10*1000</f>
        <v>0</v>
      </c>
      <c r="E96" s="492">
        <f>+'Total Market Size'!E124*'Many to Many Ass.'!$E58*'Control Page'!$G10*1000</f>
        <v>0</v>
      </c>
      <c r="F96" s="492">
        <f>+'Total Market Size'!F124*'Many to Many Ass.'!$E58*'Control Page'!$G10*1000</f>
        <v>0</v>
      </c>
      <c r="G96" s="492">
        <f>+'Total Market Size'!G124*'Many to Many Ass.'!$E58*'Control Page'!$G10*1000</f>
        <v>0</v>
      </c>
      <c r="H96" s="492">
        <f>+'Total Market Size'!H124*'Many to Many Ass.'!$E58*'Control Page'!$G10*1000</f>
        <v>0</v>
      </c>
      <c r="I96" s="492">
        <f>+'Total Market Size'!I124*'Many to Many Ass.'!$E58*'Control Page'!$G10*1000</f>
        <v>0</v>
      </c>
      <c r="J96" s="492">
        <f>+'Total Market Size'!J124*'Many to Many Ass.'!$E58*'Control Page'!$G10*1000</f>
        <v>0</v>
      </c>
      <c r="K96" s="492">
        <f>+'Total Market Size'!K124*'Many to Many Ass.'!$E58*'Control Page'!$G10*1000</f>
        <v>0</v>
      </c>
      <c r="L96" s="493">
        <f>+'Total Market Size'!L124*'Many to Many Ass.'!$E58*'Control Page'!$G10*1000</f>
        <v>0</v>
      </c>
    </row>
    <row r="97" spans="1:12" x14ac:dyDescent="0.2">
      <c r="A97" s="51" t="s">
        <v>67</v>
      </c>
      <c r="B97" s="491">
        <f>+'Total Market Size'!B125*'Many to Many Ass.'!$E59*'Control Page'!$G11*1000</f>
        <v>0</v>
      </c>
      <c r="C97" s="492">
        <f>+'Total Market Size'!C125*'Many to Many Ass.'!$E59*'Control Page'!$G11*1000</f>
        <v>0</v>
      </c>
      <c r="D97" s="492">
        <f>+'Total Market Size'!D125*'Many to Many Ass.'!$E59*'Control Page'!$G11*1000</f>
        <v>0</v>
      </c>
      <c r="E97" s="492">
        <f>+'Total Market Size'!E125*'Many to Many Ass.'!$E59*'Control Page'!$G11*1000</f>
        <v>0</v>
      </c>
      <c r="F97" s="492">
        <f>+'Total Market Size'!F125*'Many to Many Ass.'!$E59*'Control Page'!$G11*1000</f>
        <v>0</v>
      </c>
      <c r="G97" s="492">
        <f>+'Total Market Size'!G125*'Many to Many Ass.'!$E59*'Control Page'!$G11*1000</f>
        <v>0</v>
      </c>
      <c r="H97" s="492">
        <f>+'Total Market Size'!H125*'Many to Many Ass.'!$E59*'Control Page'!$G11*1000</f>
        <v>0</v>
      </c>
      <c r="I97" s="492">
        <f>+'Total Market Size'!I125*'Many to Many Ass.'!$E59*'Control Page'!$G11*1000</f>
        <v>0</v>
      </c>
      <c r="J97" s="492">
        <f>+'Total Market Size'!J125*'Many to Many Ass.'!$E59*'Control Page'!$G11*1000</f>
        <v>0</v>
      </c>
      <c r="K97" s="492">
        <f>+'Total Market Size'!K125*'Many to Many Ass.'!$E59*'Control Page'!$G11*1000</f>
        <v>0</v>
      </c>
      <c r="L97" s="493">
        <f>+'Total Market Size'!L125*'Many to Many Ass.'!$E59*'Control Page'!$G11*1000</f>
        <v>0</v>
      </c>
    </row>
    <row r="98" spans="1:12" x14ac:dyDescent="0.2">
      <c r="A98" s="51" t="s">
        <v>68</v>
      </c>
      <c r="B98" s="491">
        <f>+'Total Market Size'!B126*'Many to Many Ass.'!$E60*'Control Page'!$G12*1000</f>
        <v>0</v>
      </c>
      <c r="C98" s="492">
        <f>+'Total Market Size'!C126*'Many to Many Ass.'!$E60*'Control Page'!$G12*1000</f>
        <v>0</v>
      </c>
      <c r="D98" s="492">
        <f>+'Total Market Size'!D126*'Many to Many Ass.'!$E60*'Control Page'!$G12*1000</f>
        <v>0</v>
      </c>
      <c r="E98" s="492">
        <f>+'Total Market Size'!E126*'Many to Many Ass.'!$E60*'Control Page'!$G12*1000</f>
        <v>0</v>
      </c>
      <c r="F98" s="492">
        <f>+'Total Market Size'!F126*'Many to Many Ass.'!$E60*'Control Page'!$G12*1000</f>
        <v>0</v>
      </c>
      <c r="G98" s="492">
        <f>+'Total Market Size'!G126*'Many to Many Ass.'!$E60*'Control Page'!$G12*1000</f>
        <v>0</v>
      </c>
      <c r="H98" s="492">
        <f>+'Total Market Size'!H126*'Many to Many Ass.'!$E60*'Control Page'!$G12*1000</f>
        <v>0</v>
      </c>
      <c r="I98" s="492">
        <f>+'Total Market Size'!I126*'Many to Many Ass.'!$E60*'Control Page'!$G12*1000</f>
        <v>0</v>
      </c>
      <c r="J98" s="492">
        <f>+'Total Market Size'!J126*'Many to Many Ass.'!$E60*'Control Page'!$G12*1000</f>
        <v>0</v>
      </c>
      <c r="K98" s="492">
        <f>+'Total Market Size'!K126*'Many to Many Ass.'!$E60*'Control Page'!$G12*1000</f>
        <v>0</v>
      </c>
      <c r="L98" s="493">
        <f>+'Total Market Size'!L126*'Many to Many Ass.'!$E60*'Control Page'!$G12*1000</f>
        <v>0</v>
      </c>
    </row>
    <row r="99" spans="1:12" x14ac:dyDescent="0.2">
      <c r="A99" s="51" t="s">
        <v>69</v>
      </c>
      <c r="B99" s="491">
        <f>+'Total Market Size'!B127*'Many to Many Ass.'!$E61*'Control Page'!$G13*1000</f>
        <v>0</v>
      </c>
      <c r="C99" s="492">
        <f>+'Total Market Size'!C127*'Many to Many Ass.'!$E61*'Control Page'!$G13*1000</f>
        <v>0</v>
      </c>
      <c r="D99" s="492">
        <f>+'Total Market Size'!D127*'Many to Many Ass.'!$E61*'Control Page'!$G13*1000</f>
        <v>0</v>
      </c>
      <c r="E99" s="492">
        <f>+'Total Market Size'!E127*'Many to Many Ass.'!$E61*'Control Page'!$G13*1000</f>
        <v>0</v>
      </c>
      <c r="F99" s="492">
        <f>+'Total Market Size'!F127*'Many to Many Ass.'!$E61*'Control Page'!$G13*1000</f>
        <v>0</v>
      </c>
      <c r="G99" s="492">
        <f>+'Total Market Size'!G127*'Many to Many Ass.'!$E61*'Control Page'!$G13*1000</f>
        <v>0</v>
      </c>
      <c r="H99" s="492">
        <f>+'Total Market Size'!H127*'Many to Many Ass.'!$E61*'Control Page'!$G13*1000</f>
        <v>0</v>
      </c>
      <c r="I99" s="492">
        <f>+'Total Market Size'!I127*'Many to Many Ass.'!$E61*'Control Page'!$G13*1000</f>
        <v>0</v>
      </c>
      <c r="J99" s="492">
        <f>+'Total Market Size'!J127*'Many to Many Ass.'!$E61*'Control Page'!$G13*1000</f>
        <v>0</v>
      </c>
      <c r="K99" s="492">
        <f>+'Total Market Size'!K127*'Many to Many Ass.'!$E61*'Control Page'!$G13*1000</f>
        <v>0</v>
      </c>
      <c r="L99" s="493">
        <f>+'Total Market Size'!L127*'Many to Many Ass.'!$E61*'Control Page'!$G13*1000</f>
        <v>0</v>
      </c>
    </row>
    <row r="100" spans="1:12" x14ac:dyDescent="0.2">
      <c r="A100" s="51" t="s">
        <v>70</v>
      </c>
      <c r="B100" s="491">
        <f>+'Total Market Size'!B128*'Many to Many Ass.'!$E62*'Control Page'!$G14*1000</f>
        <v>0</v>
      </c>
      <c r="C100" s="492">
        <f>+'Total Market Size'!C128*'Many to Many Ass.'!$E62*'Control Page'!$G14*1000</f>
        <v>0</v>
      </c>
      <c r="D100" s="492">
        <f>+'Total Market Size'!D128*'Many to Many Ass.'!$E62*'Control Page'!$G14*1000</f>
        <v>0</v>
      </c>
      <c r="E100" s="492">
        <f>+'Total Market Size'!E128*'Many to Many Ass.'!$E62*'Control Page'!$G14*1000</f>
        <v>0</v>
      </c>
      <c r="F100" s="492">
        <f>+'Total Market Size'!F128*'Many to Many Ass.'!$E62*'Control Page'!$G14*1000</f>
        <v>0</v>
      </c>
      <c r="G100" s="492">
        <f>+'Total Market Size'!G128*'Many to Many Ass.'!$E62*'Control Page'!$G14*1000</f>
        <v>0</v>
      </c>
      <c r="H100" s="492">
        <f>+'Total Market Size'!H128*'Many to Many Ass.'!$E62*'Control Page'!$G14*1000</f>
        <v>0</v>
      </c>
      <c r="I100" s="492">
        <f>+'Total Market Size'!I128*'Many to Many Ass.'!$E62*'Control Page'!$G14*1000</f>
        <v>0</v>
      </c>
      <c r="J100" s="492">
        <f>+'Total Market Size'!J128*'Many to Many Ass.'!$E62*'Control Page'!$G14*1000</f>
        <v>0</v>
      </c>
      <c r="K100" s="492">
        <f>+'Total Market Size'!K128*'Many to Many Ass.'!$E62*'Control Page'!$G14*1000</f>
        <v>0</v>
      </c>
      <c r="L100" s="493">
        <f>+'Total Market Size'!L128*'Many to Many Ass.'!$E62*'Control Page'!$G14*1000</f>
        <v>0</v>
      </c>
    </row>
    <row r="101" spans="1:12" x14ac:dyDescent="0.2">
      <c r="A101" s="51" t="s">
        <v>71</v>
      </c>
      <c r="B101" s="491">
        <f>+'Total Market Size'!B129*'Many to Many Ass.'!$E63*'Control Page'!$G15*1000</f>
        <v>0</v>
      </c>
      <c r="C101" s="492">
        <f>+'Total Market Size'!C129*'Many to Many Ass.'!$E63*'Control Page'!$G15*1000</f>
        <v>0</v>
      </c>
      <c r="D101" s="492">
        <f>+'Total Market Size'!D129*'Many to Many Ass.'!$E63*'Control Page'!$G15*1000</f>
        <v>0</v>
      </c>
      <c r="E101" s="492">
        <f>+'Total Market Size'!E129*'Many to Many Ass.'!$E63*'Control Page'!$G15*1000</f>
        <v>0</v>
      </c>
      <c r="F101" s="492">
        <f>+'Total Market Size'!F129*'Many to Many Ass.'!$E63*'Control Page'!$G15*1000</f>
        <v>0</v>
      </c>
      <c r="G101" s="492">
        <f>+'Total Market Size'!G129*'Many to Many Ass.'!$E63*'Control Page'!$G15*1000</f>
        <v>0</v>
      </c>
      <c r="H101" s="492">
        <f>+'Total Market Size'!H129*'Many to Many Ass.'!$E63*'Control Page'!$G15*1000</f>
        <v>0</v>
      </c>
      <c r="I101" s="492">
        <f>+'Total Market Size'!I129*'Many to Many Ass.'!$E63*'Control Page'!$G15*1000</f>
        <v>0</v>
      </c>
      <c r="J101" s="492">
        <f>+'Total Market Size'!J129*'Many to Many Ass.'!$E63*'Control Page'!$G15*1000</f>
        <v>0</v>
      </c>
      <c r="K101" s="492">
        <f>+'Total Market Size'!K129*'Many to Many Ass.'!$E63*'Control Page'!$G15*1000</f>
        <v>0</v>
      </c>
      <c r="L101" s="493">
        <f>+'Total Market Size'!L129*'Many to Many Ass.'!$E63*'Control Page'!$G15*1000</f>
        <v>0</v>
      </c>
    </row>
    <row r="102" spans="1:12" x14ac:dyDescent="0.2">
      <c r="A102" s="71" t="s">
        <v>119</v>
      </c>
      <c r="B102" s="491">
        <f>+'Total Market Size'!B130*'Many to Many Ass.'!$E64*'Control Page'!$G16*1000</f>
        <v>0</v>
      </c>
      <c r="C102" s="492">
        <f>+'Total Market Size'!C130*'Many to Many Ass.'!$E64*'Control Page'!$G16*1000</f>
        <v>0</v>
      </c>
      <c r="D102" s="492">
        <f>+'Total Market Size'!D130*'Many to Many Ass.'!$E64*'Control Page'!$G16*1000</f>
        <v>0</v>
      </c>
      <c r="E102" s="492">
        <f>+'Total Market Size'!E130*'Many to Many Ass.'!$E64*'Control Page'!$G16*1000</f>
        <v>0</v>
      </c>
      <c r="F102" s="492">
        <f>+'Total Market Size'!F130*'Many to Many Ass.'!$E64*'Control Page'!$G16*1000</f>
        <v>0</v>
      </c>
      <c r="G102" s="492">
        <f>+'Total Market Size'!G130*'Many to Many Ass.'!$E64*'Control Page'!$G16*1000</f>
        <v>0</v>
      </c>
      <c r="H102" s="492">
        <f>+'Total Market Size'!H130*'Many to Many Ass.'!$E64*'Control Page'!$G16*1000</f>
        <v>0</v>
      </c>
      <c r="I102" s="492">
        <f>+'Total Market Size'!I130*'Many to Many Ass.'!$E64*'Control Page'!$G16*1000</f>
        <v>0</v>
      </c>
      <c r="J102" s="492">
        <f>+'Total Market Size'!J130*'Many to Many Ass.'!$E64*'Control Page'!$G16*1000</f>
        <v>0</v>
      </c>
      <c r="K102" s="492">
        <f>+'Total Market Size'!K130*'Many to Many Ass.'!$E64*'Control Page'!$G16*1000</f>
        <v>0</v>
      </c>
      <c r="L102" s="493">
        <f>+'Total Market Size'!L130*'Many to Many Ass.'!$E64*'Control Page'!$G16*1000</f>
        <v>0</v>
      </c>
    </row>
    <row r="103" spans="1:12" x14ac:dyDescent="0.2">
      <c r="A103" s="71" t="s">
        <v>120</v>
      </c>
      <c r="B103" s="491">
        <f>+'Total Market Size'!B131*'Many to Many Ass.'!$E65*'Control Page'!$G17*1000</f>
        <v>0</v>
      </c>
      <c r="C103" s="492">
        <f>+'Total Market Size'!C131*'Many to Many Ass.'!$E65*'Control Page'!$G17*1000</f>
        <v>0</v>
      </c>
      <c r="D103" s="492">
        <f>+'Total Market Size'!D131*'Many to Many Ass.'!$E65*'Control Page'!$G17*1000</f>
        <v>0</v>
      </c>
      <c r="E103" s="492">
        <f>+'Total Market Size'!E131*'Many to Many Ass.'!$E65*'Control Page'!$G17*1000</f>
        <v>0</v>
      </c>
      <c r="F103" s="492">
        <f>+'Total Market Size'!F131*'Many to Many Ass.'!$E65*'Control Page'!$G17*1000</f>
        <v>0</v>
      </c>
      <c r="G103" s="492">
        <f>+'Total Market Size'!G131*'Many to Many Ass.'!$E65*'Control Page'!$G17*1000</f>
        <v>0</v>
      </c>
      <c r="H103" s="492">
        <f>+'Total Market Size'!H131*'Many to Many Ass.'!$E65*'Control Page'!$G17*1000</f>
        <v>0</v>
      </c>
      <c r="I103" s="492">
        <f>+'Total Market Size'!I131*'Many to Many Ass.'!$E65*'Control Page'!$G17*1000</f>
        <v>0</v>
      </c>
      <c r="J103" s="492">
        <f>+'Total Market Size'!J131*'Many to Many Ass.'!$E65*'Control Page'!$G17*1000</f>
        <v>0</v>
      </c>
      <c r="K103" s="492">
        <f>+'Total Market Size'!K131*'Many to Many Ass.'!$E65*'Control Page'!$G17*1000</f>
        <v>0</v>
      </c>
      <c r="L103" s="493">
        <f>+'Total Market Size'!L131*'Many to Many Ass.'!$E65*'Control Page'!$G17*1000</f>
        <v>0</v>
      </c>
    </row>
    <row r="104" spans="1:12" ht="13.5" thickBot="1" x14ac:dyDescent="0.25">
      <c r="A104" s="52" t="s">
        <v>113</v>
      </c>
      <c r="B104" s="494">
        <f>+'Total Market Size'!B132*'Many to Many Ass.'!$E66*'Control Page'!$G18*1000</f>
        <v>0</v>
      </c>
      <c r="C104" s="495">
        <f>+'Total Market Size'!C132*'Many to Many Ass.'!$E66*'Control Page'!$G18*1000</f>
        <v>0</v>
      </c>
      <c r="D104" s="495">
        <f>+'Total Market Size'!D132*'Many to Many Ass.'!$E66*'Control Page'!$G18*1000</f>
        <v>0</v>
      </c>
      <c r="E104" s="495">
        <f>+'Total Market Size'!E132*'Many to Many Ass.'!$E66*'Control Page'!$G18*1000</f>
        <v>0</v>
      </c>
      <c r="F104" s="495">
        <f>+'Total Market Size'!F132*'Many to Many Ass.'!$E66*'Control Page'!$G18*1000</f>
        <v>0</v>
      </c>
      <c r="G104" s="495">
        <f>+'Total Market Size'!G132*'Many to Many Ass.'!$E66*'Control Page'!$G18*1000</f>
        <v>0</v>
      </c>
      <c r="H104" s="495">
        <f>+'Total Market Size'!H132*'Many to Many Ass.'!$E66*'Control Page'!$G18*1000</f>
        <v>0</v>
      </c>
      <c r="I104" s="495">
        <f>+'Total Market Size'!I132*'Many to Many Ass.'!$E66*'Control Page'!$G18*1000</f>
        <v>0</v>
      </c>
      <c r="J104" s="495">
        <f>+'Total Market Size'!J132*'Many to Many Ass.'!$E66*'Control Page'!$G18*1000</f>
        <v>0</v>
      </c>
      <c r="K104" s="495">
        <f>+'Total Market Size'!K132*'Many to Many Ass.'!$E66*'Control Page'!$G18*1000</f>
        <v>0</v>
      </c>
      <c r="L104" s="496">
        <f>+'Total Market Size'!L132*'Many to Many Ass.'!$E66*'Control Page'!$G18*1000</f>
        <v>0</v>
      </c>
    </row>
    <row r="105" spans="1:12" ht="13.5" thickBot="1" x14ac:dyDescent="0.25">
      <c r="A105" s="36" t="s">
        <v>462</v>
      </c>
      <c r="B105" s="497">
        <f>SUM(B93:B104)</f>
        <v>0</v>
      </c>
      <c r="C105" s="498">
        <f t="shared" ref="C105:L105" si="7">SUM(C93:C104)</f>
        <v>0</v>
      </c>
      <c r="D105" s="498">
        <f t="shared" si="7"/>
        <v>0</v>
      </c>
      <c r="E105" s="498">
        <f t="shared" si="7"/>
        <v>0</v>
      </c>
      <c r="F105" s="498">
        <f t="shared" si="7"/>
        <v>0</v>
      </c>
      <c r="G105" s="498">
        <f t="shared" si="7"/>
        <v>0</v>
      </c>
      <c r="H105" s="498">
        <f t="shared" si="7"/>
        <v>0</v>
      </c>
      <c r="I105" s="498">
        <f t="shared" si="7"/>
        <v>0</v>
      </c>
      <c r="J105" s="498">
        <f t="shared" si="7"/>
        <v>0</v>
      </c>
      <c r="K105" s="498">
        <f t="shared" si="7"/>
        <v>0</v>
      </c>
      <c r="L105" s="499">
        <f t="shared" si="7"/>
        <v>0</v>
      </c>
    </row>
    <row r="107" spans="1:12" ht="13.5" thickBot="1" x14ac:dyDescent="0.25"/>
    <row r="108" spans="1:12" ht="13.5" thickBot="1" x14ac:dyDescent="0.25">
      <c r="A108" s="36" t="s">
        <v>138</v>
      </c>
      <c r="B108" s="528">
        <v>2.8000000000000025E-2</v>
      </c>
      <c r="C108" s="528">
        <v>2.2999999999999909E-2</v>
      </c>
      <c r="D108" s="528">
        <v>0.02</v>
      </c>
      <c r="E108" s="528">
        <v>2.200000000000002E-2</v>
      </c>
      <c r="F108" s="528">
        <v>2.2999999999999909E-2</v>
      </c>
      <c r="G108" s="528">
        <v>2.4999999999999911E-2</v>
      </c>
      <c r="H108" s="528">
        <v>2.4499999999999966E-2</v>
      </c>
      <c r="I108" s="528">
        <v>2.4000000000000021E-2</v>
      </c>
      <c r="J108" s="528">
        <v>2.3800000000000043E-2</v>
      </c>
      <c r="K108" s="528">
        <v>2.2999999999999909E-2</v>
      </c>
      <c r="L108" s="529">
        <v>2.2799999999999931E-2</v>
      </c>
    </row>
    <row r="109" spans="1:12" ht="13.5" thickBot="1" x14ac:dyDescent="0.25">
      <c r="A109" s="113" t="s">
        <v>488</v>
      </c>
      <c r="B109" s="434">
        <v>1</v>
      </c>
      <c r="C109" s="530">
        <f>+(1+C108)*B109</f>
        <v>1.0229999999999999</v>
      </c>
      <c r="D109" s="530">
        <f t="shared" ref="D109:L109" si="8">+(1+D108)*C109</f>
        <v>1.0434599999999998</v>
      </c>
      <c r="E109" s="530">
        <f t="shared" si="8"/>
        <v>1.0664161199999997</v>
      </c>
      <c r="F109" s="530">
        <f t="shared" si="8"/>
        <v>1.0909436907599996</v>
      </c>
      <c r="G109" s="530">
        <f t="shared" si="8"/>
        <v>1.1182172830289996</v>
      </c>
      <c r="H109" s="530">
        <f t="shared" si="8"/>
        <v>1.1456136064632101</v>
      </c>
      <c r="I109" s="530">
        <f t="shared" si="8"/>
        <v>1.1731083330183272</v>
      </c>
      <c r="J109" s="530">
        <f t="shared" si="8"/>
        <v>1.2010283113441633</v>
      </c>
      <c r="K109" s="530">
        <f t="shared" si="8"/>
        <v>1.2286519625050789</v>
      </c>
      <c r="L109" s="531">
        <f t="shared" si="8"/>
        <v>1.2566652272501946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75" workbookViewId="0">
      <selection activeCell="N1" sqref="N1"/>
    </sheetView>
  </sheetViews>
  <sheetFormatPr defaultRowHeight="12.75" x14ac:dyDescent="0.2"/>
  <cols>
    <col min="1" max="1" width="17.140625" bestFit="1" customWidth="1"/>
    <col min="2" max="2" width="13.28515625" bestFit="1" customWidth="1"/>
    <col min="3" max="7" width="13.7109375" bestFit="1" customWidth="1"/>
    <col min="8" max="9" width="13.28515625" bestFit="1" customWidth="1"/>
    <col min="10" max="12" width="13.7109375" bestFit="1" customWidth="1"/>
  </cols>
  <sheetData>
    <row r="1" spans="1:12" ht="26.25" x14ac:dyDescent="0.4">
      <c r="A1" s="145" t="s">
        <v>597</v>
      </c>
    </row>
    <row r="4" spans="1:12" x14ac:dyDescent="0.2">
      <c r="A4" s="8" t="s">
        <v>484</v>
      </c>
    </row>
    <row r="5" spans="1:12" ht="13.5" thickBot="1" x14ac:dyDescent="0.25"/>
    <row r="6" spans="1:12" ht="13.5" thickBot="1" x14ac:dyDescent="0.25">
      <c r="B6" s="440">
        <v>2001</v>
      </c>
      <c r="C6" s="441">
        <v>2002</v>
      </c>
      <c r="D6" s="441">
        <v>2003</v>
      </c>
      <c r="E6" s="441">
        <v>2004</v>
      </c>
      <c r="F6" s="441">
        <v>2005</v>
      </c>
      <c r="G6" s="441">
        <v>2006</v>
      </c>
      <c r="H6" s="441">
        <v>2007</v>
      </c>
      <c r="I6" s="441">
        <v>2008</v>
      </c>
      <c r="J6" s="441">
        <v>2009</v>
      </c>
      <c r="K6" s="441">
        <v>2010</v>
      </c>
      <c r="L6" s="442">
        <v>2011</v>
      </c>
    </row>
    <row r="7" spans="1:12" x14ac:dyDescent="0.2">
      <c r="A7" s="50" t="s">
        <v>64</v>
      </c>
      <c r="B7" s="488">
        <f t="shared" ref="B7:B17" si="0">+B24+B41+B58+B75+B92</f>
        <v>22095.955234765046</v>
      </c>
      <c r="C7" s="489">
        <f t="shared" ref="C7:L7" si="1">+C24+C41+C58+C75+C92</f>
        <v>37331.224410329283</v>
      </c>
      <c r="D7" s="489">
        <f t="shared" si="1"/>
        <v>53099.452347803795</v>
      </c>
      <c r="E7" s="489">
        <f t="shared" si="1"/>
        <v>69619.719024607315</v>
      </c>
      <c r="F7" s="489">
        <f t="shared" si="1"/>
        <v>86926.149098003574</v>
      </c>
      <c r="G7" s="489">
        <f t="shared" si="1"/>
        <v>105197.10877467974</v>
      </c>
      <c r="H7" s="489">
        <f t="shared" si="1"/>
        <v>124266.64013464151</v>
      </c>
      <c r="I7" s="489">
        <f t="shared" si="1"/>
        <v>144137.0545455346</v>
      </c>
      <c r="J7" s="489">
        <f t="shared" si="1"/>
        <v>164857.46624951434</v>
      </c>
      <c r="K7" s="489">
        <f t="shared" si="1"/>
        <v>186336.8066245825</v>
      </c>
      <c r="L7" s="490">
        <f t="shared" si="1"/>
        <v>208676.18217220259</v>
      </c>
    </row>
    <row r="8" spans="1:12" x14ac:dyDescent="0.2">
      <c r="A8" s="51" t="s">
        <v>65</v>
      </c>
      <c r="B8" s="491">
        <f t="shared" si="0"/>
        <v>0</v>
      </c>
      <c r="C8" s="492">
        <f t="shared" ref="C8:L8" si="2">+C25+C42+C59+C76+C93</f>
        <v>0</v>
      </c>
      <c r="D8" s="492">
        <f t="shared" si="2"/>
        <v>0</v>
      </c>
      <c r="E8" s="492">
        <f t="shared" si="2"/>
        <v>0</v>
      </c>
      <c r="F8" s="492">
        <f t="shared" si="2"/>
        <v>0</v>
      </c>
      <c r="G8" s="492">
        <f t="shared" si="2"/>
        <v>0</v>
      </c>
      <c r="H8" s="492">
        <f t="shared" si="2"/>
        <v>0</v>
      </c>
      <c r="I8" s="492">
        <f t="shared" si="2"/>
        <v>0</v>
      </c>
      <c r="J8" s="492">
        <f t="shared" si="2"/>
        <v>0</v>
      </c>
      <c r="K8" s="492">
        <f t="shared" si="2"/>
        <v>0</v>
      </c>
      <c r="L8" s="493">
        <f t="shared" si="2"/>
        <v>0</v>
      </c>
    </row>
    <row r="9" spans="1:12" x14ac:dyDescent="0.2">
      <c r="A9" s="51" t="s">
        <v>66</v>
      </c>
      <c r="B9" s="491">
        <f t="shared" si="0"/>
        <v>0</v>
      </c>
      <c r="C9" s="492">
        <f t="shared" ref="C9:L9" si="3">+C26+C43+C60+C77+C94</f>
        <v>0</v>
      </c>
      <c r="D9" s="492">
        <f t="shared" si="3"/>
        <v>0</v>
      </c>
      <c r="E9" s="492">
        <f t="shared" si="3"/>
        <v>0</v>
      </c>
      <c r="F9" s="492">
        <f t="shared" si="3"/>
        <v>0</v>
      </c>
      <c r="G9" s="492">
        <f t="shared" si="3"/>
        <v>0</v>
      </c>
      <c r="H9" s="492">
        <f t="shared" si="3"/>
        <v>0</v>
      </c>
      <c r="I9" s="492">
        <f t="shared" si="3"/>
        <v>0</v>
      </c>
      <c r="J9" s="492">
        <f t="shared" si="3"/>
        <v>0</v>
      </c>
      <c r="K9" s="492">
        <f t="shared" si="3"/>
        <v>0</v>
      </c>
      <c r="L9" s="493">
        <f t="shared" si="3"/>
        <v>0</v>
      </c>
    </row>
    <row r="10" spans="1:12" x14ac:dyDescent="0.2">
      <c r="A10" s="51" t="s">
        <v>112</v>
      </c>
      <c r="B10" s="491">
        <f t="shared" si="0"/>
        <v>0</v>
      </c>
      <c r="C10" s="492">
        <f t="shared" ref="C10:L10" si="4">+C27+C44+C61+C78+C95</f>
        <v>0</v>
      </c>
      <c r="D10" s="492">
        <f t="shared" si="4"/>
        <v>0</v>
      </c>
      <c r="E10" s="492">
        <f t="shared" si="4"/>
        <v>0</v>
      </c>
      <c r="F10" s="492">
        <f t="shared" si="4"/>
        <v>0</v>
      </c>
      <c r="G10" s="492">
        <f t="shared" si="4"/>
        <v>0</v>
      </c>
      <c r="H10" s="492">
        <f t="shared" si="4"/>
        <v>0</v>
      </c>
      <c r="I10" s="492">
        <f t="shared" si="4"/>
        <v>0</v>
      </c>
      <c r="J10" s="492">
        <f t="shared" si="4"/>
        <v>0</v>
      </c>
      <c r="K10" s="492">
        <f t="shared" si="4"/>
        <v>0</v>
      </c>
      <c r="L10" s="493">
        <f t="shared" si="4"/>
        <v>0</v>
      </c>
    </row>
    <row r="11" spans="1:12" x14ac:dyDescent="0.2">
      <c r="A11" s="51" t="s">
        <v>67</v>
      </c>
      <c r="B11" s="491">
        <f t="shared" si="0"/>
        <v>0</v>
      </c>
      <c r="C11" s="492">
        <f t="shared" ref="C11:L11" si="5">+C28+C45+C62+C79+C96</f>
        <v>0</v>
      </c>
      <c r="D11" s="492">
        <f t="shared" si="5"/>
        <v>0</v>
      </c>
      <c r="E11" s="492">
        <f t="shared" si="5"/>
        <v>0</v>
      </c>
      <c r="F11" s="492">
        <f t="shared" si="5"/>
        <v>0</v>
      </c>
      <c r="G11" s="492">
        <f t="shared" si="5"/>
        <v>0</v>
      </c>
      <c r="H11" s="492">
        <f t="shared" si="5"/>
        <v>0</v>
      </c>
      <c r="I11" s="492">
        <f t="shared" si="5"/>
        <v>0</v>
      </c>
      <c r="J11" s="492">
        <f t="shared" si="5"/>
        <v>0</v>
      </c>
      <c r="K11" s="492">
        <f t="shared" si="5"/>
        <v>0</v>
      </c>
      <c r="L11" s="493">
        <f t="shared" si="5"/>
        <v>0</v>
      </c>
    </row>
    <row r="12" spans="1:12" x14ac:dyDescent="0.2">
      <c r="A12" s="51" t="s">
        <v>68</v>
      </c>
      <c r="B12" s="491">
        <f t="shared" si="0"/>
        <v>0</v>
      </c>
      <c r="C12" s="492">
        <f t="shared" ref="C12:L12" si="6">+C29+C46+C63+C80+C97</f>
        <v>0</v>
      </c>
      <c r="D12" s="492">
        <f t="shared" si="6"/>
        <v>0</v>
      </c>
      <c r="E12" s="492">
        <f t="shared" si="6"/>
        <v>0</v>
      </c>
      <c r="F12" s="492">
        <f t="shared" si="6"/>
        <v>0</v>
      </c>
      <c r="G12" s="492">
        <f t="shared" si="6"/>
        <v>0</v>
      </c>
      <c r="H12" s="492">
        <f t="shared" si="6"/>
        <v>0</v>
      </c>
      <c r="I12" s="492">
        <f t="shared" si="6"/>
        <v>0</v>
      </c>
      <c r="J12" s="492">
        <f t="shared" si="6"/>
        <v>0</v>
      </c>
      <c r="K12" s="492">
        <f t="shared" si="6"/>
        <v>0</v>
      </c>
      <c r="L12" s="493">
        <f t="shared" si="6"/>
        <v>0</v>
      </c>
    </row>
    <row r="13" spans="1:12" x14ac:dyDescent="0.2">
      <c r="A13" s="51" t="s">
        <v>69</v>
      </c>
      <c r="B13" s="491">
        <f t="shared" si="0"/>
        <v>0</v>
      </c>
      <c r="C13" s="492">
        <f t="shared" ref="C13:L13" si="7">+C30+C47+C64+C81+C98</f>
        <v>0</v>
      </c>
      <c r="D13" s="492">
        <f t="shared" si="7"/>
        <v>0</v>
      </c>
      <c r="E13" s="492">
        <f t="shared" si="7"/>
        <v>0</v>
      </c>
      <c r="F13" s="492">
        <f t="shared" si="7"/>
        <v>0</v>
      </c>
      <c r="G13" s="492">
        <f t="shared" si="7"/>
        <v>0</v>
      </c>
      <c r="H13" s="492">
        <f t="shared" si="7"/>
        <v>0</v>
      </c>
      <c r="I13" s="492">
        <f t="shared" si="7"/>
        <v>0</v>
      </c>
      <c r="J13" s="492">
        <f t="shared" si="7"/>
        <v>0</v>
      </c>
      <c r="K13" s="492">
        <f t="shared" si="7"/>
        <v>0</v>
      </c>
      <c r="L13" s="493">
        <f t="shared" si="7"/>
        <v>0</v>
      </c>
    </row>
    <row r="14" spans="1:12" x14ac:dyDescent="0.2">
      <c r="A14" s="51" t="s">
        <v>70</v>
      </c>
      <c r="B14" s="491">
        <f t="shared" si="0"/>
        <v>0</v>
      </c>
      <c r="C14" s="492">
        <f t="shared" ref="C14:L14" si="8">+C31+C48+C65+C82+C99</f>
        <v>0</v>
      </c>
      <c r="D14" s="492">
        <f t="shared" si="8"/>
        <v>0</v>
      </c>
      <c r="E14" s="492">
        <f t="shared" si="8"/>
        <v>0</v>
      </c>
      <c r="F14" s="492">
        <f t="shared" si="8"/>
        <v>0</v>
      </c>
      <c r="G14" s="492">
        <f t="shared" si="8"/>
        <v>0</v>
      </c>
      <c r="H14" s="492">
        <f t="shared" si="8"/>
        <v>0</v>
      </c>
      <c r="I14" s="492">
        <f t="shared" si="8"/>
        <v>0</v>
      </c>
      <c r="J14" s="492">
        <f t="shared" si="8"/>
        <v>0</v>
      </c>
      <c r="K14" s="492">
        <f t="shared" si="8"/>
        <v>0</v>
      </c>
      <c r="L14" s="493">
        <f t="shared" si="8"/>
        <v>0</v>
      </c>
    </row>
    <row r="15" spans="1:12" x14ac:dyDescent="0.2">
      <c r="A15" s="51" t="s">
        <v>71</v>
      </c>
      <c r="B15" s="491">
        <f t="shared" si="0"/>
        <v>0</v>
      </c>
      <c r="C15" s="492">
        <f t="shared" ref="C15:L15" si="9">+C32+C49+C66+C83+C100</f>
        <v>0</v>
      </c>
      <c r="D15" s="492">
        <f t="shared" si="9"/>
        <v>0</v>
      </c>
      <c r="E15" s="492">
        <f t="shared" si="9"/>
        <v>0</v>
      </c>
      <c r="F15" s="492">
        <f t="shared" si="9"/>
        <v>0</v>
      </c>
      <c r="G15" s="492">
        <f t="shared" si="9"/>
        <v>0</v>
      </c>
      <c r="H15" s="492">
        <f t="shared" si="9"/>
        <v>0</v>
      </c>
      <c r="I15" s="492">
        <f t="shared" si="9"/>
        <v>0</v>
      </c>
      <c r="J15" s="492">
        <f t="shared" si="9"/>
        <v>0</v>
      </c>
      <c r="K15" s="492">
        <f t="shared" si="9"/>
        <v>0</v>
      </c>
      <c r="L15" s="493">
        <f t="shared" si="9"/>
        <v>0</v>
      </c>
    </row>
    <row r="16" spans="1:12" x14ac:dyDescent="0.2">
      <c r="A16" s="71" t="s">
        <v>119</v>
      </c>
      <c r="B16" s="491">
        <f t="shared" si="0"/>
        <v>0</v>
      </c>
      <c r="C16" s="492">
        <f t="shared" ref="C16:L16" si="10">+C33+C50+C67+C84+C101</f>
        <v>0</v>
      </c>
      <c r="D16" s="492">
        <f t="shared" si="10"/>
        <v>0</v>
      </c>
      <c r="E16" s="492">
        <f t="shared" si="10"/>
        <v>0</v>
      </c>
      <c r="F16" s="492">
        <f t="shared" si="10"/>
        <v>0</v>
      </c>
      <c r="G16" s="492">
        <f t="shared" si="10"/>
        <v>0</v>
      </c>
      <c r="H16" s="492">
        <f t="shared" si="10"/>
        <v>0</v>
      </c>
      <c r="I16" s="492">
        <f t="shared" si="10"/>
        <v>0</v>
      </c>
      <c r="J16" s="492">
        <f t="shared" si="10"/>
        <v>0</v>
      </c>
      <c r="K16" s="492">
        <f t="shared" si="10"/>
        <v>0</v>
      </c>
      <c r="L16" s="493">
        <f t="shared" si="10"/>
        <v>0</v>
      </c>
    </row>
    <row r="17" spans="1:12" x14ac:dyDescent="0.2">
      <c r="A17" s="71" t="s">
        <v>120</v>
      </c>
      <c r="B17" s="491">
        <f t="shared" si="0"/>
        <v>0</v>
      </c>
      <c r="C17" s="492">
        <f t="shared" ref="C17:L17" si="11">+C34+C51+C68+C85+C102</f>
        <v>0</v>
      </c>
      <c r="D17" s="492">
        <f t="shared" si="11"/>
        <v>0</v>
      </c>
      <c r="E17" s="492">
        <f t="shared" si="11"/>
        <v>0</v>
      </c>
      <c r="F17" s="492">
        <f t="shared" si="11"/>
        <v>0</v>
      </c>
      <c r="G17" s="492">
        <f t="shared" si="11"/>
        <v>0</v>
      </c>
      <c r="H17" s="492">
        <f t="shared" si="11"/>
        <v>0</v>
      </c>
      <c r="I17" s="492">
        <f t="shared" si="11"/>
        <v>0</v>
      </c>
      <c r="J17" s="492">
        <f t="shared" si="11"/>
        <v>0</v>
      </c>
      <c r="K17" s="492">
        <f t="shared" si="11"/>
        <v>0</v>
      </c>
      <c r="L17" s="493">
        <f t="shared" si="11"/>
        <v>0</v>
      </c>
    </row>
    <row r="18" spans="1:12" ht="13.5" thickBot="1" x14ac:dyDescent="0.25">
      <c r="A18" s="52" t="s">
        <v>113</v>
      </c>
      <c r="B18" s="494">
        <f t="shared" ref="B18:L18" si="12">+B35+B52+B69+B86+B103</f>
        <v>0</v>
      </c>
      <c r="C18" s="495">
        <f t="shared" si="12"/>
        <v>0</v>
      </c>
      <c r="D18" s="495">
        <f t="shared" si="12"/>
        <v>0</v>
      </c>
      <c r="E18" s="495">
        <f t="shared" si="12"/>
        <v>0</v>
      </c>
      <c r="F18" s="495">
        <f t="shared" si="12"/>
        <v>0</v>
      </c>
      <c r="G18" s="495">
        <f t="shared" si="12"/>
        <v>0</v>
      </c>
      <c r="H18" s="495">
        <f t="shared" si="12"/>
        <v>0</v>
      </c>
      <c r="I18" s="495">
        <f t="shared" si="12"/>
        <v>0</v>
      </c>
      <c r="J18" s="495">
        <f t="shared" si="12"/>
        <v>0</v>
      </c>
      <c r="K18" s="495">
        <f t="shared" si="12"/>
        <v>0</v>
      </c>
      <c r="L18" s="496">
        <f t="shared" si="12"/>
        <v>0</v>
      </c>
    </row>
    <row r="19" spans="1:12" ht="13.5" thickBot="1" x14ac:dyDescent="0.25">
      <c r="A19" s="36" t="s">
        <v>462</v>
      </c>
      <c r="B19" s="497">
        <f>SUM(B7:B18)</f>
        <v>22095.955234765046</v>
      </c>
      <c r="C19" s="498">
        <f t="shared" ref="C19:L19" si="13">SUM(C7:C18)</f>
        <v>37331.224410329283</v>
      </c>
      <c r="D19" s="498">
        <f t="shared" si="13"/>
        <v>53099.452347803795</v>
      </c>
      <c r="E19" s="498">
        <f t="shared" si="13"/>
        <v>69619.719024607315</v>
      </c>
      <c r="F19" s="498">
        <f t="shared" si="13"/>
        <v>86926.149098003574</v>
      </c>
      <c r="G19" s="498">
        <f t="shared" si="13"/>
        <v>105197.10877467974</v>
      </c>
      <c r="H19" s="498">
        <f t="shared" si="13"/>
        <v>124266.64013464151</v>
      </c>
      <c r="I19" s="498">
        <f t="shared" si="13"/>
        <v>144137.0545455346</v>
      </c>
      <c r="J19" s="498">
        <f t="shared" si="13"/>
        <v>164857.46624951434</v>
      </c>
      <c r="K19" s="498">
        <f t="shared" si="13"/>
        <v>186336.8066245825</v>
      </c>
      <c r="L19" s="499">
        <f t="shared" si="13"/>
        <v>208676.18217220259</v>
      </c>
    </row>
    <row r="20" spans="1:12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x14ac:dyDescent="0.2">
      <c r="A21" s="8" t="s">
        <v>502</v>
      </c>
      <c r="D21" s="500"/>
    </row>
    <row r="22" spans="1:12" ht="13.5" thickBot="1" x14ac:dyDescent="0.25"/>
    <row r="23" spans="1:12" ht="13.5" thickBot="1" x14ac:dyDescent="0.25">
      <c r="B23" s="440">
        <v>2001</v>
      </c>
      <c r="C23" s="441">
        <v>2002</v>
      </c>
      <c r="D23" s="441">
        <v>2003</v>
      </c>
      <c r="E23" s="441">
        <v>2004</v>
      </c>
      <c r="F23" s="441">
        <v>2005</v>
      </c>
      <c r="G23" s="441">
        <v>2006</v>
      </c>
      <c r="H23" s="441">
        <v>2007</v>
      </c>
      <c r="I23" s="441">
        <v>2008</v>
      </c>
      <c r="J23" s="441">
        <v>2009</v>
      </c>
      <c r="K23" s="441">
        <v>2010</v>
      </c>
      <c r="L23" s="442">
        <v>2011</v>
      </c>
    </row>
    <row r="24" spans="1:12" x14ac:dyDescent="0.2">
      <c r="A24" s="50" t="s">
        <v>64</v>
      </c>
      <c r="B24" s="488">
        <f>+'Private Label Ass'!B8*'Private Label Ass'!$B26*'Control Page'!$F7*B$107</f>
        <v>7700</v>
      </c>
      <c r="C24" s="489">
        <f>+'Private Label Ass'!C8*'Private Label Ass'!$B26*'Control Page'!$F7*C$107</f>
        <v>7877.0999999999995</v>
      </c>
      <c r="D24" s="489">
        <f>+'Private Label Ass'!D8*'Private Label Ass'!$B26*'Control Page'!$F7*D$107</f>
        <v>8034.6419999999989</v>
      </c>
      <c r="E24" s="489">
        <f>+'Private Label Ass'!E8*'Private Label Ass'!$B26*'Control Page'!$F7*E$107</f>
        <v>8211.4041239999988</v>
      </c>
      <c r="F24" s="489">
        <f>+'Private Label Ass'!F8*'Private Label Ass'!$B26*'Control Page'!$F7*F$107</f>
        <v>8400.2664188519975</v>
      </c>
      <c r="G24" s="489">
        <f>+'Private Label Ass'!G8*'Private Label Ass'!$B26*'Control Page'!$F7*G$107</f>
        <v>8610.2730793232968</v>
      </c>
      <c r="H24" s="489">
        <f>+'Private Label Ass'!H8*'Private Label Ass'!$B26*'Control Page'!$F7*H$107</f>
        <v>8821.2247697667171</v>
      </c>
      <c r="I24" s="489">
        <f>+'Private Label Ass'!I8*'Private Label Ass'!$B26*'Control Page'!$F7*I$107</f>
        <v>9032.93416424112</v>
      </c>
      <c r="J24" s="489">
        <f>+'Private Label Ass'!J8*'Private Label Ass'!$B26*'Control Page'!$F7*J$107</f>
        <v>9247.9179973500577</v>
      </c>
      <c r="K24" s="489">
        <f>+'Private Label Ass'!K8*'Private Label Ass'!$B26*'Control Page'!$F7*K$107</f>
        <v>9460.6201112891067</v>
      </c>
      <c r="L24" s="490">
        <f>+'Private Label Ass'!L8*'Private Label Ass'!$B26*'Control Page'!$F7*L$107</f>
        <v>9676.3222498264986</v>
      </c>
    </row>
    <row r="25" spans="1:12" x14ac:dyDescent="0.2">
      <c r="A25" s="51" t="s">
        <v>65</v>
      </c>
      <c r="B25" s="491">
        <f>+'Private Label Ass'!B9*'Private Label Ass'!$B27*'Control Page'!$F8*B$107</f>
        <v>0</v>
      </c>
      <c r="C25" s="492">
        <f>+'Private Label Ass'!C9*'Private Label Ass'!$B27*'Control Page'!$F8*C$107</f>
        <v>0</v>
      </c>
      <c r="D25" s="492">
        <f>+'Private Label Ass'!D9*'Private Label Ass'!$B27*'Control Page'!$F8*D$107</f>
        <v>0</v>
      </c>
      <c r="E25" s="492">
        <f>+'Private Label Ass'!E9*'Private Label Ass'!$B27*'Control Page'!$F8*E$107</f>
        <v>0</v>
      </c>
      <c r="F25" s="492">
        <f>+'Private Label Ass'!F9*'Private Label Ass'!$B27*'Control Page'!$F8*F$107</f>
        <v>0</v>
      </c>
      <c r="G25" s="492">
        <f>+'Private Label Ass'!G9*'Private Label Ass'!$B27*'Control Page'!$F8*G$107</f>
        <v>0</v>
      </c>
      <c r="H25" s="492">
        <f>+'Private Label Ass'!H9*'Private Label Ass'!$B27*'Control Page'!$F8*H$107</f>
        <v>0</v>
      </c>
      <c r="I25" s="492">
        <f>+'Private Label Ass'!I9*'Private Label Ass'!$B27*'Control Page'!$F8*I$107</f>
        <v>0</v>
      </c>
      <c r="J25" s="492">
        <f>+'Private Label Ass'!J9*'Private Label Ass'!$B27*'Control Page'!$F8*J$107</f>
        <v>0</v>
      </c>
      <c r="K25" s="492">
        <f>+'Private Label Ass'!K9*'Private Label Ass'!$B27*'Control Page'!$F8*K$107</f>
        <v>0</v>
      </c>
      <c r="L25" s="493">
        <f>+'Private Label Ass'!L9*'Private Label Ass'!$B27*'Control Page'!$F8*L$107</f>
        <v>0</v>
      </c>
    </row>
    <row r="26" spans="1:12" x14ac:dyDescent="0.2">
      <c r="A26" s="51" t="s">
        <v>66</v>
      </c>
      <c r="B26" s="491">
        <f>+'Private Label Ass'!B10*'Private Label Ass'!$B28*'Control Page'!$F9*B$107</f>
        <v>0</v>
      </c>
      <c r="C26" s="492">
        <f>+'Private Label Ass'!C10*'Private Label Ass'!$B28*'Control Page'!$F9*C$107</f>
        <v>0</v>
      </c>
      <c r="D26" s="492">
        <f>+'Private Label Ass'!D10*'Private Label Ass'!$B28*'Control Page'!$F9*D$107</f>
        <v>0</v>
      </c>
      <c r="E26" s="492">
        <f>+'Private Label Ass'!E10*'Private Label Ass'!$B28*'Control Page'!$F9*E$107</f>
        <v>0</v>
      </c>
      <c r="F26" s="492">
        <f>+'Private Label Ass'!F10*'Private Label Ass'!$B28*'Control Page'!$F9*F$107</f>
        <v>0</v>
      </c>
      <c r="G26" s="492">
        <f>+'Private Label Ass'!G10*'Private Label Ass'!$B28*'Control Page'!$F9*G$107</f>
        <v>0</v>
      </c>
      <c r="H26" s="492">
        <f>+'Private Label Ass'!H10*'Private Label Ass'!$B28*'Control Page'!$F9*H$107</f>
        <v>0</v>
      </c>
      <c r="I26" s="492">
        <f>+'Private Label Ass'!I10*'Private Label Ass'!$B28*'Control Page'!$F9*I$107</f>
        <v>0</v>
      </c>
      <c r="J26" s="492">
        <f>+'Private Label Ass'!J10*'Private Label Ass'!$B28*'Control Page'!$F9*J$107</f>
        <v>0</v>
      </c>
      <c r="K26" s="492">
        <f>+'Private Label Ass'!K10*'Private Label Ass'!$B28*'Control Page'!$F9*K$107</f>
        <v>0</v>
      </c>
      <c r="L26" s="493">
        <f>+'Private Label Ass'!L10*'Private Label Ass'!$B28*'Control Page'!$F9*L$107</f>
        <v>0</v>
      </c>
    </row>
    <row r="27" spans="1:12" x14ac:dyDescent="0.2">
      <c r="A27" s="51" t="s">
        <v>112</v>
      </c>
      <c r="B27" s="491">
        <f>+'Private Label Ass'!B11*'Private Label Ass'!$B29*'Control Page'!$F10*B$107</f>
        <v>0</v>
      </c>
      <c r="C27" s="492">
        <f>+'Private Label Ass'!C11*'Private Label Ass'!$B29*'Control Page'!$F10*C$107</f>
        <v>0</v>
      </c>
      <c r="D27" s="492">
        <f>+'Private Label Ass'!D11*'Private Label Ass'!$B29*'Control Page'!$F10*D$107</f>
        <v>0</v>
      </c>
      <c r="E27" s="492">
        <f>+'Private Label Ass'!E11*'Private Label Ass'!$B29*'Control Page'!$F10*E$107</f>
        <v>0</v>
      </c>
      <c r="F27" s="492">
        <f>+'Private Label Ass'!F11*'Private Label Ass'!$B29*'Control Page'!$F10*F$107</f>
        <v>0</v>
      </c>
      <c r="G27" s="492">
        <f>+'Private Label Ass'!G11*'Private Label Ass'!$B29*'Control Page'!$F10*G$107</f>
        <v>0</v>
      </c>
      <c r="H27" s="492">
        <f>+'Private Label Ass'!H11*'Private Label Ass'!$B29*'Control Page'!$F10*H$107</f>
        <v>0</v>
      </c>
      <c r="I27" s="492">
        <f>+'Private Label Ass'!I11*'Private Label Ass'!$B29*'Control Page'!$F10*I$107</f>
        <v>0</v>
      </c>
      <c r="J27" s="492">
        <f>+'Private Label Ass'!J11*'Private Label Ass'!$B29*'Control Page'!$F10*J$107</f>
        <v>0</v>
      </c>
      <c r="K27" s="492">
        <f>+'Private Label Ass'!K11*'Private Label Ass'!$B29*'Control Page'!$F10*K$107</f>
        <v>0</v>
      </c>
      <c r="L27" s="493">
        <f>+'Private Label Ass'!L11*'Private Label Ass'!$B29*'Control Page'!$F10*L$107</f>
        <v>0</v>
      </c>
    </row>
    <row r="28" spans="1:12" x14ac:dyDescent="0.2">
      <c r="A28" s="51" t="s">
        <v>67</v>
      </c>
      <c r="B28" s="491">
        <f>+'Private Label Ass'!B12*'Private Label Ass'!$B30*'Control Page'!$F11*B$107</f>
        <v>0</v>
      </c>
      <c r="C28" s="492">
        <f>+'Private Label Ass'!C12*'Private Label Ass'!$B30*'Control Page'!$F11*C$107</f>
        <v>0</v>
      </c>
      <c r="D28" s="492">
        <f>+'Private Label Ass'!D12*'Private Label Ass'!$B30*'Control Page'!$F11*D$107</f>
        <v>0</v>
      </c>
      <c r="E28" s="492">
        <f>+'Private Label Ass'!E12*'Private Label Ass'!$B30*'Control Page'!$F11*E$107</f>
        <v>0</v>
      </c>
      <c r="F28" s="492">
        <f>+'Private Label Ass'!F12*'Private Label Ass'!$B30*'Control Page'!$F11*F$107</f>
        <v>0</v>
      </c>
      <c r="G28" s="492">
        <f>+'Private Label Ass'!G12*'Private Label Ass'!$B30*'Control Page'!$F11*G$107</f>
        <v>0</v>
      </c>
      <c r="H28" s="492">
        <f>+'Private Label Ass'!H12*'Private Label Ass'!$B30*'Control Page'!$F11*H$107</f>
        <v>0</v>
      </c>
      <c r="I28" s="492">
        <f>+'Private Label Ass'!I12*'Private Label Ass'!$B30*'Control Page'!$F11*I$107</f>
        <v>0</v>
      </c>
      <c r="J28" s="492">
        <f>+'Private Label Ass'!J12*'Private Label Ass'!$B30*'Control Page'!$F11*J$107</f>
        <v>0</v>
      </c>
      <c r="K28" s="492">
        <f>+'Private Label Ass'!K12*'Private Label Ass'!$B30*'Control Page'!$F11*K$107</f>
        <v>0</v>
      </c>
      <c r="L28" s="493">
        <f>+'Private Label Ass'!L12*'Private Label Ass'!$B30*'Control Page'!$F11*L$107</f>
        <v>0</v>
      </c>
    </row>
    <row r="29" spans="1:12" x14ac:dyDescent="0.2">
      <c r="A29" s="51" t="s">
        <v>68</v>
      </c>
      <c r="B29" s="491">
        <f>+'Private Label Ass'!B13*'Private Label Ass'!$B31*'Control Page'!$F12*B$107</f>
        <v>0</v>
      </c>
      <c r="C29" s="492">
        <f>+'Private Label Ass'!C13*'Private Label Ass'!$B31*'Control Page'!$F12*C$107</f>
        <v>0</v>
      </c>
      <c r="D29" s="492">
        <f>+'Private Label Ass'!D13*'Private Label Ass'!$B31*'Control Page'!$F12*D$107</f>
        <v>0</v>
      </c>
      <c r="E29" s="492">
        <f>+'Private Label Ass'!E13*'Private Label Ass'!$B31*'Control Page'!$F12*E$107</f>
        <v>0</v>
      </c>
      <c r="F29" s="492">
        <f>+'Private Label Ass'!F13*'Private Label Ass'!$B31*'Control Page'!$F12*F$107</f>
        <v>0</v>
      </c>
      <c r="G29" s="492">
        <f>+'Private Label Ass'!G13*'Private Label Ass'!$B31*'Control Page'!$F12*G$107</f>
        <v>0</v>
      </c>
      <c r="H29" s="492">
        <f>+'Private Label Ass'!H13*'Private Label Ass'!$B31*'Control Page'!$F12*H$107</f>
        <v>0</v>
      </c>
      <c r="I29" s="492">
        <f>+'Private Label Ass'!I13*'Private Label Ass'!$B31*'Control Page'!$F12*I$107</f>
        <v>0</v>
      </c>
      <c r="J29" s="492">
        <f>+'Private Label Ass'!J13*'Private Label Ass'!$B31*'Control Page'!$F12*J$107</f>
        <v>0</v>
      </c>
      <c r="K29" s="492">
        <f>+'Private Label Ass'!K13*'Private Label Ass'!$B31*'Control Page'!$F12*K$107</f>
        <v>0</v>
      </c>
      <c r="L29" s="493">
        <f>+'Private Label Ass'!L13*'Private Label Ass'!$B31*'Control Page'!$F12*L$107</f>
        <v>0</v>
      </c>
    </row>
    <row r="30" spans="1:12" x14ac:dyDescent="0.2">
      <c r="A30" s="51" t="s">
        <v>69</v>
      </c>
      <c r="B30" s="491">
        <f>+'Private Label Ass'!B14*'Private Label Ass'!$B32*'Control Page'!$F13*B$107</f>
        <v>0</v>
      </c>
      <c r="C30" s="492">
        <f>+'Private Label Ass'!C14*'Private Label Ass'!$B32*'Control Page'!$F13*C$107</f>
        <v>0</v>
      </c>
      <c r="D30" s="492">
        <f>+'Private Label Ass'!D14*'Private Label Ass'!$B32*'Control Page'!$F13*D$107</f>
        <v>0</v>
      </c>
      <c r="E30" s="492">
        <f>+'Private Label Ass'!E14*'Private Label Ass'!$B32*'Control Page'!$F13*E$107</f>
        <v>0</v>
      </c>
      <c r="F30" s="492">
        <f>+'Private Label Ass'!F14*'Private Label Ass'!$B32*'Control Page'!$F13*F$107</f>
        <v>0</v>
      </c>
      <c r="G30" s="492">
        <f>+'Private Label Ass'!G14*'Private Label Ass'!$B32*'Control Page'!$F13*G$107</f>
        <v>0</v>
      </c>
      <c r="H30" s="492">
        <f>+'Private Label Ass'!H14*'Private Label Ass'!$B32*'Control Page'!$F13*H$107</f>
        <v>0</v>
      </c>
      <c r="I30" s="492">
        <f>+'Private Label Ass'!I14*'Private Label Ass'!$B32*'Control Page'!$F13*I$107</f>
        <v>0</v>
      </c>
      <c r="J30" s="492">
        <f>+'Private Label Ass'!J14*'Private Label Ass'!$B32*'Control Page'!$F13*J$107</f>
        <v>0</v>
      </c>
      <c r="K30" s="492">
        <f>+'Private Label Ass'!K14*'Private Label Ass'!$B32*'Control Page'!$F13*K$107</f>
        <v>0</v>
      </c>
      <c r="L30" s="493">
        <f>+'Private Label Ass'!L14*'Private Label Ass'!$B32*'Control Page'!$F13*L$107</f>
        <v>0</v>
      </c>
    </row>
    <row r="31" spans="1:12" x14ac:dyDescent="0.2">
      <c r="A31" s="51" t="s">
        <v>70</v>
      </c>
      <c r="B31" s="491">
        <f>+'Private Label Ass'!B15*'Private Label Ass'!$B33*'Control Page'!$F14*B$107</f>
        <v>0</v>
      </c>
      <c r="C31" s="492">
        <f>+'Private Label Ass'!C15*'Private Label Ass'!$B33*'Control Page'!$F14*C$107</f>
        <v>0</v>
      </c>
      <c r="D31" s="492">
        <f>+'Private Label Ass'!D15*'Private Label Ass'!$B33*'Control Page'!$F14*D$107</f>
        <v>0</v>
      </c>
      <c r="E31" s="492">
        <f>+'Private Label Ass'!E15*'Private Label Ass'!$B33*'Control Page'!$F14*E$107</f>
        <v>0</v>
      </c>
      <c r="F31" s="492">
        <f>+'Private Label Ass'!F15*'Private Label Ass'!$B33*'Control Page'!$F14*F$107</f>
        <v>0</v>
      </c>
      <c r="G31" s="492">
        <f>+'Private Label Ass'!G15*'Private Label Ass'!$B33*'Control Page'!$F14*G$107</f>
        <v>0</v>
      </c>
      <c r="H31" s="492">
        <f>+'Private Label Ass'!H15*'Private Label Ass'!$B33*'Control Page'!$F14*H$107</f>
        <v>0</v>
      </c>
      <c r="I31" s="492">
        <f>+'Private Label Ass'!I15*'Private Label Ass'!$B33*'Control Page'!$F14*I$107</f>
        <v>0</v>
      </c>
      <c r="J31" s="492">
        <f>+'Private Label Ass'!J15*'Private Label Ass'!$B33*'Control Page'!$F14*J$107</f>
        <v>0</v>
      </c>
      <c r="K31" s="492">
        <f>+'Private Label Ass'!K15*'Private Label Ass'!$B33*'Control Page'!$F14*K$107</f>
        <v>0</v>
      </c>
      <c r="L31" s="493">
        <f>+'Private Label Ass'!L15*'Private Label Ass'!$B33*'Control Page'!$F14*L$107</f>
        <v>0</v>
      </c>
    </row>
    <row r="32" spans="1:12" x14ac:dyDescent="0.2">
      <c r="A32" s="51" t="s">
        <v>71</v>
      </c>
      <c r="B32" s="491">
        <f>+'Private Label Ass'!B16*'Private Label Ass'!$B34*'Control Page'!$F15*B$107</f>
        <v>0</v>
      </c>
      <c r="C32" s="492">
        <f>+'Private Label Ass'!C16*'Private Label Ass'!$B34*'Control Page'!$F15*C$107</f>
        <v>0</v>
      </c>
      <c r="D32" s="492">
        <f>+'Private Label Ass'!D16*'Private Label Ass'!$B34*'Control Page'!$F15*D$107</f>
        <v>0</v>
      </c>
      <c r="E32" s="492">
        <f>+'Private Label Ass'!E16*'Private Label Ass'!$B34*'Control Page'!$F15*E$107</f>
        <v>0</v>
      </c>
      <c r="F32" s="492">
        <f>+'Private Label Ass'!F16*'Private Label Ass'!$B34*'Control Page'!$F15*F$107</f>
        <v>0</v>
      </c>
      <c r="G32" s="492">
        <f>+'Private Label Ass'!G16*'Private Label Ass'!$B34*'Control Page'!$F15*G$107</f>
        <v>0</v>
      </c>
      <c r="H32" s="492">
        <f>+'Private Label Ass'!H16*'Private Label Ass'!$B34*'Control Page'!$F15*H$107</f>
        <v>0</v>
      </c>
      <c r="I32" s="492">
        <f>+'Private Label Ass'!I16*'Private Label Ass'!$B34*'Control Page'!$F15*I$107</f>
        <v>0</v>
      </c>
      <c r="J32" s="492">
        <f>+'Private Label Ass'!J16*'Private Label Ass'!$B34*'Control Page'!$F15*J$107</f>
        <v>0</v>
      </c>
      <c r="K32" s="492">
        <f>+'Private Label Ass'!K16*'Private Label Ass'!$B34*'Control Page'!$F15*K$107</f>
        <v>0</v>
      </c>
      <c r="L32" s="493">
        <f>+'Private Label Ass'!L16*'Private Label Ass'!$B34*'Control Page'!$F15*L$107</f>
        <v>0</v>
      </c>
    </row>
    <row r="33" spans="1:12" x14ac:dyDescent="0.2">
      <c r="A33" s="71" t="s">
        <v>119</v>
      </c>
      <c r="B33" s="491">
        <f>+'Private Label Ass'!B17*'Private Label Ass'!$B35*'Control Page'!$F16*B$107</f>
        <v>0</v>
      </c>
      <c r="C33" s="492">
        <f>+'Private Label Ass'!C17*'Private Label Ass'!$B35*'Control Page'!$F16*C$107</f>
        <v>0</v>
      </c>
      <c r="D33" s="492">
        <f>+'Private Label Ass'!D17*'Private Label Ass'!$B35*'Control Page'!$F16*D$107</f>
        <v>0</v>
      </c>
      <c r="E33" s="492">
        <f>+'Private Label Ass'!E17*'Private Label Ass'!$B35*'Control Page'!$F16*E$107</f>
        <v>0</v>
      </c>
      <c r="F33" s="492">
        <f>+'Private Label Ass'!F17*'Private Label Ass'!$B35*'Control Page'!$F16*F$107</f>
        <v>0</v>
      </c>
      <c r="G33" s="492">
        <f>+'Private Label Ass'!G17*'Private Label Ass'!$B35*'Control Page'!$F16*G$107</f>
        <v>0</v>
      </c>
      <c r="H33" s="492">
        <f>+'Private Label Ass'!H17*'Private Label Ass'!$B35*'Control Page'!$F16*H$107</f>
        <v>0</v>
      </c>
      <c r="I33" s="492">
        <f>+'Private Label Ass'!I17*'Private Label Ass'!$B35*'Control Page'!$F16*I$107</f>
        <v>0</v>
      </c>
      <c r="J33" s="492">
        <f>+'Private Label Ass'!J17*'Private Label Ass'!$B35*'Control Page'!$F16*J$107</f>
        <v>0</v>
      </c>
      <c r="K33" s="492">
        <f>+'Private Label Ass'!K17*'Private Label Ass'!$B35*'Control Page'!$F16*K$107</f>
        <v>0</v>
      </c>
      <c r="L33" s="493">
        <f>+'Private Label Ass'!L17*'Private Label Ass'!$B35*'Control Page'!$F16*L$107</f>
        <v>0</v>
      </c>
    </row>
    <row r="34" spans="1:12" x14ac:dyDescent="0.2">
      <c r="A34" s="71" t="s">
        <v>120</v>
      </c>
      <c r="B34" s="491">
        <f>+'Private Label Ass'!B18*'Private Label Ass'!$B36*'Control Page'!$F17*B$107</f>
        <v>0</v>
      </c>
      <c r="C34" s="492">
        <f>+'Private Label Ass'!C18*'Private Label Ass'!$B36*'Control Page'!$F17*C$107</f>
        <v>0</v>
      </c>
      <c r="D34" s="492">
        <f>+'Private Label Ass'!D18*'Private Label Ass'!$B36*'Control Page'!$F17*D$107</f>
        <v>0</v>
      </c>
      <c r="E34" s="492">
        <f>+'Private Label Ass'!E18*'Private Label Ass'!$B36*'Control Page'!$F17*E$107</f>
        <v>0</v>
      </c>
      <c r="F34" s="492">
        <f>+'Private Label Ass'!F18*'Private Label Ass'!$B36*'Control Page'!$F17*F$107</f>
        <v>0</v>
      </c>
      <c r="G34" s="492">
        <f>+'Private Label Ass'!G18*'Private Label Ass'!$B36*'Control Page'!$F17*G$107</f>
        <v>0</v>
      </c>
      <c r="H34" s="492">
        <f>+'Private Label Ass'!H18*'Private Label Ass'!$B36*'Control Page'!$F17*H$107</f>
        <v>0</v>
      </c>
      <c r="I34" s="492">
        <f>+'Private Label Ass'!I18*'Private Label Ass'!$B36*'Control Page'!$F17*I$107</f>
        <v>0</v>
      </c>
      <c r="J34" s="492">
        <f>+'Private Label Ass'!J18*'Private Label Ass'!$B36*'Control Page'!$F17*J$107</f>
        <v>0</v>
      </c>
      <c r="K34" s="492">
        <f>+'Private Label Ass'!K18*'Private Label Ass'!$B36*'Control Page'!$F17*K$107</f>
        <v>0</v>
      </c>
      <c r="L34" s="493">
        <f>+'Private Label Ass'!L18*'Private Label Ass'!$B36*'Control Page'!$F17*L$107</f>
        <v>0</v>
      </c>
    </row>
    <row r="35" spans="1:12" ht="13.5" thickBot="1" x14ac:dyDescent="0.25">
      <c r="A35" s="52" t="s">
        <v>113</v>
      </c>
      <c r="B35" s="494">
        <f>+'Private Label Ass'!B19*'Private Label Ass'!$B37*'Control Page'!$F18*B$107</f>
        <v>0</v>
      </c>
      <c r="C35" s="495">
        <f>+'Private Label Ass'!C19*'Private Label Ass'!$B37*'Control Page'!$F18*C$107</f>
        <v>0</v>
      </c>
      <c r="D35" s="495">
        <f>+'Private Label Ass'!D19*'Private Label Ass'!$B37*'Control Page'!$F18*D$107</f>
        <v>0</v>
      </c>
      <c r="E35" s="495">
        <f>+'Private Label Ass'!E19*'Private Label Ass'!$B37*'Control Page'!$F18*E$107</f>
        <v>0</v>
      </c>
      <c r="F35" s="495">
        <f>+'Private Label Ass'!F19*'Private Label Ass'!$B37*'Control Page'!$F18*F$107</f>
        <v>0</v>
      </c>
      <c r="G35" s="495">
        <f>+'Private Label Ass'!G19*'Private Label Ass'!$B37*'Control Page'!$F18*G$107</f>
        <v>0</v>
      </c>
      <c r="H35" s="495">
        <f>+'Private Label Ass'!H19*'Private Label Ass'!$B37*'Control Page'!$F18*H$107</f>
        <v>0</v>
      </c>
      <c r="I35" s="495">
        <f>+'Private Label Ass'!I19*'Private Label Ass'!$B37*'Control Page'!$F18*I$107</f>
        <v>0</v>
      </c>
      <c r="J35" s="495">
        <f>+'Private Label Ass'!J19*'Private Label Ass'!$B37*'Control Page'!$F18*J$107</f>
        <v>0</v>
      </c>
      <c r="K35" s="495">
        <f>+'Private Label Ass'!K19*'Private Label Ass'!$B37*'Control Page'!$F18*K$107</f>
        <v>0</v>
      </c>
      <c r="L35" s="496">
        <f>+'Private Label Ass'!L19*'Private Label Ass'!$B37*'Control Page'!$F18*L$107</f>
        <v>0</v>
      </c>
    </row>
    <row r="36" spans="1:12" ht="13.5" thickBot="1" x14ac:dyDescent="0.25">
      <c r="A36" s="36" t="s">
        <v>462</v>
      </c>
      <c r="B36" s="497">
        <f t="shared" ref="B36:L36" si="14">SUM(B24:B35)</f>
        <v>7700</v>
      </c>
      <c r="C36" s="498">
        <f t="shared" si="14"/>
        <v>7877.0999999999995</v>
      </c>
      <c r="D36" s="498">
        <f t="shared" si="14"/>
        <v>8034.6419999999989</v>
      </c>
      <c r="E36" s="498">
        <f t="shared" si="14"/>
        <v>8211.4041239999988</v>
      </c>
      <c r="F36" s="498">
        <f t="shared" si="14"/>
        <v>8400.2664188519975</v>
      </c>
      <c r="G36" s="498">
        <f t="shared" si="14"/>
        <v>8610.2730793232968</v>
      </c>
      <c r="H36" s="498">
        <f t="shared" si="14"/>
        <v>8821.2247697667171</v>
      </c>
      <c r="I36" s="498">
        <f t="shared" si="14"/>
        <v>9032.93416424112</v>
      </c>
      <c r="J36" s="498">
        <f t="shared" si="14"/>
        <v>9247.9179973500577</v>
      </c>
      <c r="K36" s="498">
        <f t="shared" si="14"/>
        <v>9460.6201112891067</v>
      </c>
      <c r="L36" s="499">
        <f t="shared" si="14"/>
        <v>9676.3222498264986</v>
      </c>
    </row>
    <row r="37" spans="1:12" x14ac:dyDescent="0.2">
      <c r="B37">
        <f>+B$107</f>
        <v>1</v>
      </c>
    </row>
    <row r="38" spans="1:12" x14ac:dyDescent="0.2">
      <c r="A38" s="8" t="s">
        <v>500</v>
      </c>
    </row>
    <row r="39" spans="1:12" ht="13.5" thickBot="1" x14ac:dyDescent="0.25"/>
    <row r="40" spans="1:12" ht="13.5" thickBot="1" x14ac:dyDescent="0.25">
      <c r="B40" s="440">
        <v>2001</v>
      </c>
      <c r="C40" s="441">
        <v>2002</v>
      </c>
      <c r="D40" s="441">
        <v>2003</v>
      </c>
      <c r="E40" s="441">
        <v>2004</v>
      </c>
      <c r="F40" s="441">
        <v>2005</v>
      </c>
      <c r="G40" s="441">
        <v>2006</v>
      </c>
      <c r="H40" s="441">
        <v>2007</v>
      </c>
      <c r="I40" s="441">
        <v>2008</v>
      </c>
      <c r="J40" s="441">
        <v>2009</v>
      </c>
      <c r="K40" s="441">
        <v>2010</v>
      </c>
      <c r="L40" s="442">
        <v>2011</v>
      </c>
    </row>
    <row r="41" spans="1:12" x14ac:dyDescent="0.2">
      <c r="A41" s="50" t="s">
        <v>64</v>
      </c>
      <c r="B41" s="488">
        <f>SUM('Private Label Ass'!$B8:B8)*'Private Label Ass'!$C26*'Control Page'!$F7*B$107</f>
        <v>5117</v>
      </c>
      <c r="C41" s="489">
        <f>SUM('Private Label Ass'!$B8:C8)*'Private Label Ass'!$C26*'Control Page'!$F7*C$107</f>
        <v>10469.382</v>
      </c>
      <c r="D41" s="489">
        <f>SUM('Private Label Ass'!$B8:D8)*'Private Label Ass'!$C26*'Control Page'!$F7*D$107</f>
        <v>16018.154459999998</v>
      </c>
      <c r="E41" s="489">
        <f>SUM('Private Label Ass'!$B8:E8)*'Private Label Ass'!$C26*'Control Page'!$F7*E$107</f>
        <v>21827.405144159995</v>
      </c>
      <c r="F41" s="489">
        <f>SUM('Private Label Ass'!$B8:F8)*'Private Label Ass'!$C26*'Control Page'!$F7*F$107</f>
        <v>27911.794328094591</v>
      </c>
      <c r="G41" s="489">
        <f>SUM('Private Label Ass'!$B8:G8)*'Private Label Ass'!$C26*'Control Page'!$F7*G$107</f>
        <v>34331.507023556347</v>
      </c>
      <c r="H41" s="489">
        <f>SUM('Private Label Ass'!$B8:H8)*'Private Label Ass'!$C26*'Control Page'!$F7*H$107</f>
        <v>41034.733769905724</v>
      </c>
      <c r="I41" s="489">
        <f>SUM('Private Label Ass'!$B8:I8)*'Private Label Ass'!$C26*'Control Page'!$F7*I$107</f>
        <v>48022.362720438243</v>
      </c>
      <c r="J41" s="489">
        <f>SUM('Private Label Ass'!$B8:J8)*'Private Label Ass'!$C26*'Control Page'!$F7*J$107</f>
        <v>55310.956822332751</v>
      </c>
      <c r="K41" s="489">
        <f>SUM('Private Label Ass'!$B8:K8)*'Private Label Ass'!$C26*'Control Page'!$F7*K$107</f>
        <v>62870.120921384885</v>
      </c>
      <c r="L41" s="490">
        <f>SUM('Private Label Ass'!$B8:L8)*'Private Label Ass'!$C26*'Control Page'!$F7*L$107</f>
        <v>70733.915646231704</v>
      </c>
    </row>
    <row r="42" spans="1:12" x14ac:dyDescent="0.2">
      <c r="A42" s="51" t="s">
        <v>65</v>
      </c>
      <c r="B42" s="491">
        <f>SUM('Private Label Ass'!$B9:B9)*'Private Label Ass'!$C27*'Control Page'!$F8*B$107</f>
        <v>0</v>
      </c>
      <c r="C42" s="492">
        <f>SUM('Private Label Ass'!$B9:C9)*'Private Label Ass'!$C27*'Control Page'!$F8*C$107</f>
        <v>0</v>
      </c>
      <c r="D42" s="492">
        <f>SUM('Private Label Ass'!$B9:D9)*'Private Label Ass'!$C27*'Control Page'!$F8*D$107</f>
        <v>0</v>
      </c>
      <c r="E42" s="492">
        <f>SUM('Private Label Ass'!$B9:E9)*'Private Label Ass'!$C27*'Control Page'!$F8*E$107</f>
        <v>0</v>
      </c>
      <c r="F42" s="492">
        <f>SUM('Private Label Ass'!$B9:F9)*'Private Label Ass'!$C27*'Control Page'!$F8*F$107</f>
        <v>0</v>
      </c>
      <c r="G42" s="492">
        <f>SUM('Private Label Ass'!$B9:G9)*'Private Label Ass'!$C27*'Control Page'!$F8*G$107</f>
        <v>0</v>
      </c>
      <c r="H42" s="492">
        <f>SUM('Private Label Ass'!$B9:H9)*'Private Label Ass'!$C27*'Control Page'!$F8*H$107</f>
        <v>0</v>
      </c>
      <c r="I42" s="492">
        <f>SUM('Private Label Ass'!$B9:I9)*'Private Label Ass'!$C27*'Control Page'!$F8*I$107</f>
        <v>0</v>
      </c>
      <c r="J42" s="492">
        <f>SUM('Private Label Ass'!$B9:J9)*'Private Label Ass'!$C27*'Control Page'!$F8*J$107</f>
        <v>0</v>
      </c>
      <c r="K42" s="492">
        <f>SUM('Private Label Ass'!$B9:K9)*'Private Label Ass'!$C27*'Control Page'!$F8*K$107</f>
        <v>0</v>
      </c>
      <c r="L42" s="493">
        <f>SUM('Private Label Ass'!$B9:L9)*'Private Label Ass'!$C27*'Control Page'!$F8*L$107</f>
        <v>0</v>
      </c>
    </row>
    <row r="43" spans="1:12" x14ac:dyDescent="0.2">
      <c r="A43" s="51" t="s">
        <v>66</v>
      </c>
      <c r="B43" s="491">
        <f>SUM('Private Label Ass'!$B10:B10)*'Private Label Ass'!$C28*'Control Page'!$F9*B$107</f>
        <v>0</v>
      </c>
      <c r="C43" s="492">
        <f>SUM('Private Label Ass'!$B10:C10)*'Private Label Ass'!$C28*'Control Page'!$F9*C$107</f>
        <v>0</v>
      </c>
      <c r="D43" s="492">
        <f>SUM('Private Label Ass'!$B10:D10)*'Private Label Ass'!$C28*'Control Page'!$F9*D$107</f>
        <v>0</v>
      </c>
      <c r="E43" s="492">
        <f>SUM('Private Label Ass'!$B10:E10)*'Private Label Ass'!$C28*'Control Page'!$F9*E$107</f>
        <v>0</v>
      </c>
      <c r="F43" s="492">
        <f>SUM('Private Label Ass'!$B10:F10)*'Private Label Ass'!$C28*'Control Page'!$F9*F$107</f>
        <v>0</v>
      </c>
      <c r="G43" s="492">
        <f>SUM('Private Label Ass'!$B10:G10)*'Private Label Ass'!$C28*'Control Page'!$F9*G$107</f>
        <v>0</v>
      </c>
      <c r="H43" s="492">
        <f>SUM('Private Label Ass'!$B10:H10)*'Private Label Ass'!$C28*'Control Page'!$F9*H$107</f>
        <v>0</v>
      </c>
      <c r="I43" s="492">
        <f>SUM('Private Label Ass'!$B10:I10)*'Private Label Ass'!$C28*'Control Page'!$F9*I$107</f>
        <v>0</v>
      </c>
      <c r="J43" s="492">
        <f>SUM('Private Label Ass'!$B10:J10)*'Private Label Ass'!$C28*'Control Page'!$F9*J$107</f>
        <v>0</v>
      </c>
      <c r="K43" s="492">
        <f>SUM('Private Label Ass'!$B10:K10)*'Private Label Ass'!$C28*'Control Page'!$F9*K$107</f>
        <v>0</v>
      </c>
      <c r="L43" s="493">
        <f>SUM('Private Label Ass'!$B10:L10)*'Private Label Ass'!$C28*'Control Page'!$F9*L$107</f>
        <v>0</v>
      </c>
    </row>
    <row r="44" spans="1:12" x14ac:dyDescent="0.2">
      <c r="A44" s="51" t="s">
        <v>112</v>
      </c>
      <c r="B44" s="491">
        <f>SUM('Private Label Ass'!$B11:B11)*'Private Label Ass'!$C29*'Control Page'!$F10*B$107</f>
        <v>0</v>
      </c>
      <c r="C44" s="492">
        <f>SUM('Private Label Ass'!$B11:C11)*'Private Label Ass'!$C29*'Control Page'!$F10*C$107</f>
        <v>0</v>
      </c>
      <c r="D44" s="492">
        <f>SUM('Private Label Ass'!$B11:D11)*'Private Label Ass'!$C29*'Control Page'!$F10*D$107</f>
        <v>0</v>
      </c>
      <c r="E44" s="492">
        <f>SUM('Private Label Ass'!$B11:E11)*'Private Label Ass'!$C29*'Control Page'!$F10*E$107</f>
        <v>0</v>
      </c>
      <c r="F44" s="492">
        <f>SUM('Private Label Ass'!$B11:F11)*'Private Label Ass'!$C29*'Control Page'!$F10*F$107</f>
        <v>0</v>
      </c>
      <c r="G44" s="492">
        <f>SUM('Private Label Ass'!$B11:G11)*'Private Label Ass'!$C29*'Control Page'!$F10*G$107</f>
        <v>0</v>
      </c>
      <c r="H44" s="492">
        <f>SUM('Private Label Ass'!$B11:H11)*'Private Label Ass'!$C29*'Control Page'!$F10*H$107</f>
        <v>0</v>
      </c>
      <c r="I44" s="492">
        <f>SUM('Private Label Ass'!$B11:I11)*'Private Label Ass'!$C29*'Control Page'!$F10*I$107</f>
        <v>0</v>
      </c>
      <c r="J44" s="492">
        <f>SUM('Private Label Ass'!$B11:J11)*'Private Label Ass'!$C29*'Control Page'!$F10*J$107</f>
        <v>0</v>
      </c>
      <c r="K44" s="492">
        <f>SUM('Private Label Ass'!$B11:K11)*'Private Label Ass'!$C29*'Control Page'!$F10*K$107</f>
        <v>0</v>
      </c>
      <c r="L44" s="493">
        <f>SUM('Private Label Ass'!$B11:L11)*'Private Label Ass'!$C29*'Control Page'!$F10*L$107</f>
        <v>0</v>
      </c>
    </row>
    <row r="45" spans="1:12" x14ac:dyDescent="0.2">
      <c r="A45" s="51" t="s">
        <v>67</v>
      </c>
      <c r="B45" s="491">
        <f>SUM('Private Label Ass'!$B12:B12)*'Private Label Ass'!$C30*'Control Page'!$F11*B$107</f>
        <v>0</v>
      </c>
      <c r="C45" s="492">
        <f>SUM('Private Label Ass'!$B12:C12)*'Private Label Ass'!$C30*'Control Page'!$F11*C$107</f>
        <v>0</v>
      </c>
      <c r="D45" s="492">
        <f>SUM('Private Label Ass'!$B12:D12)*'Private Label Ass'!$C30*'Control Page'!$F11*D$107</f>
        <v>0</v>
      </c>
      <c r="E45" s="492">
        <f>SUM('Private Label Ass'!$B12:E12)*'Private Label Ass'!$C30*'Control Page'!$F11*E$107</f>
        <v>0</v>
      </c>
      <c r="F45" s="492">
        <f>SUM('Private Label Ass'!$B12:F12)*'Private Label Ass'!$C30*'Control Page'!$F11*F$107</f>
        <v>0</v>
      </c>
      <c r="G45" s="492">
        <f>SUM('Private Label Ass'!$B12:G12)*'Private Label Ass'!$C30*'Control Page'!$F11*G$107</f>
        <v>0</v>
      </c>
      <c r="H45" s="492">
        <f>SUM('Private Label Ass'!$B12:H12)*'Private Label Ass'!$C30*'Control Page'!$F11*H$107</f>
        <v>0</v>
      </c>
      <c r="I45" s="492">
        <f>SUM('Private Label Ass'!$B12:I12)*'Private Label Ass'!$C30*'Control Page'!$F11*I$107</f>
        <v>0</v>
      </c>
      <c r="J45" s="492">
        <f>SUM('Private Label Ass'!$B12:J12)*'Private Label Ass'!$C30*'Control Page'!$F11*J$107</f>
        <v>0</v>
      </c>
      <c r="K45" s="492">
        <f>SUM('Private Label Ass'!$B12:K12)*'Private Label Ass'!$C30*'Control Page'!$F11*K$107</f>
        <v>0</v>
      </c>
      <c r="L45" s="493">
        <f>SUM('Private Label Ass'!$B12:L12)*'Private Label Ass'!$C30*'Control Page'!$F11*L$107</f>
        <v>0</v>
      </c>
    </row>
    <row r="46" spans="1:12" x14ac:dyDescent="0.2">
      <c r="A46" s="51" t="s">
        <v>68</v>
      </c>
      <c r="B46" s="491">
        <f>SUM('Private Label Ass'!$B13:B13)*'Private Label Ass'!$C31*'Control Page'!$F12*B$107</f>
        <v>0</v>
      </c>
      <c r="C46" s="492">
        <f>SUM('Private Label Ass'!$B13:C13)*'Private Label Ass'!$C31*'Control Page'!$F12*C$107</f>
        <v>0</v>
      </c>
      <c r="D46" s="492">
        <f>SUM('Private Label Ass'!$B13:D13)*'Private Label Ass'!$C31*'Control Page'!$F12*D$107</f>
        <v>0</v>
      </c>
      <c r="E46" s="492">
        <f>SUM('Private Label Ass'!$B13:E13)*'Private Label Ass'!$C31*'Control Page'!$F12*E$107</f>
        <v>0</v>
      </c>
      <c r="F46" s="492">
        <f>SUM('Private Label Ass'!$B13:F13)*'Private Label Ass'!$C31*'Control Page'!$F12*F$107</f>
        <v>0</v>
      </c>
      <c r="G46" s="492">
        <f>SUM('Private Label Ass'!$B13:G13)*'Private Label Ass'!$C31*'Control Page'!$F12*G$107</f>
        <v>0</v>
      </c>
      <c r="H46" s="492">
        <f>SUM('Private Label Ass'!$B13:H13)*'Private Label Ass'!$C31*'Control Page'!$F12*H$107</f>
        <v>0</v>
      </c>
      <c r="I46" s="492">
        <f>SUM('Private Label Ass'!$B13:I13)*'Private Label Ass'!$C31*'Control Page'!$F12*I$107</f>
        <v>0</v>
      </c>
      <c r="J46" s="492">
        <f>SUM('Private Label Ass'!$B13:J13)*'Private Label Ass'!$C31*'Control Page'!$F12*J$107</f>
        <v>0</v>
      </c>
      <c r="K46" s="492">
        <f>SUM('Private Label Ass'!$B13:K13)*'Private Label Ass'!$C31*'Control Page'!$F12*K$107</f>
        <v>0</v>
      </c>
      <c r="L46" s="493">
        <f>SUM('Private Label Ass'!$B13:L13)*'Private Label Ass'!$C31*'Control Page'!$F12*L$107</f>
        <v>0</v>
      </c>
    </row>
    <row r="47" spans="1:12" x14ac:dyDescent="0.2">
      <c r="A47" s="51" t="s">
        <v>69</v>
      </c>
      <c r="B47" s="491">
        <f>SUM('Private Label Ass'!$B14:B14)*'Private Label Ass'!$C32*'Control Page'!$F13*B$107</f>
        <v>0</v>
      </c>
      <c r="C47" s="492">
        <f>SUM('Private Label Ass'!$B14:C14)*'Private Label Ass'!$C32*'Control Page'!$F13*C$107</f>
        <v>0</v>
      </c>
      <c r="D47" s="492">
        <f>SUM('Private Label Ass'!$B14:D14)*'Private Label Ass'!$C32*'Control Page'!$F13*D$107</f>
        <v>0</v>
      </c>
      <c r="E47" s="492">
        <f>SUM('Private Label Ass'!$B14:E14)*'Private Label Ass'!$C32*'Control Page'!$F13*E$107</f>
        <v>0</v>
      </c>
      <c r="F47" s="492">
        <f>SUM('Private Label Ass'!$B14:F14)*'Private Label Ass'!$C32*'Control Page'!$F13*F$107</f>
        <v>0</v>
      </c>
      <c r="G47" s="492">
        <f>SUM('Private Label Ass'!$B14:G14)*'Private Label Ass'!$C32*'Control Page'!$F13*G$107</f>
        <v>0</v>
      </c>
      <c r="H47" s="492">
        <f>SUM('Private Label Ass'!$B14:H14)*'Private Label Ass'!$C32*'Control Page'!$F13*H$107</f>
        <v>0</v>
      </c>
      <c r="I47" s="492">
        <f>SUM('Private Label Ass'!$B14:I14)*'Private Label Ass'!$C32*'Control Page'!$F13*I$107</f>
        <v>0</v>
      </c>
      <c r="J47" s="492">
        <f>SUM('Private Label Ass'!$B14:J14)*'Private Label Ass'!$C32*'Control Page'!$F13*J$107</f>
        <v>0</v>
      </c>
      <c r="K47" s="492">
        <f>SUM('Private Label Ass'!$B14:K14)*'Private Label Ass'!$C32*'Control Page'!$F13*K$107</f>
        <v>0</v>
      </c>
      <c r="L47" s="493">
        <f>SUM('Private Label Ass'!$B14:L14)*'Private Label Ass'!$C32*'Control Page'!$F13*L$107</f>
        <v>0</v>
      </c>
    </row>
    <row r="48" spans="1:12" x14ac:dyDescent="0.2">
      <c r="A48" s="51" t="s">
        <v>70</v>
      </c>
      <c r="B48" s="491">
        <f>SUM('Private Label Ass'!$B15:B15)*'Private Label Ass'!$C33*'Control Page'!$F14*B$107</f>
        <v>0</v>
      </c>
      <c r="C48" s="492">
        <f>SUM('Private Label Ass'!$B15:C15)*'Private Label Ass'!$C33*'Control Page'!$F14*C$107</f>
        <v>0</v>
      </c>
      <c r="D48" s="492">
        <f>SUM('Private Label Ass'!$B15:D15)*'Private Label Ass'!$C33*'Control Page'!$F14*D$107</f>
        <v>0</v>
      </c>
      <c r="E48" s="492">
        <f>SUM('Private Label Ass'!$B15:E15)*'Private Label Ass'!$C33*'Control Page'!$F14*E$107</f>
        <v>0</v>
      </c>
      <c r="F48" s="492">
        <f>SUM('Private Label Ass'!$B15:F15)*'Private Label Ass'!$C33*'Control Page'!$F14*F$107</f>
        <v>0</v>
      </c>
      <c r="G48" s="492">
        <f>SUM('Private Label Ass'!$B15:G15)*'Private Label Ass'!$C33*'Control Page'!$F14*G$107</f>
        <v>0</v>
      </c>
      <c r="H48" s="492">
        <f>SUM('Private Label Ass'!$B15:H15)*'Private Label Ass'!$C33*'Control Page'!$F14*H$107</f>
        <v>0</v>
      </c>
      <c r="I48" s="492">
        <f>SUM('Private Label Ass'!$B15:I15)*'Private Label Ass'!$C33*'Control Page'!$F14*I$107</f>
        <v>0</v>
      </c>
      <c r="J48" s="492">
        <f>SUM('Private Label Ass'!$B15:J15)*'Private Label Ass'!$C33*'Control Page'!$F14*J$107</f>
        <v>0</v>
      </c>
      <c r="K48" s="492">
        <f>SUM('Private Label Ass'!$B15:K15)*'Private Label Ass'!$C33*'Control Page'!$F14*K$107</f>
        <v>0</v>
      </c>
      <c r="L48" s="493">
        <f>SUM('Private Label Ass'!$B15:L15)*'Private Label Ass'!$C33*'Control Page'!$F14*L$107</f>
        <v>0</v>
      </c>
    </row>
    <row r="49" spans="1:12" x14ac:dyDescent="0.2">
      <c r="A49" s="51" t="s">
        <v>71</v>
      </c>
      <c r="B49" s="491">
        <f>SUM('Private Label Ass'!$B16:B16)*'Private Label Ass'!$C34*'Control Page'!$F15*B$107</f>
        <v>0</v>
      </c>
      <c r="C49" s="492">
        <f>SUM('Private Label Ass'!$B16:C16)*'Private Label Ass'!$C34*'Control Page'!$F15*C$107</f>
        <v>0</v>
      </c>
      <c r="D49" s="492">
        <f>SUM('Private Label Ass'!$B16:D16)*'Private Label Ass'!$C34*'Control Page'!$F15*D$107</f>
        <v>0</v>
      </c>
      <c r="E49" s="492">
        <f>SUM('Private Label Ass'!$B16:E16)*'Private Label Ass'!$C34*'Control Page'!$F15*E$107</f>
        <v>0</v>
      </c>
      <c r="F49" s="492">
        <f>SUM('Private Label Ass'!$B16:F16)*'Private Label Ass'!$C34*'Control Page'!$F15*F$107</f>
        <v>0</v>
      </c>
      <c r="G49" s="492">
        <f>SUM('Private Label Ass'!$B16:G16)*'Private Label Ass'!$C34*'Control Page'!$F15*G$107</f>
        <v>0</v>
      </c>
      <c r="H49" s="492">
        <f>SUM('Private Label Ass'!$B16:H16)*'Private Label Ass'!$C34*'Control Page'!$F15*H$107</f>
        <v>0</v>
      </c>
      <c r="I49" s="492">
        <f>SUM('Private Label Ass'!$B16:I16)*'Private Label Ass'!$C34*'Control Page'!$F15*I$107</f>
        <v>0</v>
      </c>
      <c r="J49" s="492">
        <f>SUM('Private Label Ass'!$B16:J16)*'Private Label Ass'!$C34*'Control Page'!$F15*J$107</f>
        <v>0</v>
      </c>
      <c r="K49" s="492">
        <f>SUM('Private Label Ass'!$B16:K16)*'Private Label Ass'!$C34*'Control Page'!$F15*K$107</f>
        <v>0</v>
      </c>
      <c r="L49" s="493">
        <f>SUM('Private Label Ass'!$B16:L16)*'Private Label Ass'!$C34*'Control Page'!$F15*L$107</f>
        <v>0</v>
      </c>
    </row>
    <row r="50" spans="1:12" x14ac:dyDescent="0.2">
      <c r="A50" s="71" t="s">
        <v>119</v>
      </c>
      <c r="B50" s="491">
        <f>SUM('Private Label Ass'!$B17:B17)*'Private Label Ass'!$C35*'Control Page'!$F16*B$107</f>
        <v>0</v>
      </c>
      <c r="C50" s="492">
        <f>SUM('Private Label Ass'!$B17:C17)*'Private Label Ass'!$C35*'Control Page'!$F16*C$107</f>
        <v>0</v>
      </c>
      <c r="D50" s="492">
        <f>SUM('Private Label Ass'!$B17:D17)*'Private Label Ass'!$C35*'Control Page'!$F16*D$107</f>
        <v>0</v>
      </c>
      <c r="E50" s="492">
        <f>SUM('Private Label Ass'!$B17:E17)*'Private Label Ass'!$C35*'Control Page'!$F16*E$107</f>
        <v>0</v>
      </c>
      <c r="F50" s="492">
        <f>SUM('Private Label Ass'!$B17:F17)*'Private Label Ass'!$C35*'Control Page'!$F16*F$107</f>
        <v>0</v>
      </c>
      <c r="G50" s="492">
        <f>SUM('Private Label Ass'!$B17:G17)*'Private Label Ass'!$C35*'Control Page'!$F16*G$107</f>
        <v>0</v>
      </c>
      <c r="H50" s="492">
        <f>SUM('Private Label Ass'!$B17:H17)*'Private Label Ass'!$C35*'Control Page'!$F16*H$107</f>
        <v>0</v>
      </c>
      <c r="I50" s="492">
        <f>SUM('Private Label Ass'!$B17:I17)*'Private Label Ass'!$C35*'Control Page'!$F16*I$107</f>
        <v>0</v>
      </c>
      <c r="J50" s="492">
        <f>SUM('Private Label Ass'!$B17:J17)*'Private Label Ass'!$C35*'Control Page'!$F16*J$107</f>
        <v>0</v>
      </c>
      <c r="K50" s="492">
        <f>SUM('Private Label Ass'!$B17:K17)*'Private Label Ass'!$C35*'Control Page'!$F16*K$107</f>
        <v>0</v>
      </c>
      <c r="L50" s="493">
        <f>SUM('Private Label Ass'!$B17:L17)*'Private Label Ass'!$C35*'Control Page'!$F16*L$107</f>
        <v>0</v>
      </c>
    </row>
    <row r="51" spans="1:12" x14ac:dyDescent="0.2">
      <c r="A51" s="71" t="s">
        <v>120</v>
      </c>
      <c r="B51" s="491">
        <f>SUM('Private Label Ass'!$B18:B18)*'Private Label Ass'!$C36*'Control Page'!$F17*B$107</f>
        <v>0</v>
      </c>
      <c r="C51" s="492">
        <f>SUM('Private Label Ass'!$B18:C18)*'Private Label Ass'!$C36*'Control Page'!$F17*C$107</f>
        <v>0</v>
      </c>
      <c r="D51" s="492">
        <f>SUM('Private Label Ass'!$B18:D18)*'Private Label Ass'!$C36*'Control Page'!$F17*D$107</f>
        <v>0</v>
      </c>
      <c r="E51" s="492">
        <f>SUM('Private Label Ass'!$B18:E18)*'Private Label Ass'!$C36*'Control Page'!$F17*E$107</f>
        <v>0</v>
      </c>
      <c r="F51" s="492">
        <f>SUM('Private Label Ass'!$B18:F18)*'Private Label Ass'!$C36*'Control Page'!$F17*F$107</f>
        <v>0</v>
      </c>
      <c r="G51" s="492">
        <f>SUM('Private Label Ass'!$B18:G18)*'Private Label Ass'!$C36*'Control Page'!$F17*G$107</f>
        <v>0</v>
      </c>
      <c r="H51" s="492">
        <f>SUM('Private Label Ass'!$B18:H18)*'Private Label Ass'!$C36*'Control Page'!$F17*H$107</f>
        <v>0</v>
      </c>
      <c r="I51" s="492">
        <f>SUM('Private Label Ass'!$B18:I18)*'Private Label Ass'!$C36*'Control Page'!$F17*I$107</f>
        <v>0</v>
      </c>
      <c r="J51" s="492">
        <f>SUM('Private Label Ass'!$B18:J18)*'Private Label Ass'!$C36*'Control Page'!$F17*J$107</f>
        <v>0</v>
      </c>
      <c r="K51" s="492">
        <f>SUM('Private Label Ass'!$B18:K18)*'Private Label Ass'!$C36*'Control Page'!$F17*K$107</f>
        <v>0</v>
      </c>
      <c r="L51" s="493">
        <f>SUM('Private Label Ass'!$B18:L18)*'Private Label Ass'!$C36*'Control Page'!$F17*L$107</f>
        <v>0</v>
      </c>
    </row>
    <row r="52" spans="1:12" ht="13.5" thickBot="1" x14ac:dyDescent="0.25">
      <c r="A52" s="52" t="s">
        <v>113</v>
      </c>
      <c r="B52" s="494">
        <f>SUM('Private Label Ass'!$B19:B19)*'Private Label Ass'!$C37*'Control Page'!$F18*B$107</f>
        <v>0</v>
      </c>
      <c r="C52" s="495">
        <f>SUM('Private Label Ass'!$B19:C19)*'Private Label Ass'!$C37*'Control Page'!$F18*C$107</f>
        <v>0</v>
      </c>
      <c r="D52" s="495">
        <f>SUM('Private Label Ass'!$B19:D19)*'Private Label Ass'!$C37*'Control Page'!$F18*D$107</f>
        <v>0</v>
      </c>
      <c r="E52" s="495">
        <f>SUM('Private Label Ass'!$B19:E19)*'Private Label Ass'!$C37*'Control Page'!$F18*E$107</f>
        <v>0</v>
      </c>
      <c r="F52" s="495">
        <f>SUM('Private Label Ass'!$B19:F19)*'Private Label Ass'!$C37*'Control Page'!$F18*F$107</f>
        <v>0</v>
      </c>
      <c r="G52" s="495">
        <f>SUM('Private Label Ass'!$B19:G19)*'Private Label Ass'!$C37*'Control Page'!$F18*G$107</f>
        <v>0</v>
      </c>
      <c r="H52" s="495">
        <f>SUM('Private Label Ass'!$B19:H19)*'Private Label Ass'!$C37*'Control Page'!$F18*H$107</f>
        <v>0</v>
      </c>
      <c r="I52" s="495">
        <f>SUM('Private Label Ass'!$B19:I19)*'Private Label Ass'!$C37*'Control Page'!$F18*I$107</f>
        <v>0</v>
      </c>
      <c r="J52" s="495">
        <f>SUM('Private Label Ass'!$B19:J19)*'Private Label Ass'!$C37*'Control Page'!$F18*J$107</f>
        <v>0</v>
      </c>
      <c r="K52" s="495">
        <f>SUM('Private Label Ass'!$B19:K19)*'Private Label Ass'!$C37*'Control Page'!$F18*K$107</f>
        <v>0</v>
      </c>
      <c r="L52" s="496">
        <f>SUM('Private Label Ass'!$B19:L19)*'Private Label Ass'!$C37*'Control Page'!$F18*L$107</f>
        <v>0</v>
      </c>
    </row>
    <row r="53" spans="1:12" ht="13.5" thickBot="1" x14ac:dyDescent="0.25">
      <c r="A53" s="36" t="s">
        <v>462</v>
      </c>
      <c r="B53" s="497">
        <f t="shared" ref="B53:L53" si="15">SUM(B41:B52)</f>
        <v>5117</v>
      </c>
      <c r="C53" s="498">
        <f t="shared" si="15"/>
        <v>10469.382</v>
      </c>
      <c r="D53" s="498">
        <f t="shared" si="15"/>
        <v>16018.154459999998</v>
      </c>
      <c r="E53" s="498">
        <f t="shared" si="15"/>
        <v>21827.405144159995</v>
      </c>
      <c r="F53" s="498">
        <f t="shared" si="15"/>
        <v>27911.794328094591</v>
      </c>
      <c r="G53" s="498">
        <f t="shared" si="15"/>
        <v>34331.507023556347</v>
      </c>
      <c r="H53" s="498">
        <f t="shared" si="15"/>
        <v>41034.733769905724</v>
      </c>
      <c r="I53" s="498">
        <f t="shared" si="15"/>
        <v>48022.362720438243</v>
      </c>
      <c r="J53" s="498">
        <f t="shared" si="15"/>
        <v>55310.956822332751</v>
      </c>
      <c r="K53" s="498">
        <f t="shared" si="15"/>
        <v>62870.120921384885</v>
      </c>
      <c r="L53" s="499">
        <f t="shared" si="15"/>
        <v>70733.915646231704</v>
      </c>
    </row>
    <row r="54" spans="1:12" x14ac:dyDescent="0.2">
      <c r="A54" s="8"/>
    </row>
    <row r="55" spans="1:12" x14ac:dyDescent="0.2">
      <c r="A55" s="8" t="s">
        <v>486</v>
      </c>
    </row>
    <row r="56" spans="1:12" ht="13.5" thickBot="1" x14ac:dyDescent="0.25"/>
    <row r="57" spans="1:12" ht="13.5" thickBot="1" x14ac:dyDescent="0.25">
      <c r="B57" s="440">
        <v>2001</v>
      </c>
      <c r="C57" s="441">
        <v>2002</v>
      </c>
      <c r="D57" s="441">
        <v>2003</v>
      </c>
      <c r="E57" s="441">
        <v>2004</v>
      </c>
      <c r="F57" s="441">
        <v>2005</v>
      </c>
      <c r="G57" s="441">
        <v>2006</v>
      </c>
      <c r="H57" s="441">
        <v>2007</v>
      </c>
      <c r="I57" s="441">
        <v>2008</v>
      </c>
      <c r="J57" s="441">
        <v>2009</v>
      </c>
      <c r="K57" s="441">
        <v>2010</v>
      </c>
      <c r="L57" s="442">
        <v>2011</v>
      </c>
    </row>
    <row r="58" spans="1:12" x14ac:dyDescent="0.2">
      <c r="A58" s="50" t="s">
        <v>64</v>
      </c>
      <c r="B58" s="488">
        <f>+'Total Market Size'!B102*SUM('Private Label Ass'!$B8:B8)*'Private Label Ass'!$G26*'Private Label Ass'!$D26/1000*'Control Page'!$F7*B$107</f>
        <v>0</v>
      </c>
      <c r="C58" s="489">
        <f>+'Total Market Size'!C102*SUM('Private Label Ass'!$B8:C8)*'Private Label Ass'!$G26*'Private Label Ass'!$D26/1000*'Control Page'!$F7*C$107</f>
        <v>0</v>
      </c>
      <c r="D58" s="489">
        <f>+'Total Market Size'!D102*SUM('Private Label Ass'!$B8:D8)*'Private Label Ass'!$G26*'Private Label Ass'!$D26/1000*'Control Page'!$F7*D$107</f>
        <v>0</v>
      </c>
      <c r="E58" s="489">
        <f>+'Total Market Size'!E102*SUM('Private Label Ass'!$B8:E8)*'Private Label Ass'!$G26*'Private Label Ass'!$D26/1000*'Control Page'!$F7*E$107</f>
        <v>0</v>
      </c>
      <c r="F58" s="489">
        <f>+'Total Market Size'!F102*SUM('Private Label Ass'!$B8:F8)*'Private Label Ass'!$G26*'Private Label Ass'!$D26/1000*'Control Page'!$F7*F$107</f>
        <v>0</v>
      </c>
      <c r="G58" s="489">
        <f>+'Total Market Size'!G102*SUM('Private Label Ass'!$B8:G8)*'Private Label Ass'!$G26*'Private Label Ass'!$D26/1000*'Control Page'!$F7*G$107</f>
        <v>0</v>
      </c>
      <c r="H58" s="489">
        <f>+'Total Market Size'!H102*SUM('Private Label Ass'!$B8:H8)*'Private Label Ass'!$G26*'Private Label Ass'!$D26/1000*'Control Page'!$F7*H$107</f>
        <v>0</v>
      </c>
      <c r="I58" s="489">
        <f>+'Total Market Size'!I102*SUM('Private Label Ass'!$B8:I8)*'Private Label Ass'!$G26*'Private Label Ass'!$D26/1000*'Control Page'!$F7*I$107</f>
        <v>0</v>
      </c>
      <c r="J58" s="489">
        <f>+'Total Market Size'!J102*SUM('Private Label Ass'!$B8:J8)*'Private Label Ass'!$G26*'Private Label Ass'!$D26/1000*'Control Page'!$F7*J$107</f>
        <v>0</v>
      </c>
      <c r="K58" s="489">
        <f>+'Total Market Size'!K102*SUM('Private Label Ass'!$B8:K8)*'Private Label Ass'!$G26*'Private Label Ass'!$D26/1000*'Control Page'!$F7*K$107</f>
        <v>0</v>
      </c>
      <c r="L58" s="490">
        <f>+'Total Market Size'!L102*SUM('Private Label Ass'!$B8:L8)*'Private Label Ass'!$G26*'Private Label Ass'!$D26/1000*'Control Page'!$F7*L$107</f>
        <v>0</v>
      </c>
    </row>
    <row r="59" spans="1:12" x14ac:dyDescent="0.2">
      <c r="A59" s="51" t="s">
        <v>65</v>
      </c>
      <c r="B59" s="491">
        <f>+'Total Market Size'!B103*SUM('Private Label Ass'!$B9:B9)*'Private Label Ass'!$G27*'Private Label Ass'!$D27/1000*'Control Page'!$F8*B$107</f>
        <v>0</v>
      </c>
      <c r="C59" s="492">
        <f>+'Total Market Size'!C103*SUM('Private Label Ass'!$B9:C9)*'Private Label Ass'!$G27*'Private Label Ass'!$D27/1000*'Control Page'!$F8*C$107</f>
        <v>0</v>
      </c>
      <c r="D59" s="492">
        <f>+'Total Market Size'!D103*SUM('Private Label Ass'!$B9:D9)*'Private Label Ass'!$G27*'Private Label Ass'!$D27/1000*'Control Page'!$F8*D$107</f>
        <v>0</v>
      </c>
      <c r="E59" s="492">
        <f>+'Total Market Size'!E103*SUM('Private Label Ass'!$B9:E9)*'Private Label Ass'!$G27*'Private Label Ass'!$D27/1000*'Control Page'!$F8*E$107</f>
        <v>0</v>
      </c>
      <c r="F59" s="492">
        <f>+'Total Market Size'!F103*SUM('Private Label Ass'!$B9:F9)*'Private Label Ass'!$G27*'Private Label Ass'!$D27/1000*'Control Page'!$F8*F$107</f>
        <v>0</v>
      </c>
      <c r="G59" s="492">
        <f>+'Total Market Size'!G103*SUM('Private Label Ass'!$B9:G9)*'Private Label Ass'!$G27*'Private Label Ass'!$D27/1000*'Control Page'!$F8*G$107</f>
        <v>0</v>
      </c>
      <c r="H59" s="492">
        <f>+'Total Market Size'!H103*SUM('Private Label Ass'!$B9:H9)*'Private Label Ass'!$G27*'Private Label Ass'!$D27/1000*'Control Page'!$F8*H$107</f>
        <v>0</v>
      </c>
      <c r="I59" s="492">
        <f>+'Total Market Size'!I103*SUM('Private Label Ass'!$B9:I9)*'Private Label Ass'!$G27*'Private Label Ass'!$D27/1000*'Control Page'!$F8*I$107</f>
        <v>0</v>
      </c>
      <c r="J59" s="492">
        <f>+'Total Market Size'!J103*SUM('Private Label Ass'!$B9:J9)*'Private Label Ass'!$G27*'Private Label Ass'!$D27/1000*'Control Page'!$F8*J$107</f>
        <v>0</v>
      </c>
      <c r="K59" s="492">
        <f>+'Total Market Size'!K103*SUM('Private Label Ass'!$B9:K9)*'Private Label Ass'!$G27*'Private Label Ass'!$D27/1000*'Control Page'!$F8*K$107</f>
        <v>0</v>
      </c>
      <c r="L59" s="493">
        <f>+'Total Market Size'!L103*SUM('Private Label Ass'!$B9:L9)*'Private Label Ass'!$G27*'Private Label Ass'!$D27/1000*'Control Page'!$F8*L$107</f>
        <v>0</v>
      </c>
    </row>
    <row r="60" spans="1:12" x14ac:dyDescent="0.2">
      <c r="A60" s="51" t="s">
        <v>66</v>
      </c>
      <c r="B60" s="491">
        <f>+'Total Market Size'!B104*SUM('Private Label Ass'!$B10:B10)*'Private Label Ass'!$G28*'Private Label Ass'!$D28/1000*'Control Page'!$F9*B$107</f>
        <v>0</v>
      </c>
      <c r="C60" s="492">
        <f>+'Total Market Size'!C104*SUM('Private Label Ass'!$B10:C10)*'Private Label Ass'!$G28*'Private Label Ass'!$D28/1000*'Control Page'!$F9*C$107</f>
        <v>0</v>
      </c>
      <c r="D60" s="492">
        <f>+'Total Market Size'!D104*SUM('Private Label Ass'!$B10:D10)*'Private Label Ass'!$G28*'Private Label Ass'!$D28/1000*'Control Page'!$F9*D$107</f>
        <v>0</v>
      </c>
      <c r="E60" s="492">
        <f>+'Total Market Size'!E104*SUM('Private Label Ass'!$B10:E10)*'Private Label Ass'!$G28*'Private Label Ass'!$D28/1000*'Control Page'!$F9*E$107</f>
        <v>0</v>
      </c>
      <c r="F60" s="492">
        <f>+'Total Market Size'!F104*SUM('Private Label Ass'!$B10:F10)*'Private Label Ass'!$G28*'Private Label Ass'!$D28/1000*'Control Page'!$F9*F$107</f>
        <v>0</v>
      </c>
      <c r="G60" s="492">
        <f>+'Total Market Size'!G104*SUM('Private Label Ass'!$B10:G10)*'Private Label Ass'!$G28*'Private Label Ass'!$D28/1000*'Control Page'!$F9*G$107</f>
        <v>0</v>
      </c>
      <c r="H60" s="492">
        <f>+'Total Market Size'!H104*SUM('Private Label Ass'!$B10:H10)*'Private Label Ass'!$G28*'Private Label Ass'!$D28/1000*'Control Page'!$F9*H$107</f>
        <v>0</v>
      </c>
      <c r="I60" s="492">
        <f>+'Total Market Size'!I104*SUM('Private Label Ass'!$B10:I10)*'Private Label Ass'!$G28*'Private Label Ass'!$D28/1000*'Control Page'!$F9*I$107</f>
        <v>0</v>
      </c>
      <c r="J60" s="492">
        <f>+'Total Market Size'!J104*SUM('Private Label Ass'!$B10:J10)*'Private Label Ass'!$G28*'Private Label Ass'!$D28/1000*'Control Page'!$F9*J$107</f>
        <v>0</v>
      </c>
      <c r="K60" s="492">
        <f>+'Total Market Size'!K104*SUM('Private Label Ass'!$B10:K10)*'Private Label Ass'!$G28*'Private Label Ass'!$D28/1000*'Control Page'!$F9*K$107</f>
        <v>0</v>
      </c>
      <c r="L60" s="493">
        <f>+'Total Market Size'!L104*SUM('Private Label Ass'!$B10:L10)*'Private Label Ass'!$G28*'Private Label Ass'!$D28/1000*'Control Page'!$F9*L$107</f>
        <v>0</v>
      </c>
    </row>
    <row r="61" spans="1:12" x14ac:dyDescent="0.2">
      <c r="A61" s="51" t="s">
        <v>112</v>
      </c>
      <c r="B61" s="491">
        <f>+'Total Market Size'!B105*SUM('Private Label Ass'!$B11:B11)*'Private Label Ass'!$G29*'Private Label Ass'!$D29/1000*'Control Page'!$F10*B$107</f>
        <v>0</v>
      </c>
      <c r="C61" s="492">
        <f>+'Total Market Size'!C105*SUM('Private Label Ass'!$B11:C11)*'Private Label Ass'!$G29*'Private Label Ass'!$D29/1000*'Control Page'!$F10*C$107</f>
        <v>0</v>
      </c>
      <c r="D61" s="492">
        <f>+'Total Market Size'!D105*SUM('Private Label Ass'!$B11:D11)*'Private Label Ass'!$G29*'Private Label Ass'!$D29/1000*'Control Page'!$F10*D$107</f>
        <v>0</v>
      </c>
      <c r="E61" s="492">
        <f>+'Total Market Size'!E105*SUM('Private Label Ass'!$B11:E11)*'Private Label Ass'!$G29*'Private Label Ass'!$D29/1000*'Control Page'!$F10*E$107</f>
        <v>0</v>
      </c>
      <c r="F61" s="492">
        <f>+'Total Market Size'!F105*SUM('Private Label Ass'!$B11:F11)*'Private Label Ass'!$G29*'Private Label Ass'!$D29/1000*'Control Page'!$F10*F$107</f>
        <v>0</v>
      </c>
      <c r="G61" s="492">
        <f>+'Total Market Size'!G105*SUM('Private Label Ass'!$B11:G11)*'Private Label Ass'!$G29*'Private Label Ass'!$D29/1000*'Control Page'!$F10*G$107</f>
        <v>0</v>
      </c>
      <c r="H61" s="492">
        <f>+'Total Market Size'!H105*SUM('Private Label Ass'!$B11:H11)*'Private Label Ass'!$G29*'Private Label Ass'!$D29/1000*'Control Page'!$F10*H$107</f>
        <v>0</v>
      </c>
      <c r="I61" s="492">
        <f>+'Total Market Size'!I105*SUM('Private Label Ass'!$B11:I11)*'Private Label Ass'!$G29*'Private Label Ass'!$D29/1000*'Control Page'!$F10*I$107</f>
        <v>0</v>
      </c>
      <c r="J61" s="492">
        <f>+'Total Market Size'!J105*SUM('Private Label Ass'!$B11:J11)*'Private Label Ass'!$G29*'Private Label Ass'!$D29/1000*'Control Page'!$F10*J$107</f>
        <v>0</v>
      </c>
      <c r="K61" s="492">
        <f>+'Total Market Size'!K105*SUM('Private Label Ass'!$B11:K11)*'Private Label Ass'!$G29*'Private Label Ass'!$D29/1000*'Control Page'!$F10*K$107</f>
        <v>0</v>
      </c>
      <c r="L61" s="493">
        <f>+'Total Market Size'!L105*SUM('Private Label Ass'!$B11:L11)*'Private Label Ass'!$G29*'Private Label Ass'!$D29/1000*'Control Page'!$F10*L$107</f>
        <v>0</v>
      </c>
    </row>
    <row r="62" spans="1:12" x14ac:dyDescent="0.2">
      <c r="A62" s="51" t="s">
        <v>67</v>
      </c>
      <c r="B62" s="491">
        <f>+'Total Market Size'!B106*SUM('Private Label Ass'!$B12:B12)*'Private Label Ass'!$G30*'Private Label Ass'!$D30/1000*'Control Page'!$F11*B$107</f>
        <v>0</v>
      </c>
      <c r="C62" s="492">
        <f>+'Total Market Size'!C106*SUM('Private Label Ass'!$B12:C12)*'Private Label Ass'!$G30*'Private Label Ass'!$D30/1000*'Control Page'!$F11*C$107</f>
        <v>0</v>
      </c>
      <c r="D62" s="492">
        <f>+'Total Market Size'!D106*SUM('Private Label Ass'!$B12:D12)*'Private Label Ass'!$G30*'Private Label Ass'!$D30/1000*'Control Page'!$F11*D$107</f>
        <v>0</v>
      </c>
      <c r="E62" s="492">
        <f>+'Total Market Size'!E106*SUM('Private Label Ass'!$B12:E12)*'Private Label Ass'!$G30*'Private Label Ass'!$D30/1000*'Control Page'!$F11*E$107</f>
        <v>0</v>
      </c>
      <c r="F62" s="492">
        <f>+'Total Market Size'!F106*SUM('Private Label Ass'!$B12:F12)*'Private Label Ass'!$G30*'Private Label Ass'!$D30/1000*'Control Page'!$F11*F$107</f>
        <v>0</v>
      </c>
      <c r="G62" s="492">
        <f>+'Total Market Size'!G106*SUM('Private Label Ass'!$B12:G12)*'Private Label Ass'!$G30*'Private Label Ass'!$D30/1000*'Control Page'!$F11*G$107</f>
        <v>0</v>
      </c>
      <c r="H62" s="492">
        <f>+'Total Market Size'!H106*SUM('Private Label Ass'!$B12:H12)*'Private Label Ass'!$G30*'Private Label Ass'!$D30/1000*'Control Page'!$F11*H$107</f>
        <v>0</v>
      </c>
      <c r="I62" s="492">
        <f>+'Total Market Size'!I106*SUM('Private Label Ass'!$B12:I12)*'Private Label Ass'!$G30*'Private Label Ass'!$D30/1000*'Control Page'!$F11*I$107</f>
        <v>0</v>
      </c>
      <c r="J62" s="492">
        <f>+'Total Market Size'!J106*SUM('Private Label Ass'!$B12:J12)*'Private Label Ass'!$G30*'Private Label Ass'!$D30/1000*'Control Page'!$F11*J$107</f>
        <v>0</v>
      </c>
      <c r="K62" s="492">
        <f>+'Total Market Size'!K106*SUM('Private Label Ass'!$B12:K12)*'Private Label Ass'!$G30*'Private Label Ass'!$D30/1000*'Control Page'!$F11*K$107</f>
        <v>0</v>
      </c>
      <c r="L62" s="493">
        <f>+'Total Market Size'!L106*SUM('Private Label Ass'!$B12:L12)*'Private Label Ass'!$G30*'Private Label Ass'!$D30/1000*'Control Page'!$F11*L$107</f>
        <v>0</v>
      </c>
    </row>
    <row r="63" spans="1:12" x14ac:dyDescent="0.2">
      <c r="A63" s="51" t="s">
        <v>68</v>
      </c>
      <c r="B63" s="491">
        <f>+'Total Market Size'!B107*SUM('Private Label Ass'!$B13:B13)*'Private Label Ass'!$G31*'Private Label Ass'!$D31/1000*'Control Page'!$F12*B$107</f>
        <v>0</v>
      </c>
      <c r="C63" s="492">
        <f>+'Total Market Size'!C107*SUM('Private Label Ass'!$B13:C13)*'Private Label Ass'!$G31*'Private Label Ass'!$D31/1000*'Control Page'!$F12*C$107</f>
        <v>0</v>
      </c>
      <c r="D63" s="492">
        <f>+'Total Market Size'!D107*SUM('Private Label Ass'!$B13:D13)*'Private Label Ass'!$G31*'Private Label Ass'!$D31/1000*'Control Page'!$F12*D$107</f>
        <v>0</v>
      </c>
      <c r="E63" s="492">
        <f>+'Total Market Size'!E107*SUM('Private Label Ass'!$B13:E13)*'Private Label Ass'!$G31*'Private Label Ass'!$D31/1000*'Control Page'!$F12*E$107</f>
        <v>0</v>
      </c>
      <c r="F63" s="492">
        <f>+'Total Market Size'!F107*SUM('Private Label Ass'!$B13:F13)*'Private Label Ass'!$G31*'Private Label Ass'!$D31/1000*'Control Page'!$F12*F$107</f>
        <v>0</v>
      </c>
      <c r="G63" s="492">
        <f>+'Total Market Size'!G107*SUM('Private Label Ass'!$B13:G13)*'Private Label Ass'!$G31*'Private Label Ass'!$D31/1000*'Control Page'!$F12*G$107</f>
        <v>0</v>
      </c>
      <c r="H63" s="492">
        <f>+'Total Market Size'!H107*SUM('Private Label Ass'!$B13:H13)*'Private Label Ass'!$G31*'Private Label Ass'!$D31/1000*'Control Page'!$F12*H$107</f>
        <v>0</v>
      </c>
      <c r="I63" s="492">
        <f>+'Total Market Size'!I107*SUM('Private Label Ass'!$B13:I13)*'Private Label Ass'!$G31*'Private Label Ass'!$D31/1000*'Control Page'!$F12*I$107</f>
        <v>0</v>
      </c>
      <c r="J63" s="492">
        <f>+'Total Market Size'!J107*SUM('Private Label Ass'!$B13:J13)*'Private Label Ass'!$G31*'Private Label Ass'!$D31/1000*'Control Page'!$F12*J$107</f>
        <v>0</v>
      </c>
      <c r="K63" s="492">
        <f>+'Total Market Size'!K107*SUM('Private Label Ass'!$B13:K13)*'Private Label Ass'!$G31*'Private Label Ass'!$D31/1000*'Control Page'!$F12*K$107</f>
        <v>0</v>
      </c>
      <c r="L63" s="493">
        <f>+'Total Market Size'!L107*SUM('Private Label Ass'!$B13:L13)*'Private Label Ass'!$G31*'Private Label Ass'!$D31/1000*'Control Page'!$F12*L$107</f>
        <v>0</v>
      </c>
    </row>
    <row r="64" spans="1:12" x14ac:dyDescent="0.2">
      <c r="A64" s="51" t="s">
        <v>69</v>
      </c>
      <c r="B64" s="491">
        <f>+'Total Market Size'!B108*SUM('Private Label Ass'!$B14:B14)*'Private Label Ass'!$G32*'Private Label Ass'!$D32/1000*'Control Page'!$F13*B$107</f>
        <v>0</v>
      </c>
      <c r="C64" s="492">
        <f>+'Total Market Size'!C108*SUM('Private Label Ass'!$B14:C14)*'Private Label Ass'!$G32*'Private Label Ass'!$D32/1000*'Control Page'!$F13*C$107</f>
        <v>0</v>
      </c>
      <c r="D64" s="492">
        <f>+'Total Market Size'!D108*SUM('Private Label Ass'!$B14:D14)*'Private Label Ass'!$G32*'Private Label Ass'!$D32/1000*'Control Page'!$F13*D$107</f>
        <v>0</v>
      </c>
      <c r="E64" s="492">
        <f>+'Total Market Size'!E108*SUM('Private Label Ass'!$B14:E14)*'Private Label Ass'!$G32*'Private Label Ass'!$D32/1000*'Control Page'!$F13*E$107</f>
        <v>0</v>
      </c>
      <c r="F64" s="492">
        <f>+'Total Market Size'!F108*SUM('Private Label Ass'!$B14:F14)*'Private Label Ass'!$G32*'Private Label Ass'!$D32/1000*'Control Page'!$F13*F$107</f>
        <v>0</v>
      </c>
      <c r="G64" s="492">
        <f>+'Total Market Size'!G108*SUM('Private Label Ass'!$B14:G14)*'Private Label Ass'!$G32*'Private Label Ass'!$D32/1000*'Control Page'!$F13*G$107</f>
        <v>0</v>
      </c>
      <c r="H64" s="492">
        <f>+'Total Market Size'!H108*SUM('Private Label Ass'!$B14:H14)*'Private Label Ass'!$G32*'Private Label Ass'!$D32/1000*'Control Page'!$F13*H$107</f>
        <v>0</v>
      </c>
      <c r="I64" s="492">
        <f>+'Total Market Size'!I108*SUM('Private Label Ass'!$B14:I14)*'Private Label Ass'!$G32*'Private Label Ass'!$D32/1000*'Control Page'!$F13*I$107</f>
        <v>0</v>
      </c>
      <c r="J64" s="492">
        <f>+'Total Market Size'!J108*SUM('Private Label Ass'!$B14:J14)*'Private Label Ass'!$G32*'Private Label Ass'!$D32/1000*'Control Page'!$F13*J$107</f>
        <v>0</v>
      </c>
      <c r="K64" s="492">
        <f>+'Total Market Size'!K108*SUM('Private Label Ass'!$B14:K14)*'Private Label Ass'!$G32*'Private Label Ass'!$D32/1000*'Control Page'!$F13*K$107</f>
        <v>0</v>
      </c>
      <c r="L64" s="493">
        <f>+'Total Market Size'!L108*SUM('Private Label Ass'!$B14:L14)*'Private Label Ass'!$G32*'Private Label Ass'!$D32/1000*'Control Page'!$F13*L$107</f>
        <v>0</v>
      </c>
    </row>
    <row r="65" spans="1:18" x14ac:dyDescent="0.2">
      <c r="A65" s="51" t="s">
        <v>70</v>
      </c>
      <c r="B65" s="491">
        <f>+'Total Market Size'!B109*SUM('Private Label Ass'!$B15:B15)*'Private Label Ass'!$G33*'Private Label Ass'!$D33/1000*'Control Page'!$F14*B$107</f>
        <v>0</v>
      </c>
      <c r="C65" s="492">
        <f>+'Total Market Size'!C109*SUM('Private Label Ass'!$B15:C15)*'Private Label Ass'!$G33*'Private Label Ass'!$D33/1000*'Control Page'!$F14*C$107</f>
        <v>0</v>
      </c>
      <c r="D65" s="492">
        <f>+'Total Market Size'!D109*SUM('Private Label Ass'!$B15:D15)*'Private Label Ass'!$G33*'Private Label Ass'!$D33/1000*'Control Page'!$F14*D$107</f>
        <v>0</v>
      </c>
      <c r="E65" s="492">
        <f>+'Total Market Size'!E109*SUM('Private Label Ass'!$B15:E15)*'Private Label Ass'!$G33*'Private Label Ass'!$D33/1000*'Control Page'!$F14*E$107</f>
        <v>0</v>
      </c>
      <c r="F65" s="492">
        <f>+'Total Market Size'!F109*SUM('Private Label Ass'!$B15:F15)*'Private Label Ass'!$G33*'Private Label Ass'!$D33/1000*'Control Page'!$F14*F$107</f>
        <v>0</v>
      </c>
      <c r="G65" s="492">
        <f>+'Total Market Size'!G109*SUM('Private Label Ass'!$B15:G15)*'Private Label Ass'!$G33*'Private Label Ass'!$D33/1000*'Control Page'!$F14*G$107</f>
        <v>0</v>
      </c>
      <c r="H65" s="492">
        <f>+'Total Market Size'!H109*SUM('Private Label Ass'!$B15:H15)*'Private Label Ass'!$G33*'Private Label Ass'!$D33/1000*'Control Page'!$F14*H$107</f>
        <v>0</v>
      </c>
      <c r="I65" s="492">
        <f>+'Total Market Size'!I109*SUM('Private Label Ass'!$B15:I15)*'Private Label Ass'!$G33*'Private Label Ass'!$D33/1000*'Control Page'!$F14*I$107</f>
        <v>0</v>
      </c>
      <c r="J65" s="492">
        <f>+'Total Market Size'!J109*SUM('Private Label Ass'!$B15:J15)*'Private Label Ass'!$G33*'Private Label Ass'!$D33/1000*'Control Page'!$F14*J$107</f>
        <v>0</v>
      </c>
      <c r="K65" s="492">
        <f>+'Total Market Size'!K109*SUM('Private Label Ass'!$B15:K15)*'Private Label Ass'!$G33*'Private Label Ass'!$D33/1000*'Control Page'!$F14*K$107</f>
        <v>0</v>
      </c>
      <c r="L65" s="493">
        <f>+'Total Market Size'!L109*SUM('Private Label Ass'!$B15:L15)*'Private Label Ass'!$G33*'Private Label Ass'!$D33/1000*'Control Page'!$F14*L$107</f>
        <v>0</v>
      </c>
    </row>
    <row r="66" spans="1:18" x14ac:dyDescent="0.2">
      <c r="A66" s="51" t="s">
        <v>71</v>
      </c>
      <c r="B66" s="491">
        <f>+'Total Market Size'!B110*SUM('Private Label Ass'!$B16:B16)*'Private Label Ass'!$G34*'Private Label Ass'!$D34/1000*'Control Page'!$F15*B$107</f>
        <v>0</v>
      </c>
      <c r="C66" s="492">
        <f>+'Total Market Size'!C110*SUM('Private Label Ass'!$B16:C16)*'Private Label Ass'!$G34*'Private Label Ass'!$D34/1000*'Control Page'!$F15*C$107</f>
        <v>0</v>
      </c>
      <c r="D66" s="492">
        <f>+'Total Market Size'!D110*SUM('Private Label Ass'!$B16:D16)*'Private Label Ass'!$G34*'Private Label Ass'!$D34/1000*'Control Page'!$F15*D$107</f>
        <v>0</v>
      </c>
      <c r="E66" s="492">
        <f>+'Total Market Size'!E110*SUM('Private Label Ass'!$B16:E16)*'Private Label Ass'!$G34*'Private Label Ass'!$D34/1000*'Control Page'!$F15*E$107</f>
        <v>0</v>
      </c>
      <c r="F66" s="492">
        <f>+'Total Market Size'!F110*SUM('Private Label Ass'!$B16:F16)*'Private Label Ass'!$G34*'Private Label Ass'!$D34/1000*'Control Page'!$F15*F$107</f>
        <v>0</v>
      </c>
      <c r="G66" s="492">
        <f>+'Total Market Size'!G110*SUM('Private Label Ass'!$B16:G16)*'Private Label Ass'!$G34*'Private Label Ass'!$D34/1000*'Control Page'!$F15*G$107</f>
        <v>0</v>
      </c>
      <c r="H66" s="492">
        <f>+'Total Market Size'!H110*SUM('Private Label Ass'!$B16:H16)*'Private Label Ass'!$G34*'Private Label Ass'!$D34/1000*'Control Page'!$F15*H$107</f>
        <v>0</v>
      </c>
      <c r="I66" s="492">
        <f>+'Total Market Size'!I110*SUM('Private Label Ass'!$B16:I16)*'Private Label Ass'!$G34*'Private Label Ass'!$D34/1000*'Control Page'!$F15*I$107</f>
        <v>0</v>
      </c>
      <c r="J66" s="492">
        <f>+'Total Market Size'!J110*SUM('Private Label Ass'!$B16:J16)*'Private Label Ass'!$G34*'Private Label Ass'!$D34/1000*'Control Page'!$F15*J$107</f>
        <v>0</v>
      </c>
      <c r="K66" s="492">
        <f>+'Total Market Size'!K110*SUM('Private Label Ass'!$B16:K16)*'Private Label Ass'!$G34*'Private Label Ass'!$D34/1000*'Control Page'!$F15*K$107</f>
        <v>0</v>
      </c>
      <c r="L66" s="493">
        <f>+'Total Market Size'!L110*SUM('Private Label Ass'!$B16:L16)*'Private Label Ass'!$G34*'Private Label Ass'!$D34/1000*'Control Page'!$F15*L$107</f>
        <v>0</v>
      </c>
      <c r="R66" s="8"/>
    </row>
    <row r="67" spans="1:18" x14ac:dyDescent="0.2">
      <c r="A67" s="71" t="s">
        <v>119</v>
      </c>
      <c r="B67" s="491">
        <f>+'Total Market Size'!B111*SUM('Private Label Ass'!$B17:B17)*'Private Label Ass'!$G35*'Private Label Ass'!$D35/1000*'Control Page'!$F16*B$107</f>
        <v>0</v>
      </c>
      <c r="C67" s="492">
        <f>+'Total Market Size'!C111*SUM('Private Label Ass'!$B17:C17)*'Private Label Ass'!$G35*'Private Label Ass'!$D35/1000*'Control Page'!$F16*C$107</f>
        <v>0</v>
      </c>
      <c r="D67" s="492">
        <f>+'Total Market Size'!D111*SUM('Private Label Ass'!$B17:D17)*'Private Label Ass'!$G35*'Private Label Ass'!$D35/1000*'Control Page'!$F16*D$107</f>
        <v>0</v>
      </c>
      <c r="E67" s="492">
        <f>+'Total Market Size'!E111*SUM('Private Label Ass'!$B17:E17)*'Private Label Ass'!$G35*'Private Label Ass'!$D35/1000*'Control Page'!$F16*E$107</f>
        <v>0</v>
      </c>
      <c r="F67" s="492">
        <f>+'Total Market Size'!F111*SUM('Private Label Ass'!$B17:F17)*'Private Label Ass'!$G35*'Private Label Ass'!$D35/1000*'Control Page'!$F16*F$107</f>
        <v>0</v>
      </c>
      <c r="G67" s="492">
        <f>+'Total Market Size'!G111*SUM('Private Label Ass'!$B17:G17)*'Private Label Ass'!$G35*'Private Label Ass'!$D35/1000*'Control Page'!$F16*G$107</f>
        <v>0</v>
      </c>
      <c r="H67" s="492">
        <f>+'Total Market Size'!H111*SUM('Private Label Ass'!$B17:H17)*'Private Label Ass'!$G35*'Private Label Ass'!$D35/1000*'Control Page'!$F16*H$107</f>
        <v>0</v>
      </c>
      <c r="I67" s="492">
        <f>+'Total Market Size'!I111*SUM('Private Label Ass'!$B17:I17)*'Private Label Ass'!$G35*'Private Label Ass'!$D35/1000*'Control Page'!$F16*I$107</f>
        <v>0</v>
      </c>
      <c r="J67" s="492">
        <f>+'Total Market Size'!J111*SUM('Private Label Ass'!$B17:J17)*'Private Label Ass'!$G35*'Private Label Ass'!$D35/1000*'Control Page'!$F16*J$107</f>
        <v>0</v>
      </c>
      <c r="K67" s="492">
        <f>+'Total Market Size'!K111*SUM('Private Label Ass'!$B17:K17)*'Private Label Ass'!$G35*'Private Label Ass'!$D35/1000*'Control Page'!$F16*K$107</f>
        <v>0</v>
      </c>
      <c r="L67" s="493">
        <f>+'Total Market Size'!L111*SUM('Private Label Ass'!$B17:L17)*'Private Label Ass'!$G35*'Private Label Ass'!$D35/1000*'Control Page'!$F16*L$107</f>
        <v>0</v>
      </c>
      <c r="R67" s="8"/>
    </row>
    <row r="68" spans="1:18" x14ac:dyDescent="0.2">
      <c r="A68" s="71" t="s">
        <v>120</v>
      </c>
      <c r="B68" s="491">
        <f>+'Total Market Size'!B112*SUM('Private Label Ass'!$B18:B18)*'Private Label Ass'!$G36*'Private Label Ass'!$D36/1000*'Control Page'!$F17*B$107</f>
        <v>0</v>
      </c>
      <c r="C68" s="492">
        <f>+'Total Market Size'!C112*SUM('Private Label Ass'!$B18:C18)*'Private Label Ass'!$G36*'Private Label Ass'!$D36/1000*'Control Page'!$F17*C$107</f>
        <v>0</v>
      </c>
      <c r="D68" s="492">
        <f>+'Total Market Size'!D112*SUM('Private Label Ass'!$B18:D18)*'Private Label Ass'!$G36*'Private Label Ass'!$D36/1000*'Control Page'!$F17*D$107</f>
        <v>0</v>
      </c>
      <c r="E68" s="492">
        <f>+'Total Market Size'!E112*SUM('Private Label Ass'!$B18:E18)*'Private Label Ass'!$G36*'Private Label Ass'!$D36/1000*'Control Page'!$F17*E$107</f>
        <v>0</v>
      </c>
      <c r="F68" s="492">
        <f>+'Total Market Size'!F112*SUM('Private Label Ass'!$B18:F18)*'Private Label Ass'!$G36*'Private Label Ass'!$D36/1000*'Control Page'!$F17*F$107</f>
        <v>0</v>
      </c>
      <c r="G68" s="492">
        <f>+'Total Market Size'!G112*SUM('Private Label Ass'!$B18:G18)*'Private Label Ass'!$G36*'Private Label Ass'!$D36/1000*'Control Page'!$F17*G$107</f>
        <v>0</v>
      </c>
      <c r="H68" s="492">
        <f>+'Total Market Size'!H112*SUM('Private Label Ass'!$B18:H18)*'Private Label Ass'!$G36*'Private Label Ass'!$D36/1000*'Control Page'!$F17*H$107</f>
        <v>0</v>
      </c>
      <c r="I68" s="492">
        <f>+'Total Market Size'!I112*SUM('Private Label Ass'!$B18:I18)*'Private Label Ass'!$G36*'Private Label Ass'!$D36/1000*'Control Page'!$F17*I$107</f>
        <v>0</v>
      </c>
      <c r="J68" s="492">
        <f>+'Total Market Size'!J112*SUM('Private Label Ass'!$B18:J18)*'Private Label Ass'!$G36*'Private Label Ass'!$D36/1000*'Control Page'!$F17*J$107</f>
        <v>0</v>
      </c>
      <c r="K68" s="492">
        <f>+'Total Market Size'!K112*SUM('Private Label Ass'!$B18:K18)*'Private Label Ass'!$G36*'Private Label Ass'!$D36/1000*'Control Page'!$F17*K$107</f>
        <v>0</v>
      </c>
      <c r="L68" s="493">
        <f>+'Total Market Size'!L112*SUM('Private Label Ass'!$B18:L18)*'Private Label Ass'!$G36*'Private Label Ass'!$D36/1000*'Control Page'!$F17*L$107</f>
        <v>0</v>
      </c>
    </row>
    <row r="69" spans="1:18" ht="13.5" thickBot="1" x14ac:dyDescent="0.25">
      <c r="A69" s="52" t="s">
        <v>113</v>
      </c>
      <c r="B69" s="512">
        <f>+'Total Market Size'!B113*SUM('Private Label Ass'!$B19:B19)*'Private Label Ass'!$G37*'Private Label Ass'!$D37/1000*'Control Page'!$F18*B$107</f>
        <v>0</v>
      </c>
      <c r="C69" s="513">
        <f>+'Total Market Size'!C113*SUM('Private Label Ass'!$B19:C19)*'Private Label Ass'!$G37*'Private Label Ass'!$D37/1000*'Control Page'!$F18*C$107</f>
        <v>0</v>
      </c>
      <c r="D69" s="513">
        <f>+'Total Market Size'!D113*SUM('Private Label Ass'!$B19:D19)*'Private Label Ass'!$G37*'Private Label Ass'!$D37/1000*'Control Page'!$F18*D$107</f>
        <v>0</v>
      </c>
      <c r="E69" s="513">
        <f>+'Total Market Size'!E113*SUM('Private Label Ass'!$B19:E19)*'Private Label Ass'!$G37*'Private Label Ass'!$D37/1000*'Control Page'!$F18*E$107</f>
        <v>0</v>
      </c>
      <c r="F69" s="513">
        <f>+'Total Market Size'!F113*SUM('Private Label Ass'!$B19:F19)*'Private Label Ass'!$G37*'Private Label Ass'!$D37/1000*'Control Page'!$F18*F$107</f>
        <v>0</v>
      </c>
      <c r="G69" s="513">
        <f>+'Total Market Size'!G113*SUM('Private Label Ass'!$B19:G19)*'Private Label Ass'!$G37*'Private Label Ass'!$D37/1000*'Control Page'!$F18*G$107</f>
        <v>0</v>
      </c>
      <c r="H69" s="513">
        <f>+'Total Market Size'!H113*SUM('Private Label Ass'!$B19:H19)*'Private Label Ass'!$G37*'Private Label Ass'!$D37/1000*'Control Page'!$F18*H$107</f>
        <v>0</v>
      </c>
      <c r="I69" s="513">
        <f>+'Total Market Size'!I113*SUM('Private Label Ass'!$B19:I19)*'Private Label Ass'!$G37*'Private Label Ass'!$D37/1000*'Control Page'!$F18*I$107</f>
        <v>0</v>
      </c>
      <c r="J69" s="513">
        <f>+'Total Market Size'!J113*SUM('Private Label Ass'!$B19:J19)*'Private Label Ass'!$G37*'Private Label Ass'!$D37/1000*'Control Page'!$F18*J$107</f>
        <v>0</v>
      </c>
      <c r="K69" s="513">
        <f>+'Total Market Size'!K113*SUM('Private Label Ass'!$B19:K19)*'Private Label Ass'!$G37*'Private Label Ass'!$D37/1000*'Control Page'!$F18*K$107</f>
        <v>0</v>
      </c>
      <c r="L69" s="514">
        <f>+'Total Market Size'!L113*SUM('Private Label Ass'!$B19:L19)*'Private Label Ass'!$G37*'Private Label Ass'!$D37/1000*'Control Page'!$F18*L$107</f>
        <v>0</v>
      </c>
    </row>
    <row r="70" spans="1:18" ht="13.5" thickBot="1" x14ac:dyDescent="0.25">
      <c r="A70" s="9" t="s">
        <v>462</v>
      </c>
      <c r="B70" s="497">
        <f>SUM(B58:B69)</f>
        <v>0</v>
      </c>
      <c r="C70" s="498">
        <f t="shared" ref="C70:L70" si="16">SUM(C58:C69)</f>
        <v>0</v>
      </c>
      <c r="D70" s="498">
        <f t="shared" si="16"/>
        <v>0</v>
      </c>
      <c r="E70" s="498">
        <f t="shared" si="16"/>
        <v>0</v>
      </c>
      <c r="F70" s="498">
        <f t="shared" si="16"/>
        <v>0</v>
      </c>
      <c r="G70" s="498">
        <f t="shared" si="16"/>
        <v>0</v>
      </c>
      <c r="H70" s="498">
        <f t="shared" si="16"/>
        <v>0</v>
      </c>
      <c r="I70" s="498">
        <f t="shared" si="16"/>
        <v>0</v>
      </c>
      <c r="J70" s="498">
        <f t="shared" si="16"/>
        <v>0</v>
      </c>
      <c r="K70" s="498">
        <f t="shared" si="16"/>
        <v>0</v>
      </c>
      <c r="L70" s="499">
        <f t="shared" si="16"/>
        <v>0</v>
      </c>
    </row>
    <row r="72" spans="1:18" x14ac:dyDescent="0.2">
      <c r="A72" s="8" t="s">
        <v>503</v>
      </c>
    </row>
    <row r="73" spans="1:18" ht="13.5" thickBot="1" x14ac:dyDescent="0.25"/>
    <row r="74" spans="1:18" ht="13.5" thickBot="1" x14ac:dyDescent="0.25">
      <c r="B74" s="440">
        <v>2001</v>
      </c>
      <c r="C74" s="441">
        <v>2002</v>
      </c>
      <c r="D74" s="441">
        <v>2003</v>
      </c>
      <c r="E74" s="441">
        <v>2004</v>
      </c>
      <c r="F74" s="441">
        <v>2005</v>
      </c>
      <c r="G74" s="441">
        <v>2006</v>
      </c>
      <c r="H74" s="441">
        <v>2007</v>
      </c>
      <c r="I74" s="441">
        <v>2008</v>
      </c>
      <c r="J74" s="441">
        <v>2009</v>
      </c>
      <c r="K74" s="441">
        <v>2010</v>
      </c>
      <c r="L74" s="442">
        <v>2011</v>
      </c>
    </row>
    <row r="75" spans="1:18" x14ac:dyDescent="0.2">
      <c r="A75" s="50" t="s">
        <v>64</v>
      </c>
      <c r="B75" s="488">
        <f>+'Total Market Size'!B102*SUM('Private Label Ass'!$B8:B8)*'Private Label Ass'!$G26*'Private Label Ass'!$E26*'Control Page'!$F7</f>
        <v>0</v>
      </c>
      <c r="C75" s="489">
        <f>+'Total Market Size'!C102*SUM('Private Label Ass'!$B8:C8)*'Private Label Ass'!$G26*'Private Label Ass'!$E26*'Control Page'!$F7</f>
        <v>0</v>
      </c>
      <c r="D75" s="489">
        <f>+'Total Market Size'!D102*SUM('Private Label Ass'!$B8:D8)*'Private Label Ass'!$G26*'Private Label Ass'!$E26*'Control Page'!$F7</f>
        <v>0</v>
      </c>
      <c r="E75" s="489">
        <f>+'Total Market Size'!E102*SUM('Private Label Ass'!$B8:E8)*'Private Label Ass'!$G26*'Private Label Ass'!$E26*'Control Page'!$F7</f>
        <v>0</v>
      </c>
      <c r="F75" s="489">
        <f>+'Total Market Size'!F102*SUM('Private Label Ass'!$B8:F8)*'Private Label Ass'!$G26*'Private Label Ass'!$E26*'Control Page'!$F7</f>
        <v>0</v>
      </c>
      <c r="G75" s="489">
        <f>+'Total Market Size'!G102*SUM('Private Label Ass'!$B8:G8)*'Private Label Ass'!$G26*'Private Label Ass'!$E26*'Control Page'!$F7</f>
        <v>0</v>
      </c>
      <c r="H75" s="489">
        <f>+'Total Market Size'!H102*SUM('Private Label Ass'!$B8:H8)*'Private Label Ass'!$G26*'Private Label Ass'!$E26*'Control Page'!$F7</f>
        <v>0</v>
      </c>
      <c r="I75" s="489">
        <f>+'Total Market Size'!I102*SUM('Private Label Ass'!$B8:I8)*'Private Label Ass'!$G26*'Private Label Ass'!$E26*'Control Page'!$F7</f>
        <v>0</v>
      </c>
      <c r="J75" s="489">
        <f>+'Total Market Size'!J102*SUM('Private Label Ass'!$B8:J8)*'Private Label Ass'!$G26*'Private Label Ass'!$E26*'Control Page'!$F7</f>
        <v>0</v>
      </c>
      <c r="K75" s="489">
        <f>+'Total Market Size'!K102*SUM('Private Label Ass'!$B8:K8)*'Private Label Ass'!$G26*'Private Label Ass'!$E26*'Control Page'!$F7</f>
        <v>0</v>
      </c>
      <c r="L75" s="490">
        <f>+'Total Market Size'!L102*SUM('Private Label Ass'!$B8:L8)*'Private Label Ass'!$G26*'Private Label Ass'!$E26*'Control Page'!$F7</f>
        <v>0</v>
      </c>
    </row>
    <row r="76" spans="1:18" x14ac:dyDescent="0.2">
      <c r="A76" s="51" t="s">
        <v>65</v>
      </c>
      <c r="B76" s="491">
        <f>+'Total Market Size'!B103*SUM('Private Label Ass'!$B9:B9)*'Private Label Ass'!$G27*'Private Label Ass'!$E27*'Control Page'!$F8</f>
        <v>0</v>
      </c>
      <c r="C76" s="492">
        <f>+'Total Market Size'!C103*SUM('Private Label Ass'!$B9:C9)*'Private Label Ass'!$G27*'Private Label Ass'!$E27*'Control Page'!$F8</f>
        <v>0</v>
      </c>
      <c r="D76" s="492">
        <f>+'Total Market Size'!D103*SUM('Private Label Ass'!$B9:D9)*'Private Label Ass'!$G27*'Private Label Ass'!$E27*'Control Page'!$F8</f>
        <v>0</v>
      </c>
      <c r="E76" s="492">
        <f>+'Total Market Size'!E103*SUM('Private Label Ass'!$B9:E9)*'Private Label Ass'!$G27*'Private Label Ass'!$E27*'Control Page'!$F8</f>
        <v>0</v>
      </c>
      <c r="F76" s="492">
        <f>+'Total Market Size'!F103*SUM('Private Label Ass'!$B9:F9)*'Private Label Ass'!$G27*'Private Label Ass'!$E27*'Control Page'!$F8</f>
        <v>0</v>
      </c>
      <c r="G76" s="492">
        <f>+'Total Market Size'!G103*SUM('Private Label Ass'!$B9:G9)*'Private Label Ass'!$G27*'Private Label Ass'!$E27*'Control Page'!$F8</f>
        <v>0</v>
      </c>
      <c r="H76" s="492">
        <f>+'Total Market Size'!H103*SUM('Private Label Ass'!$B9:H9)*'Private Label Ass'!$G27*'Private Label Ass'!$E27*'Control Page'!$F8</f>
        <v>0</v>
      </c>
      <c r="I76" s="492">
        <f>+'Total Market Size'!I103*SUM('Private Label Ass'!$B9:I9)*'Private Label Ass'!$G27*'Private Label Ass'!$E27*'Control Page'!$F8</f>
        <v>0</v>
      </c>
      <c r="J76" s="492">
        <f>+'Total Market Size'!J103*SUM('Private Label Ass'!$B9:J9)*'Private Label Ass'!$G27*'Private Label Ass'!$E27*'Control Page'!$F8</f>
        <v>0</v>
      </c>
      <c r="K76" s="492">
        <f>+'Total Market Size'!K103*SUM('Private Label Ass'!$B9:K9)*'Private Label Ass'!$G27*'Private Label Ass'!$E27*'Control Page'!$F8</f>
        <v>0</v>
      </c>
      <c r="L76" s="493">
        <f>+'Total Market Size'!L103*SUM('Private Label Ass'!$B9:L9)*'Private Label Ass'!$G27*'Private Label Ass'!$E27*'Control Page'!$F8</f>
        <v>0</v>
      </c>
    </row>
    <row r="77" spans="1:18" x14ac:dyDescent="0.2">
      <c r="A77" s="51" t="s">
        <v>66</v>
      </c>
      <c r="B77" s="491">
        <f>+'Total Market Size'!B104*SUM('Private Label Ass'!$B10:B10)*'Private Label Ass'!$G28*'Private Label Ass'!$E28*'Control Page'!$F9</f>
        <v>0</v>
      </c>
      <c r="C77" s="492">
        <f>+'Total Market Size'!C104*SUM('Private Label Ass'!$B10:C10)*'Private Label Ass'!$G28*'Private Label Ass'!$E28*'Control Page'!$F9</f>
        <v>0</v>
      </c>
      <c r="D77" s="492">
        <f>+'Total Market Size'!D104*SUM('Private Label Ass'!$B10:D10)*'Private Label Ass'!$G28*'Private Label Ass'!$E28*'Control Page'!$F9</f>
        <v>0</v>
      </c>
      <c r="E77" s="492">
        <f>+'Total Market Size'!E104*SUM('Private Label Ass'!$B10:E10)*'Private Label Ass'!$G28*'Private Label Ass'!$E28*'Control Page'!$F9</f>
        <v>0</v>
      </c>
      <c r="F77" s="492">
        <f>+'Total Market Size'!F104*SUM('Private Label Ass'!$B10:F10)*'Private Label Ass'!$G28*'Private Label Ass'!$E28*'Control Page'!$F9</f>
        <v>0</v>
      </c>
      <c r="G77" s="492">
        <f>+'Total Market Size'!G104*SUM('Private Label Ass'!$B10:G10)*'Private Label Ass'!$G28*'Private Label Ass'!$E28*'Control Page'!$F9</f>
        <v>0</v>
      </c>
      <c r="H77" s="492">
        <f>+'Total Market Size'!H104*SUM('Private Label Ass'!$B10:H10)*'Private Label Ass'!$G28*'Private Label Ass'!$E28*'Control Page'!$F9</f>
        <v>0</v>
      </c>
      <c r="I77" s="492">
        <f>+'Total Market Size'!I104*SUM('Private Label Ass'!$B10:I10)*'Private Label Ass'!$G28*'Private Label Ass'!$E28*'Control Page'!$F9</f>
        <v>0</v>
      </c>
      <c r="J77" s="492">
        <f>+'Total Market Size'!J104*SUM('Private Label Ass'!$B10:J10)*'Private Label Ass'!$G28*'Private Label Ass'!$E28*'Control Page'!$F9</f>
        <v>0</v>
      </c>
      <c r="K77" s="492">
        <f>+'Total Market Size'!K104*SUM('Private Label Ass'!$B10:K10)*'Private Label Ass'!$G28*'Private Label Ass'!$E28*'Control Page'!$F9</f>
        <v>0</v>
      </c>
      <c r="L77" s="493">
        <f>+'Total Market Size'!L104*SUM('Private Label Ass'!$B10:L10)*'Private Label Ass'!$G28*'Private Label Ass'!$E28*'Control Page'!$F9</f>
        <v>0</v>
      </c>
    </row>
    <row r="78" spans="1:18" x14ac:dyDescent="0.2">
      <c r="A78" s="51" t="s">
        <v>112</v>
      </c>
      <c r="B78" s="491">
        <f>+'Total Market Size'!B105*SUM('Private Label Ass'!$B11:B11)*'Private Label Ass'!$G29*'Private Label Ass'!$E29*'Control Page'!$F10</f>
        <v>0</v>
      </c>
      <c r="C78" s="492">
        <f>+'Total Market Size'!C105*SUM('Private Label Ass'!$B11:C11)*'Private Label Ass'!$G29*'Private Label Ass'!$E29*'Control Page'!$F10</f>
        <v>0</v>
      </c>
      <c r="D78" s="492">
        <f>+'Total Market Size'!D105*SUM('Private Label Ass'!$B11:D11)*'Private Label Ass'!$G29*'Private Label Ass'!$E29*'Control Page'!$F10</f>
        <v>0</v>
      </c>
      <c r="E78" s="492">
        <f>+'Total Market Size'!E105*SUM('Private Label Ass'!$B11:E11)*'Private Label Ass'!$G29*'Private Label Ass'!$E29*'Control Page'!$F10</f>
        <v>0</v>
      </c>
      <c r="F78" s="492">
        <f>+'Total Market Size'!F105*SUM('Private Label Ass'!$B11:F11)*'Private Label Ass'!$G29*'Private Label Ass'!$E29*'Control Page'!$F10</f>
        <v>0</v>
      </c>
      <c r="G78" s="492">
        <f>+'Total Market Size'!G105*SUM('Private Label Ass'!$B11:G11)*'Private Label Ass'!$G29*'Private Label Ass'!$E29*'Control Page'!$F10</f>
        <v>0</v>
      </c>
      <c r="H78" s="492">
        <f>+'Total Market Size'!H105*SUM('Private Label Ass'!$B11:H11)*'Private Label Ass'!$G29*'Private Label Ass'!$E29*'Control Page'!$F10</f>
        <v>0</v>
      </c>
      <c r="I78" s="492">
        <f>+'Total Market Size'!I105*SUM('Private Label Ass'!$B11:I11)*'Private Label Ass'!$G29*'Private Label Ass'!$E29*'Control Page'!$F10</f>
        <v>0</v>
      </c>
      <c r="J78" s="492">
        <f>+'Total Market Size'!J105*SUM('Private Label Ass'!$B11:J11)*'Private Label Ass'!$G29*'Private Label Ass'!$E29*'Control Page'!$F10</f>
        <v>0</v>
      </c>
      <c r="K78" s="492">
        <f>+'Total Market Size'!K105*SUM('Private Label Ass'!$B11:K11)*'Private Label Ass'!$G29*'Private Label Ass'!$E29*'Control Page'!$F10</f>
        <v>0</v>
      </c>
      <c r="L78" s="493">
        <f>+'Total Market Size'!L105*SUM('Private Label Ass'!$B11:L11)*'Private Label Ass'!$G29*'Private Label Ass'!$E29*'Control Page'!$F10</f>
        <v>0</v>
      </c>
    </row>
    <row r="79" spans="1:18" x14ac:dyDescent="0.2">
      <c r="A79" s="51" t="s">
        <v>67</v>
      </c>
      <c r="B79" s="491">
        <f>+'Total Market Size'!B106*SUM('Private Label Ass'!$B12:B12)*'Private Label Ass'!$G30*'Private Label Ass'!$E30*'Control Page'!$F11</f>
        <v>0</v>
      </c>
      <c r="C79" s="492">
        <f>+'Total Market Size'!C106*SUM('Private Label Ass'!$B12:C12)*'Private Label Ass'!$G30*'Private Label Ass'!$E30*'Control Page'!$F11</f>
        <v>0</v>
      </c>
      <c r="D79" s="492">
        <f>+'Total Market Size'!D106*SUM('Private Label Ass'!$B12:D12)*'Private Label Ass'!$G30*'Private Label Ass'!$E30*'Control Page'!$F11</f>
        <v>0</v>
      </c>
      <c r="E79" s="492">
        <f>+'Total Market Size'!E106*SUM('Private Label Ass'!$B12:E12)*'Private Label Ass'!$G30*'Private Label Ass'!$E30*'Control Page'!$F11</f>
        <v>0</v>
      </c>
      <c r="F79" s="492">
        <f>+'Total Market Size'!F106*SUM('Private Label Ass'!$B12:F12)*'Private Label Ass'!$G30*'Private Label Ass'!$E30*'Control Page'!$F11</f>
        <v>0</v>
      </c>
      <c r="G79" s="492">
        <f>+'Total Market Size'!G106*SUM('Private Label Ass'!$B12:G12)*'Private Label Ass'!$G30*'Private Label Ass'!$E30*'Control Page'!$F11</f>
        <v>0</v>
      </c>
      <c r="H79" s="492">
        <f>+'Total Market Size'!H106*SUM('Private Label Ass'!$B12:H12)*'Private Label Ass'!$G30*'Private Label Ass'!$E30*'Control Page'!$F11</f>
        <v>0</v>
      </c>
      <c r="I79" s="492">
        <f>+'Total Market Size'!I106*SUM('Private Label Ass'!$B12:I12)*'Private Label Ass'!$G30*'Private Label Ass'!$E30*'Control Page'!$F11</f>
        <v>0</v>
      </c>
      <c r="J79" s="492">
        <f>+'Total Market Size'!J106*SUM('Private Label Ass'!$B12:J12)*'Private Label Ass'!$G30*'Private Label Ass'!$E30*'Control Page'!$F11</f>
        <v>0</v>
      </c>
      <c r="K79" s="492">
        <f>+'Total Market Size'!K106*SUM('Private Label Ass'!$B12:K12)*'Private Label Ass'!$G30*'Private Label Ass'!$E30*'Control Page'!$F11</f>
        <v>0</v>
      </c>
      <c r="L79" s="493">
        <f>+'Total Market Size'!L106*SUM('Private Label Ass'!$B12:L12)*'Private Label Ass'!$G30*'Private Label Ass'!$E30*'Control Page'!$F11</f>
        <v>0</v>
      </c>
    </row>
    <row r="80" spans="1:18" x14ac:dyDescent="0.2">
      <c r="A80" s="51" t="s">
        <v>68</v>
      </c>
      <c r="B80" s="491">
        <f>+'Total Market Size'!B107*SUM('Private Label Ass'!$B13:B13)*'Private Label Ass'!$G31*'Private Label Ass'!$E31*'Control Page'!$F12</f>
        <v>0</v>
      </c>
      <c r="C80" s="492">
        <f>+'Total Market Size'!C107*SUM('Private Label Ass'!$B13:C13)*'Private Label Ass'!$G31*'Private Label Ass'!$E31*'Control Page'!$F12</f>
        <v>0</v>
      </c>
      <c r="D80" s="492">
        <f>+'Total Market Size'!D107*SUM('Private Label Ass'!$B13:D13)*'Private Label Ass'!$G31*'Private Label Ass'!$E31*'Control Page'!$F12</f>
        <v>0</v>
      </c>
      <c r="E80" s="492">
        <f>+'Total Market Size'!E107*SUM('Private Label Ass'!$B13:E13)*'Private Label Ass'!$G31*'Private Label Ass'!$E31*'Control Page'!$F12</f>
        <v>0</v>
      </c>
      <c r="F80" s="492">
        <f>+'Total Market Size'!F107*SUM('Private Label Ass'!$B13:F13)*'Private Label Ass'!$G31*'Private Label Ass'!$E31*'Control Page'!$F12</f>
        <v>0</v>
      </c>
      <c r="G80" s="492">
        <f>+'Total Market Size'!G107*SUM('Private Label Ass'!$B13:G13)*'Private Label Ass'!$G31*'Private Label Ass'!$E31*'Control Page'!$F12</f>
        <v>0</v>
      </c>
      <c r="H80" s="492">
        <f>+'Total Market Size'!H107*SUM('Private Label Ass'!$B13:H13)*'Private Label Ass'!$G31*'Private Label Ass'!$E31*'Control Page'!$F12</f>
        <v>0</v>
      </c>
      <c r="I80" s="492">
        <f>+'Total Market Size'!I107*SUM('Private Label Ass'!$B13:I13)*'Private Label Ass'!$G31*'Private Label Ass'!$E31*'Control Page'!$F12</f>
        <v>0</v>
      </c>
      <c r="J80" s="492">
        <f>+'Total Market Size'!J107*SUM('Private Label Ass'!$B13:J13)*'Private Label Ass'!$G31*'Private Label Ass'!$E31*'Control Page'!$F12</f>
        <v>0</v>
      </c>
      <c r="K80" s="492">
        <f>+'Total Market Size'!K107*SUM('Private Label Ass'!$B13:K13)*'Private Label Ass'!$G31*'Private Label Ass'!$E31*'Control Page'!$F12</f>
        <v>0</v>
      </c>
      <c r="L80" s="493">
        <f>+'Total Market Size'!L107*SUM('Private Label Ass'!$B13:L13)*'Private Label Ass'!$G31*'Private Label Ass'!$E31*'Control Page'!$F12</f>
        <v>0</v>
      </c>
    </row>
    <row r="81" spans="1:12" x14ac:dyDescent="0.2">
      <c r="A81" s="51" t="s">
        <v>69</v>
      </c>
      <c r="B81" s="491">
        <f>+'Total Market Size'!B108*SUM('Private Label Ass'!$B14:B14)*'Private Label Ass'!$G32*'Private Label Ass'!$E32*'Control Page'!$F13</f>
        <v>0</v>
      </c>
      <c r="C81" s="492">
        <f>+'Total Market Size'!C108*SUM('Private Label Ass'!$B14:C14)*'Private Label Ass'!$G32*'Private Label Ass'!$E32*'Control Page'!$F13</f>
        <v>0</v>
      </c>
      <c r="D81" s="492">
        <f>+'Total Market Size'!D108*SUM('Private Label Ass'!$B14:D14)*'Private Label Ass'!$G32*'Private Label Ass'!$E32*'Control Page'!$F13</f>
        <v>0</v>
      </c>
      <c r="E81" s="492">
        <f>+'Total Market Size'!E108*SUM('Private Label Ass'!$B14:E14)*'Private Label Ass'!$G32*'Private Label Ass'!$E32*'Control Page'!$F13</f>
        <v>0</v>
      </c>
      <c r="F81" s="492">
        <f>+'Total Market Size'!F108*SUM('Private Label Ass'!$B14:F14)*'Private Label Ass'!$G32*'Private Label Ass'!$E32*'Control Page'!$F13</f>
        <v>0</v>
      </c>
      <c r="G81" s="492">
        <f>+'Total Market Size'!G108*SUM('Private Label Ass'!$B14:G14)*'Private Label Ass'!$G32*'Private Label Ass'!$E32*'Control Page'!$F13</f>
        <v>0</v>
      </c>
      <c r="H81" s="492">
        <f>+'Total Market Size'!H108*SUM('Private Label Ass'!$B14:H14)*'Private Label Ass'!$G32*'Private Label Ass'!$E32*'Control Page'!$F13</f>
        <v>0</v>
      </c>
      <c r="I81" s="492">
        <f>+'Total Market Size'!I108*SUM('Private Label Ass'!$B14:I14)*'Private Label Ass'!$G32*'Private Label Ass'!$E32*'Control Page'!$F13</f>
        <v>0</v>
      </c>
      <c r="J81" s="492">
        <f>+'Total Market Size'!J108*SUM('Private Label Ass'!$B14:J14)*'Private Label Ass'!$G32*'Private Label Ass'!$E32*'Control Page'!$F13</f>
        <v>0</v>
      </c>
      <c r="K81" s="492">
        <f>+'Total Market Size'!K108*SUM('Private Label Ass'!$B14:K14)*'Private Label Ass'!$G32*'Private Label Ass'!$E32*'Control Page'!$F13</f>
        <v>0</v>
      </c>
      <c r="L81" s="493">
        <f>+'Total Market Size'!L108*SUM('Private Label Ass'!$B14:L14)*'Private Label Ass'!$G32*'Private Label Ass'!$E32*'Control Page'!$F13</f>
        <v>0</v>
      </c>
    </row>
    <row r="82" spans="1:12" x14ac:dyDescent="0.2">
      <c r="A82" s="51" t="s">
        <v>70</v>
      </c>
      <c r="B82" s="491">
        <f>+'Total Market Size'!B109*SUM('Private Label Ass'!$B15:B15)*'Private Label Ass'!$G33*'Private Label Ass'!$E33*'Control Page'!$F14</f>
        <v>0</v>
      </c>
      <c r="C82" s="492">
        <f>+'Total Market Size'!C109*SUM('Private Label Ass'!$B15:C15)*'Private Label Ass'!$G33*'Private Label Ass'!$E33*'Control Page'!$F14</f>
        <v>0</v>
      </c>
      <c r="D82" s="492">
        <f>+'Total Market Size'!D109*SUM('Private Label Ass'!$B15:D15)*'Private Label Ass'!$G33*'Private Label Ass'!$E33*'Control Page'!$F14</f>
        <v>0</v>
      </c>
      <c r="E82" s="492">
        <f>+'Total Market Size'!E109*SUM('Private Label Ass'!$B15:E15)*'Private Label Ass'!$G33*'Private Label Ass'!$E33*'Control Page'!$F14</f>
        <v>0</v>
      </c>
      <c r="F82" s="492">
        <f>+'Total Market Size'!F109*SUM('Private Label Ass'!$B15:F15)*'Private Label Ass'!$G33*'Private Label Ass'!$E33*'Control Page'!$F14</f>
        <v>0</v>
      </c>
      <c r="G82" s="492">
        <f>+'Total Market Size'!G109*SUM('Private Label Ass'!$B15:G15)*'Private Label Ass'!$G33*'Private Label Ass'!$E33*'Control Page'!$F14</f>
        <v>0</v>
      </c>
      <c r="H82" s="492">
        <f>+'Total Market Size'!H109*SUM('Private Label Ass'!$B15:H15)*'Private Label Ass'!$G33*'Private Label Ass'!$E33*'Control Page'!$F14</f>
        <v>0</v>
      </c>
      <c r="I82" s="492">
        <f>+'Total Market Size'!I109*SUM('Private Label Ass'!$B15:I15)*'Private Label Ass'!$G33*'Private Label Ass'!$E33*'Control Page'!$F14</f>
        <v>0</v>
      </c>
      <c r="J82" s="492">
        <f>+'Total Market Size'!J109*SUM('Private Label Ass'!$B15:J15)*'Private Label Ass'!$G33*'Private Label Ass'!$E33*'Control Page'!$F14</f>
        <v>0</v>
      </c>
      <c r="K82" s="492">
        <f>+'Total Market Size'!K109*SUM('Private Label Ass'!$B15:K15)*'Private Label Ass'!$G33*'Private Label Ass'!$E33*'Control Page'!$F14</f>
        <v>0</v>
      </c>
      <c r="L82" s="493">
        <f>+'Total Market Size'!L109*SUM('Private Label Ass'!$B15:L15)*'Private Label Ass'!$G33*'Private Label Ass'!$E33*'Control Page'!$F14</f>
        <v>0</v>
      </c>
    </row>
    <row r="83" spans="1:12" x14ac:dyDescent="0.2">
      <c r="A83" s="51" t="s">
        <v>71</v>
      </c>
      <c r="B83" s="491">
        <f>+'Total Market Size'!B110*SUM('Private Label Ass'!$B16:B16)*'Private Label Ass'!$G34*'Private Label Ass'!$E34*'Control Page'!$F15</f>
        <v>0</v>
      </c>
      <c r="C83" s="492">
        <f>+'Total Market Size'!C110*SUM('Private Label Ass'!$B16:C16)*'Private Label Ass'!$G34*'Private Label Ass'!$E34*'Control Page'!$F15</f>
        <v>0</v>
      </c>
      <c r="D83" s="492">
        <f>+'Total Market Size'!D110*SUM('Private Label Ass'!$B16:D16)*'Private Label Ass'!$G34*'Private Label Ass'!$E34*'Control Page'!$F15</f>
        <v>0</v>
      </c>
      <c r="E83" s="492">
        <f>+'Total Market Size'!E110*SUM('Private Label Ass'!$B16:E16)*'Private Label Ass'!$G34*'Private Label Ass'!$E34*'Control Page'!$F15</f>
        <v>0</v>
      </c>
      <c r="F83" s="492">
        <f>+'Total Market Size'!F110*SUM('Private Label Ass'!$B16:F16)*'Private Label Ass'!$G34*'Private Label Ass'!$E34*'Control Page'!$F15</f>
        <v>0</v>
      </c>
      <c r="G83" s="492">
        <f>+'Total Market Size'!G110*SUM('Private Label Ass'!$B16:G16)*'Private Label Ass'!$G34*'Private Label Ass'!$E34*'Control Page'!$F15</f>
        <v>0</v>
      </c>
      <c r="H83" s="492">
        <f>+'Total Market Size'!H110*SUM('Private Label Ass'!$B16:H16)*'Private Label Ass'!$G34*'Private Label Ass'!$E34*'Control Page'!$F15</f>
        <v>0</v>
      </c>
      <c r="I83" s="492">
        <f>+'Total Market Size'!I110*SUM('Private Label Ass'!$B16:I16)*'Private Label Ass'!$G34*'Private Label Ass'!$E34*'Control Page'!$F15</f>
        <v>0</v>
      </c>
      <c r="J83" s="492">
        <f>+'Total Market Size'!J110*SUM('Private Label Ass'!$B16:J16)*'Private Label Ass'!$G34*'Private Label Ass'!$E34*'Control Page'!$F15</f>
        <v>0</v>
      </c>
      <c r="K83" s="492">
        <f>+'Total Market Size'!K110*SUM('Private Label Ass'!$B16:K16)*'Private Label Ass'!$G34*'Private Label Ass'!$E34*'Control Page'!$F15</f>
        <v>0</v>
      </c>
      <c r="L83" s="493">
        <f>+'Total Market Size'!L110*SUM('Private Label Ass'!$B16:L16)*'Private Label Ass'!$G34*'Private Label Ass'!$E34*'Control Page'!$F15</f>
        <v>0</v>
      </c>
    </row>
    <row r="84" spans="1:12" x14ac:dyDescent="0.2">
      <c r="A84" s="71" t="s">
        <v>119</v>
      </c>
      <c r="B84" s="491">
        <f>+'Total Market Size'!B111*SUM('Private Label Ass'!$B17:B17)*'Private Label Ass'!$G35*'Private Label Ass'!$E35*'Control Page'!$F16</f>
        <v>0</v>
      </c>
      <c r="C84" s="492">
        <f>+'Total Market Size'!C111*SUM('Private Label Ass'!$B17:C17)*'Private Label Ass'!$G35*'Private Label Ass'!$E35*'Control Page'!$F16</f>
        <v>0</v>
      </c>
      <c r="D84" s="492">
        <f>+'Total Market Size'!D111*SUM('Private Label Ass'!$B17:D17)*'Private Label Ass'!$G35*'Private Label Ass'!$E35*'Control Page'!$F16</f>
        <v>0</v>
      </c>
      <c r="E84" s="492">
        <f>+'Total Market Size'!E111*SUM('Private Label Ass'!$B17:E17)*'Private Label Ass'!$G35*'Private Label Ass'!$E35*'Control Page'!$F16</f>
        <v>0</v>
      </c>
      <c r="F84" s="492">
        <f>+'Total Market Size'!F111*SUM('Private Label Ass'!$B17:F17)*'Private Label Ass'!$G35*'Private Label Ass'!$E35*'Control Page'!$F16</f>
        <v>0</v>
      </c>
      <c r="G84" s="492">
        <f>+'Total Market Size'!G111*SUM('Private Label Ass'!$B17:G17)*'Private Label Ass'!$G35*'Private Label Ass'!$E35*'Control Page'!$F16</f>
        <v>0</v>
      </c>
      <c r="H84" s="492">
        <f>+'Total Market Size'!H111*SUM('Private Label Ass'!$B17:H17)*'Private Label Ass'!$G35*'Private Label Ass'!$E35*'Control Page'!$F16</f>
        <v>0</v>
      </c>
      <c r="I84" s="492">
        <f>+'Total Market Size'!I111*SUM('Private Label Ass'!$B17:I17)*'Private Label Ass'!$G35*'Private Label Ass'!$E35*'Control Page'!$F16</f>
        <v>0</v>
      </c>
      <c r="J84" s="492">
        <f>+'Total Market Size'!J111*SUM('Private Label Ass'!$B17:J17)*'Private Label Ass'!$G35*'Private Label Ass'!$E35*'Control Page'!$F16</f>
        <v>0</v>
      </c>
      <c r="K84" s="492">
        <f>+'Total Market Size'!K111*SUM('Private Label Ass'!$B17:K17)*'Private Label Ass'!$G35*'Private Label Ass'!$E35*'Control Page'!$F16</f>
        <v>0</v>
      </c>
      <c r="L84" s="493">
        <f>+'Total Market Size'!L111*SUM('Private Label Ass'!$B17:L17)*'Private Label Ass'!$G35*'Private Label Ass'!$E35*'Control Page'!$F16</f>
        <v>0</v>
      </c>
    </row>
    <row r="85" spans="1:12" x14ac:dyDescent="0.2">
      <c r="A85" s="71" t="s">
        <v>120</v>
      </c>
      <c r="B85" s="491">
        <f>+'Total Market Size'!B112*SUM('Private Label Ass'!$B18:B18)*'Private Label Ass'!$G36*'Private Label Ass'!$E36*'Control Page'!$F17</f>
        <v>0</v>
      </c>
      <c r="C85" s="492">
        <f>+'Total Market Size'!C112*SUM('Private Label Ass'!$B18:C18)*'Private Label Ass'!$G36*'Private Label Ass'!$E36*'Control Page'!$F17</f>
        <v>0</v>
      </c>
      <c r="D85" s="492">
        <f>+'Total Market Size'!D112*SUM('Private Label Ass'!$B18:D18)*'Private Label Ass'!$G36*'Private Label Ass'!$E36*'Control Page'!$F17</f>
        <v>0</v>
      </c>
      <c r="E85" s="492">
        <f>+'Total Market Size'!E112*SUM('Private Label Ass'!$B18:E18)*'Private Label Ass'!$G36*'Private Label Ass'!$E36*'Control Page'!$F17</f>
        <v>0</v>
      </c>
      <c r="F85" s="492">
        <f>+'Total Market Size'!F112*SUM('Private Label Ass'!$B18:F18)*'Private Label Ass'!$G36*'Private Label Ass'!$E36*'Control Page'!$F17</f>
        <v>0</v>
      </c>
      <c r="G85" s="492">
        <f>+'Total Market Size'!G112*SUM('Private Label Ass'!$B18:G18)*'Private Label Ass'!$G36*'Private Label Ass'!$E36*'Control Page'!$F17</f>
        <v>0</v>
      </c>
      <c r="H85" s="492">
        <f>+'Total Market Size'!H112*SUM('Private Label Ass'!$B18:H18)*'Private Label Ass'!$G36*'Private Label Ass'!$E36*'Control Page'!$F17</f>
        <v>0</v>
      </c>
      <c r="I85" s="492">
        <f>+'Total Market Size'!I112*SUM('Private Label Ass'!$B18:I18)*'Private Label Ass'!$G36*'Private Label Ass'!$E36*'Control Page'!$F17</f>
        <v>0</v>
      </c>
      <c r="J85" s="492">
        <f>+'Total Market Size'!J112*SUM('Private Label Ass'!$B18:J18)*'Private Label Ass'!$G36*'Private Label Ass'!$E36*'Control Page'!$F17</f>
        <v>0</v>
      </c>
      <c r="K85" s="492">
        <f>+'Total Market Size'!K112*SUM('Private Label Ass'!$B18:K18)*'Private Label Ass'!$G36*'Private Label Ass'!$E36*'Control Page'!$F17</f>
        <v>0</v>
      </c>
      <c r="L85" s="493">
        <f>+'Total Market Size'!L112*SUM('Private Label Ass'!$B18:L18)*'Private Label Ass'!$G36*'Private Label Ass'!$E36*'Control Page'!$F17</f>
        <v>0</v>
      </c>
    </row>
    <row r="86" spans="1:12" ht="13.5" thickBot="1" x14ac:dyDescent="0.25">
      <c r="A86" s="52" t="s">
        <v>113</v>
      </c>
      <c r="B86" s="494">
        <f>+'Total Market Size'!B113*SUM('Private Label Ass'!$B19:B19)*'Private Label Ass'!$G37*'Private Label Ass'!$E37*'Control Page'!$F18</f>
        <v>0</v>
      </c>
      <c r="C86" s="495">
        <f>+'Total Market Size'!C113*SUM('Private Label Ass'!$B19:C19)*'Private Label Ass'!$G37*'Private Label Ass'!$E37*'Control Page'!$F18</f>
        <v>0</v>
      </c>
      <c r="D86" s="495">
        <f>+'Total Market Size'!D113*SUM('Private Label Ass'!$B19:D19)*'Private Label Ass'!$G37*'Private Label Ass'!$E37*'Control Page'!$F18</f>
        <v>0</v>
      </c>
      <c r="E86" s="495">
        <f>+'Total Market Size'!E113*SUM('Private Label Ass'!$B19:E19)*'Private Label Ass'!$G37*'Private Label Ass'!$E37*'Control Page'!$F18</f>
        <v>0</v>
      </c>
      <c r="F86" s="495">
        <f>+'Total Market Size'!F113*SUM('Private Label Ass'!$B19:F19)*'Private Label Ass'!$G37*'Private Label Ass'!$E37*'Control Page'!$F18</f>
        <v>0</v>
      </c>
      <c r="G86" s="495">
        <f>+'Total Market Size'!G113*SUM('Private Label Ass'!$B19:G19)*'Private Label Ass'!$G37*'Private Label Ass'!$E37*'Control Page'!$F18</f>
        <v>0</v>
      </c>
      <c r="H86" s="495">
        <f>+'Total Market Size'!H113*SUM('Private Label Ass'!$B19:H19)*'Private Label Ass'!$G37*'Private Label Ass'!$E37*'Control Page'!$F18</f>
        <v>0</v>
      </c>
      <c r="I86" s="495">
        <f>+'Total Market Size'!I113*SUM('Private Label Ass'!$B19:I19)*'Private Label Ass'!$G37*'Private Label Ass'!$E37*'Control Page'!$F18</f>
        <v>0</v>
      </c>
      <c r="J86" s="495">
        <f>+'Total Market Size'!J113*SUM('Private Label Ass'!$B19:J19)*'Private Label Ass'!$G37*'Private Label Ass'!$E37*'Control Page'!$F18</f>
        <v>0</v>
      </c>
      <c r="K86" s="495">
        <f>+'Total Market Size'!K113*SUM('Private Label Ass'!$B19:K19)*'Private Label Ass'!$G37*'Private Label Ass'!$E37*'Control Page'!$F18</f>
        <v>0</v>
      </c>
      <c r="L86" s="496">
        <f>+'Total Market Size'!L113*SUM('Private Label Ass'!$B19:L19)*'Private Label Ass'!$G37*'Private Label Ass'!$E37*'Control Page'!$F18</f>
        <v>0</v>
      </c>
    </row>
    <row r="87" spans="1:12" ht="13.5" thickBot="1" x14ac:dyDescent="0.25">
      <c r="A87" s="36" t="s">
        <v>462</v>
      </c>
      <c r="B87" s="497">
        <f t="shared" ref="B87:L87" si="17">SUM(B75:B86)</f>
        <v>0</v>
      </c>
      <c r="C87" s="498">
        <f t="shared" si="17"/>
        <v>0</v>
      </c>
      <c r="D87" s="498">
        <f t="shared" si="17"/>
        <v>0</v>
      </c>
      <c r="E87" s="498">
        <f t="shared" si="17"/>
        <v>0</v>
      </c>
      <c r="F87" s="498">
        <f t="shared" si="17"/>
        <v>0</v>
      </c>
      <c r="G87" s="498">
        <f t="shared" si="17"/>
        <v>0</v>
      </c>
      <c r="H87" s="498">
        <f t="shared" si="17"/>
        <v>0</v>
      </c>
      <c r="I87" s="498">
        <f t="shared" si="17"/>
        <v>0</v>
      </c>
      <c r="J87" s="498">
        <f t="shared" si="17"/>
        <v>0</v>
      </c>
      <c r="K87" s="498">
        <f t="shared" si="17"/>
        <v>0</v>
      </c>
      <c r="L87" s="499">
        <f t="shared" si="17"/>
        <v>0</v>
      </c>
    </row>
    <row r="89" spans="1:12" x14ac:dyDescent="0.2">
      <c r="A89" s="8" t="s">
        <v>504</v>
      </c>
    </row>
    <row r="90" spans="1:12" ht="13.5" thickBot="1" x14ac:dyDescent="0.25"/>
    <row r="91" spans="1:12" ht="13.5" thickBot="1" x14ac:dyDescent="0.25">
      <c r="B91" s="440">
        <v>2001</v>
      </c>
      <c r="C91" s="441">
        <v>2002</v>
      </c>
      <c r="D91" s="441">
        <v>2003</v>
      </c>
      <c r="E91" s="441">
        <v>2004</v>
      </c>
      <c r="F91" s="441">
        <v>2005</v>
      </c>
      <c r="G91" s="441">
        <v>2006</v>
      </c>
      <c r="H91" s="441">
        <v>2007</v>
      </c>
      <c r="I91" s="441">
        <v>2008</v>
      </c>
      <c r="J91" s="441">
        <v>2009</v>
      </c>
      <c r="K91" s="441">
        <v>2010</v>
      </c>
      <c r="L91" s="442">
        <v>2011</v>
      </c>
    </row>
    <row r="92" spans="1:12" x14ac:dyDescent="0.2">
      <c r="A92" s="50" t="s">
        <v>64</v>
      </c>
      <c r="B92" s="488">
        <f>+'Private Label Ass'!$F26*Expenses!B$67*'Control Page'!$F7/1000*SUM('Private Label Ass'!$B8:B8)</f>
        <v>9278.955234765046</v>
      </c>
      <c r="C92" s="489">
        <f>+'Private Label Ass'!$F26*Expenses!C$67*'Control Page'!$F7/1000*SUM('Private Label Ass'!$B8:C8)</f>
        <v>18984.742410329283</v>
      </c>
      <c r="D92" s="489">
        <f>+'Private Label Ass'!$F26*Expenses!D$67*'Control Page'!$F7/1000*SUM('Private Label Ass'!$B8:D8)</f>
        <v>29046.655887803798</v>
      </c>
      <c r="E92" s="489">
        <f>+'Private Label Ass'!$F26*Expenses!E$67*'Control Page'!$F7/1000*SUM('Private Label Ass'!$B8:E8)</f>
        <v>39580.90975644732</v>
      </c>
      <c r="F92" s="489">
        <f>+'Private Label Ass'!$F26*Expenses!F$67*'Control Page'!$F7/1000*SUM('Private Label Ass'!$B8:F8)</f>
        <v>50614.088351056991</v>
      </c>
      <c r="G92" s="489">
        <f>+'Private Label Ass'!$F26*Expenses!G$67*'Control Page'!$F7/1000*SUM('Private Label Ass'!$B8:G8)</f>
        <v>62255.328671800096</v>
      </c>
      <c r="H92" s="489">
        <f>+'Private Label Ass'!$F26*Expenses!H$67*'Control Page'!$F7/1000*SUM('Private Label Ass'!$B8:H8)</f>
        <v>74410.681594969064</v>
      </c>
      <c r="I92" s="489">
        <f>+'Private Label Ass'!$F26*Expenses!I$67*'Control Page'!$F7/1000*SUM('Private Label Ass'!$B8:I8)</f>
        <v>87081.757660855219</v>
      </c>
      <c r="J92" s="489">
        <f>+'Private Label Ass'!$F26*Expenses!J$67*'Control Page'!$F7/1000*SUM('Private Label Ass'!$B8:J8)</f>
        <v>100298.59142983153</v>
      </c>
      <c r="K92" s="489">
        <f>+'Private Label Ass'!$F26*Expenses!K$67*'Control Page'!$F7/1000*SUM('Private Label Ass'!$B8:K8)</f>
        <v>114006.0655919085</v>
      </c>
      <c r="L92" s="490">
        <f>+'Private Label Ass'!$F26*Expenses!L$67*'Control Page'!$F7/1000*SUM('Private Label Ass'!$B8:L8)</f>
        <v>128265.94427614439</v>
      </c>
    </row>
    <row r="93" spans="1:12" x14ac:dyDescent="0.2">
      <c r="A93" s="51" t="s">
        <v>65</v>
      </c>
      <c r="B93" s="491">
        <f>+'Private Label Ass'!$F27*Expenses!B$67*'Control Page'!$F8/1000*SUM('Private Label Ass'!$B9:B9)</f>
        <v>0</v>
      </c>
      <c r="C93" s="492">
        <f>+'Private Label Ass'!$F27*Expenses!C$67*'Control Page'!$F8/1000*SUM('Private Label Ass'!$B9:C9)</f>
        <v>0</v>
      </c>
      <c r="D93" s="492">
        <f>+'Private Label Ass'!$F27*Expenses!D$67*'Control Page'!$F8/1000*SUM('Private Label Ass'!$B9:D9)</f>
        <v>0</v>
      </c>
      <c r="E93" s="492">
        <f>+'Private Label Ass'!$F27*Expenses!E$67*'Control Page'!$F8/1000*SUM('Private Label Ass'!$B9:E9)</f>
        <v>0</v>
      </c>
      <c r="F93" s="492">
        <f>+'Private Label Ass'!$F27*Expenses!F$67*'Control Page'!$F8/1000*SUM('Private Label Ass'!$B9:F9)</f>
        <v>0</v>
      </c>
      <c r="G93" s="492">
        <f>+'Private Label Ass'!$F27*Expenses!G$67*'Control Page'!$F8/1000*SUM('Private Label Ass'!$B9:G9)</f>
        <v>0</v>
      </c>
      <c r="H93" s="492">
        <f>+'Private Label Ass'!$F27*Expenses!H$67*'Control Page'!$F8/1000*SUM('Private Label Ass'!$B9:H9)</f>
        <v>0</v>
      </c>
      <c r="I93" s="492">
        <f>+'Private Label Ass'!$F27*Expenses!I$67*'Control Page'!$F8/1000*SUM('Private Label Ass'!$B9:I9)</f>
        <v>0</v>
      </c>
      <c r="J93" s="492">
        <f>+'Private Label Ass'!$F27*Expenses!J$67*'Control Page'!$F8/1000*SUM('Private Label Ass'!$B9:J9)</f>
        <v>0</v>
      </c>
      <c r="K93" s="492">
        <f>+'Private Label Ass'!$F27*Expenses!K$67*'Control Page'!$F8/1000*SUM('Private Label Ass'!$B9:K9)</f>
        <v>0</v>
      </c>
      <c r="L93" s="493">
        <f>+'Private Label Ass'!$F27*Expenses!L$67*'Control Page'!$F8/1000*SUM('Private Label Ass'!$B9:L9)</f>
        <v>0</v>
      </c>
    </row>
    <row r="94" spans="1:12" x14ac:dyDescent="0.2">
      <c r="A94" s="51" t="s">
        <v>66</v>
      </c>
      <c r="B94" s="491">
        <f>+'Private Label Ass'!$F28*Expenses!B$67*'Control Page'!$F9/1000*SUM('Private Label Ass'!$B10:B10)</f>
        <v>0</v>
      </c>
      <c r="C94" s="492">
        <f>+'Private Label Ass'!$F28*Expenses!C$67*'Control Page'!$F9/1000*SUM('Private Label Ass'!$B10:C10)</f>
        <v>0</v>
      </c>
      <c r="D94" s="492">
        <f>+'Private Label Ass'!$F28*Expenses!D$67*'Control Page'!$F9/1000*SUM('Private Label Ass'!$B10:D10)</f>
        <v>0</v>
      </c>
      <c r="E94" s="492">
        <f>+'Private Label Ass'!$F28*Expenses!E$67*'Control Page'!$F9/1000*SUM('Private Label Ass'!$B10:E10)</f>
        <v>0</v>
      </c>
      <c r="F94" s="492">
        <f>+'Private Label Ass'!$F28*Expenses!F$67*'Control Page'!$F9/1000*SUM('Private Label Ass'!$B10:F10)</f>
        <v>0</v>
      </c>
      <c r="G94" s="492">
        <f>+'Private Label Ass'!$F28*Expenses!G$67*'Control Page'!$F9/1000*SUM('Private Label Ass'!$B10:G10)</f>
        <v>0</v>
      </c>
      <c r="H94" s="492">
        <f>+'Private Label Ass'!$F28*Expenses!H$67*'Control Page'!$F9/1000*SUM('Private Label Ass'!$B10:H10)</f>
        <v>0</v>
      </c>
      <c r="I94" s="492">
        <f>+'Private Label Ass'!$F28*Expenses!I$67*'Control Page'!$F9/1000*SUM('Private Label Ass'!$B10:I10)</f>
        <v>0</v>
      </c>
      <c r="J94" s="492">
        <f>+'Private Label Ass'!$F28*Expenses!J$67*'Control Page'!$F9/1000*SUM('Private Label Ass'!$B10:J10)</f>
        <v>0</v>
      </c>
      <c r="K94" s="492">
        <f>+'Private Label Ass'!$F28*Expenses!K$67*'Control Page'!$F9/1000*SUM('Private Label Ass'!$B10:K10)</f>
        <v>0</v>
      </c>
      <c r="L94" s="493">
        <f>+'Private Label Ass'!$F28*Expenses!L$67*'Control Page'!$F9/1000*SUM('Private Label Ass'!$B10:L10)</f>
        <v>0</v>
      </c>
    </row>
    <row r="95" spans="1:12" x14ac:dyDescent="0.2">
      <c r="A95" s="51" t="s">
        <v>112</v>
      </c>
      <c r="B95" s="491">
        <f>+'Private Label Ass'!$F29*Expenses!B$67*'Control Page'!$F10/1000*SUM('Private Label Ass'!$B11:B11)</f>
        <v>0</v>
      </c>
      <c r="C95" s="492">
        <f>+'Private Label Ass'!$F29*Expenses!C$67*'Control Page'!$F10/1000*SUM('Private Label Ass'!$B11:C11)</f>
        <v>0</v>
      </c>
      <c r="D95" s="492">
        <f>+'Private Label Ass'!$F29*Expenses!D$67*'Control Page'!$F10/1000*SUM('Private Label Ass'!$B11:D11)</f>
        <v>0</v>
      </c>
      <c r="E95" s="492">
        <f>+'Private Label Ass'!$F29*Expenses!E$67*'Control Page'!$F10/1000*SUM('Private Label Ass'!$B11:E11)</f>
        <v>0</v>
      </c>
      <c r="F95" s="492">
        <f>+'Private Label Ass'!$F29*Expenses!F$67*'Control Page'!$F10/1000*SUM('Private Label Ass'!$B11:F11)</f>
        <v>0</v>
      </c>
      <c r="G95" s="492">
        <f>+'Private Label Ass'!$F29*Expenses!G$67*'Control Page'!$F10/1000*SUM('Private Label Ass'!$B11:G11)</f>
        <v>0</v>
      </c>
      <c r="H95" s="492">
        <f>+'Private Label Ass'!$F29*Expenses!H$67*'Control Page'!$F10/1000*SUM('Private Label Ass'!$B11:H11)</f>
        <v>0</v>
      </c>
      <c r="I95" s="492">
        <f>+'Private Label Ass'!$F29*Expenses!I$67*'Control Page'!$F10/1000*SUM('Private Label Ass'!$B11:I11)</f>
        <v>0</v>
      </c>
      <c r="J95" s="492">
        <f>+'Private Label Ass'!$F29*Expenses!J$67*'Control Page'!$F10/1000*SUM('Private Label Ass'!$B11:J11)</f>
        <v>0</v>
      </c>
      <c r="K95" s="492">
        <f>+'Private Label Ass'!$F29*Expenses!K$67*'Control Page'!$F10/1000*SUM('Private Label Ass'!$B11:K11)</f>
        <v>0</v>
      </c>
      <c r="L95" s="493">
        <f>+'Private Label Ass'!$F29*Expenses!L$67*'Control Page'!$F10/1000*SUM('Private Label Ass'!$B11:L11)</f>
        <v>0</v>
      </c>
    </row>
    <row r="96" spans="1:12" x14ac:dyDescent="0.2">
      <c r="A96" s="51" t="s">
        <v>67</v>
      </c>
      <c r="B96" s="491">
        <f>+'Private Label Ass'!$F30*Expenses!B$67*'Control Page'!$F11/1000*SUM('Private Label Ass'!$B12:B12)</f>
        <v>0</v>
      </c>
      <c r="C96" s="492">
        <f>+'Private Label Ass'!$F30*Expenses!C$67*'Control Page'!$F11/1000*SUM('Private Label Ass'!$B12:C12)</f>
        <v>0</v>
      </c>
      <c r="D96" s="492">
        <f>+'Private Label Ass'!$F30*Expenses!D$67*'Control Page'!$F11/1000*SUM('Private Label Ass'!$B12:D12)</f>
        <v>0</v>
      </c>
      <c r="E96" s="492">
        <f>+'Private Label Ass'!$F30*Expenses!E$67*'Control Page'!$F11/1000*SUM('Private Label Ass'!$B12:E12)</f>
        <v>0</v>
      </c>
      <c r="F96" s="492">
        <f>+'Private Label Ass'!$F30*Expenses!F$67*'Control Page'!$F11/1000*SUM('Private Label Ass'!$B12:F12)</f>
        <v>0</v>
      </c>
      <c r="G96" s="492">
        <f>+'Private Label Ass'!$F30*Expenses!G$67*'Control Page'!$F11/1000*SUM('Private Label Ass'!$B12:G12)</f>
        <v>0</v>
      </c>
      <c r="H96" s="492">
        <f>+'Private Label Ass'!$F30*Expenses!H$67*'Control Page'!$F11/1000*SUM('Private Label Ass'!$B12:H12)</f>
        <v>0</v>
      </c>
      <c r="I96" s="492">
        <f>+'Private Label Ass'!$F30*Expenses!I$67*'Control Page'!$F11/1000*SUM('Private Label Ass'!$B12:I12)</f>
        <v>0</v>
      </c>
      <c r="J96" s="492">
        <f>+'Private Label Ass'!$F30*Expenses!J$67*'Control Page'!$F11/1000*SUM('Private Label Ass'!$B12:J12)</f>
        <v>0</v>
      </c>
      <c r="K96" s="492">
        <f>+'Private Label Ass'!$F30*Expenses!K$67*'Control Page'!$F11/1000*SUM('Private Label Ass'!$B12:K12)</f>
        <v>0</v>
      </c>
      <c r="L96" s="493">
        <f>+'Private Label Ass'!$F30*Expenses!L$67*'Control Page'!$F11/1000*SUM('Private Label Ass'!$B12:L12)</f>
        <v>0</v>
      </c>
    </row>
    <row r="97" spans="1:12" x14ac:dyDescent="0.2">
      <c r="A97" s="51" t="s">
        <v>68</v>
      </c>
      <c r="B97" s="491">
        <f>+'Private Label Ass'!$F31*Expenses!B$67*'Control Page'!$F12/1000*SUM('Private Label Ass'!$B13:B13)</f>
        <v>0</v>
      </c>
      <c r="C97" s="492">
        <f>+'Private Label Ass'!$F31*Expenses!C$67*'Control Page'!$F12/1000*SUM('Private Label Ass'!$B13:C13)</f>
        <v>0</v>
      </c>
      <c r="D97" s="492">
        <f>+'Private Label Ass'!$F31*Expenses!D$67*'Control Page'!$F12/1000*SUM('Private Label Ass'!$B13:D13)</f>
        <v>0</v>
      </c>
      <c r="E97" s="492">
        <f>+'Private Label Ass'!$F31*Expenses!E$67*'Control Page'!$F12/1000*SUM('Private Label Ass'!$B13:E13)</f>
        <v>0</v>
      </c>
      <c r="F97" s="492">
        <f>+'Private Label Ass'!$F31*Expenses!F$67*'Control Page'!$F12/1000*SUM('Private Label Ass'!$B13:F13)</f>
        <v>0</v>
      </c>
      <c r="G97" s="492">
        <f>+'Private Label Ass'!$F31*Expenses!G$67*'Control Page'!$F12/1000*SUM('Private Label Ass'!$B13:G13)</f>
        <v>0</v>
      </c>
      <c r="H97" s="492">
        <f>+'Private Label Ass'!$F31*Expenses!H$67*'Control Page'!$F12/1000*SUM('Private Label Ass'!$B13:H13)</f>
        <v>0</v>
      </c>
      <c r="I97" s="492">
        <f>+'Private Label Ass'!$F31*Expenses!I$67*'Control Page'!$F12/1000*SUM('Private Label Ass'!$B13:I13)</f>
        <v>0</v>
      </c>
      <c r="J97" s="492">
        <f>+'Private Label Ass'!$F31*Expenses!J$67*'Control Page'!$F12/1000*SUM('Private Label Ass'!$B13:J13)</f>
        <v>0</v>
      </c>
      <c r="K97" s="492">
        <f>+'Private Label Ass'!$F31*Expenses!K$67*'Control Page'!$F12/1000*SUM('Private Label Ass'!$B13:K13)</f>
        <v>0</v>
      </c>
      <c r="L97" s="493">
        <f>+'Private Label Ass'!$F31*Expenses!L$67*'Control Page'!$F12/1000*SUM('Private Label Ass'!$B13:L13)</f>
        <v>0</v>
      </c>
    </row>
    <row r="98" spans="1:12" x14ac:dyDescent="0.2">
      <c r="A98" s="51" t="s">
        <v>69</v>
      </c>
      <c r="B98" s="491">
        <f>+'Private Label Ass'!$F32*Expenses!B$67*'Control Page'!$F13/1000*SUM('Private Label Ass'!$B14:B14)</f>
        <v>0</v>
      </c>
      <c r="C98" s="492">
        <f>+'Private Label Ass'!$F32*Expenses!C$67*'Control Page'!$F13/1000*SUM('Private Label Ass'!$B14:C14)</f>
        <v>0</v>
      </c>
      <c r="D98" s="492">
        <f>+'Private Label Ass'!$F32*Expenses!D$67*'Control Page'!$F13/1000*SUM('Private Label Ass'!$B14:D14)</f>
        <v>0</v>
      </c>
      <c r="E98" s="492">
        <f>+'Private Label Ass'!$F32*Expenses!E$67*'Control Page'!$F13/1000*SUM('Private Label Ass'!$B14:E14)</f>
        <v>0</v>
      </c>
      <c r="F98" s="492">
        <f>+'Private Label Ass'!$F32*Expenses!F$67*'Control Page'!$F13/1000*SUM('Private Label Ass'!$B14:F14)</f>
        <v>0</v>
      </c>
      <c r="G98" s="492">
        <f>+'Private Label Ass'!$F32*Expenses!G$67*'Control Page'!$F13/1000*SUM('Private Label Ass'!$B14:G14)</f>
        <v>0</v>
      </c>
      <c r="H98" s="492">
        <f>+'Private Label Ass'!$F32*Expenses!H$67*'Control Page'!$F13/1000*SUM('Private Label Ass'!$B14:H14)</f>
        <v>0</v>
      </c>
      <c r="I98" s="492">
        <f>+'Private Label Ass'!$F32*Expenses!I$67*'Control Page'!$F13/1000*SUM('Private Label Ass'!$B14:I14)</f>
        <v>0</v>
      </c>
      <c r="J98" s="492">
        <f>+'Private Label Ass'!$F32*Expenses!J$67*'Control Page'!$F13/1000*SUM('Private Label Ass'!$B14:J14)</f>
        <v>0</v>
      </c>
      <c r="K98" s="492">
        <f>+'Private Label Ass'!$F32*Expenses!K$67*'Control Page'!$F13/1000*SUM('Private Label Ass'!$B14:K14)</f>
        <v>0</v>
      </c>
      <c r="L98" s="493">
        <f>+'Private Label Ass'!$F32*Expenses!L$67*'Control Page'!$F13/1000*SUM('Private Label Ass'!$B14:L14)</f>
        <v>0</v>
      </c>
    </row>
    <row r="99" spans="1:12" x14ac:dyDescent="0.2">
      <c r="A99" s="51" t="s">
        <v>70</v>
      </c>
      <c r="B99" s="491">
        <f>+'Private Label Ass'!$F33*Expenses!B$67*'Control Page'!$F14/1000*SUM('Private Label Ass'!$B15:B15)</f>
        <v>0</v>
      </c>
      <c r="C99" s="492">
        <f>+'Private Label Ass'!$F33*Expenses!C$67*'Control Page'!$F14/1000*SUM('Private Label Ass'!$B15:C15)</f>
        <v>0</v>
      </c>
      <c r="D99" s="492">
        <f>+'Private Label Ass'!$F33*Expenses!D$67*'Control Page'!$F14/1000*SUM('Private Label Ass'!$B15:D15)</f>
        <v>0</v>
      </c>
      <c r="E99" s="492">
        <f>+'Private Label Ass'!$F33*Expenses!E$67*'Control Page'!$F14/1000*SUM('Private Label Ass'!$B15:E15)</f>
        <v>0</v>
      </c>
      <c r="F99" s="492">
        <f>+'Private Label Ass'!$F33*Expenses!F$67*'Control Page'!$F14/1000*SUM('Private Label Ass'!$B15:F15)</f>
        <v>0</v>
      </c>
      <c r="G99" s="492">
        <f>+'Private Label Ass'!$F33*Expenses!G$67*'Control Page'!$F14/1000*SUM('Private Label Ass'!$B15:G15)</f>
        <v>0</v>
      </c>
      <c r="H99" s="492">
        <f>+'Private Label Ass'!$F33*Expenses!H$67*'Control Page'!$F14/1000*SUM('Private Label Ass'!$B15:H15)</f>
        <v>0</v>
      </c>
      <c r="I99" s="492">
        <f>+'Private Label Ass'!$F33*Expenses!I$67*'Control Page'!$F14/1000*SUM('Private Label Ass'!$B15:I15)</f>
        <v>0</v>
      </c>
      <c r="J99" s="492">
        <f>+'Private Label Ass'!$F33*Expenses!J$67*'Control Page'!$F14/1000*SUM('Private Label Ass'!$B15:J15)</f>
        <v>0</v>
      </c>
      <c r="K99" s="492">
        <f>+'Private Label Ass'!$F33*Expenses!K$67*'Control Page'!$F14/1000*SUM('Private Label Ass'!$B15:K15)</f>
        <v>0</v>
      </c>
      <c r="L99" s="493">
        <f>+'Private Label Ass'!$F33*Expenses!L$67*'Control Page'!$F14/1000*SUM('Private Label Ass'!$B15:L15)</f>
        <v>0</v>
      </c>
    </row>
    <row r="100" spans="1:12" x14ac:dyDescent="0.2">
      <c r="A100" s="51" t="s">
        <v>71</v>
      </c>
      <c r="B100" s="491">
        <f>+'Private Label Ass'!$F34*Expenses!B$67*'Control Page'!$F15/1000*SUM('Private Label Ass'!$B16:B16)</f>
        <v>0</v>
      </c>
      <c r="C100" s="492">
        <f>+'Private Label Ass'!$F34*Expenses!C$67*'Control Page'!$F15/1000*SUM('Private Label Ass'!$B16:C16)</f>
        <v>0</v>
      </c>
      <c r="D100" s="492">
        <f>+'Private Label Ass'!$F34*Expenses!D$67*'Control Page'!$F15/1000*SUM('Private Label Ass'!$B16:D16)</f>
        <v>0</v>
      </c>
      <c r="E100" s="492">
        <f>+'Private Label Ass'!$F34*Expenses!E$67*'Control Page'!$F15/1000*SUM('Private Label Ass'!$B16:E16)</f>
        <v>0</v>
      </c>
      <c r="F100" s="492">
        <f>+'Private Label Ass'!$F34*Expenses!F$67*'Control Page'!$F15/1000*SUM('Private Label Ass'!$B16:F16)</f>
        <v>0</v>
      </c>
      <c r="G100" s="492">
        <f>+'Private Label Ass'!$F34*Expenses!G$67*'Control Page'!$F15/1000*SUM('Private Label Ass'!$B16:G16)</f>
        <v>0</v>
      </c>
      <c r="H100" s="492">
        <f>+'Private Label Ass'!$F34*Expenses!H$67*'Control Page'!$F15/1000*SUM('Private Label Ass'!$B16:H16)</f>
        <v>0</v>
      </c>
      <c r="I100" s="492">
        <f>+'Private Label Ass'!$F34*Expenses!I$67*'Control Page'!$F15/1000*SUM('Private Label Ass'!$B16:I16)</f>
        <v>0</v>
      </c>
      <c r="J100" s="492">
        <f>+'Private Label Ass'!$F34*Expenses!J$67*'Control Page'!$F15/1000*SUM('Private Label Ass'!$B16:J16)</f>
        <v>0</v>
      </c>
      <c r="K100" s="492">
        <f>+'Private Label Ass'!$F34*Expenses!K$67*'Control Page'!$F15/1000*SUM('Private Label Ass'!$B16:K16)</f>
        <v>0</v>
      </c>
      <c r="L100" s="493">
        <f>+'Private Label Ass'!$F34*Expenses!L$67*'Control Page'!$F15/1000*SUM('Private Label Ass'!$B16:L16)</f>
        <v>0</v>
      </c>
    </row>
    <row r="101" spans="1:12" x14ac:dyDescent="0.2">
      <c r="A101" s="71" t="s">
        <v>119</v>
      </c>
      <c r="B101" s="491">
        <f>+'Private Label Ass'!$F35*Expenses!B$67*'Control Page'!$F16/1000*SUM('Private Label Ass'!$B17:B17)</f>
        <v>0</v>
      </c>
      <c r="C101" s="492">
        <f>+'Private Label Ass'!$F35*Expenses!C$67*'Control Page'!$F16/1000*SUM('Private Label Ass'!$B17:C17)</f>
        <v>0</v>
      </c>
      <c r="D101" s="492">
        <f>+'Private Label Ass'!$F35*Expenses!D$67*'Control Page'!$F16/1000*SUM('Private Label Ass'!$B17:D17)</f>
        <v>0</v>
      </c>
      <c r="E101" s="492">
        <f>+'Private Label Ass'!$F35*Expenses!E$67*'Control Page'!$F16/1000*SUM('Private Label Ass'!$B17:E17)</f>
        <v>0</v>
      </c>
      <c r="F101" s="492">
        <f>+'Private Label Ass'!$F35*Expenses!F$67*'Control Page'!$F16/1000*SUM('Private Label Ass'!$B17:F17)</f>
        <v>0</v>
      </c>
      <c r="G101" s="492">
        <f>+'Private Label Ass'!$F35*Expenses!G$67*'Control Page'!$F16/1000*SUM('Private Label Ass'!$B17:G17)</f>
        <v>0</v>
      </c>
      <c r="H101" s="492">
        <f>+'Private Label Ass'!$F35*Expenses!H$67*'Control Page'!$F16/1000*SUM('Private Label Ass'!$B17:H17)</f>
        <v>0</v>
      </c>
      <c r="I101" s="492">
        <f>+'Private Label Ass'!$F35*Expenses!I$67*'Control Page'!$F16/1000*SUM('Private Label Ass'!$B17:I17)</f>
        <v>0</v>
      </c>
      <c r="J101" s="492">
        <f>+'Private Label Ass'!$F35*Expenses!J$67*'Control Page'!$F16/1000*SUM('Private Label Ass'!$B17:J17)</f>
        <v>0</v>
      </c>
      <c r="K101" s="492">
        <f>+'Private Label Ass'!$F35*Expenses!K$67*'Control Page'!$F16/1000*SUM('Private Label Ass'!$B17:K17)</f>
        <v>0</v>
      </c>
      <c r="L101" s="493">
        <f>+'Private Label Ass'!$F35*Expenses!L$67*'Control Page'!$F16/1000*SUM('Private Label Ass'!$B17:L17)</f>
        <v>0</v>
      </c>
    </row>
    <row r="102" spans="1:12" x14ac:dyDescent="0.2">
      <c r="A102" s="71" t="s">
        <v>120</v>
      </c>
      <c r="B102" s="491">
        <f>+'Private Label Ass'!$F36*Expenses!B$67*'Control Page'!$F17/1000*SUM('Private Label Ass'!$B18:B18)</f>
        <v>0</v>
      </c>
      <c r="C102" s="492">
        <f>+'Private Label Ass'!$F36*Expenses!C$67*'Control Page'!$F17/1000*SUM('Private Label Ass'!$B18:C18)</f>
        <v>0</v>
      </c>
      <c r="D102" s="492">
        <f>+'Private Label Ass'!$F36*Expenses!D$67*'Control Page'!$F17/1000*SUM('Private Label Ass'!$B18:D18)</f>
        <v>0</v>
      </c>
      <c r="E102" s="492">
        <f>+'Private Label Ass'!$F36*Expenses!E$67*'Control Page'!$F17/1000*SUM('Private Label Ass'!$B18:E18)</f>
        <v>0</v>
      </c>
      <c r="F102" s="492">
        <f>+'Private Label Ass'!$F36*Expenses!F$67*'Control Page'!$F17/1000*SUM('Private Label Ass'!$B18:F18)</f>
        <v>0</v>
      </c>
      <c r="G102" s="492">
        <f>+'Private Label Ass'!$F36*Expenses!G$67*'Control Page'!$F17/1000*SUM('Private Label Ass'!$B18:G18)</f>
        <v>0</v>
      </c>
      <c r="H102" s="492">
        <f>+'Private Label Ass'!$F36*Expenses!H$67*'Control Page'!$F17/1000*SUM('Private Label Ass'!$B18:H18)</f>
        <v>0</v>
      </c>
      <c r="I102" s="492">
        <f>+'Private Label Ass'!$F36*Expenses!I$67*'Control Page'!$F17/1000*SUM('Private Label Ass'!$B18:I18)</f>
        <v>0</v>
      </c>
      <c r="J102" s="492">
        <f>+'Private Label Ass'!$F36*Expenses!J$67*'Control Page'!$F17/1000*SUM('Private Label Ass'!$B18:J18)</f>
        <v>0</v>
      </c>
      <c r="K102" s="492">
        <f>+'Private Label Ass'!$F36*Expenses!K$67*'Control Page'!$F17/1000*SUM('Private Label Ass'!$B18:K18)</f>
        <v>0</v>
      </c>
      <c r="L102" s="493">
        <f>+'Private Label Ass'!$F36*Expenses!L$67*'Control Page'!$F17/1000*SUM('Private Label Ass'!$B18:L18)</f>
        <v>0</v>
      </c>
    </row>
    <row r="103" spans="1:12" ht="13.5" thickBot="1" x14ac:dyDescent="0.25">
      <c r="A103" s="52" t="s">
        <v>113</v>
      </c>
      <c r="B103" s="494">
        <f>+'Private Label Ass'!$F37*Expenses!B$67*'Control Page'!$F18/1000*SUM('Private Label Ass'!$B19:B19)</f>
        <v>0</v>
      </c>
      <c r="C103" s="495">
        <f>+'Private Label Ass'!$F37*Expenses!C$67*'Control Page'!$F18/1000*SUM('Private Label Ass'!$B19:C19)</f>
        <v>0</v>
      </c>
      <c r="D103" s="495">
        <f>+'Private Label Ass'!$F37*Expenses!D$67*'Control Page'!$F18/1000*SUM('Private Label Ass'!$B19:D19)</f>
        <v>0</v>
      </c>
      <c r="E103" s="495">
        <f>+'Private Label Ass'!$F37*Expenses!E$67*'Control Page'!$F18/1000*SUM('Private Label Ass'!$B19:E19)</f>
        <v>0</v>
      </c>
      <c r="F103" s="495">
        <f>+'Private Label Ass'!$F37*Expenses!F$67*'Control Page'!$F18/1000*SUM('Private Label Ass'!$B19:F19)</f>
        <v>0</v>
      </c>
      <c r="G103" s="495">
        <f>+'Private Label Ass'!$F37*Expenses!G$67*'Control Page'!$F18/1000*SUM('Private Label Ass'!$B19:G19)</f>
        <v>0</v>
      </c>
      <c r="H103" s="495">
        <f>+'Private Label Ass'!$F37*Expenses!H$67*'Control Page'!$F18/1000*SUM('Private Label Ass'!$B19:H19)</f>
        <v>0</v>
      </c>
      <c r="I103" s="495">
        <f>+'Private Label Ass'!$F37*Expenses!I$67*'Control Page'!$F18/1000*SUM('Private Label Ass'!$B19:I19)</f>
        <v>0</v>
      </c>
      <c r="J103" s="495">
        <f>+'Private Label Ass'!$F37*Expenses!J$67*'Control Page'!$F18/1000*SUM('Private Label Ass'!$B19:J19)</f>
        <v>0</v>
      </c>
      <c r="K103" s="495">
        <f>+'Private Label Ass'!$F37*Expenses!K$67*'Control Page'!$F18/1000*SUM('Private Label Ass'!$B19:K19)</f>
        <v>0</v>
      </c>
      <c r="L103" s="496">
        <f>+'Private Label Ass'!$F37*Expenses!L$67*'Control Page'!$F18/1000*SUM('Private Label Ass'!$B19:L19)</f>
        <v>0</v>
      </c>
    </row>
    <row r="104" spans="1:12" ht="13.5" thickBot="1" x14ac:dyDescent="0.25">
      <c r="A104" s="36" t="s">
        <v>462</v>
      </c>
      <c r="B104" s="497">
        <f t="shared" ref="B104:L104" si="18">SUM(B92:B103)</f>
        <v>9278.955234765046</v>
      </c>
      <c r="C104" s="498">
        <f t="shared" si="18"/>
        <v>18984.742410329283</v>
      </c>
      <c r="D104" s="498">
        <f t="shared" si="18"/>
        <v>29046.655887803798</v>
      </c>
      <c r="E104" s="498">
        <f t="shared" si="18"/>
        <v>39580.90975644732</v>
      </c>
      <c r="F104" s="498">
        <f t="shared" si="18"/>
        <v>50614.088351056991</v>
      </c>
      <c r="G104" s="498">
        <f t="shared" si="18"/>
        <v>62255.328671800096</v>
      </c>
      <c r="H104" s="498">
        <f t="shared" si="18"/>
        <v>74410.681594969064</v>
      </c>
      <c r="I104" s="498">
        <f t="shared" si="18"/>
        <v>87081.757660855219</v>
      </c>
      <c r="J104" s="498">
        <f t="shared" si="18"/>
        <v>100298.59142983153</v>
      </c>
      <c r="K104" s="498">
        <f t="shared" si="18"/>
        <v>114006.0655919085</v>
      </c>
      <c r="L104" s="499">
        <f t="shared" si="18"/>
        <v>128265.94427614439</v>
      </c>
    </row>
    <row r="105" spans="1:12" ht="13.5" thickBot="1" x14ac:dyDescent="0.25"/>
    <row r="106" spans="1:12" ht="13.5" thickBot="1" x14ac:dyDescent="0.25">
      <c r="A106" s="36" t="s">
        <v>138</v>
      </c>
      <c r="B106" s="93">
        <v>2.8000000000000025E-2</v>
      </c>
      <c r="C106" s="93">
        <v>2.2999999999999909E-2</v>
      </c>
      <c r="D106" s="93">
        <v>0.02</v>
      </c>
      <c r="E106" s="93">
        <v>2.200000000000002E-2</v>
      </c>
      <c r="F106" s="93">
        <v>2.2999999999999909E-2</v>
      </c>
      <c r="G106" s="93">
        <v>2.4999999999999911E-2</v>
      </c>
      <c r="H106" s="93">
        <v>2.4499999999999966E-2</v>
      </c>
      <c r="I106" s="93">
        <v>2.4000000000000021E-2</v>
      </c>
      <c r="J106" s="93">
        <v>2.3800000000000043E-2</v>
      </c>
      <c r="K106" s="93">
        <v>2.2999999999999909E-2</v>
      </c>
      <c r="L106" s="94">
        <v>2.2799999999999931E-2</v>
      </c>
    </row>
    <row r="107" spans="1:12" ht="13.5" thickBot="1" x14ac:dyDescent="0.25">
      <c r="A107" s="113" t="s">
        <v>488</v>
      </c>
      <c r="B107" s="32">
        <v>1</v>
      </c>
      <c r="C107" s="501">
        <f>+(1+C106)*B107</f>
        <v>1.0229999999999999</v>
      </c>
      <c r="D107" s="501">
        <f t="shared" ref="D107:L107" si="19">+(1+D106)*C107</f>
        <v>1.0434599999999998</v>
      </c>
      <c r="E107" s="501">
        <f t="shared" si="19"/>
        <v>1.0664161199999997</v>
      </c>
      <c r="F107" s="501">
        <f t="shared" si="19"/>
        <v>1.0909436907599996</v>
      </c>
      <c r="G107" s="501">
        <f t="shared" si="19"/>
        <v>1.1182172830289996</v>
      </c>
      <c r="H107" s="501">
        <f t="shared" si="19"/>
        <v>1.1456136064632101</v>
      </c>
      <c r="I107" s="501">
        <f t="shared" si="19"/>
        <v>1.1731083330183272</v>
      </c>
      <c r="J107" s="501">
        <f t="shared" si="19"/>
        <v>1.2010283113441633</v>
      </c>
      <c r="K107" s="501">
        <f t="shared" si="19"/>
        <v>1.2286519625050789</v>
      </c>
      <c r="L107" s="502">
        <f t="shared" si="19"/>
        <v>1.2566652272501946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defaultRowHeight="12.75" x14ac:dyDescent="0.2"/>
  <cols>
    <col min="1" max="1" width="35.5703125" bestFit="1" customWidth="1"/>
    <col min="2" max="2" width="13.42578125" customWidth="1"/>
  </cols>
  <sheetData>
    <row r="1" spans="1:3" ht="26.25" x14ac:dyDescent="0.4">
      <c r="A1" s="145" t="s">
        <v>601</v>
      </c>
    </row>
    <row r="3" spans="1:3" x14ac:dyDescent="0.2">
      <c r="A3" s="8" t="s">
        <v>602</v>
      </c>
    </row>
    <row r="4" spans="1:3" ht="13.5" thickBot="1" x14ac:dyDescent="0.25"/>
    <row r="5" spans="1:3" ht="13.5" thickBot="1" x14ac:dyDescent="0.25">
      <c r="A5" s="82" t="s">
        <v>592</v>
      </c>
      <c r="B5" s="590" t="s">
        <v>591</v>
      </c>
      <c r="C5" s="591" t="s">
        <v>236</v>
      </c>
    </row>
    <row r="6" spans="1:3" ht="13.5" thickBot="1" x14ac:dyDescent="0.25">
      <c r="A6" s="216" t="s">
        <v>593</v>
      </c>
      <c r="B6" s="661">
        <v>0.2</v>
      </c>
      <c r="C6" s="113"/>
    </row>
    <row r="7" spans="1:3" x14ac:dyDescent="0.2">
      <c r="A7" s="660"/>
      <c r="B7" s="87"/>
      <c r="C7" s="30"/>
    </row>
    <row r="8" spans="1:3" x14ac:dyDescent="0.2">
      <c r="B8" s="87"/>
      <c r="C8" s="30"/>
    </row>
    <row r="9" spans="1:3" x14ac:dyDescent="0.2">
      <c r="A9" s="527" t="s">
        <v>599</v>
      </c>
    </row>
    <row r="10" spans="1:3" ht="13.5" thickBot="1" x14ac:dyDescent="0.25"/>
    <row r="11" spans="1:3" ht="13.5" thickBot="1" x14ac:dyDescent="0.25">
      <c r="A11" s="82" t="s">
        <v>592</v>
      </c>
      <c r="B11" s="590" t="s">
        <v>591</v>
      </c>
      <c r="C11" s="591" t="s">
        <v>236</v>
      </c>
    </row>
    <row r="12" spans="1:3" x14ac:dyDescent="0.2">
      <c r="A12" s="595" t="s">
        <v>567</v>
      </c>
      <c r="B12" s="48"/>
      <c r="C12" s="48"/>
    </row>
    <row r="13" spans="1:3" x14ac:dyDescent="0.2">
      <c r="A13" s="595" t="s">
        <v>594</v>
      </c>
      <c r="B13" s="597">
        <v>20000</v>
      </c>
      <c r="C13" s="48" t="s">
        <v>595</v>
      </c>
    </row>
    <row r="14" spans="1:3" x14ac:dyDescent="0.2">
      <c r="A14" s="595" t="s">
        <v>568</v>
      </c>
      <c r="B14" s="48"/>
      <c r="C14" s="48" t="s">
        <v>595</v>
      </c>
    </row>
    <row r="15" spans="1:3" x14ac:dyDescent="0.2">
      <c r="A15" s="595" t="s">
        <v>582</v>
      </c>
      <c r="B15" s="592">
        <v>0.35</v>
      </c>
      <c r="C15" s="48"/>
    </row>
    <row r="16" spans="1:3" x14ac:dyDescent="0.2">
      <c r="A16" s="595" t="s">
        <v>571</v>
      </c>
      <c r="B16" s="592">
        <v>0.1</v>
      </c>
      <c r="C16" s="48"/>
    </row>
    <row r="17" spans="1:3" x14ac:dyDescent="0.2">
      <c r="A17" s="595" t="s">
        <v>574</v>
      </c>
      <c r="B17" s="48">
        <v>20</v>
      </c>
      <c r="C17" s="48" t="s">
        <v>573</v>
      </c>
    </row>
    <row r="18" spans="1:3" x14ac:dyDescent="0.2">
      <c r="A18" s="595" t="s">
        <v>578</v>
      </c>
      <c r="B18" s="48">
        <v>20</v>
      </c>
      <c r="C18" s="48" t="s">
        <v>573</v>
      </c>
    </row>
    <row r="19" spans="1:3" x14ac:dyDescent="0.2">
      <c r="A19" s="595" t="s">
        <v>588</v>
      </c>
      <c r="B19" s="592">
        <v>0.03</v>
      </c>
      <c r="C19" s="48"/>
    </row>
    <row r="20" spans="1:3" x14ac:dyDescent="0.2">
      <c r="A20" s="595" t="s">
        <v>130</v>
      </c>
      <c r="B20" s="593">
        <v>0.105</v>
      </c>
      <c r="C20" s="48"/>
    </row>
    <row r="21" spans="1:3" ht="13.5" thickBot="1" x14ac:dyDescent="0.25">
      <c r="A21" s="596" t="s">
        <v>589</v>
      </c>
      <c r="B21" s="594">
        <f>+(B19+1)/(B20-B19)</f>
        <v>13.733333333333334</v>
      </c>
      <c r="C21" s="49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topLeftCell="A37" zoomScale="70" workbookViewId="0">
      <selection activeCell="H54" sqref="H54"/>
    </sheetView>
  </sheetViews>
  <sheetFormatPr defaultRowHeight="12.75" x14ac:dyDescent="0.2"/>
  <cols>
    <col min="1" max="1" width="30.7109375" customWidth="1"/>
    <col min="2" max="2" width="13.85546875" customWidth="1"/>
    <col min="3" max="3" width="13.5703125" customWidth="1"/>
    <col min="4" max="4" width="14.85546875" customWidth="1"/>
    <col min="5" max="5" width="11.5703125" customWidth="1"/>
    <col min="6" max="6" width="13.140625" customWidth="1"/>
    <col min="7" max="7" width="11" customWidth="1"/>
    <col min="8" max="8" width="11.85546875" customWidth="1"/>
    <col min="9" max="9" width="12.140625" customWidth="1"/>
    <col min="10" max="10" width="10.85546875" customWidth="1"/>
    <col min="11" max="11" width="12.7109375" customWidth="1"/>
    <col min="12" max="12" width="11.28515625" customWidth="1"/>
    <col min="13" max="13" width="11" customWidth="1"/>
    <col min="14" max="14" width="13.28515625" customWidth="1"/>
    <col min="15" max="15" width="12.85546875" customWidth="1"/>
    <col min="16" max="17" width="14.28515625" customWidth="1"/>
    <col min="18" max="19" width="14.28515625" hidden="1" customWidth="1"/>
    <col min="20" max="20" width="0" hidden="1" customWidth="1"/>
  </cols>
  <sheetData>
    <row r="1" spans="1:19" ht="26.25" x14ac:dyDescent="0.4">
      <c r="A1" s="145" t="s">
        <v>463</v>
      </c>
      <c r="B1" s="30"/>
    </row>
    <row r="2" spans="1:19" x14ac:dyDescent="0.2">
      <c r="A2" s="35"/>
      <c r="B2" s="30"/>
    </row>
    <row r="3" spans="1:19" ht="20.25" x14ac:dyDescent="0.3">
      <c r="A3" s="324" t="s">
        <v>489</v>
      </c>
    </row>
    <row r="4" spans="1:19" ht="14.25" customHeight="1" x14ac:dyDescent="0.2"/>
    <row r="5" spans="1:19" ht="14.25" customHeight="1" thickBot="1" x14ac:dyDescent="0.25">
      <c r="A5" s="41" t="s">
        <v>126</v>
      </c>
    </row>
    <row r="6" spans="1:19" ht="43.5" customHeight="1" thickBot="1" x14ac:dyDescent="0.25">
      <c r="A6" s="54" t="s">
        <v>109</v>
      </c>
      <c r="B6" s="686" t="s">
        <v>115</v>
      </c>
      <c r="C6" s="687"/>
      <c r="D6" s="687"/>
      <c r="E6" s="687"/>
      <c r="F6" s="687"/>
      <c r="G6" s="687"/>
      <c r="H6" s="687"/>
      <c r="I6" s="687"/>
      <c r="J6" s="687"/>
      <c r="K6" s="687"/>
      <c r="L6" s="688"/>
      <c r="M6" s="684" t="s">
        <v>141</v>
      </c>
      <c r="N6" s="684" t="s">
        <v>140</v>
      </c>
      <c r="O6" s="684" t="s">
        <v>139</v>
      </c>
    </row>
    <row r="7" spans="1:19" ht="13.5" thickBot="1" x14ac:dyDescent="0.25">
      <c r="A7" s="9"/>
      <c r="B7" s="287">
        <v>2001</v>
      </c>
      <c r="C7" s="288">
        <v>2002</v>
      </c>
      <c r="D7" s="288">
        <v>2003</v>
      </c>
      <c r="E7" s="288">
        <v>2004</v>
      </c>
      <c r="F7" s="288">
        <v>2005</v>
      </c>
      <c r="G7" s="288">
        <v>2006</v>
      </c>
      <c r="H7" s="288">
        <v>2007</v>
      </c>
      <c r="I7" s="288">
        <v>2008</v>
      </c>
      <c r="J7" s="288">
        <v>2009</v>
      </c>
      <c r="K7" s="288">
        <v>2010</v>
      </c>
      <c r="L7" s="289">
        <v>2011</v>
      </c>
      <c r="M7" s="685"/>
      <c r="N7" s="685"/>
      <c r="O7" s="685"/>
      <c r="S7" t="s">
        <v>126</v>
      </c>
    </row>
    <row r="8" spans="1:19" x14ac:dyDescent="0.2">
      <c r="A8" s="50" t="s">
        <v>64</v>
      </c>
      <c r="B8" s="275">
        <f>+M8</f>
        <v>7.5757575757575758E-5</v>
      </c>
      <c r="C8" s="276">
        <f>MAX(0,(1-(1-$M8)/((C$7-2000)^(LN((1-$M8)/(1-$O8))/LN(($N8-2000))))))</f>
        <v>6.8155875283082423E-5</v>
      </c>
      <c r="D8" s="276">
        <f t="shared" ref="D8:L19" si="0">MAX(0,(1-(1-$M8)/((D$7-2000)^(LN((1-$M8)/(1-$O8))/LN(($N8-2000))))))</f>
        <v>6.3709138773737628E-5</v>
      </c>
      <c r="E8" s="276">
        <f t="shared" si="0"/>
        <v>6.0554117017885822E-5</v>
      </c>
      <c r="F8" s="276">
        <f t="shared" si="0"/>
        <v>5.8106885164943556E-5</v>
      </c>
      <c r="G8" s="276">
        <f t="shared" si="0"/>
        <v>5.6107346703249128E-5</v>
      </c>
      <c r="H8" s="276">
        <f t="shared" si="0"/>
        <v>5.441675790318623E-5</v>
      </c>
      <c r="I8" s="276">
        <f t="shared" si="0"/>
        <v>5.2952300962361143E-5</v>
      </c>
      <c r="J8" s="276">
        <f t="shared" si="0"/>
        <v>5.1660556613764008E-5</v>
      </c>
      <c r="K8" s="276">
        <f t="shared" si="0"/>
        <v>5.0505050505078586E-5</v>
      </c>
      <c r="L8" s="277">
        <f t="shared" si="0"/>
        <v>4.9459766932713478E-5</v>
      </c>
      <c r="M8" s="284">
        <v>7.5757575757575758E-5</v>
      </c>
      <c r="N8" s="98">
        <v>2010</v>
      </c>
      <c r="O8" s="270">
        <v>5.0505050505050505E-5</v>
      </c>
      <c r="R8">
        <f t="shared" ref="R8:R19" si="1">1/B23</f>
        <v>4.1940708566536961E-4</v>
      </c>
      <c r="S8" t="s">
        <v>127</v>
      </c>
    </row>
    <row r="9" spans="1:19" x14ac:dyDescent="0.2">
      <c r="A9" s="51" t="s">
        <v>65</v>
      </c>
      <c r="B9" s="278">
        <f t="shared" ref="B9:B19" si="2">+M9</f>
        <v>1.0869565217391306E-4</v>
      </c>
      <c r="C9" s="279">
        <f t="shared" ref="C9:C19" si="3">MAX(0,(1-(1-$M9)/((C$7-2000)^(LN((1-$M9)/(1-$O9))/LN(($N9-2000))))))</f>
        <v>9.7788906393669883E-5</v>
      </c>
      <c r="D9" s="279">
        <f t="shared" si="0"/>
        <v>9.1408813956195267E-5</v>
      </c>
      <c r="E9" s="279">
        <f t="shared" si="0"/>
        <v>8.6882041643421282E-5</v>
      </c>
      <c r="F9" s="279">
        <f t="shared" si="0"/>
        <v>8.337079013809312E-5</v>
      </c>
      <c r="G9" s="279">
        <f t="shared" si="0"/>
        <v>8.0501879612393523E-5</v>
      </c>
      <c r="H9" s="279">
        <f t="shared" si="0"/>
        <v>7.8076243903102416E-5</v>
      </c>
      <c r="I9" s="279">
        <f t="shared" si="0"/>
        <v>7.5975057921784384E-5</v>
      </c>
      <c r="J9" s="279">
        <f t="shared" si="0"/>
        <v>7.4121676871374831E-5</v>
      </c>
      <c r="K9" s="279">
        <f t="shared" si="0"/>
        <v>7.2463768116093341E-5</v>
      </c>
      <c r="L9" s="280">
        <f t="shared" si="0"/>
        <v>7.0964004849849438E-5</v>
      </c>
      <c r="M9" s="285">
        <v>1.0869565217391306E-4</v>
      </c>
      <c r="N9" s="99">
        <v>2010</v>
      </c>
      <c r="O9" s="271">
        <v>7.2463768115942041E-5</v>
      </c>
      <c r="R9">
        <f t="shared" si="1"/>
        <v>8.4561323756980307E-4</v>
      </c>
      <c r="S9" t="s">
        <v>159</v>
      </c>
    </row>
    <row r="10" spans="1:19" x14ac:dyDescent="0.2">
      <c r="A10" s="51" t="s">
        <v>66</v>
      </c>
      <c r="B10" s="278">
        <f t="shared" si="2"/>
        <v>5.1724137931034475E-5</v>
      </c>
      <c r="C10" s="279">
        <f t="shared" si="3"/>
        <v>4.6533996867270666E-5</v>
      </c>
      <c r="D10" s="279">
        <f t="shared" si="0"/>
        <v>4.3497946483395111E-5</v>
      </c>
      <c r="E10" s="279">
        <f t="shared" si="0"/>
        <v>4.1343828864559562E-5</v>
      </c>
      <c r="F10" s="279">
        <f t="shared" si="0"/>
        <v>3.9672962235060005E-5</v>
      </c>
      <c r="G10" s="279">
        <f t="shared" si="0"/>
        <v>3.8307762722178396E-5</v>
      </c>
      <c r="H10" s="279">
        <f t="shared" si="0"/>
        <v>3.7153501526665522E-5</v>
      </c>
      <c r="I10" s="279">
        <f t="shared" si="0"/>
        <v>3.6153633922730855E-5</v>
      </c>
      <c r="J10" s="279">
        <f t="shared" si="0"/>
        <v>3.52716873618375E-5</v>
      </c>
      <c r="K10" s="279">
        <f t="shared" si="0"/>
        <v>3.4482758620724141E-5</v>
      </c>
      <c r="L10" s="280">
        <f t="shared" si="0"/>
        <v>3.3769085227897122E-5</v>
      </c>
      <c r="M10" s="285">
        <v>5.1724137931034475E-5</v>
      </c>
      <c r="N10" s="99">
        <v>2010</v>
      </c>
      <c r="O10" s="271">
        <v>3.448275862068965E-5</v>
      </c>
      <c r="R10">
        <f t="shared" si="1"/>
        <v>5.593149134124043E-4</v>
      </c>
      <c r="S10">
        <v>1</v>
      </c>
    </row>
    <row r="11" spans="1:19" x14ac:dyDescent="0.2">
      <c r="A11" s="51" t="s">
        <v>112</v>
      </c>
      <c r="B11" s="278">
        <f t="shared" si="2"/>
        <v>1E-4</v>
      </c>
      <c r="C11" s="279">
        <f t="shared" si="3"/>
        <v>8.996578371578412E-5</v>
      </c>
      <c r="D11" s="279">
        <f t="shared" si="0"/>
        <v>8.4096096785613028E-5</v>
      </c>
      <c r="E11" s="279">
        <f t="shared" si="0"/>
        <v>7.9931466735683188E-5</v>
      </c>
      <c r="F11" s="279">
        <f t="shared" si="0"/>
        <v>7.6701116760502508E-5</v>
      </c>
      <c r="G11" s="279">
        <f t="shared" si="0"/>
        <v>7.406172090196339E-5</v>
      </c>
      <c r="H11" s="279">
        <f t="shared" si="0"/>
        <v>7.1830138065442917E-5</v>
      </c>
      <c r="I11" s="279">
        <f t="shared" si="0"/>
        <v>6.9897049059353122E-5</v>
      </c>
      <c r="J11" s="279">
        <f t="shared" si="0"/>
        <v>6.8191940611916912E-5</v>
      </c>
      <c r="K11" s="279">
        <f t="shared" si="0"/>
        <v>6.6666666666659324E-5</v>
      </c>
      <c r="L11" s="280">
        <f t="shared" si="0"/>
        <v>6.5286886544724254E-5</v>
      </c>
      <c r="M11" s="285">
        <v>1E-4</v>
      </c>
      <c r="N11" s="99">
        <v>2010</v>
      </c>
      <c r="O11" s="271">
        <v>6.666666666666667E-5</v>
      </c>
      <c r="R11">
        <f t="shared" si="1"/>
        <v>1E-3</v>
      </c>
    </row>
    <row r="12" spans="1:19" x14ac:dyDescent="0.2">
      <c r="A12" s="51" t="s">
        <v>67</v>
      </c>
      <c r="B12" s="278">
        <f t="shared" si="2"/>
        <v>1.25E-4</v>
      </c>
      <c r="C12" s="279">
        <f t="shared" si="3"/>
        <v>1.1245726618103191E-4</v>
      </c>
      <c r="D12" s="279">
        <f t="shared" si="0"/>
        <v>1.0512016430208604E-4</v>
      </c>
      <c r="E12" s="279">
        <f t="shared" si="0"/>
        <v>9.9914375022103208E-5</v>
      </c>
      <c r="F12" s="279">
        <f t="shared" si="0"/>
        <v>9.5876432487318475E-5</v>
      </c>
      <c r="G12" s="279">
        <f t="shared" si="0"/>
        <v>9.2577181104114281E-5</v>
      </c>
      <c r="H12" s="279">
        <f t="shared" si="0"/>
        <v>8.9787695313203741E-5</v>
      </c>
      <c r="I12" s="279">
        <f t="shared" si="0"/>
        <v>8.7371326521146209E-5</v>
      </c>
      <c r="J12" s="279">
        <f t="shared" si="0"/>
        <v>8.5239933346747954E-5</v>
      </c>
      <c r="K12" s="279">
        <f t="shared" si="0"/>
        <v>8.3333333333213133E-5</v>
      </c>
      <c r="L12" s="280">
        <f t="shared" si="0"/>
        <v>8.1608600695726174E-5</v>
      </c>
      <c r="M12" s="285">
        <v>1.25E-4</v>
      </c>
      <c r="N12" s="99">
        <v>2010</v>
      </c>
      <c r="O12" s="271">
        <v>8.3333333333333331E-5</v>
      </c>
      <c r="R12">
        <f t="shared" si="1"/>
        <v>1.7887482444070653E-3</v>
      </c>
    </row>
    <row r="13" spans="1:19" x14ac:dyDescent="0.2">
      <c r="A13" s="51" t="s">
        <v>68</v>
      </c>
      <c r="B13" s="278">
        <f t="shared" si="2"/>
        <v>8.2020997375328083E-5</v>
      </c>
      <c r="C13" s="279">
        <f t="shared" si="3"/>
        <v>7.3790815859675618E-5</v>
      </c>
      <c r="D13" s="279">
        <f t="shared" si="0"/>
        <v>6.8976436895740179E-5</v>
      </c>
      <c r="E13" s="279">
        <f t="shared" si="0"/>
        <v>6.5560566602451686E-5</v>
      </c>
      <c r="F13" s="279">
        <f t="shared" si="0"/>
        <v>6.2911003724352987E-5</v>
      </c>
      <c r="G13" s="279">
        <f t="shared" si="0"/>
        <v>6.0746148012214007E-5</v>
      </c>
      <c r="H13" s="279">
        <f t="shared" si="0"/>
        <v>5.8915784931001802E-5</v>
      </c>
      <c r="I13" s="279">
        <f t="shared" si="0"/>
        <v>5.7330249603082528E-5</v>
      </c>
      <c r="J13" s="279">
        <f t="shared" si="0"/>
        <v>5.5931706241629797E-5</v>
      </c>
      <c r="K13" s="279">
        <f t="shared" si="0"/>
        <v>5.4680664916983979E-5</v>
      </c>
      <c r="L13" s="280">
        <f t="shared" si="0"/>
        <v>5.3548959031313181E-5</v>
      </c>
      <c r="M13" s="285">
        <v>8.2020997375328083E-5</v>
      </c>
      <c r="N13" s="99">
        <v>2010</v>
      </c>
      <c r="O13" s="271">
        <v>5.4680664916885391E-5</v>
      </c>
      <c r="R13">
        <f t="shared" si="1"/>
        <v>6.7541615446423348E-4</v>
      </c>
    </row>
    <row r="14" spans="1:19" x14ac:dyDescent="0.2">
      <c r="A14" s="51" t="s">
        <v>69</v>
      </c>
      <c r="B14" s="278">
        <f t="shared" si="2"/>
        <v>8.000000000000002E-5</v>
      </c>
      <c r="C14" s="279">
        <f t="shared" si="3"/>
        <v>7.1972608266634985E-5</v>
      </c>
      <c r="D14" s="279">
        <f t="shared" si="0"/>
        <v>6.7276855249542855E-5</v>
      </c>
      <c r="E14" s="279">
        <f t="shared" si="0"/>
        <v>6.3945152088962232E-5</v>
      </c>
      <c r="F14" s="279">
        <f t="shared" si="0"/>
        <v>6.1360874702209856E-5</v>
      </c>
      <c r="G14" s="279">
        <f t="shared" si="0"/>
        <v>5.92493613742473E-5</v>
      </c>
      <c r="H14" s="279">
        <f t="shared" si="0"/>
        <v>5.746409881435266E-5</v>
      </c>
      <c r="I14" s="279">
        <f t="shared" si="0"/>
        <v>5.5917631466839701E-5</v>
      </c>
      <c r="J14" s="279">
        <f t="shared" si="0"/>
        <v>5.4553548607727542E-5</v>
      </c>
      <c r="K14" s="279">
        <f t="shared" si="0"/>
        <v>5.3333333333349664E-5</v>
      </c>
      <c r="L14" s="280">
        <f t="shared" si="0"/>
        <v>5.2229513068158262E-5</v>
      </c>
      <c r="M14" s="285">
        <v>8.000000000000002E-5</v>
      </c>
      <c r="N14" s="99">
        <v>2010</v>
      </c>
      <c r="O14" s="271">
        <v>5.3333333333333347E-5</v>
      </c>
      <c r="R14">
        <f t="shared" si="1"/>
        <v>5.4266671891429433E-4</v>
      </c>
    </row>
    <row r="15" spans="1:19" x14ac:dyDescent="0.2">
      <c r="A15" s="51" t="s">
        <v>70</v>
      </c>
      <c r="B15" s="278">
        <f t="shared" si="2"/>
        <v>1E-4</v>
      </c>
      <c r="C15" s="279">
        <f t="shared" si="3"/>
        <v>8.996578371578412E-5</v>
      </c>
      <c r="D15" s="279">
        <f t="shared" si="0"/>
        <v>8.4096096785613028E-5</v>
      </c>
      <c r="E15" s="279">
        <f t="shared" si="0"/>
        <v>7.9931466735683188E-5</v>
      </c>
      <c r="F15" s="279">
        <f t="shared" si="0"/>
        <v>7.6701116760502508E-5</v>
      </c>
      <c r="G15" s="279">
        <f t="shared" si="0"/>
        <v>7.406172090196339E-5</v>
      </c>
      <c r="H15" s="279">
        <f t="shared" si="0"/>
        <v>7.1830138065442917E-5</v>
      </c>
      <c r="I15" s="279">
        <f t="shared" si="0"/>
        <v>6.9897049059353122E-5</v>
      </c>
      <c r="J15" s="279">
        <f t="shared" si="0"/>
        <v>6.8191940611916912E-5</v>
      </c>
      <c r="K15" s="279">
        <f t="shared" si="0"/>
        <v>6.6666666666659324E-5</v>
      </c>
      <c r="L15" s="280">
        <f t="shared" si="0"/>
        <v>6.5286886544724254E-5</v>
      </c>
      <c r="M15" s="285">
        <v>1E-4</v>
      </c>
      <c r="N15" s="99">
        <v>2010</v>
      </c>
      <c r="O15" s="271">
        <v>6.666666666666667E-5</v>
      </c>
      <c r="R15">
        <f t="shared" si="1"/>
        <v>1E-3</v>
      </c>
    </row>
    <row r="16" spans="1:19" x14ac:dyDescent="0.2">
      <c r="A16" s="51" t="s">
        <v>71</v>
      </c>
      <c r="B16" s="278">
        <f t="shared" si="2"/>
        <v>2.9999999999999997E-4</v>
      </c>
      <c r="C16" s="279">
        <f t="shared" si="3"/>
        <v>2.6989805274435508E-4</v>
      </c>
      <c r="D16" s="279">
        <f t="shared" si="0"/>
        <v>2.5228912222174937E-4</v>
      </c>
      <c r="E16" s="279">
        <f t="shared" si="0"/>
        <v>2.3979519908967628E-4</v>
      </c>
      <c r="F16" s="279">
        <f t="shared" si="0"/>
        <v>2.3010405189127781E-4</v>
      </c>
      <c r="G16" s="279">
        <f t="shared" si="0"/>
        <v>2.2218573834498212E-4</v>
      </c>
      <c r="H16" s="279">
        <f t="shared" si="0"/>
        <v>2.1549085070660112E-4</v>
      </c>
      <c r="I16" s="279">
        <f t="shared" si="0"/>
        <v>2.0969143900828602E-4</v>
      </c>
      <c r="J16" s="279">
        <f t="shared" si="0"/>
        <v>2.0457596743261863E-4</v>
      </c>
      <c r="K16" s="279">
        <f t="shared" si="0"/>
        <v>2.00000000000089E-4</v>
      </c>
      <c r="L16" s="280">
        <f t="shared" si="0"/>
        <v>1.9586051589615128E-4</v>
      </c>
      <c r="M16" s="285">
        <v>2.9999999999999997E-4</v>
      </c>
      <c r="N16" s="99">
        <v>2010</v>
      </c>
      <c r="O16" s="271">
        <v>1.9999999999999998E-4</v>
      </c>
      <c r="R16">
        <f t="shared" si="1"/>
        <v>3.3333333333333335E-3</v>
      </c>
    </row>
    <row r="17" spans="1:18" x14ac:dyDescent="0.2">
      <c r="A17" s="71" t="s">
        <v>119</v>
      </c>
      <c r="B17" s="278">
        <f t="shared" si="2"/>
        <v>1E-4</v>
      </c>
      <c r="C17" s="279">
        <f t="shared" si="3"/>
        <v>8.996578371578412E-5</v>
      </c>
      <c r="D17" s="279">
        <f t="shared" si="0"/>
        <v>8.4096096785613028E-5</v>
      </c>
      <c r="E17" s="279">
        <f t="shared" si="0"/>
        <v>7.9931466735683188E-5</v>
      </c>
      <c r="F17" s="279">
        <f t="shared" si="0"/>
        <v>7.6701116760502508E-5</v>
      </c>
      <c r="G17" s="279">
        <f t="shared" si="0"/>
        <v>7.406172090196339E-5</v>
      </c>
      <c r="H17" s="279">
        <f t="shared" si="0"/>
        <v>7.1830138065442917E-5</v>
      </c>
      <c r="I17" s="279">
        <f t="shared" si="0"/>
        <v>6.9897049059353122E-5</v>
      </c>
      <c r="J17" s="279">
        <f t="shared" si="0"/>
        <v>6.8191940611916912E-5</v>
      </c>
      <c r="K17" s="279">
        <f t="shared" si="0"/>
        <v>6.6666666666659324E-5</v>
      </c>
      <c r="L17" s="280">
        <f t="shared" si="0"/>
        <v>6.5286886544724254E-5</v>
      </c>
      <c r="M17" s="285">
        <v>1E-4</v>
      </c>
      <c r="N17" s="99">
        <v>2010</v>
      </c>
      <c r="O17" s="271">
        <v>6.666666666666667E-5</v>
      </c>
      <c r="R17">
        <f t="shared" si="1"/>
        <v>1.1111111111111111E-3</v>
      </c>
    </row>
    <row r="18" spans="1:18" x14ac:dyDescent="0.2">
      <c r="A18" s="71" t="s">
        <v>120</v>
      </c>
      <c r="B18" s="278">
        <f t="shared" si="2"/>
        <v>1E-4</v>
      </c>
      <c r="C18" s="279">
        <f t="shared" si="3"/>
        <v>8.996578371578412E-5</v>
      </c>
      <c r="D18" s="279">
        <f t="shared" si="0"/>
        <v>8.4096096785613028E-5</v>
      </c>
      <c r="E18" s="279">
        <f t="shared" si="0"/>
        <v>7.9931466735683188E-5</v>
      </c>
      <c r="F18" s="279">
        <f t="shared" si="0"/>
        <v>7.6701116760502508E-5</v>
      </c>
      <c r="G18" s="279">
        <f t="shared" si="0"/>
        <v>7.406172090196339E-5</v>
      </c>
      <c r="H18" s="279">
        <f t="shared" si="0"/>
        <v>7.1830138065442917E-5</v>
      </c>
      <c r="I18" s="279">
        <f t="shared" si="0"/>
        <v>6.9897049059353122E-5</v>
      </c>
      <c r="J18" s="279">
        <f t="shared" si="0"/>
        <v>6.8191940611916912E-5</v>
      </c>
      <c r="K18" s="279">
        <f t="shared" si="0"/>
        <v>6.6666666666659324E-5</v>
      </c>
      <c r="L18" s="280">
        <f t="shared" si="0"/>
        <v>6.5286886544724254E-5</v>
      </c>
      <c r="M18" s="285">
        <v>1E-4</v>
      </c>
      <c r="N18" s="99">
        <v>2010</v>
      </c>
      <c r="O18" s="271">
        <v>6.666666666666667E-5</v>
      </c>
      <c r="R18">
        <f t="shared" si="1"/>
        <v>1E-3</v>
      </c>
    </row>
    <row r="19" spans="1:18" ht="13.5" thickBot="1" x14ac:dyDescent="0.25">
      <c r="A19" s="52" t="s">
        <v>113</v>
      </c>
      <c r="B19" s="281">
        <f t="shared" si="2"/>
        <v>1E-4</v>
      </c>
      <c r="C19" s="282">
        <f t="shared" si="3"/>
        <v>8.996578371578412E-5</v>
      </c>
      <c r="D19" s="282">
        <f t="shared" si="0"/>
        <v>8.4096096785613028E-5</v>
      </c>
      <c r="E19" s="282">
        <f t="shared" si="0"/>
        <v>7.9931466735683188E-5</v>
      </c>
      <c r="F19" s="282">
        <f t="shared" si="0"/>
        <v>7.6701116760502508E-5</v>
      </c>
      <c r="G19" s="282">
        <f t="shared" si="0"/>
        <v>7.406172090196339E-5</v>
      </c>
      <c r="H19" s="282">
        <f t="shared" si="0"/>
        <v>7.1830138065442917E-5</v>
      </c>
      <c r="I19" s="282">
        <f t="shared" si="0"/>
        <v>6.9897049059353122E-5</v>
      </c>
      <c r="J19" s="282">
        <f t="shared" si="0"/>
        <v>6.8191940611916912E-5</v>
      </c>
      <c r="K19" s="282">
        <f t="shared" si="0"/>
        <v>6.6666666666659324E-5</v>
      </c>
      <c r="L19" s="283">
        <f t="shared" si="0"/>
        <v>6.5286886544724254E-5</v>
      </c>
      <c r="M19" s="286">
        <v>1E-4</v>
      </c>
      <c r="N19" s="100">
        <v>2010</v>
      </c>
      <c r="O19" s="272">
        <v>6.666666666666667E-5</v>
      </c>
      <c r="R19">
        <f t="shared" si="1"/>
        <v>3.5826366789272804E-4</v>
      </c>
    </row>
    <row r="21" spans="1:18" ht="14.25" customHeight="1" thickBot="1" x14ac:dyDescent="0.25">
      <c r="A21" s="41" t="s">
        <v>127</v>
      </c>
    </row>
    <row r="22" spans="1:18" ht="55.5" customHeight="1" thickBot="1" x14ac:dyDescent="0.25">
      <c r="A22" s="54" t="s">
        <v>109</v>
      </c>
      <c r="B22" s="89" t="s">
        <v>162</v>
      </c>
      <c r="C22" s="89" t="s">
        <v>128</v>
      </c>
      <c r="D22" s="89" t="s">
        <v>235</v>
      </c>
      <c r="E22" s="89" t="s">
        <v>236</v>
      </c>
      <c r="F22" s="89" t="s">
        <v>253</v>
      </c>
      <c r="G22" s="411" t="s">
        <v>391</v>
      </c>
    </row>
    <row r="23" spans="1:18" x14ac:dyDescent="0.2">
      <c r="A23" s="50" t="s">
        <v>64</v>
      </c>
      <c r="B23" s="231">
        <f>+'EOL STAT'!C4*'EOL STAT'!F4/1000</f>
        <v>2384.3183250315074</v>
      </c>
      <c r="C23" s="129">
        <v>180.63017613875056</v>
      </c>
      <c r="D23" s="253">
        <f>+B23/Oil!C14*1000</f>
        <v>72252.070455500216</v>
      </c>
      <c r="E23" s="250" t="s">
        <v>149</v>
      </c>
      <c r="F23" s="270">
        <f>+C23/B23/1000</f>
        <v>7.5757575757575758E-5</v>
      </c>
      <c r="G23" s="412">
        <f>1/B23/1000</f>
        <v>4.1940708566536961E-7</v>
      </c>
    </row>
    <row r="24" spans="1:18" x14ac:dyDescent="0.2">
      <c r="A24" s="51" t="s">
        <v>65</v>
      </c>
      <c r="B24" s="232">
        <f>+'EOL STAT'!C5*'EOL STAT'!F5/1000</f>
        <v>1182.5737294201863</v>
      </c>
      <c r="C24" s="130">
        <v>128.54062276306374</v>
      </c>
      <c r="D24" s="254">
        <f>+B24/Liquids!I14*1000</f>
        <v>25884.575241814342</v>
      </c>
      <c r="E24" s="251" t="s">
        <v>149</v>
      </c>
      <c r="F24" s="271">
        <f t="shared" ref="F24:F34" si="4">+C24/B24/1000</f>
        <v>1.0869565217391306E-4</v>
      </c>
      <c r="G24" s="412">
        <f t="shared" ref="G24:G34" si="5">1/B24/1000</f>
        <v>8.4561323756980304E-7</v>
      </c>
    </row>
    <row r="25" spans="1:18" x14ac:dyDescent="0.2">
      <c r="A25" s="51" t="s">
        <v>66</v>
      </c>
      <c r="B25" s="232">
        <f>+'EOL STAT'!C6*'EOL STAT'!F6/1000</f>
        <v>1787.9015488769235</v>
      </c>
      <c r="C25" s="130">
        <v>92.47766632122017</v>
      </c>
      <c r="D25" s="254">
        <f>+B25/Gas!C5*1000</f>
        <v>357580.30977538473</v>
      </c>
      <c r="E25" s="251" t="s">
        <v>237</v>
      </c>
      <c r="F25" s="271">
        <f t="shared" si="4"/>
        <v>5.1724137931034475E-5</v>
      </c>
      <c r="G25" s="412">
        <f t="shared" si="5"/>
        <v>5.5931491341240433E-7</v>
      </c>
    </row>
    <row r="26" spans="1:18" x14ac:dyDescent="0.2">
      <c r="A26" s="51" t="s">
        <v>112</v>
      </c>
      <c r="B26" s="232">
        <v>1000</v>
      </c>
      <c r="C26" s="130">
        <v>100</v>
      </c>
      <c r="D26" s="254">
        <f>+B26/LNG!C6*1000</f>
        <v>181818.18181818182</v>
      </c>
      <c r="E26" s="251" t="s">
        <v>237</v>
      </c>
      <c r="F26" s="271">
        <f t="shared" si="4"/>
        <v>1E-4</v>
      </c>
      <c r="G26" s="412">
        <f t="shared" si="5"/>
        <v>9.9999999999999995E-7</v>
      </c>
    </row>
    <row r="27" spans="1:18" x14ac:dyDescent="0.2">
      <c r="A27" s="51" t="s">
        <v>67</v>
      </c>
      <c r="B27" s="232">
        <f>+'EOL STAT'!C7*'EOL STAT'!F7/1000</f>
        <v>559.05016434075117</v>
      </c>
      <c r="C27" s="130">
        <v>69.881270542593896</v>
      </c>
      <c r="D27" s="254">
        <f>+B27/Power!C6*1000</f>
        <v>13976.254108518779</v>
      </c>
      <c r="E27" s="251" t="s">
        <v>239</v>
      </c>
      <c r="F27" s="271">
        <f t="shared" si="4"/>
        <v>1.25E-4</v>
      </c>
      <c r="G27" s="412">
        <f t="shared" si="5"/>
        <v>1.7887482444070652E-6</v>
      </c>
    </row>
    <row r="28" spans="1:18" x14ac:dyDescent="0.2">
      <c r="A28" s="51" t="s">
        <v>68</v>
      </c>
      <c r="B28" s="232">
        <f>+'EOL STAT'!C8*'EOL STAT'!F8/1000</f>
        <v>1480.5686736842106</v>
      </c>
      <c r="C28" s="130">
        <v>121.43771929824563</v>
      </c>
      <c r="D28" s="254">
        <f>+B28/Coal!C13*1000</f>
        <v>48575.087719298244</v>
      </c>
      <c r="E28" s="251" t="s">
        <v>240</v>
      </c>
      <c r="F28" s="271">
        <f t="shared" si="4"/>
        <v>8.2020997375328083E-5</v>
      </c>
      <c r="G28" s="412">
        <f t="shared" si="5"/>
        <v>6.7541615446423353E-7</v>
      </c>
    </row>
    <row r="29" spans="1:18" x14ac:dyDescent="0.2">
      <c r="A29" s="51" t="s">
        <v>69</v>
      </c>
      <c r="B29" s="232">
        <f>+'EOL STAT'!C9*'EOL STAT'!F9/1000</f>
        <v>1842.7516653327957</v>
      </c>
      <c r="C29" s="130">
        <v>147.42013322662368</v>
      </c>
      <c r="D29" s="254">
        <f>+B29/Metals!I12</f>
        <v>2310.3617142309613</v>
      </c>
      <c r="E29" s="251" t="s">
        <v>240</v>
      </c>
      <c r="F29" s="271">
        <f t="shared" si="4"/>
        <v>8.000000000000002E-5</v>
      </c>
      <c r="G29" s="412">
        <f t="shared" si="5"/>
        <v>5.4266671891429433E-7</v>
      </c>
    </row>
    <row r="30" spans="1:18" x14ac:dyDescent="0.2">
      <c r="A30" s="51" t="s">
        <v>70</v>
      </c>
      <c r="B30" s="232">
        <v>1000</v>
      </c>
      <c r="C30" s="130">
        <v>100</v>
      </c>
      <c r="D30" s="254"/>
      <c r="E30" s="251"/>
      <c r="F30" s="271">
        <f t="shared" si="4"/>
        <v>1E-4</v>
      </c>
      <c r="G30" s="412">
        <f t="shared" si="5"/>
        <v>9.9999999999999995E-7</v>
      </c>
    </row>
    <row r="31" spans="1:18" x14ac:dyDescent="0.2">
      <c r="A31" s="51" t="s">
        <v>71</v>
      </c>
      <c r="B31" s="232">
        <v>300</v>
      </c>
      <c r="C31" s="130">
        <v>90</v>
      </c>
      <c r="D31" s="254">
        <f>+B31/'Forest Products'!J10</f>
        <v>515.82304330705597</v>
      </c>
      <c r="E31" s="99" t="s">
        <v>240</v>
      </c>
      <c r="F31" s="271">
        <f t="shared" si="4"/>
        <v>2.9999999999999997E-4</v>
      </c>
      <c r="G31" s="412">
        <f t="shared" si="5"/>
        <v>3.3333333333333337E-6</v>
      </c>
    </row>
    <row r="32" spans="1:18" x14ac:dyDescent="0.2">
      <c r="A32" s="71" t="s">
        <v>119</v>
      </c>
      <c r="B32" s="232">
        <v>900</v>
      </c>
      <c r="C32" s="130">
        <v>90</v>
      </c>
      <c r="D32" s="254">
        <f>+B32/Grains!E10</f>
        <v>6898.1686637304038</v>
      </c>
      <c r="E32" s="251" t="s">
        <v>240</v>
      </c>
      <c r="F32" s="271">
        <f t="shared" si="4"/>
        <v>1E-4</v>
      </c>
      <c r="G32" s="412">
        <f t="shared" si="5"/>
        <v>1.111111111111111E-6</v>
      </c>
    </row>
    <row r="33" spans="1:12" x14ac:dyDescent="0.2">
      <c r="A33" s="71" t="s">
        <v>120</v>
      </c>
      <c r="B33" s="232">
        <v>1000</v>
      </c>
      <c r="C33" s="130">
        <v>100</v>
      </c>
      <c r="D33" s="254"/>
      <c r="E33" s="251"/>
      <c r="F33" s="271">
        <f t="shared" si="4"/>
        <v>1E-4</v>
      </c>
      <c r="G33" s="412">
        <f t="shared" si="5"/>
        <v>9.9999999999999995E-7</v>
      </c>
    </row>
    <row r="34" spans="1:12" ht="13.5" thickBot="1" x14ac:dyDescent="0.25">
      <c r="A34" s="52" t="s">
        <v>113</v>
      </c>
      <c r="B34" s="233">
        <f>+'EOL STAT'!C10*'EOL STAT'!F10/1000</f>
        <v>2791.2403339191565</v>
      </c>
      <c r="C34" s="131">
        <v>279.12403339191565</v>
      </c>
      <c r="D34" s="255">
        <f>+B34/'Pet Chems and Plastics'!J31</f>
        <v>3738.4734724800987</v>
      </c>
      <c r="E34" s="252" t="s">
        <v>240</v>
      </c>
      <c r="F34" s="272">
        <f t="shared" si="4"/>
        <v>1E-4</v>
      </c>
      <c r="G34" s="412">
        <f t="shared" si="5"/>
        <v>3.5826366789272804E-7</v>
      </c>
    </row>
    <row r="36" spans="1:12" x14ac:dyDescent="0.2">
      <c r="A36" s="8" t="s">
        <v>492</v>
      </c>
      <c r="B36" s="265"/>
      <c r="C36" s="265"/>
      <c r="D36" s="265"/>
      <c r="E36" s="265"/>
      <c r="F36" s="265"/>
      <c r="G36" s="265"/>
    </row>
    <row r="37" spans="1:12" ht="13.5" thickBot="1" x14ac:dyDescent="0.25">
      <c r="B37" s="265"/>
      <c r="C37" s="265"/>
      <c r="D37" s="265"/>
      <c r="E37" s="265"/>
      <c r="F37" s="265"/>
      <c r="G37" s="265"/>
    </row>
    <row r="38" spans="1:12" ht="13.5" thickBot="1" x14ac:dyDescent="0.25">
      <c r="B38" s="448">
        <v>2001</v>
      </c>
      <c r="C38" s="449">
        <v>2002</v>
      </c>
      <c r="D38" s="448">
        <v>2003</v>
      </c>
      <c r="E38" s="449">
        <v>2004</v>
      </c>
      <c r="F38" s="448">
        <v>2005</v>
      </c>
      <c r="G38" s="449">
        <v>2006</v>
      </c>
      <c r="H38" s="448">
        <v>2007</v>
      </c>
      <c r="I38" s="449">
        <v>2008</v>
      </c>
      <c r="J38" s="448">
        <v>2009</v>
      </c>
      <c r="K38" s="449">
        <v>2010</v>
      </c>
      <c r="L38" s="448">
        <v>2011</v>
      </c>
    </row>
    <row r="39" spans="1:12" x14ac:dyDescent="0.2">
      <c r="A39" s="50" t="s">
        <v>64</v>
      </c>
      <c r="B39" s="503">
        <v>1</v>
      </c>
      <c r="C39" s="504">
        <v>0</v>
      </c>
      <c r="D39" s="504">
        <v>0</v>
      </c>
      <c r="E39" s="504">
        <v>0</v>
      </c>
      <c r="F39" s="504">
        <v>0</v>
      </c>
      <c r="G39" s="504">
        <v>0</v>
      </c>
      <c r="H39" s="504">
        <v>0</v>
      </c>
      <c r="I39" s="504">
        <v>0</v>
      </c>
      <c r="J39" s="504">
        <v>0</v>
      </c>
      <c r="K39" s="504">
        <v>0</v>
      </c>
      <c r="L39" s="505">
        <v>0</v>
      </c>
    </row>
    <row r="40" spans="1:12" x14ac:dyDescent="0.2">
      <c r="A40" s="51" t="s">
        <v>65</v>
      </c>
      <c r="B40" s="506">
        <v>1</v>
      </c>
      <c r="C40" s="507">
        <v>0</v>
      </c>
      <c r="D40" s="507">
        <v>0</v>
      </c>
      <c r="E40" s="507">
        <v>0</v>
      </c>
      <c r="F40" s="507">
        <v>0</v>
      </c>
      <c r="G40" s="507">
        <v>0</v>
      </c>
      <c r="H40" s="507">
        <v>0</v>
      </c>
      <c r="I40" s="507">
        <v>0</v>
      </c>
      <c r="J40" s="507">
        <v>0</v>
      </c>
      <c r="K40" s="507">
        <v>0</v>
      </c>
      <c r="L40" s="508">
        <v>0</v>
      </c>
    </row>
    <row r="41" spans="1:12" x14ac:dyDescent="0.2">
      <c r="A41" s="51" t="s">
        <v>66</v>
      </c>
      <c r="B41" s="506">
        <v>1</v>
      </c>
      <c r="C41" s="507">
        <v>0</v>
      </c>
      <c r="D41" s="507">
        <v>0</v>
      </c>
      <c r="E41" s="507">
        <v>0</v>
      </c>
      <c r="F41" s="507">
        <v>0</v>
      </c>
      <c r="G41" s="507">
        <v>0</v>
      </c>
      <c r="H41" s="507">
        <v>0</v>
      </c>
      <c r="I41" s="507">
        <v>0</v>
      </c>
      <c r="J41" s="507">
        <v>0</v>
      </c>
      <c r="K41" s="507">
        <v>0</v>
      </c>
      <c r="L41" s="508">
        <v>0</v>
      </c>
    </row>
    <row r="42" spans="1:12" x14ac:dyDescent="0.2">
      <c r="A42" s="51" t="s">
        <v>112</v>
      </c>
      <c r="B42" s="506">
        <v>0</v>
      </c>
      <c r="C42" s="507">
        <v>0</v>
      </c>
      <c r="D42" s="507">
        <v>1</v>
      </c>
      <c r="E42" s="507">
        <v>0</v>
      </c>
      <c r="F42" s="507">
        <v>0</v>
      </c>
      <c r="G42" s="507">
        <v>0</v>
      </c>
      <c r="H42" s="507">
        <v>0</v>
      </c>
      <c r="I42" s="507">
        <v>0</v>
      </c>
      <c r="J42" s="507">
        <v>0</v>
      </c>
      <c r="K42" s="507">
        <v>0</v>
      </c>
      <c r="L42" s="508">
        <v>0</v>
      </c>
    </row>
    <row r="43" spans="1:12" x14ac:dyDescent="0.2">
      <c r="A43" s="51" t="s">
        <v>67</v>
      </c>
      <c r="B43" s="506">
        <v>1</v>
      </c>
      <c r="C43" s="507">
        <v>0</v>
      </c>
      <c r="D43" s="507">
        <v>0</v>
      </c>
      <c r="E43" s="507">
        <v>0</v>
      </c>
      <c r="F43" s="507">
        <v>0</v>
      </c>
      <c r="G43" s="507">
        <v>0</v>
      </c>
      <c r="H43" s="507">
        <v>0</v>
      </c>
      <c r="I43" s="507">
        <v>0</v>
      </c>
      <c r="J43" s="507">
        <v>0</v>
      </c>
      <c r="K43" s="507">
        <v>0</v>
      </c>
      <c r="L43" s="508">
        <v>0</v>
      </c>
    </row>
    <row r="44" spans="1:12" x14ac:dyDescent="0.2">
      <c r="A44" s="51" t="s">
        <v>68</v>
      </c>
      <c r="B44" s="506">
        <v>1</v>
      </c>
      <c r="C44" s="507">
        <v>0</v>
      </c>
      <c r="D44" s="507">
        <v>0</v>
      </c>
      <c r="E44" s="507">
        <v>0</v>
      </c>
      <c r="F44" s="507">
        <v>0</v>
      </c>
      <c r="G44" s="507">
        <v>0</v>
      </c>
      <c r="H44" s="507">
        <v>0</v>
      </c>
      <c r="I44" s="507">
        <v>0</v>
      </c>
      <c r="J44" s="507">
        <v>0</v>
      </c>
      <c r="K44" s="507">
        <v>0</v>
      </c>
      <c r="L44" s="508">
        <v>0</v>
      </c>
    </row>
    <row r="45" spans="1:12" x14ac:dyDescent="0.2">
      <c r="A45" s="51" t="s">
        <v>69</v>
      </c>
      <c r="B45" s="506">
        <v>1</v>
      </c>
      <c r="C45" s="507">
        <v>0</v>
      </c>
      <c r="D45" s="507">
        <v>0</v>
      </c>
      <c r="E45" s="507">
        <v>0</v>
      </c>
      <c r="F45" s="507">
        <v>0</v>
      </c>
      <c r="G45" s="507">
        <v>0</v>
      </c>
      <c r="H45" s="507">
        <v>0</v>
      </c>
      <c r="I45" s="507">
        <v>0</v>
      </c>
      <c r="J45" s="507">
        <v>0</v>
      </c>
      <c r="K45" s="507">
        <v>0</v>
      </c>
      <c r="L45" s="508">
        <v>0</v>
      </c>
    </row>
    <row r="46" spans="1:12" x14ac:dyDescent="0.2">
      <c r="A46" s="51" t="s">
        <v>70</v>
      </c>
      <c r="B46" s="506">
        <v>0</v>
      </c>
      <c r="C46" s="507">
        <v>0</v>
      </c>
      <c r="D46" s="507">
        <v>1</v>
      </c>
      <c r="E46" s="507">
        <v>0</v>
      </c>
      <c r="F46" s="507">
        <v>0</v>
      </c>
      <c r="G46" s="507">
        <v>0</v>
      </c>
      <c r="H46" s="507">
        <v>0</v>
      </c>
      <c r="I46" s="507">
        <v>0</v>
      </c>
      <c r="J46" s="507">
        <v>0</v>
      </c>
      <c r="K46" s="507">
        <v>0</v>
      </c>
      <c r="L46" s="508">
        <v>0</v>
      </c>
    </row>
    <row r="47" spans="1:12" x14ac:dyDescent="0.2">
      <c r="A47" s="51" t="s">
        <v>71</v>
      </c>
      <c r="B47" s="506">
        <v>0</v>
      </c>
      <c r="C47" s="507">
        <v>1</v>
      </c>
      <c r="D47" s="507">
        <v>0</v>
      </c>
      <c r="E47" s="507">
        <v>0</v>
      </c>
      <c r="F47" s="507">
        <v>0</v>
      </c>
      <c r="G47" s="507">
        <v>0</v>
      </c>
      <c r="H47" s="507">
        <v>0</v>
      </c>
      <c r="I47" s="507">
        <v>0</v>
      </c>
      <c r="J47" s="507">
        <v>0</v>
      </c>
      <c r="K47" s="507">
        <v>0</v>
      </c>
      <c r="L47" s="508">
        <v>0</v>
      </c>
    </row>
    <row r="48" spans="1:12" x14ac:dyDescent="0.2">
      <c r="A48" s="71" t="s">
        <v>119</v>
      </c>
      <c r="B48" s="506">
        <v>0</v>
      </c>
      <c r="C48" s="507">
        <v>1</v>
      </c>
      <c r="D48" s="507">
        <v>0</v>
      </c>
      <c r="E48" s="507">
        <v>0</v>
      </c>
      <c r="F48" s="507">
        <v>0</v>
      </c>
      <c r="G48" s="507">
        <v>0</v>
      </c>
      <c r="H48" s="507">
        <v>0</v>
      </c>
      <c r="I48" s="507">
        <v>0</v>
      </c>
      <c r="J48" s="507">
        <v>0</v>
      </c>
      <c r="K48" s="507">
        <v>0</v>
      </c>
      <c r="L48" s="508">
        <v>0</v>
      </c>
    </row>
    <row r="49" spans="1:12" x14ac:dyDescent="0.2">
      <c r="A49" s="71" t="s">
        <v>120</v>
      </c>
      <c r="B49" s="506">
        <v>0</v>
      </c>
      <c r="C49" s="507">
        <v>0</v>
      </c>
      <c r="D49" s="507">
        <v>0</v>
      </c>
      <c r="E49" s="507">
        <v>1</v>
      </c>
      <c r="F49" s="507">
        <v>0</v>
      </c>
      <c r="G49" s="507">
        <v>0</v>
      </c>
      <c r="H49" s="507">
        <v>0</v>
      </c>
      <c r="I49" s="507">
        <v>0</v>
      </c>
      <c r="J49" s="507">
        <v>0</v>
      </c>
      <c r="K49" s="507">
        <v>0</v>
      </c>
      <c r="L49" s="508">
        <v>0</v>
      </c>
    </row>
    <row r="50" spans="1:12" ht="13.5" thickBot="1" x14ac:dyDescent="0.25">
      <c r="A50" s="52" t="s">
        <v>113</v>
      </c>
      <c r="B50" s="509">
        <v>0</v>
      </c>
      <c r="C50" s="510">
        <v>1</v>
      </c>
      <c r="D50" s="510">
        <v>0</v>
      </c>
      <c r="E50" s="510">
        <v>0</v>
      </c>
      <c r="F50" s="510">
        <v>0</v>
      </c>
      <c r="G50" s="510">
        <v>0</v>
      </c>
      <c r="H50" s="510">
        <v>0</v>
      </c>
      <c r="I50" s="510">
        <v>0</v>
      </c>
      <c r="J50" s="510">
        <v>0</v>
      </c>
      <c r="K50" s="510">
        <v>0</v>
      </c>
      <c r="L50" s="511">
        <v>0</v>
      </c>
    </row>
    <row r="52" spans="1:12" x14ac:dyDescent="0.2">
      <c r="A52" s="8" t="s">
        <v>490</v>
      </c>
      <c r="B52" s="265"/>
      <c r="C52" s="265"/>
      <c r="D52" s="265"/>
      <c r="E52" s="265"/>
      <c r="F52" s="265"/>
      <c r="G52" s="265"/>
      <c r="H52" s="265"/>
    </row>
    <row r="53" spans="1:12" ht="13.5" thickBot="1" x14ac:dyDescent="0.25">
      <c r="B53" s="265"/>
      <c r="C53" s="265"/>
      <c r="D53" s="265"/>
      <c r="E53" s="265"/>
      <c r="F53" s="265"/>
      <c r="G53" s="265"/>
      <c r="H53" s="265"/>
    </row>
    <row r="54" spans="1:12" ht="39" thickBot="1" x14ac:dyDescent="0.25">
      <c r="B54" s="448" t="s">
        <v>493</v>
      </c>
      <c r="C54" s="449" t="s">
        <v>465</v>
      </c>
      <c r="D54" s="449" t="s">
        <v>478</v>
      </c>
      <c r="E54" s="450" t="s">
        <v>449</v>
      </c>
      <c r="F54" s="439"/>
    </row>
    <row r="55" spans="1:12" x14ac:dyDescent="0.2">
      <c r="A55" s="50" t="s">
        <v>64</v>
      </c>
      <c r="B55" s="474">
        <f>SUM(B71:D71)</f>
        <v>900</v>
      </c>
      <c r="C55" s="475">
        <f t="shared" ref="C55:C66" si="6">SUM(B87:F87)</f>
        <v>850</v>
      </c>
      <c r="D55" s="466">
        <f>SUM(B103:E103)</f>
        <v>6.5</v>
      </c>
      <c r="E55" s="524">
        <f>SUM(B119:E119)</f>
        <v>6.0000000000000002E-5</v>
      </c>
      <c r="F55" s="265"/>
    </row>
    <row r="56" spans="1:12" x14ac:dyDescent="0.2">
      <c r="A56" s="51" t="s">
        <v>65</v>
      </c>
      <c r="B56" s="477">
        <f t="shared" ref="B56:B66" si="7">SUM(B72:D72)</f>
        <v>700</v>
      </c>
      <c r="C56" s="478">
        <f t="shared" si="6"/>
        <v>850</v>
      </c>
      <c r="D56" s="469">
        <f t="shared" ref="D56:D66" si="8">SUM(B104:E104)</f>
        <v>6.5</v>
      </c>
      <c r="E56" s="525">
        <f t="shared" ref="E56:E66" si="9">SUM(B120:E120)</f>
        <v>6.0000000000000002E-5</v>
      </c>
      <c r="F56" s="265"/>
    </row>
    <row r="57" spans="1:12" x14ac:dyDescent="0.2">
      <c r="A57" s="51" t="s">
        <v>66</v>
      </c>
      <c r="B57" s="477">
        <f t="shared" si="7"/>
        <v>900</v>
      </c>
      <c r="C57" s="478">
        <f t="shared" si="6"/>
        <v>850</v>
      </c>
      <c r="D57" s="469">
        <f t="shared" si="8"/>
        <v>6.5</v>
      </c>
      <c r="E57" s="525">
        <f t="shared" si="9"/>
        <v>6.0000000000000002E-5</v>
      </c>
      <c r="F57" s="265"/>
    </row>
    <row r="58" spans="1:12" x14ac:dyDescent="0.2">
      <c r="A58" s="51" t="s">
        <v>112</v>
      </c>
      <c r="B58" s="477">
        <f t="shared" si="7"/>
        <v>600</v>
      </c>
      <c r="C58" s="478">
        <f t="shared" si="6"/>
        <v>850</v>
      </c>
      <c r="D58" s="469">
        <f t="shared" si="8"/>
        <v>6.5</v>
      </c>
      <c r="E58" s="525">
        <f t="shared" si="9"/>
        <v>6.0000000000000002E-5</v>
      </c>
      <c r="F58" s="265"/>
    </row>
    <row r="59" spans="1:12" x14ac:dyDescent="0.2">
      <c r="A59" s="51" t="s">
        <v>67</v>
      </c>
      <c r="B59" s="477">
        <f t="shared" si="7"/>
        <v>900</v>
      </c>
      <c r="C59" s="478">
        <f t="shared" si="6"/>
        <v>850</v>
      </c>
      <c r="D59" s="469">
        <f t="shared" si="8"/>
        <v>6.5</v>
      </c>
      <c r="E59" s="525">
        <f t="shared" si="9"/>
        <v>6.0000000000000002E-5</v>
      </c>
      <c r="F59" s="265"/>
    </row>
    <row r="60" spans="1:12" x14ac:dyDescent="0.2">
      <c r="A60" s="51" t="s">
        <v>68</v>
      </c>
      <c r="B60" s="477">
        <f t="shared" si="7"/>
        <v>700</v>
      </c>
      <c r="C60" s="478">
        <f t="shared" si="6"/>
        <v>850</v>
      </c>
      <c r="D60" s="469">
        <f t="shared" si="8"/>
        <v>6.5</v>
      </c>
      <c r="E60" s="525">
        <f t="shared" si="9"/>
        <v>6.0000000000000002E-5</v>
      </c>
      <c r="F60" s="265"/>
    </row>
    <row r="61" spans="1:12" x14ac:dyDescent="0.2">
      <c r="A61" s="51" t="s">
        <v>69</v>
      </c>
      <c r="B61" s="477">
        <f t="shared" si="7"/>
        <v>700</v>
      </c>
      <c r="C61" s="478">
        <f t="shared" si="6"/>
        <v>850</v>
      </c>
      <c r="D61" s="469">
        <f t="shared" si="8"/>
        <v>6.5</v>
      </c>
      <c r="E61" s="525">
        <f t="shared" si="9"/>
        <v>6.0000000000000002E-5</v>
      </c>
      <c r="F61" s="265"/>
    </row>
    <row r="62" spans="1:12" x14ac:dyDescent="0.2">
      <c r="A62" s="51" t="s">
        <v>70</v>
      </c>
      <c r="B62" s="477">
        <f t="shared" si="7"/>
        <v>500</v>
      </c>
      <c r="C62" s="478">
        <f t="shared" si="6"/>
        <v>850</v>
      </c>
      <c r="D62" s="469">
        <f t="shared" si="8"/>
        <v>6.5</v>
      </c>
      <c r="E62" s="525">
        <f t="shared" si="9"/>
        <v>6.0000000000000002E-5</v>
      </c>
      <c r="F62" s="265"/>
    </row>
    <row r="63" spans="1:12" x14ac:dyDescent="0.2">
      <c r="A63" s="51" t="s">
        <v>71</v>
      </c>
      <c r="B63" s="477">
        <f t="shared" si="7"/>
        <v>500</v>
      </c>
      <c r="C63" s="478">
        <f t="shared" si="6"/>
        <v>850</v>
      </c>
      <c r="D63" s="469">
        <f t="shared" si="8"/>
        <v>6.5</v>
      </c>
      <c r="E63" s="525">
        <f t="shared" si="9"/>
        <v>6.0000000000000002E-5</v>
      </c>
      <c r="F63" s="265"/>
    </row>
    <row r="64" spans="1:12" x14ac:dyDescent="0.2">
      <c r="A64" s="71" t="s">
        <v>119</v>
      </c>
      <c r="B64" s="477">
        <f t="shared" si="7"/>
        <v>500</v>
      </c>
      <c r="C64" s="478">
        <f t="shared" si="6"/>
        <v>850</v>
      </c>
      <c r="D64" s="469">
        <f t="shared" si="8"/>
        <v>6.5</v>
      </c>
      <c r="E64" s="525">
        <f t="shared" si="9"/>
        <v>6.0000000000000002E-5</v>
      </c>
      <c r="F64" s="265"/>
    </row>
    <row r="65" spans="1:8" x14ac:dyDescent="0.2">
      <c r="A65" s="71" t="s">
        <v>120</v>
      </c>
      <c r="B65" s="477">
        <f t="shared" si="7"/>
        <v>700</v>
      </c>
      <c r="C65" s="478">
        <f t="shared" si="6"/>
        <v>850</v>
      </c>
      <c r="D65" s="469">
        <f t="shared" si="8"/>
        <v>6.5</v>
      </c>
      <c r="E65" s="525">
        <f t="shared" si="9"/>
        <v>6.0000000000000002E-5</v>
      </c>
      <c r="F65" s="265"/>
    </row>
    <row r="66" spans="1:8" ht="13.5" thickBot="1" x14ac:dyDescent="0.25">
      <c r="A66" s="52" t="s">
        <v>113</v>
      </c>
      <c r="B66" s="480">
        <f t="shared" si="7"/>
        <v>900</v>
      </c>
      <c r="C66" s="481">
        <f t="shared" si="6"/>
        <v>850</v>
      </c>
      <c r="D66" s="472">
        <f t="shared" si="8"/>
        <v>6.5</v>
      </c>
      <c r="E66" s="526">
        <f t="shared" si="9"/>
        <v>6.0000000000000002E-5</v>
      </c>
      <c r="F66" s="265"/>
    </row>
    <row r="67" spans="1:8" x14ac:dyDescent="0.2">
      <c r="B67" s="265"/>
      <c r="C67" s="265"/>
      <c r="D67" s="265"/>
      <c r="E67" s="265"/>
      <c r="F67" s="265"/>
      <c r="G67" s="265"/>
    </row>
    <row r="68" spans="1:8" x14ac:dyDescent="0.2">
      <c r="A68" s="451" t="s">
        <v>496</v>
      </c>
      <c r="B68" s="265"/>
      <c r="C68" s="265"/>
      <c r="D68" s="265"/>
      <c r="E68" s="265"/>
      <c r="F68" s="265"/>
      <c r="G68" s="265"/>
      <c r="H68" s="265"/>
    </row>
    <row r="69" spans="1:8" ht="13.5" thickBot="1" x14ac:dyDescent="0.25">
      <c r="B69" s="265"/>
      <c r="C69" s="265"/>
      <c r="D69" s="265"/>
      <c r="E69" s="265"/>
      <c r="F69" s="265"/>
      <c r="G69" s="265"/>
      <c r="H69" s="265"/>
    </row>
    <row r="70" spans="1:8" ht="39" thickBot="1" x14ac:dyDescent="0.25">
      <c r="B70" s="448" t="s">
        <v>491</v>
      </c>
      <c r="C70" s="449" t="s">
        <v>469</v>
      </c>
      <c r="D70" s="450" t="s">
        <v>470</v>
      </c>
      <c r="E70" s="439"/>
      <c r="F70" s="439"/>
      <c r="G70" s="439"/>
      <c r="H70" s="439"/>
    </row>
    <row r="71" spans="1:8" x14ac:dyDescent="0.2">
      <c r="A71" s="50" t="s">
        <v>64</v>
      </c>
      <c r="B71" s="474">
        <v>800</v>
      </c>
      <c r="C71" s="475">
        <v>100</v>
      </c>
      <c r="D71" s="476"/>
      <c r="E71" s="265"/>
      <c r="F71" s="265"/>
      <c r="G71" s="265"/>
      <c r="H71" s="265"/>
    </row>
    <row r="72" spans="1:8" x14ac:dyDescent="0.2">
      <c r="A72" s="51" t="s">
        <v>65</v>
      </c>
      <c r="B72" s="477">
        <v>600</v>
      </c>
      <c r="C72" s="478">
        <v>100</v>
      </c>
      <c r="D72" s="479"/>
      <c r="E72" s="265"/>
      <c r="F72" s="265"/>
      <c r="G72" s="265"/>
      <c r="H72" s="265"/>
    </row>
    <row r="73" spans="1:8" x14ac:dyDescent="0.2">
      <c r="A73" s="51" t="s">
        <v>66</v>
      </c>
      <c r="B73" s="477">
        <v>800</v>
      </c>
      <c r="C73" s="478">
        <v>100</v>
      </c>
      <c r="D73" s="479"/>
      <c r="E73" s="265"/>
      <c r="F73" s="265"/>
      <c r="G73" s="265"/>
      <c r="H73" s="265"/>
    </row>
    <row r="74" spans="1:8" x14ac:dyDescent="0.2">
      <c r="A74" s="51" t="s">
        <v>112</v>
      </c>
      <c r="B74" s="477">
        <v>500</v>
      </c>
      <c r="C74" s="478">
        <v>100</v>
      </c>
      <c r="D74" s="479"/>
      <c r="E74" s="265"/>
      <c r="F74" s="265"/>
      <c r="G74" s="265"/>
      <c r="H74" s="265"/>
    </row>
    <row r="75" spans="1:8" x14ac:dyDescent="0.2">
      <c r="A75" s="51" t="s">
        <v>67</v>
      </c>
      <c r="B75" s="477">
        <v>800</v>
      </c>
      <c r="C75" s="478">
        <v>100</v>
      </c>
      <c r="D75" s="479"/>
      <c r="E75" s="265"/>
      <c r="F75" s="265"/>
      <c r="G75" s="265"/>
      <c r="H75" s="265"/>
    </row>
    <row r="76" spans="1:8" x14ac:dyDescent="0.2">
      <c r="A76" s="51" t="s">
        <v>68</v>
      </c>
      <c r="B76" s="477">
        <v>600</v>
      </c>
      <c r="C76" s="478">
        <v>100</v>
      </c>
      <c r="D76" s="479"/>
      <c r="E76" s="265"/>
      <c r="F76" s="265"/>
      <c r="G76" s="265"/>
      <c r="H76" s="265"/>
    </row>
    <row r="77" spans="1:8" x14ac:dyDescent="0.2">
      <c r="A77" s="51" t="s">
        <v>69</v>
      </c>
      <c r="B77" s="477">
        <v>600</v>
      </c>
      <c r="C77" s="478">
        <v>100</v>
      </c>
      <c r="D77" s="479"/>
      <c r="E77" s="265"/>
      <c r="F77" s="265"/>
      <c r="G77" s="265"/>
      <c r="H77" s="265"/>
    </row>
    <row r="78" spans="1:8" x14ac:dyDescent="0.2">
      <c r="A78" s="51" t="s">
        <v>70</v>
      </c>
      <c r="B78" s="477">
        <v>400</v>
      </c>
      <c r="C78" s="478">
        <v>100</v>
      </c>
      <c r="D78" s="479"/>
      <c r="E78" s="265"/>
      <c r="F78" s="265"/>
      <c r="G78" s="265"/>
      <c r="H78" s="265"/>
    </row>
    <row r="79" spans="1:8" x14ac:dyDescent="0.2">
      <c r="A79" s="51" t="s">
        <v>71</v>
      </c>
      <c r="B79" s="477">
        <v>400</v>
      </c>
      <c r="C79" s="478">
        <v>100</v>
      </c>
      <c r="D79" s="479"/>
      <c r="E79" s="265"/>
      <c r="F79" s="265"/>
      <c r="G79" s="265"/>
      <c r="H79" s="265"/>
    </row>
    <row r="80" spans="1:8" x14ac:dyDescent="0.2">
      <c r="A80" s="71" t="s">
        <v>119</v>
      </c>
      <c r="B80" s="477">
        <v>400</v>
      </c>
      <c r="C80" s="478">
        <v>100</v>
      </c>
      <c r="D80" s="479"/>
      <c r="E80" s="265"/>
      <c r="F80" s="265"/>
      <c r="G80" s="265"/>
      <c r="H80" s="265"/>
    </row>
    <row r="81" spans="1:8" x14ac:dyDescent="0.2">
      <c r="A81" s="71" t="s">
        <v>120</v>
      </c>
      <c r="B81" s="477">
        <v>600</v>
      </c>
      <c r="C81" s="478">
        <v>100</v>
      </c>
      <c r="D81" s="479"/>
      <c r="E81" s="265"/>
      <c r="F81" s="265"/>
      <c r="G81" s="265"/>
      <c r="H81" s="265"/>
    </row>
    <row r="82" spans="1:8" ht="13.5" thickBot="1" x14ac:dyDescent="0.25">
      <c r="A82" s="52" t="s">
        <v>113</v>
      </c>
      <c r="B82" s="480">
        <v>800</v>
      </c>
      <c r="C82" s="481">
        <v>100</v>
      </c>
      <c r="D82" s="482"/>
      <c r="E82" s="265"/>
      <c r="F82" s="265"/>
      <c r="G82" s="265"/>
      <c r="H82" s="265"/>
    </row>
    <row r="83" spans="1:8" x14ac:dyDescent="0.2">
      <c r="A83" s="265"/>
      <c r="B83" s="265"/>
      <c r="C83" s="265"/>
      <c r="D83" s="265"/>
      <c r="E83" s="265"/>
      <c r="F83" s="265"/>
      <c r="G83" s="265"/>
      <c r="H83" s="265"/>
    </row>
    <row r="84" spans="1:8" x14ac:dyDescent="0.2">
      <c r="A84" s="451" t="s">
        <v>497</v>
      </c>
      <c r="B84" s="265"/>
      <c r="C84" s="265"/>
      <c r="D84" s="265"/>
      <c r="E84" s="265"/>
      <c r="F84" s="265"/>
      <c r="G84" s="265"/>
      <c r="H84" s="265"/>
    </row>
    <row r="85" spans="1:8" ht="13.5" thickBot="1" x14ac:dyDescent="0.25">
      <c r="B85" s="265"/>
      <c r="C85" s="265"/>
      <c r="D85" s="265"/>
      <c r="E85" s="265"/>
      <c r="F85" s="265"/>
      <c r="G85" s="265"/>
      <c r="H85" s="265"/>
    </row>
    <row r="86" spans="1:8" ht="64.5" thickBot="1" x14ac:dyDescent="0.25">
      <c r="B86" s="448" t="s">
        <v>494</v>
      </c>
      <c r="C86" s="449" t="s">
        <v>495</v>
      </c>
      <c r="D86" s="449" t="s">
        <v>474</v>
      </c>
      <c r="E86" s="449" t="s">
        <v>475</v>
      </c>
      <c r="F86" s="450" t="s">
        <v>476</v>
      </c>
      <c r="G86" s="265"/>
    </row>
    <row r="87" spans="1:8" x14ac:dyDescent="0.2">
      <c r="A87" s="50" t="s">
        <v>64</v>
      </c>
      <c r="B87" s="474">
        <v>450</v>
      </c>
      <c r="C87" s="475">
        <v>200</v>
      </c>
      <c r="D87" s="475">
        <v>0</v>
      </c>
      <c r="E87" s="475">
        <v>200</v>
      </c>
      <c r="F87" s="476">
        <v>0</v>
      </c>
      <c r="G87" s="265"/>
    </row>
    <row r="88" spans="1:8" x14ac:dyDescent="0.2">
      <c r="A88" s="51" t="s">
        <v>65</v>
      </c>
      <c r="B88" s="477">
        <v>450</v>
      </c>
      <c r="C88" s="478">
        <v>200</v>
      </c>
      <c r="D88" s="478">
        <v>0</v>
      </c>
      <c r="E88" s="478">
        <v>200</v>
      </c>
      <c r="F88" s="479">
        <v>0</v>
      </c>
      <c r="G88" s="265"/>
    </row>
    <row r="89" spans="1:8" x14ac:dyDescent="0.2">
      <c r="A89" s="51" t="s">
        <v>66</v>
      </c>
      <c r="B89" s="477">
        <v>450</v>
      </c>
      <c r="C89" s="478">
        <v>200</v>
      </c>
      <c r="D89" s="478">
        <v>0</v>
      </c>
      <c r="E89" s="478">
        <v>200</v>
      </c>
      <c r="F89" s="479">
        <v>0</v>
      </c>
      <c r="G89" s="265"/>
    </row>
    <row r="90" spans="1:8" x14ac:dyDescent="0.2">
      <c r="A90" s="51" t="s">
        <v>112</v>
      </c>
      <c r="B90" s="477">
        <v>450</v>
      </c>
      <c r="C90" s="478">
        <v>200</v>
      </c>
      <c r="D90" s="478">
        <v>0</v>
      </c>
      <c r="E90" s="478">
        <v>200</v>
      </c>
      <c r="F90" s="479">
        <v>0</v>
      </c>
      <c r="G90" s="265"/>
    </row>
    <row r="91" spans="1:8" x14ac:dyDescent="0.2">
      <c r="A91" s="51" t="s">
        <v>67</v>
      </c>
      <c r="B91" s="477">
        <v>450</v>
      </c>
      <c r="C91" s="478">
        <v>200</v>
      </c>
      <c r="D91" s="478">
        <v>0</v>
      </c>
      <c r="E91" s="478">
        <v>200</v>
      </c>
      <c r="F91" s="479">
        <v>0</v>
      </c>
      <c r="G91" s="265"/>
    </row>
    <row r="92" spans="1:8" x14ac:dyDescent="0.2">
      <c r="A92" s="51" t="s">
        <v>68</v>
      </c>
      <c r="B92" s="477">
        <v>450</v>
      </c>
      <c r="C92" s="478">
        <v>200</v>
      </c>
      <c r="D92" s="478">
        <v>0</v>
      </c>
      <c r="E92" s="478">
        <v>200</v>
      </c>
      <c r="F92" s="479">
        <v>0</v>
      </c>
      <c r="G92" s="265"/>
    </row>
    <row r="93" spans="1:8" x14ac:dyDescent="0.2">
      <c r="A93" s="51" t="s">
        <v>69</v>
      </c>
      <c r="B93" s="477">
        <v>450</v>
      </c>
      <c r="C93" s="478">
        <v>200</v>
      </c>
      <c r="D93" s="478">
        <v>0</v>
      </c>
      <c r="E93" s="478">
        <v>200</v>
      </c>
      <c r="F93" s="479">
        <v>0</v>
      </c>
      <c r="G93" s="265"/>
    </row>
    <row r="94" spans="1:8" x14ac:dyDescent="0.2">
      <c r="A94" s="51" t="s">
        <v>70</v>
      </c>
      <c r="B94" s="477">
        <v>450</v>
      </c>
      <c r="C94" s="478">
        <v>200</v>
      </c>
      <c r="D94" s="478">
        <v>0</v>
      </c>
      <c r="E94" s="478">
        <v>200</v>
      </c>
      <c r="F94" s="479">
        <v>0</v>
      </c>
      <c r="G94" s="265"/>
    </row>
    <row r="95" spans="1:8" x14ac:dyDescent="0.2">
      <c r="A95" s="51" t="s">
        <v>71</v>
      </c>
      <c r="B95" s="477">
        <v>450</v>
      </c>
      <c r="C95" s="478">
        <v>200</v>
      </c>
      <c r="D95" s="478">
        <v>0</v>
      </c>
      <c r="E95" s="478">
        <v>200</v>
      </c>
      <c r="F95" s="479">
        <v>0</v>
      </c>
      <c r="G95" s="265"/>
    </row>
    <row r="96" spans="1:8" x14ac:dyDescent="0.2">
      <c r="A96" s="71" t="s">
        <v>119</v>
      </c>
      <c r="B96" s="477">
        <v>450</v>
      </c>
      <c r="C96" s="478">
        <v>200</v>
      </c>
      <c r="D96" s="478">
        <v>0</v>
      </c>
      <c r="E96" s="478">
        <v>200</v>
      </c>
      <c r="F96" s="479">
        <v>0</v>
      </c>
      <c r="G96" s="265"/>
    </row>
    <row r="97" spans="1:8" x14ac:dyDescent="0.2">
      <c r="A97" s="71" t="s">
        <v>120</v>
      </c>
      <c r="B97" s="477">
        <v>450</v>
      </c>
      <c r="C97" s="478">
        <v>200</v>
      </c>
      <c r="D97" s="478">
        <v>0</v>
      </c>
      <c r="E97" s="478">
        <v>200</v>
      </c>
      <c r="F97" s="479">
        <v>0</v>
      </c>
      <c r="G97" s="265"/>
    </row>
    <row r="98" spans="1:8" ht="13.5" thickBot="1" x14ac:dyDescent="0.25">
      <c r="A98" s="52" t="s">
        <v>113</v>
      </c>
      <c r="B98" s="480">
        <v>450</v>
      </c>
      <c r="C98" s="481">
        <v>200</v>
      </c>
      <c r="D98" s="481">
        <v>0</v>
      </c>
      <c r="E98" s="481">
        <v>200</v>
      </c>
      <c r="F98" s="482">
        <v>0</v>
      </c>
      <c r="G98" s="265"/>
    </row>
    <row r="99" spans="1:8" x14ac:dyDescent="0.2">
      <c r="A99" s="265"/>
      <c r="B99" s="265"/>
      <c r="C99" s="265"/>
      <c r="D99" s="265"/>
      <c r="E99" s="265"/>
      <c r="F99" s="265"/>
      <c r="G99" s="265"/>
      <c r="H99" s="265"/>
    </row>
    <row r="100" spans="1:8" x14ac:dyDescent="0.2">
      <c r="A100" s="451" t="s">
        <v>498</v>
      </c>
      <c r="B100" s="265"/>
      <c r="C100" s="265"/>
      <c r="D100" s="265"/>
      <c r="E100" s="265"/>
      <c r="F100" s="265"/>
      <c r="G100" s="265"/>
      <c r="H100" s="265"/>
    </row>
    <row r="101" spans="1:8" ht="13.5" thickBot="1" x14ac:dyDescent="0.25">
      <c r="B101" s="265"/>
      <c r="C101" s="265"/>
      <c r="D101" s="265"/>
      <c r="E101" s="265"/>
      <c r="F101" s="265"/>
      <c r="G101" s="265"/>
      <c r="H101" s="265"/>
    </row>
    <row r="102" spans="1:8" ht="39" thickBot="1" x14ac:dyDescent="0.25">
      <c r="B102" s="448" t="s">
        <v>479</v>
      </c>
      <c r="C102" s="449" t="s">
        <v>480</v>
      </c>
      <c r="D102" s="449" t="s">
        <v>481</v>
      </c>
      <c r="E102" s="450" t="s">
        <v>482</v>
      </c>
      <c r="F102" s="439"/>
      <c r="G102" s="265"/>
      <c r="H102" s="265"/>
    </row>
    <row r="103" spans="1:8" x14ac:dyDescent="0.2">
      <c r="A103" s="50" t="s">
        <v>64</v>
      </c>
      <c r="B103" s="465">
        <v>1</v>
      </c>
      <c r="C103" s="466">
        <v>5</v>
      </c>
      <c r="D103" s="466">
        <v>0.5</v>
      </c>
      <c r="E103" s="467"/>
      <c r="F103" s="265"/>
      <c r="G103" s="265"/>
      <c r="H103" s="265"/>
    </row>
    <row r="104" spans="1:8" x14ac:dyDescent="0.2">
      <c r="A104" s="51" t="s">
        <v>65</v>
      </c>
      <c r="B104" s="468">
        <v>1</v>
      </c>
      <c r="C104" s="469">
        <v>5</v>
      </c>
      <c r="D104" s="469">
        <v>0.5</v>
      </c>
      <c r="E104" s="470"/>
      <c r="F104" s="265"/>
      <c r="G104" s="265"/>
      <c r="H104" s="265"/>
    </row>
    <row r="105" spans="1:8" x14ac:dyDescent="0.2">
      <c r="A105" s="51" t="s">
        <v>66</v>
      </c>
      <c r="B105" s="468">
        <v>1</v>
      </c>
      <c r="C105" s="469">
        <v>5</v>
      </c>
      <c r="D105" s="469">
        <v>0.5</v>
      </c>
      <c r="E105" s="470"/>
      <c r="F105" s="265"/>
      <c r="G105" s="265"/>
      <c r="H105" s="265"/>
    </row>
    <row r="106" spans="1:8" x14ac:dyDescent="0.2">
      <c r="A106" s="51" t="s">
        <v>112</v>
      </c>
      <c r="B106" s="468">
        <v>1</v>
      </c>
      <c r="C106" s="469">
        <v>5</v>
      </c>
      <c r="D106" s="469">
        <v>0.5</v>
      </c>
      <c r="E106" s="470"/>
      <c r="F106" s="265"/>
      <c r="G106" s="265"/>
      <c r="H106" s="265"/>
    </row>
    <row r="107" spans="1:8" x14ac:dyDescent="0.2">
      <c r="A107" s="51" t="s">
        <v>67</v>
      </c>
      <c r="B107" s="468">
        <v>1</v>
      </c>
      <c r="C107" s="469">
        <v>5</v>
      </c>
      <c r="D107" s="469">
        <v>0.5</v>
      </c>
      <c r="E107" s="470"/>
      <c r="F107" s="265"/>
      <c r="G107" s="265"/>
      <c r="H107" s="265"/>
    </row>
    <row r="108" spans="1:8" x14ac:dyDescent="0.2">
      <c r="A108" s="51" t="s">
        <v>68</v>
      </c>
      <c r="B108" s="468">
        <v>1</v>
      </c>
      <c r="C108" s="469">
        <v>5</v>
      </c>
      <c r="D108" s="469">
        <v>0.5</v>
      </c>
      <c r="E108" s="470"/>
      <c r="F108" s="265"/>
      <c r="G108" s="265"/>
      <c r="H108" s="265"/>
    </row>
    <row r="109" spans="1:8" x14ac:dyDescent="0.2">
      <c r="A109" s="51" t="s">
        <v>69</v>
      </c>
      <c r="B109" s="468">
        <v>1</v>
      </c>
      <c r="C109" s="469">
        <v>5</v>
      </c>
      <c r="D109" s="469">
        <v>0.5</v>
      </c>
      <c r="E109" s="470"/>
      <c r="F109" s="265"/>
      <c r="G109" s="265"/>
      <c r="H109" s="265"/>
    </row>
    <row r="110" spans="1:8" x14ac:dyDescent="0.2">
      <c r="A110" s="51" t="s">
        <v>70</v>
      </c>
      <c r="B110" s="468">
        <v>1</v>
      </c>
      <c r="C110" s="469">
        <v>5</v>
      </c>
      <c r="D110" s="469">
        <v>0.5</v>
      </c>
      <c r="E110" s="470"/>
      <c r="F110" s="265"/>
      <c r="G110" s="265"/>
      <c r="H110" s="265"/>
    </row>
    <row r="111" spans="1:8" x14ac:dyDescent="0.2">
      <c r="A111" s="51" t="s">
        <v>71</v>
      </c>
      <c r="B111" s="468">
        <v>1</v>
      </c>
      <c r="C111" s="469">
        <v>5</v>
      </c>
      <c r="D111" s="469">
        <v>0.5</v>
      </c>
      <c r="E111" s="470"/>
      <c r="F111" s="265"/>
      <c r="G111" s="265"/>
      <c r="H111" s="265"/>
    </row>
    <row r="112" spans="1:8" x14ac:dyDescent="0.2">
      <c r="A112" s="71" t="s">
        <v>119</v>
      </c>
      <c r="B112" s="468">
        <v>1</v>
      </c>
      <c r="C112" s="469">
        <v>5</v>
      </c>
      <c r="D112" s="469">
        <v>0.5</v>
      </c>
      <c r="E112" s="470"/>
      <c r="F112" s="265"/>
      <c r="G112" s="265"/>
      <c r="H112" s="265"/>
    </row>
    <row r="113" spans="1:8" x14ac:dyDescent="0.2">
      <c r="A113" s="71" t="s">
        <v>120</v>
      </c>
      <c r="B113" s="468">
        <v>1</v>
      </c>
      <c r="C113" s="469">
        <v>5</v>
      </c>
      <c r="D113" s="469">
        <v>0.5</v>
      </c>
      <c r="E113" s="470"/>
      <c r="F113" s="265"/>
      <c r="G113" s="265"/>
      <c r="H113" s="265"/>
    </row>
    <row r="114" spans="1:8" ht="13.5" thickBot="1" x14ac:dyDescent="0.25">
      <c r="A114" s="52" t="s">
        <v>113</v>
      </c>
      <c r="B114" s="471">
        <v>1</v>
      </c>
      <c r="C114" s="472">
        <v>5</v>
      </c>
      <c r="D114" s="472">
        <v>0.5</v>
      </c>
      <c r="E114" s="473"/>
      <c r="F114" s="265"/>
      <c r="G114" s="265"/>
      <c r="H114" s="265"/>
    </row>
    <row r="115" spans="1:8" x14ac:dyDescent="0.2">
      <c r="A115" s="265"/>
      <c r="B115" s="265"/>
      <c r="C115" s="265"/>
      <c r="D115" s="265"/>
      <c r="E115" s="265"/>
      <c r="F115" s="265"/>
      <c r="G115" s="265"/>
      <c r="H115" s="265"/>
    </row>
    <row r="116" spans="1:8" x14ac:dyDescent="0.2">
      <c r="A116" s="451" t="s">
        <v>499</v>
      </c>
      <c r="B116" s="265"/>
      <c r="C116" s="265"/>
      <c r="D116" s="265"/>
      <c r="E116" s="265"/>
      <c r="F116" s="265"/>
      <c r="G116" s="265"/>
      <c r="H116" s="265"/>
    </row>
    <row r="117" spans="1:8" ht="13.5" thickBot="1" x14ac:dyDescent="0.25">
      <c r="B117" s="265"/>
      <c r="C117" s="265"/>
      <c r="D117" s="265"/>
      <c r="E117" s="265"/>
      <c r="F117" s="265"/>
      <c r="G117" s="265"/>
      <c r="H117" s="265"/>
    </row>
    <row r="118" spans="1:8" ht="51.75" thickBot="1" x14ac:dyDescent="0.25">
      <c r="B118" s="448" t="s">
        <v>244</v>
      </c>
      <c r="C118" s="449" t="s">
        <v>455</v>
      </c>
      <c r="D118" s="449" t="s">
        <v>477</v>
      </c>
      <c r="E118" s="450" t="s">
        <v>456</v>
      </c>
      <c r="F118" s="265"/>
      <c r="G118" s="265"/>
      <c r="H118" s="265"/>
    </row>
    <row r="119" spans="1:8" x14ac:dyDescent="0.2">
      <c r="A119" s="50" t="s">
        <v>64</v>
      </c>
      <c r="B119" s="515">
        <v>5.0000000000000002E-5</v>
      </c>
      <c r="C119" s="516">
        <v>1.0000000000000001E-5</v>
      </c>
      <c r="D119" s="516"/>
      <c r="E119" s="517"/>
      <c r="F119" s="265"/>
      <c r="G119" s="265"/>
      <c r="H119" s="265"/>
    </row>
    <row r="120" spans="1:8" x14ac:dyDescent="0.2">
      <c r="A120" s="51" t="s">
        <v>65</v>
      </c>
      <c r="B120" s="518">
        <v>5.0000000000000002E-5</v>
      </c>
      <c r="C120" s="519">
        <v>1.0000000000000001E-5</v>
      </c>
      <c r="D120" s="519"/>
      <c r="E120" s="520"/>
      <c r="F120" s="265"/>
      <c r="G120" s="265"/>
      <c r="H120" s="265"/>
    </row>
    <row r="121" spans="1:8" x14ac:dyDescent="0.2">
      <c r="A121" s="51" t="s">
        <v>66</v>
      </c>
      <c r="B121" s="518">
        <v>5.0000000000000002E-5</v>
      </c>
      <c r="C121" s="519">
        <v>1.0000000000000001E-5</v>
      </c>
      <c r="D121" s="519"/>
      <c r="E121" s="520"/>
      <c r="F121" s="265"/>
      <c r="G121" s="265"/>
      <c r="H121" s="265"/>
    </row>
    <row r="122" spans="1:8" x14ac:dyDescent="0.2">
      <c r="A122" s="51" t="s">
        <v>112</v>
      </c>
      <c r="B122" s="518">
        <v>5.0000000000000002E-5</v>
      </c>
      <c r="C122" s="519">
        <v>1.0000000000000001E-5</v>
      </c>
      <c r="D122" s="519"/>
      <c r="E122" s="520"/>
      <c r="F122" s="265"/>
      <c r="G122" s="265"/>
      <c r="H122" s="265"/>
    </row>
    <row r="123" spans="1:8" x14ac:dyDescent="0.2">
      <c r="A123" s="51" t="s">
        <v>67</v>
      </c>
      <c r="B123" s="518">
        <v>5.0000000000000002E-5</v>
      </c>
      <c r="C123" s="519">
        <v>1.0000000000000001E-5</v>
      </c>
      <c r="D123" s="519"/>
      <c r="E123" s="520"/>
      <c r="F123" s="265"/>
      <c r="G123" s="265"/>
      <c r="H123" s="265"/>
    </row>
    <row r="124" spans="1:8" x14ac:dyDescent="0.2">
      <c r="A124" s="51" t="s">
        <v>68</v>
      </c>
      <c r="B124" s="518">
        <v>5.0000000000000002E-5</v>
      </c>
      <c r="C124" s="519">
        <v>1.0000000000000001E-5</v>
      </c>
      <c r="D124" s="519"/>
      <c r="E124" s="520"/>
      <c r="F124" s="265"/>
      <c r="G124" s="265"/>
      <c r="H124" s="265"/>
    </row>
    <row r="125" spans="1:8" x14ac:dyDescent="0.2">
      <c r="A125" s="51" t="s">
        <v>69</v>
      </c>
      <c r="B125" s="518">
        <v>5.0000000000000002E-5</v>
      </c>
      <c r="C125" s="519">
        <v>1.0000000000000001E-5</v>
      </c>
      <c r="D125" s="519"/>
      <c r="E125" s="520"/>
      <c r="F125" s="265"/>
      <c r="G125" s="265"/>
      <c r="H125" s="265"/>
    </row>
    <row r="126" spans="1:8" x14ac:dyDescent="0.2">
      <c r="A126" s="51" t="s">
        <v>70</v>
      </c>
      <c r="B126" s="518">
        <v>5.0000000000000002E-5</v>
      </c>
      <c r="C126" s="519">
        <v>1.0000000000000001E-5</v>
      </c>
      <c r="D126" s="519"/>
      <c r="E126" s="520"/>
      <c r="F126" s="265"/>
      <c r="G126" s="265"/>
      <c r="H126" s="265"/>
    </row>
    <row r="127" spans="1:8" x14ac:dyDescent="0.2">
      <c r="A127" s="51" t="s">
        <v>71</v>
      </c>
      <c r="B127" s="518">
        <v>5.0000000000000002E-5</v>
      </c>
      <c r="C127" s="519">
        <v>1.0000000000000001E-5</v>
      </c>
      <c r="D127" s="519"/>
      <c r="E127" s="520"/>
      <c r="F127" s="265"/>
      <c r="G127" s="265"/>
      <c r="H127" s="265"/>
    </row>
    <row r="128" spans="1:8" x14ac:dyDescent="0.2">
      <c r="A128" s="71" t="s">
        <v>119</v>
      </c>
      <c r="B128" s="518">
        <v>5.0000000000000002E-5</v>
      </c>
      <c r="C128" s="519">
        <v>1.0000000000000001E-5</v>
      </c>
      <c r="D128" s="519"/>
      <c r="E128" s="520"/>
      <c r="F128" s="265"/>
      <c r="G128" s="265"/>
      <c r="H128" s="265"/>
    </row>
    <row r="129" spans="1:8" x14ac:dyDescent="0.2">
      <c r="A129" s="71" t="s">
        <v>120</v>
      </c>
      <c r="B129" s="518">
        <v>5.0000000000000002E-5</v>
      </c>
      <c r="C129" s="519">
        <v>1.0000000000000001E-5</v>
      </c>
      <c r="D129" s="519"/>
      <c r="E129" s="520"/>
      <c r="F129" s="265"/>
      <c r="G129" s="265"/>
      <c r="H129" s="265"/>
    </row>
    <row r="130" spans="1:8" ht="13.5" thickBot="1" x14ac:dyDescent="0.25">
      <c r="A130" s="52" t="s">
        <v>113</v>
      </c>
      <c r="B130" s="521">
        <v>5.0000000000000002E-5</v>
      </c>
      <c r="C130" s="522">
        <v>1.0000000000000001E-5</v>
      </c>
      <c r="D130" s="522"/>
      <c r="E130" s="523"/>
      <c r="F130" s="265"/>
      <c r="G130" s="265"/>
      <c r="H130" s="265"/>
    </row>
    <row r="131" spans="1:8" x14ac:dyDescent="0.2">
      <c r="A131" s="265"/>
      <c r="B131" s="265"/>
      <c r="C131" s="265"/>
      <c r="D131" s="265"/>
      <c r="E131" s="265"/>
      <c r="F131" s="265"/>
      <c r="G131" s="265"/>
      <c r="H131" s="265"/>
    </row>
    <row r="132" spans="1:8" ht="13.5" thickBot="1" x14ac:dyDescent="0.25">
      <c r="A132" s="265"/>
      <c r="B132" s="265"/>
      <c r="C132" s="265"/>
      <c r="D132" s="265"/>
      <c r="E132" s="265"/>
      <c r="F132" s="265"/>
      <c r="G132" s="265"/>
      <c r="H132" s="265"/>
    </row>
    <row r="133" spans="1:8" ht="13.5" thickBot="1" x14ac:dyDescent="0.25">
      <c r="A133" s="50" t="s">
        <v>134</v>
      </c>
      <c r="B133" s="72">
        <v>0.03</v>
      </c>
      <c r="D133" s="113" t="s">
        <v>142</v>
      </c>
      <c r="E133" s="112">
        <f>+(1+B133)/(B134-B133)</f>
        <v>14.109589041095891</v>
      </c>
    </row>
    <row r="134" spans="1:8" ht="13.5" thickBot="1" x14ac:dyDescent="0.25">
      <c r="A134" s="52" t="s">
        <v>130</v>
      </c>
      <c r="B134" s="90">
        <v>0.10299999999999999</v>
      </c>
    </row>
    <row r="135" spans="1:8" ht="13.5" thickBot="1" x14ac:dyDescent="0.25"/>
    <row r="136" spans="1:8" ht="13.5" thickBot="1" x14ac:dyDescent="0.25">
      <c r="A136" s="32" t="s">
        <v>158</v>
      </c>
      <c r="B136" s="113">
        <v>1</v>
      </c>
    </row>
  </sheetData>
  <mergeCells count="4">
    <mergeCell ref="B6:L6"/>
    <mergeCell ref="M6:M7"/>
    <mergeCell ref="N6:N7"/>
    <mergeCell ref="O6:O7"/>
  </mergeCells>
  <conditionalFormatting sqref="B39:L50">
    <cfRule type="cellIs" dxfId="0" priority="1" stopIfTrue="1" operator="equal">
      <formula>1</formula>
    </cfRule>
  </conditionalFormatting>
  <printOptions horizontalCentered="1"/>
  <pageMargins left="0.75" right="0.75" top="1" bottom="1" header="0.5" footer="0.5"/>
  <pageSetup scale="60" orientation="landscape" r:id="rId1"/>
  <headerFooter alignWithMargins="0">
    <oddHeader>&amp;LGREEN GIANT&amp;C&amp;D &amp;T&amp;RCONFIDENTIAL</oddHeader>
    <oddFooter>&amp;LGREEN GIANT&amp;C&amp;D &amp;T&amp;RPAGE 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409575</xdr:colOff>
                    <xdr:row>2</xdr:row>
                    <xdr:rowOff>47625</xdr:rowOff>
                  </from>
                  <to>
                    <xdr:col>4</xdr:col>
                    <xdr:colOff>257175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2"/>
  <sheetViews>
    <sheetView topLeftCell="B1" zoomScale="70" workbookViewId="0">
      <selection activeCell="B8" sqref="B8:L8"/>
    </sheetView>
  </sheetViews>
  <sheetFormatPr defaultRowHeight="12.75" x14ac:dyDescent="0.2"/>
  <cols>
    <col min="1" max="1" width="29.7109375" bestFit="1" customWidth="1"/>
    <col min="2" max="12" width="15.7109375" style="265" customWidth="1"/>
    <col min="13" max="62" width="9.140625" style="265"/>
  </cols>
  <sheetData>
    <row r="1" spans="1:13" ht="26.25" x14ac:dyDescent="0.4">
      <c r="A1" s="145" t="s">
        <v>459</v>
      </c>
    </row>
    <row r="2" spans="1:13" ht="13.5" thickBot="1" x14ac:dyDescent="0.25"/>
    <row r="3" spans="1:13" ht="18.75" thickBot="1" x14ac:dyDescent="0.3">
      <c r="A3" s="486" t="s">
        <v>483</v>
      </c>
      <c r="C3" s="487">
        <v>1</v>
      </c>
    </row>
    <row r="5" spans="1:13" x14ac:dyDescent="0.2">
      <c r="A5" s="8" t="s">
        <v>447</v>
      </c>
    </row>
    <row r="6" spans="1:13" ht="13.5" thickBot="1" x14ac:dyDescent="0.25"/>
    <row r="7" spans="1:13" ht="13.5" thickBot="1" x14ac:dyDescent="0.25">
      <c r="B7" s="440">
        <v>2001</v>
      </c>
      <c r="C7" s="441">
        <v>2002</v>
      </c>
      <c r="D7" s="441">
        <v>2003</v>
      </c>
      <c r="E7" s="441">
        <v>2004</v>
      </c>
      <c r="F7" s="441">
        <v>2005</v>
      </c>
      <c r="G7" s="441">
        <v>2006</v>
      </c>
      <c r="H7" s="441">
        <v>2007</v>
      </c>
      <c r="I7" s="441">
        <v>2008</v>
      </c>
      <c r="J7" s="441">
        <v>2009</v>
      </c>
      <c r="K7" s="441">
        <v>2010</v>
      </c>
      <c r="L7" s="442">
        <v>2011</v>
      </c>
      <c r="M7" s="442" t="s">
        <v>11</v>
      </c>
    </row>
    <row r="8" spans="1:13" x14ac:dyDescent="0.2">
      <c r="A8" s="50" t="s">
        <v>64</v>
      </c>
      <c r="B8" s="435">
        <v>7</v>
      </c>
      <c r="C8" s="444">
        <v>7</v>
      </c>
      <c r="D8" s="444">
        <v>7</v>
      </c>
      <c r="E8" s="444">
        <v>7</v>
      </c>
      <c r="F8" s="444">
        <v>7</v>
      </c>
      <c r="G8" s="444">
        <v>7</v>
      </c>
      <c r="H8" s="444">
        <v>7</v>
      </c>
      <c r="I8" s="444">
        <v>7</v>
      </c>
      <c r="J8" s="444">
        <v>7</v>
      </c>
      <c r="K8" s="444">
        <v>7</v>
      </c>
      <c r="L8" s="436">
        <v>7</v>
      </c>
      <c r="M8" s="436">
        <f>SUM(B8:L8)</f>
        <v>77</v>
      </c>
    </row>
    <row r="9" spans="1:13" x14ac:dyDescent="0.2">
      <c r="A9" s="51" t="s">
        <v>65</v>
      </c>
      <c r="B9" s="445">
        <v>0</v>
      </c>
      <c r="C9" s="443">
        <v>0</v>
      </c>
      <c r="D9" s="443">
        <v>0</v>
      </c>
      <c r="E9" s="443">
        <v>0</v>
      </c>
      <c r="F9" s="443">
        <v>0</v>
      </c>
      <c r="G9" s="443">
        <v>0</v>
      </c>
      <c r="H9" s="443">
        <v>0</v>
      </c>
      <c r="I9" s="443">
        <v>0</v>
      </c>
      <c r="J9" s="443">
        <v>0</v>
      </c>
      <c r="K9" s="443">
        <v>0</v>
      </c>
      <c r="L9" s="446">
        <v>0</v>
      </c>
      <c r="M9" s="446">
        <f t="shared" ref="M9:M19" si="0">SUM(B9:L9)</f>
        <v>0</v>
      </c>
    </row>
    <row r="10" spans="1:13" x14ac:dyDescent="0.2">
      <c r="A10" s="51" t="s">
        <v>66</v>
      </c>
      <c r="B10" s="445">
        <v>0</v>
      </c>
      <c r="C10" s="443">
        <v>0</v>
      </c>
      <c r="D10" s="443">
        <v>0</v>
      </c>
      <c r="E10" s="443">
        <v>0</v>
      </c>
      <c r="F10" s="443">
        <v>0</v>
      </c>
      <c r="G10" s="443">
        <v>0</v>
      </c>
      <c r="H10" s="443">
        <v>0</v>
      </c>
      <c r="I10" s="443">
        <v>0</v>
      </c>
      <c r="J10" s="443">
        <v>0</v>
      </c>
      <c r="K10" s="443">
        <v>0</v>
      </c>
      <c r="L10" s="446">
        <v>0</v>
      </c>
      <c r="M10" s="446">
        <f t="shared" si="0"/>
        <v>0</v>
      </c>
    </row>
    <row r="11" spans="1:13" x14ac:dyDescent="0.2">
      <c r="A11" s="51" t="s">
        <v>112</v>
      </c>
      <c r="B11" s="445">
        <v>0</v>
      </c>
      <c r="C11" s="443">
        <v>0</v>
      </c>
      <c r="D11" s="443">
        <v>0</v>
      </c>
      <c r="E11" s="443">
        <v>0</v>
      </c>
      <c r="F11" s="443">
        <v>0</v>
      </c>
      <c r="G11" s="443">
        <v>0</v>
      </c>
      <c r="H11" s="443">
        <v>0</v>
      </c>
      <c r="I11" s="443">
        <v>0</v>
      </c>
      <c r="J11" s="443">
        <v>0</v>
      </c>
      <c r="K11" s="443">
        <v>0</v>
      </c>
      <c r="L11" s="446">
        <v>0</v>
      </c>
      <c r="M11" s="446">
        <f t="shared" si="0"/>
        <v>0</v>
      </c>
    </row>
    <row r="12" spans="1:13" x14ac:dyDescent="0.2">
      <c r="A12" s="51" t="s">
        <v>67</v>
      </c>
      <c r="B12" s="445">
        <v>0</v>
      </c>
      <c r="C12" s="443">
        <v>0</v>
      </c>
      <c r="D12" s="443">
        <v>0</v>
      </c>
      <c r="E12" s="443">
        <v>0</v>
      </c>
      <c r="F12" s="443">
        <v>0</v>
      </c>
      <c r="G12" s="443">
        <v>0</v>
      </c>
      <c r="H12" s="443">
        <v>0</v>
      </c>
      <c r="I12" s="443">
        <v>0</v>
      </c>
      <c r="J12" s="443">
        <v>0</v>
      </c>
      <c r="K12" s="443">
        <v>0</v>
      </c>
      <c r="L12" s="446">
        <v>0</v>
      </c>
      <c r="M12" s="446">
        <f t="shared" si="0"/>
        <v>0</v>
      </c>
    </row>
    <row r="13" spans="1:13" x14ac:dyDescent="0.2">
      <c r="A13" s="51" t="s">
        <v>68</v>
      </c>
      <c r="B13" s="445">
        <v>0</v>
      </c>
      <c r="C13" s="443">
        <v>0</v>
      </c>
      <c r="D13" s="443">
        <v>0</v>
      </c>
      <c r="E13" s="443">
        <v>0</v>
      </c>
      <c r="F13" s="443">
        <v>0</v>
      </c>
      <c r="G13" s="443">
        <v>0</v>
      </c>
      <c r="H13" s="443">
        <v>0</v>
      </c>
      <c r="I13" s="443">
        <v>0</v>
      </c>
      <c r="J13" s="443">
        <v>0</v>
      </c>
      <c r="K13" s="443">
        <v>0</v>
      </c>
      <c r="L13" s="446">
        <v>0</v>
      </c>
      <c r="M13" s="446">
        <f t="shared" si="0"/>
        <v>0</v>
      </c>
    </row>
    <row r="14" spans="1:13" x14ac:dyDescent="0.2">
      <c r="A14" s="51" t="s">
        <v>69</v>
      </c>
      <c r="B14" s="445">
        <v>0</v>
      </c>
      <c r="C14" s="443">
        <v>0</v>
      </c>
      <c r="D14" s="443">
        <v>0</v>
      </c>
      <c r="E14" s="443">
        <v>0</v>
      </c>
      <c r="F14" s="443">
        <v>0</v>
      </c>
      <c r="G14" s="443">
        <v>0</v>
      </c>
      <c r="H14" s="443">
        <v>0</v>
      </c>
      <c r="I14" s="443">
        <v>0</v>
      </c>
      <c r="J14" s="443">
        <v>0</v>
      </c>
      <c r="K14" s="443">
        <v>0</v>
      </c>
      <c r="L14" s="446">
        <v>0</v>
      </c>
      <c r="M14" s="446">
        <f t="shared" si="0"/>
        <v>0</v>
      </c>
    </row>
    <row r="15" spans="1:13" x14ac:dyDescent="0.2">
      <c r="A15" s="51" t="s">
        <v>70</v>
      </c>
      <c r="B15" s="445">
        <v>0</v>
      </c>
      <c r="C15" s="443">
        <v>0</v>
      </c>
      <c r="D15" s="443">
        <v>0</v>
      </c>
      <c r="E15" s="443">
        <v>0</v>
      </c>
      <c r="F15" s="443">
        <v>0</v>
      </c>
      <c r="G15" s="443">
        <v>0</v>
      </c>
      <c r="H15" s="443">
        <v>0</v>
      </c>
      <c r="I15" s="443">
        <v>0</v>
      </c>
      <c r="J15" s="443">
        <v>0</v>
      </c>
      <c r="K15" s="443">
        <v>0</v>
      </c>
      <c r="L15" s="446">
        <v>0</v>
      </c>
      <c r="M15" s="446">
        <f t="shared" si="0"/>
        <v>0</v>
      </c>
    </row>
    <row r="16" spans="1:13" x14ac:dyDescent="0.2">
      <c r="A16" s="51" t="s">
        <v>71</v>
      </c>
      <c r="B16" s="445">
        <v>0</v>
      </c>
      <c r="C16" s="443">
        <v>0</v>
      </c>
      <c r="D16" s="443">
        <v>0</v>
      </c>
      <c r="E16" s="443">
        <v>0</v>
      </c>
      <c r="F16" s="443">
        <v>0</v>
      </c>
      <c r="G16" s="443">
        <v>0</v>
      </c>
      <c r="H16" s="443">
        <v>0</v>
      </c>
      <c r="I16" s="443">
        <v>0</v>
      </c>
      <c r="J16" s="443">
        <v>0</v>
      </c>
      <c r="K16" s="443">
        <v>0</v>
      </c>
      <c r="L16" s="446">
        <v>0</v>
      </c>
      <c r="M16" s="446">
        <f t="shared" si="0"/>
        <v>0</v>
      </c>
    </row>
    <row r="17" spans="1:13" x14ac:dyDescent="0.2">
      <c r="A17" s="71" t="s">
        <v>119</v>
      </c>
      <c r="B17" s="445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6">
        <v>0</v>
      </c>
      <c r="M17" s="446">
        <f t="shared" si="0"/>
        <v>0</v>
      </c>
    </row>
    <row r="18" spans="1:13" x14ac:dyDescent="0.2">
      <c r="A18" s="71" t="s">
        <v>120</v>
      </c>
      <c r="B18" s="445">
        <v>0</v>
      </c>
      <c r="C18" s="443">
        <v>0</v>
      </c>
      <c r="D18" s="443">
        <v>0</v>
      </c>
      <c r="E18" s="443">
        <v>0</v>
      </c>
      <c r="F18" s="443">
        <v>0</v>
      </c>
      <c r="G18" s="443">
        <v>0</v>
      </c>
      <c r="H18" s="443">
        <v>0</v>
      </c>
      <c r="I18" s="443">
        <v>0</v>
      </c>
      <c r="J18" s="443">
        <v>0</v>
      </c>
      <c r="K18" s="443">
        <v>0</v>
      </c>
      <c r="L18" s="446">
        <v>0</v>
      </c>
      <c r="M18" s="446">
        <f t="shared" si="0"/>
        <v>0</v>
      </c>
    </row>
    <row r="19" spans="1:13" ht="13.5" thickBot="1" x14ac:dyDescent="0.25">
      <c r="A19" s="52" t="s">
        <v>113</v>
      </c>
      <c r="B19" s="437">
        <v>0</v>
      </c>
      <c r="C19" s="447">
        <v>0</v>
      </c>
      <c r="D19" s="447">
        <v>0</v>
      </c>
      <c r="E19" s="447">
        <v>0</v>
      </c>
      <c r="F19" s="447">
        <v>0</v>
      </c>
      <c r="G19" s="447">
        <v>0</v>
      </c>
      <c r="H19" s="447">
        <v>0</v>
      </c>
      <c r="I19" s="447">
        <v>0</v>
      </c>
      <c r="J19" s="447">
        <v>0</v>
      </c>
      <c r="K19" s="447">
        <v>0</v>
      </c>
      <c r="L19" s="438">
        <v>0</v>
      </c>
      <c r="M19" s="438">
        <f t="shared" si="0"/>
        <v>0</v>
      </c>
    </row>
    <row r="20" spans="1:13" ht="13.5" thickBot="1" x14ac:dyDescent="0.25">
      <c r="A20" s="216" t="s">
        <v>527</v>
      </c>
      <c r="B20" s="571">
        <f>SUM(B8:B19)</f>
        <v>7</v>
      </c>
      <c r="C20" s="572">
        <f t="shared" ref="C20:L20" si="1">SUM(C8:C19)</f>
        <v>7</v>
      </c>
      <c r="D20" s="572">
        <f t="shared" si="1"/>
        <v>7</v>
      </c>
      <c r="E20" s="572">
        <f t="shared" si="1"/>
        <v>7</v>
      </c>
      <c r="F20" s="572">
        <f t="shared" si="1"/>
        <v>7</v>
      </c>
      <c r="G20" s="572">
        <f t="shared" si="1"/>
        <v>7</v>
      </c>
      <c r="H20" s="572">
        <f t="shared" si="1"/>
        <v>7</v>
      </c>
      <c r="I20" s="572">
        <f t="shared" si="1"/>
        <v>7</v>
      </c>
      <c r="J20" s="572">
        <f t="shared" si="1"/>
        <v>7</v>
      </c>
      <c r="K20" s="572">
        <f t="shared" si="1"/>
        <v>7</v>
      </c>
      <c r="L20" s="573">
        <f t="shared" si="1"/>
        <v>7</v>
      </c>
      <c r="M20" s="573">
        <f>SUM(B20:L20)</f>
        <v>77</v>
      </c>
    </row>
    <row r="21" spans="1:13" ht="13.5" thickBot="1" x14ac:dyDescent="0.25">
      <c r="A21" s="36" t="s">
        <v>528</v>
      </c>
      <c r="B21" s="569">
        <f>SUMPRODUCT(B8:B19,'Control Page'!$F$7:$F$18)</f>
        <v>7</v>
      </c>
      <c r="C21" s="569">
        <f>SUMPRODUCT(C8:C19,'Control Page'!$F$7:$F$18)</f>
        <v>7</v>
      </c>
      <c r="D21" s="569">
        <f>SUMPRODUCT(D8:D19,'Control Page'!$F$7:$F$18)</f>
        <v>7</v>
      </c>
      <c r="E21" s="569">
        <f>SUMPRODUCT(E8:E19,'Control Page'!$F$7:$F$18)</f>
        <v>7</v>
      </c>
      <c r="F21" s="569">
        <f>SUMPRODUCT(F8:F19,'Control Page'!$F$7:$F$18)</f>
        <v>7</v>
      </c>
      <c r="G21" s="569">
        <f>SUMPRODUCT(G8:G19,'Control Page'!$F$7:$F$18)</f>
        <v>7</v>
      </c>
      <c r="H21" s="569">
        <f>SUMPRODUCT(H8:H19,'Control Page'!$F$7:$F$18)</f>
        <v>7</v>
      </c>
      <c r="I21" s="569">
        <f>SUMPRODUCT(I8:I19,'Control Page'!$F$7:$F$18)</f>
        <v>7</v>
      </c>
      <c r="J21" s="569">
        <f>SUMPRODUCT(J8:J19,'Control Page'!$F$7:$F$18)</f>
        <v>7</v>
      </c>
      <c r="K21" s="569">
        <f>SUMPRODUCT(K8:K19,'Control Page'!$F$7:$F$18)</f>
        <v>7</v>
      </c>
      <c r="L21" s="570">
        <f>SUMPRODUCT(L8:L19,'Control Page'!$F$7:$F$18)</f>
        <v>7</v>
      </c>
      <c r="M21" s="570">
        <f>SUM(B21:L21)</f>
        <v>77</v>
      </c>
    </row>
    <row r="23" spans="1:13" x14ac:dyDescent="0.2">
      <c r="A23" s="8" t="s">
        <v>448</v>
      </c>
    </row>
    <row r="24" spans="1:13" ht="13.5" thickBot="1" x14ac:dyDescent="0.25"/>
    <row r="25" spans="1:13" ht="39" customHeight="1" thickBot="1" x14ac:dyDescent="0.25">
      <c r="B25" s="448" t="s">
        <v>464</v>
      </c>
      <c r="C25" s="449" t="s">
        <v>465</v>
      </c>
      <c r="D25" s="449" t="s">
        <v>478</v>
      </c>
      <c r="E25" s="449" t="s">
        <v>449</v>
      </c>
      <c r="F25" s="449" t="s">
        <v>467</v>
      </c>
      <c r="G25" s="450" t="s">
        <v>466</v>
      </c>
      <c r="H25" s="439"/>
    </row>
    <row r="26" spans="1:13" x14ac:dyDescent="0.2">
      <c r="A26" s="50" t="s">
        <v>64</v>
      </c>
      <c r="B26" s="474">
        <f>SUM(B42:D42)</f>
        <v>1100</v>
      </c>
      <c r="C26" s="475">
        <f>SUM(B58:G58)</f>
        <v>731</v>
      </c>
      <c r="D26" s="466">
        <f>SUM(B74:E74)</f>
        <v>0</v>
      </c>
      <c r="E26" s="459">
        <f>SUM(B90:E90)</f>
        <v>0</v>
      </c>
      <c r="F26" s="459">
        <f t="shared" ref="F26:F37" si="2">B105*$C$3+C105</f>
        <v>0.8</v>
      </c>
      <c r="G26" s="460">
        <v>0.01</v>
      </c>
    </row>
    <row r="27" spans="1:13" x14ac:dyDescent="0.2">
      <c r="A27" s="51" t="s">
        <v>65</v>
      </c>
      <c r="B27" s="477">
        <f t="shared" ref="B27:B37" si="3">SUM(B43:D43)</f>
        <v>900</v>
      </c>
      <c r="C27" s="478">
        <f t="shared" ref="C27:C37" si="4">SUM(B59:G59)</f>
        <v>731</v>
      </c>
      <c r="D27" s="469">
        <f t="shared" ref="D27:D37" si="5">SUM(B75:E75)</f>
        <v>0</v>
      </c>
      <c r="E27" s="461">
        <f t="shared" ref="E27:E37" si="6">SUM(B91:E91)</f>
        <v>0</v>
      </c>
      <c r="F27" s="461">
        <f t="shared" si="2"/>
        <v>0.8</v>
      </c>
      <c r="G27" s="462">
        <v>0.01</v>
      </c>
    </row>
    <row r="28" spans="1:13" x14ac:dyDescent="0.2">
      <c r="A28" s="51" t="s">
        <v>66</v>
      </c>
      <c r="B28" s="477">
        <f t="shared" si="3"/>
        <v>1100</v>
      </c>
      <c r="C28" s="478">
        <f t="shared" si="4"/>
        <v>731</v>
      </c>
      <c r="D28" s="469">
        <f t="shared" si="5"/>
        <v>0</v>
      </c>
      <c r="E28" s="461">
        <f t="shared" si="6"/>
        <v>0</v>
      </c>
      <c r="F28" s="461">
        <f t="shared" si="2"/>
        <v>0.8</v>
      </c>
      <c r="G28" s="462">
        <v>0.02</v>
      </c>
    </row>
    <row r="29" spans="1:13" x14ac:dyDescent="0.2">
      <c r="A29" s="51" t="s">
        <v>112</v>
      </c>
      <c r="B29" s="477">
        <f t="shared" si="3"/>
        <v>800</v>
      </c>
      <c r="C29" s="478">
        <f t="shared" si="4"/>
        <v>731</v>
      </c>
      <c r="D29" s="469">
        <f t="shared" si="5"/>
        <v>0</v>
      </c>
      <c r="E29" s="461">
        <f t="shared" si="6"/>
        <v>0</v>
      </c>
      <c r="F29" s="461">
        <f t="shared" si="2"/>
        <v>0.8</v>
      </c>
      <c r="G29" s="462">
        <v>0.01</v>
      </c>
    </row>
    <row r="30" spans="1:13" x14ac:dyDescent="0.2">
      <c r="A30" s="51" t="s">
        <v>67</v>
      </c>
      <c r="B30" s="477">
        <f t="shared" si="3"/>
        <v>1100</v>
      </c>
      <c r="C30" s="478">
        <f t="shared" si="4"/>
        <v>731</v>
      </c>
      <c r="D30" s="469">
        <f t="shared" si="5"/>
        <v>0</v>
      </c>
      <c r="E30" s="461">
        <f t="shared" si="6"/>
        <v>0</v>
      </c>
      <c r="F30" s="461">
        <f t="shared" si="2"/>
        <v>0.8</v>
      </c>
      <c r="G30" s="462">
        <v>0.01</v>
      </c>
    </row>
    <row r="31" spans="1:13" x14ac:dyDescent="0.2">
      <c r="A31" s="51" t="s">
        <v>68</v>
      </c>
      <c r="B31" s="477">
        <f t="shared" si="3"/>
        <v>900</v>
      </c>
      <c r="C31" s="478">
        <f t="shared" si="4"/>
        <v>731</v>
      </c>
      <c r="D31" s="469">
        <f t="shared" si="5"/>
        <v>0</v>
      </c>
      <c r="E31" s="461">
        <f t="shared" si="6"/>
        <v>0</v>
      </c>
      <c r="F31" s="461">
        <f t="shared" si="2"/>
        <v>0.8</v>
      </c>
      <c r="G31" s="462">
        <v>0.01</v>
      </c>
    </row>
    <row r="32" spans="1:13" x14ac:dyDescent="0.2">
      <c r="A32" s="51" t="s">
        <v>69</v>
      </c>
      <c r="B32" s="477">
        <f t="shared" si="3"/>
        <v>900</v>
      </c>
      <c r="C32" s="478">
        <f t="shared" si="4"/>
        <v>731</v>
      </c>
      <c r="D32" s="469">
        <f t="shared" si="5"/>
        <v>0</v>
      </c>
      <c r="E32" s="461">
        <f t="shared" si="6"/>
        <v>0</v>
      </c>
      <c r="F32" s="461">
        <f t="shared" si="2"/>
        <v>0.8</v>
      </c>
      <c r="G32" s="462">
        <v>0.01</v>
      </c>
    </row>
    <row r="33" spans="1:62" x14ac:dyDescent="0.2">
      <c r="A33" s="51" t="s">
        <v>70</v>
      </c>
      <c r="B33" s="477">
        <f t="shared" si="3"/>
        <v>700</v>
      </c>
      <c r="C33" s="478">
        <f t="shared" si="4"/>
        <v>731</v>
      </c>
      <c r="D33" s="469">
        <f t="shared" si="5"/>
        <v>0</v>
      </c>
      <c r="E33" s="461">
        <f t="shared" si="6"/>
        <v>0</v>
      </c>
      <c r="F33" s="461">
        <f t="shared" si="2"/>
        <v>0.8</v>
      </c>
      <c r="G33" s="462">
        <v>0.02</v>
      </c>
    </row>
    <row r="34" spans="1:62" x14ac:dyDescent="0.2">
      <c r="A34" s="51" t="s">
        <v>71</v>
      </c>
      <c r="B34" s="477">
        <f t="shared" si="3"/>
        <v>700</v>
      </c>
      <c r="C34" s="478">
        <f t="shared" si="4"/>
        <v>731</v>
      </c>
      <c r="D34" s="469">
        <f t="shared" si="5"/>
        <v>0</v>
      </c>
      <c r="E34" s="461">
        <f t="shared" si="6"/>
        <v>0</v>
      </c>
      <c r="F34" s="461">
        <f t="shared" si="2"/>
        <v>0.8</v>
      </c>
      <c r="G34" s="462">
        <v>0.01</v>
      </c>
    </row>
    <row r="35" spans="1:62" x14ac:dyDescent="0.2">
      <c r="A35" s="71" t="s">
        <v>119</v>
      </c>
      <c r="B35" s="477">
        <f t="shared" si="3"/>
        <v>700</v>
      </c>
      <c r="C35" s="478">
        <f t="shared" si="4"/>
        <v>731</v>
      </c>
      <c r="D35" s="469">
        <f t="shared" si="5"/>
        <v>0</v>
      </c>
      <c r="E35" s="461">
        <f t="shared" si="6"/>
        <v>0</v>
      </c>
      <c r="F35" s="461">
        <f t="shared" si="2"/>
        <v>0.8</v>
      </c>
      <c r="G35" s="462">
        <v>0.01</v>
      </c>
    </row>
    <row r="36" spans="1:62" x14ac:dyDescent="0.2">
      <c r="A36" s="71" t="s">
        <v>120</v>
      </c>
      <c r="B36" s="477">
        <f t="shared" si="3"/>
        <v>900</v>
      </c>
      <c r="C36" s="478">
        <f t="shared" si="4"/>
        <v>731</v>
      </c>
      <c r="D36" s="469">
        <f t="shared" si="5"/>
        <v>0</v>
      </c>
      <c r="E36" s="461">
        <f t="shared" si="6"/>
        <v>0</v>
      </c>
      <c r="F36" s="461">
        <f t="shared" si="2"/>
        <v>0.8</v>
      </c>
      <c r="G36" s="462">
        <v>0.05</v>
      </c>
    </row>
    <row r="37" spans="1:62" ht="13.5" thickBot="1" x14ac:dyDescent="0.25">
      <c r="A37" s="52" t="s">
        <v>113</v>
      </c>
      <c r="B37" s="480">
        <f t="shared" si="3"/>
        <v>1100</v>
      </c>
      <c r="C37" s="481">
        <f t="shared" si="4"/>
        <v>731</v>
      </c>
      <c r="D37" s="472">
        <f t="shared" si="5"/>
        <v>0</v>
      </c>
      <c r="E37" s="463">
        <f t="shared" si="6"/>
        <v>0</v>
      </c>
      <c r="F37" s="463">
        <f t="shared" si="2"/>
        <v>0.8</v>
      </c>
      <c r="G37" s="464">
        <v>0.01</v>
      </c>
    </row>
    <row r="39" spans="1:62" x14ac:dyDescent="0.2">
      <c r="A39" s="451" t="s">
        <v>451</v>
      </c>
    </row>
    <row r="40" spans="1:62" ht="13.5" thickBot="1" x14ac:dyDescent="0.25">
      <c r="BJ40"/>
    </row>
    <row r="41" spans="1:62" ht="39" customHeight="1" thickBot="1" x14ac:dyDescent="0.25">
      <c r="B41" s="448" t="s">
        <v>468</v>
      </c>
      <c r="C41" s="449" t="s">
        <v>469</v>
      </c>
      <c r="D41" s="450" t="s">
        <v>505</v>
      </c>
      <c r="E41" s="439"/>
      <c r="F41" s="439"/>
      <c r="G41" s="439"/>
      <c r="H41" s="439"/>
    </row>
    <row r="42" spans="1:62" x14ac:dyDescent="0.2">
      <c r="A42" s="50" t="s">
        <v>64</v>
      </c>
      <c r="B42" s="474">
        <v>800</v>
      </c>
      <c r="C42" s="475">
        <v>100</v>
      </c>
      <c r="D42" s="476">
        <v>200</v>
      </c>
      <c r="BJ42"/>
    </row>
    <row r="43" spans="1:62" ht="13.5" customHeight="1" x14ac:dyDescent="0.2">
      <c r="A43" s="51" t="s">
        <v>65</v>
      </c>
      <c r="B43" s="477">
        <v>600</v>
      </c>
      <c r="C43" s="478">
        <v>100</v>
      </c>
      <c r="D43" s="479">
        <v>200</v>
      </c>
      <c r="BJ43"/>
    </row>
    <row r="44" spans="1:62" x14ac:dyDescent="0.2">
      <c r="A44" s="51" t="s">
        <v>66</v>
      </c>
      <c r="B44" s="477">
        <v>800</v>
      </c>
      <c r="C44" s="478">
        <v>100</v>
      </c>
      <c r="D44" s="479">
        <v>200</v>
      </c>
      <c r="BJ44"/>
    </row>
    <row r="45" spans="1:62" x14ac:dyDescent="0.2">
      <c r="A45" s="51" t="s">
        <v>112</v>
      </c>
      <c r="B45" s="477">
        <v>500</v>
      </c>
      <c r="C45" s="478">
        <v>100</v>
      </c>
      <c r="D45" s="479">
        <v>200</v>
      </c>
      <c r="BJ45"/>
    </row>
    <row r="46" spans="1:62" x14ac:dyDescent="0.2">
      <c r="A46" s="51" t="s">
        <v>67</v>
      </c>
      <c r="B46" s="477">
        <v>800</v>
      </c>
      <c r="C46" s="478">
        <v>100</v>
      </c>
      <c r="D46" s="479">
        <v>200</v>
      </c>
      <c r="BJ46"/>
    </row>
    <row r="47" spans="1:62" x14ac:dyDescent="0.2">
      <c r="A47" s="51" t="s">
        <v>68</v>
      </c>
      <c r="B47" s="477">
        <v>600</v>
      </c>
      <c r="C47" s="478">
        <v>100</v>
      </c>
      <c r="D47" s="479">
        <v>200</v>
      </c>
      <c r="BJ47"/>
    </row>
    <row r="48" spans="1:62" x14ac:dyDescent="0.2">
      <c r="A48" s="51" t="s">
        <v>69</v>
      </c>
      <c r="B48" s="477">
        <v>600</v>
      </c>
      <c r="C48" s="478">
        <v>100</v>
      </c>
      <c r="D48" s="479">
        <v>200</v>
      </c>
      <c r="BJ48"/>
    </row>
    <row r="49" spans="1:62" x14ac:dyDescent="0.2">
      <c r="A49" s="51" t="s">
        <v>70</v>
      </c>
      <c r="B49" s="477">
        <v>400</v>
      </c>
      <c r="C49" s="478">
        <v>100</v>
      </c>
      <c r="D49" s="479">
        <v>200</v>
      </c>
      <c r="BJ49"/>
    </row>
    <row r="50" spans="1:62" x14ac:dyDescent="0.2">
      <c r="A50" s="51" t="s">
        <v>71</v>
      </c>
      <c r="B50" s="477">
        <v>400</v>
      </c>
      <c r="C50" s="478">
        <v>100</v>
      </c>
      <c r="D50" s="479">
        <v>200</v>
      </c>
      <c r="BJ50"/>
    </row>
    <row r="51" spans="1:62" ht="14.25" customHeight="1" x14ac:dyDescent="0.2">
      <c r="A51" s="71" t="s">
        <v>119</v>
      </c>
      <c r="B51" s="477">
        <v>400</v>
      </c>
      <c r="C51" s="478">
        <v>100</v>
      </c>
      <c r="D51" s="479">
        <v>200</v>
      </c>
      <c r="BJ51"/>
    </row>
    <row r="52" spans="1:62" x14ac:dyDescent="0.2">
      <c r="A52" s="71" t="s">
        <v>120</v>
      </c>
      <c r="B52" s="477">
        <v>600</v>
      </c>
      <c r="C52" s="478">
        <v>100</v>
      </c>
      <c r="D52" s="479">
        <v>200</v>
      </c>
      <c r="BJ52"/>
    </row>
    <row r="53" spans="1:62" ht="13.5" thickBot="1" x14ac:dyDescent="0.25">
      <c r="A53" s="52" t="s">
        <v>113</v>
      </c>
      <c r="B53" s="480">
        <v>800</v>
      </c>
      <c r="C53" s="481">
        <v>100</v>
      </c>
      <c r="D53" s="482">
        <v>200</v>
      </c>
      <c r="BJ53"/>
    </row>
    <row r="54" spans="1:62" x14ac:dyDescent="0.2">
      <c r="A54" s="265"/>
      <c r="BJ54"/>
    </row>
    <row r="55" spans="1:62" x14ac:dyDescent="0.2">
      <c r="A55" s="451" t="s">
        <v>452</v>
      </c>
      <c r="BJ55"/>
    </row>
    <row r="56" spans="1:62" ht="13.5" thickBot="1" x14ac:dyDescent="0.25">
      <c r="BJ56"/>
    </row>
    <row r="57" spans="1:62" ht="42" customHeight="1" thickBot="1" x14ac:dyDescent="0.25">
      <c r="B57" s="448" t="s">
        <v>471</v>
      </c>
      <c r="C57" s="449" t="s">
        <v>472</v>
      </c>
      <c r="D57" s="449" t="s">
        <v>473</v>
      </c>
      <c r="E57" s="449" t="s">
        <v>474</v>
      </c>
      <c r="F57" s="449" t="s">
        <v>475</v>
      </c>
      <c r="G57" s="450" t="s">
        <v>476</v>
      </c>
      <c r="BJ57"/>
    </row>
    <row r="58" spans="1:62" x14ac:dyDescent="0.2">
      <c r="A58" s="50" t="s">
        <v>64</v>
      </c>
      <c r="B58" s="474">
        <v>450</v>
      </c>
      <c r="C58" s="475">
        <v>100</v>
      </c>
      <c r="D58" s="475">
        <f>0.18*B58</f>
        <v>81</v>
      </c>
      <c r="E58" s="475">
        <v>0</v>
      </c>
      <c r="F58" s="475">
        <v>100</v>
      </c>
      <c r="G58" s="476">
        <v>0</v>
      </c>
      <c r="BJ58"/>
    </row>
    <row r="59" spans="1:62" x14ac:dyDescent="0.2">
      <c r="A59" s="51" t="s">
        <v>65</v>
      </c>
      <c r="B59" s="477">
        <v>450</v>
      </c>
      <c r="C59" s="478">
        <v>100</v>
      </c>
      <c r="D59" s="478">
        <f t="shared" ref="D59:D69" si="7">0.18*B59</f>
        <v>81</v>
      </c>
      <c r="E59" s="478">
        <v>0</v>
      </c>
      <c r="F59" s="478">
        <v>100</v>
      </c>
      <c r="G59" s="479">
        <v>0</v>
      </c>
      <c r="BJ59"/>
    </row>
    <row r="60" spans="1:62" x14ac:dyDescent="0.2">
      <c r="A60" s="51" t="s">
        <v>66</v>
      </c>
      <c r="B60" s="477">
        <v>450</v>
      </c>
      <c r="C60" s="478">
        <v>100</v>
      </c>
      <c r="D60" s="478">
        <f t="shared" si="7"/>
        <v>81</v>
      </c>
      <c r="E60" s="478">
        <v>0</v>
      </c>
      <c r="F60" s="478">
        <v>100</v>
      </c>
      <c r="G60" s="479">
        <v>0</v>
      </c>
      <c r="BJ60"/>
    </row>
    <row r="61" spans="1:62" x14ac:dyDescent="0.2">
      <c r="A61" s="51" t="s">
        <v>112</v>
      </c>
      <c r="B61" s="477">
        <v>450</v>
      </c>
      <c r="C61" s="478">
        <v>100</v>
      </c>
      <c r="D61" s="478">
        <f t="shared" si="7"/>
        <v>81</v>
      </c>
      <c r="E61" s="478">
        <v>0</v>
      </c>
      <c r="F61" s="478">
        <v>100</v>
      </c>
      <c r="G61" s="479">
        <v>0</v>
      </c>
      <c r="BJ61"/>
    </row>
    <row r="62" spans="1:62" x14ac:dyDescent="0.2">
      <c r="A62" s="51" t="s">
        <v>67</v>
      </c>
      <c r="B62" s="477">
        <v>450</v>
      </c>
      <c r="C62" s="478">
        <v>100</v>
      </c>
      <c r="D62" s="478">
        <f t="shared" si="7"/>
        <v>81</v>
      </c>
      <c r="E62" s="478">
        <v>0</v>
      </c>
      <c r="F62" s="478">
        <v>100</v>
      </c>
      <c r="G62" s="479">
        <v>0</v>
      </c>
      <c r="BJ62"/>
    </row>
    <row r="63" spans="1:62" x14ac:dyDescent="0.2">
      <c r="A63" s="51" t="s">
        <v>68</v>
      </c>
      <c r="B63" s="477">
        <v>450</v>
      </c>
      <c r="C63" s="478">
        <v>100</v>
      </c>
      <c r="D63" s="478">
        <f t="shared" si="7"/>
        <v>81</v>
      </c>
      <c r="E63" s="478">
        <v>0</v>
      </c>
      <c r="F63" s="478">
        <v>100</v>
      </c>
      <c r="G63" s="479">
        <v>0</v>
      </c>
      <c r="BJ63"/>
    </row>
    <row r="64" spans="1:62" x14ac:dyDescent="0.2">
      <c r="A64" s="51" t="s">
        <v>69</v>
      </c>
      <c r="B64" s="477">
        <v>450</v>
      </c>
      <c r="C64" s="478">
        <v>100</v>
      </c>
      <c r="D64" s="478">
        <f t="shared" si="7"/>
        <v>81</v>
      </c>
      <c r="E64" s="478">
        <v>0</v>
      </c>
      <c r="F64" s="478">
        <v>100</v>
      </c>
      <c r="G64" s="479">
        <v>0</v>
      </c>
      <c r="BJ64"/>
    </row>
    <row r="65" spans="1:62" x14ac:dyDescent="0.2">
      <c r="A65" s="51" t="s">
        <v>70</v>
      </c>
      <c r="B65" s="477">
        <v>450</v>
      </c>
      <c r="C65" s="478">
        <v>100</v>
      </c>
      <c r="D65" s="478">
        <f t="shared" si="7"/>
        <v>81</v>
      </c>
      <c r="E65" s="478">
        <v>0</v>
      </c>
      <c r="F65" s="478">
        <v>100</v>
      </c>
      <c r="G65" s="479">
        <v>0</v>
      </c>
      <c r="BJ65"/>
    </row>
    <row r="66" spans="1:62" x14ac:dyDescent="0.2">
      <c r="A66" s="51" t="s">
        <v>71</v>
      </c>
      <c r="B66" s="477">
        <v>450</v>
      </c>
      <c r="C66" s="478">
        <v>100</v>
      </c>
      <c r="D66" s="478">
        <f t="shared" si="7"/>
        <v>81</v>
      </c>
      <c r="E66" s="478">
        <v>0</v>
      </c>
      <c r="F66" s="478">
        <v>100</v>
      </c>
      <c r="G66" s="479">
        <v>0</v>
      </c>
      <c r="BJ66"/>
    </row>
    <row r="67" spans="1:62" x14ac:dyDescent="0.2">
      <c r="A67" s="71" t="s">
        <v>119</v>
      </c>
      <c r="B67" s="477">
        <v>450</v>
      </c>
      <c r="C67" s="478">
        <v>100</v>
      </c>
      <c r="D67" s="478">
        <f t="shared" si="7"/>
        <v>81</v>
      </c>
      <c r="E67" s="478">
        <v>0</v>
      </c>
      <c r="F67" s="478">
        <v>100</v>
      </c>
      <c r="G67" s="479">
        <v>0</v>
      </c>
      <c r="BJ67"/>
    </row>
    <row r="68" spans="1:62" x14ac:dyDescent="0.2">
      <c r="A68" s="71" t="s">
        <v>120</v>
      </c>
      <c r="B68" s="477">
        <v>450</v>
      </c>
      <c r="C68" s="478">
        <v>100</v>
      </c>
      <c r="D68" s="478">
        <f t="shared" si="7"/>
        <v>81</v>
      </c>
      <c r="E68" s="478">
        <v>0</v>
      </c>
      <c r="F68" s="478">
        <v>100</v>
      </c>
      <c r="G68" s="479">
        <v>0</v>
      </c>
      <c r="BJ68"/>
    </row>
    <row r="69" spans="1:62" ht="13.5" thickBot="1" x14ac:dyDescent="0.25">
      <c r="A69" s="52" t="s">
        <v>113</v>
      </c>
      <c r="B69" s="480">
        <v>450</v>
      </c>
      <c r="C69" s="481">
        <v>100</v>
      </c>
      <c r="D69" s="481">
        <f t="shared" si="7"/>
        <v>81</v>
      </c>
      <c r="E69" s="481">
        <v>0</v>
      </c>
      <c r="F69" s="481">
        <v>100</v>
      </c>
      <c r="G69" s="482">
        <v>0</v>
      </c>
      <c r="BJ69"/>
    </row>
    <row r="70" spans="1:62" x14ac:dyDescent="0.2">
      <c r="A70" s="265"/>
      <c r="BJ70"/>
    </row>
    <row r="71" spans="1:62" x14ac:dyDescent="0.2">
      <c r="A71" s="451" t="s">
        <v>453</v>
      </c>
      <c r="BJ71"/>
    </row>
    <row r="72" spans="1:62" ht="13.5" thickBot="1" x14ac:dyDescent="0.25">
      <c r="BJ72"/>
    </row>
    <row r="73" spans="1:62" ht="39" thickBot="1" x14ac:dyDescent="0.25">
      <c r="B73" s="448" t="s">
        <v>479</v>
      </c>
      <c r="C73" s="449" t="s">
        <v>480</v>
      </c>
      <c r="D73" s="449" t="s">
        <v>481</v>
      </c>
      <c r="E73" s="450" t="s">
        <v>482</v>
      </c>
      <c r="F73" s="439"/>
      <c r="BJ73"/>
    </row>
    <row r="74" spans="1:62" x14ac:dyDescent="0.2">
      <c r="A74" s="50" t="s">
        <v>64</v>
      </c>
      <c r="B74" s="465">
        <v>0</v>
      </c>
      <c r="C74" s="466">
        <v>0</v>
      </c>
      <c r="D74" s="466">
        <v>0</v>
      </c>
      <c r="E74" s="467">
        <v>0</v>
      </c>
      <c r="BJ74"/>
    </row>
    <row r="75" spans="1:62" x14ac:dyDescent="0.2">
      <c r="A75" s="51" t="s">
        <v>65</v>
      </c>
      <c r="B75" s="468">
        <v>0</v>
      </c>
      <c r="C75" s="469">
        <v>0</v>
      </c>
      <c r="D75" s="469">
        <v>0</v>
      </c>
      <c r="E75" s="470">
        <v>0</v>
      </c>
      <c r="BJ75"/>
    </row>
    <row r="76" spans="1:62" x14ac:dyDescent="0.2">
      <c r="A76" s="51" t="s">
        <v>66</v>
      </c>
      <c r="B76" s="468">
        <v>0</v>
      </c>
      <c r="C76" s="469">
        <v>0</v>
      </c>
      <c r="D76" s="469">
        <v>0</v>
      </c>
      <c r="E76" s="470">
        <v>0</v>
      </c>
      <c r="BJ76"/>
    </row>
    <row r="77" spans="1:62" x14ac:dyDescent="0.2">
      <c r="A77" s="51" t="s">
        <v>112</v>
      </c>
      <c r="B77" s="468">
        <v>0</v>
      </c>
      <c r="C77" s="469">
        <v>0</v>
      </c>
      <c r="D77" s="469">
        <v>0</v>
      </c>
      <c r="E77" s="470">
        <v>0</v>
      </c>
      <c r="BJ77"/>
    </row>
    <row r="78" spans="1:62" x14ac:dyDescent="0.2">
      <c r="A78" s="51" t="s">
        <v>67</v>
      </c>
      <c r="B78" s="468">
        <v>0</v>
      </c>
      <c r="C78" s="469">
        <v>0</v>
      </c>
      <c r="D78" s="469">
        <v>0</v>
      </c>
      <c r="E78" s="470">
        <v>0</v>
      </c>
      <c r="BJ78"/>
    </row>
    <row r="79" spans="1:62" x14ac:dyDescent="0.2">
      <c r="A79" s="51" t="s">
        <v>68</v>
      </c>
      <c r="B79" s="468">
        <v>0</v>
      </c>
      <c r="C79" s="469">
        <v>0</v>
      </c>
      <c r="D79" s="469">
        <v>0</v>
      </c>
      <c r="E79" s="470">
        <v>0</v>
      </c>
      <c r="BJ79"/>
    </row>
    <row r="80" spans="1:62" x14ac:dyDescent="0.2">
      <c r="A80" s="51" t="s">
        <v>69</v>
      </c>
      <c r="B80" s="468">
        <v>0</v>
      </c>
      <c r="C80" s="469">
        <v>0</v>
      </c>
      <c r="D80" s="469">
        <v>0</v>
      </c>
      <c r="E80" s="470">
        <v>0</v>
      </c>
      <c r="BJ80"/>
    </row>
    <row r="81" spans="1:62" x14ac:dyDescent="0.2">
      <c r="A81" s="51" t="s">
        <v>70</v>
      </c>
      <c r="B81" s="468">
        <v>0</v>
      </c>
      <c r="C81" s="469">
        <v>0</v>
      </c>
      <c r="D81" s="469">
        <v>0</v>
      </c>
      <c r="E81" s="470">
        <v>0</v>
      </c>
      <c r="BJ81"/>
    </row>
    <row r="82" spans="1:62" x14ac:dyDescent="0.2">
      <c r="A82" s="51" t="s">
        <v>71</v>
      </c>
      <c r="B82" s="468">
        <v>0</v>
      </c>
      <c r="C82" s="469">
        <v>0</v>
      </c>
      <c r="D82" s="469">
        <v>0</v>
      </c>
      <c r="E82" s="470">
        <v>0</v>
      </c>
      <c r="BJ82"/>
    </row>
    <row r="83" spans="1:62" x14ac:dyDescent="0.2">
      <c r="A83" s="71" t="s">
        <v>119</v>
      </c>
      <c r="B83" s="468">
        <v>0</v>
      </c>
      <c r="C83" s="469">
        <v>0</v>
      </c>
      <c r="D83" s="469">
        <v>0</v>
      </c>
      <c r="E83" s="470">
        <v>0</v>
      </c>
      <c r="BJ83"/>
    </row>
    <row r="84" spans="1:62" x14ac:dyDescent="0.2">
      <c r="A84" s="71" t="s">
        <v>120</v>
      </c>
      <c r="B84" s="468">
        <v>0</v>
      </c>
      <c r="C84" s="469">
        <v>0</v>
      </c>
      <c r="D84" s="469">
        <v>0</v>
      </c>
      <c r="E84" s="470">
        <v>0</v>
      </c>
      <c r="BJ84"/>
    </row>
    <row r="85" spans="1:62" ht="13.5" thickBot="1" x14ac:dyDescent="0.25">
      <c r="A85" s="52" t="s">
        <v>113</v>
      </c>
      <c r="B85" s="471">
        <v>0</v>
      </c>
      <c r="C85" s="472">
        <v>0</v>
      </c>
      <c r="D85" s="472">
        <v>0</v>
      </c>
      <c r="E85" s="473">
        <v>0</v>
      </c>
      <c r="BJ85"/>
    </row>
    <row r="86" spans="1:62" x14ac:dyDescent="0.2">
      <c r="A86" s="265"/>
      <c r="BJ86"/>
    </row>
    <row r="87" spans="1:62" x14ac:dyDescent="0.2">
      <c r="A87" s="451" t="s">
        <v>454</v>
      </c>
      <c r="BJ87"/>
    </row>
    <row r="88" spans="1:62" ht="13.5" thickBot="1" x14ac:dyDescent="0.25">
      <c r="BJ88"/>
    </row>
    <row r="89" spans="1:62" ht="39" thickBot="1" x14ac:dyDescent="0.25">
      <c r="B89" s="448" t="s">
        <v>244</v>
      </c>
      <c r="C89" s="449" t="s">
        <v>455</v>
      </c>
      <c r="D89" s="449" t="s">
        <v>477</v>
      </c>
      <c r="E89" s="450" t="s">
        <v>456</v>
      </c>
      <c r="BJ89"/>
    </row>
    <row r="90" spans="1:62" x14ac:dyDescent="0.2">
      <c r="A90" s="50" t="s">
        <v>64</v>
      </c>
      <c r="B90" s="598">
        <v>0</v>
      </c>
      <c r="C90" s="459">
        <v>0</v>
      </c>
      <c r="D90" s="459">
        <v>0</v>
      </c>
      <c r="E90" s="460">
        <v>0</v>
      </c>
      <c r="BJ90"/>
    </row>
    <row r="91" spans="1:62" x14ac:dyDescent="0.2">
      <c r="A91" s="51" t="s">
        <v>65</v>
      </c>
      <c r="B91" s="599">
        <v>0</v>
      </c>
      <c r="C91" s="461">
        <v>0</v>
      </c>
      <c r="D91" s="461">
        <v>0</v>
      </c>
      <c r="E91" s="462">
        <v>0</v>
      </c>
      <c r="BJ91"/>
    </row>
    <row r="92" spans="1:62" x14ac:dyDescent="0.2">
      <c r="A92" s="51" t="s">
        <v>66</v>
      </c>
      <c r="B92" s="599">
        <v>0</v>
      </c>
      <c r="C92" s="461">
        <v>0</v>
      </c>
      <c r="D92" s="461">
        <v>0</v>
      </c>
      <c r="E92" s="462">
        <v>0</v>
      </c>
      <c r="BJ92"/>
    </row>
    <row r="93" spans="1:62" x14ac:dyDescent="0.2">
      <c r="A93" s="51" t="s">
        <v>112</v>
      </c>
      <c r="B93" s="599">
        <v>0</v>
      </c>
      <c r="C93" s="461">
        <v>0</v>
      </c>
      <c r="D93" s="461">
        <v>0</v>
      </c>
      <c r="E93" s="462">
        <v>0</v>
      </c>
      <c r="BJ93"/>
    </row>
    <row r="94" spans="1:62" x14ac:dyDescent="0.2">
      <c r="A94" s="51" t="s">
        <v>67</v>
      </c>
      <c r="B94" s="599">
        <v>0</v>
      </c>
      <c r="C94" s="461">
        <v>0</v>
      </c>
      <c r="D94" s="461">
        <v>0</v>
      </c>
      <c r="E94" s="462">
        <v>0</v>
      </c>
      <c r="BJ94"/>
    </row>
    <row r="95" spans="1:62" x14ac:dyDescent="0.2">
      <c r="A95" s="51" t="s">
        <v>68</v>
      </c>
      <c r="B95" s="599">
        <v>0</v>
      </c>
      <c r="C95" s="461">
        <v>0</v>
      </c>
      <c r="D95" s="461">
        <v>0</v>
      </c>
      <c r="E95" s="462">
        <v>0</v>
      </c>
      <c r="BJ95"/>
    </row>
    <row r="96" spans="1:62" x14ac:dyDescent="0.2">
      <c r="A96" s="51" t="s">
        <v>69</v>
      </c>
      <c r="B96" s="599">
        <v>0</v>
      </c>
      <c r="C96" s="461">
        <v>0</v>
      </c>
      <c r="D96" s="461">
        <v>0</v>
      </c>
      <c r="E96" s="462">
        <v>0</v>
      </c>
      <c r="BJ96"/>
    </row>
    <row r="97" spans="1:62" x14ac:dyDescent="0.2">
      <c r="A97" s="51" t="s">
        <v>70</v>
      </c>
      <c r="B97" s="599">
        <v>0</v>
      </c>
      <c r="C97" s="461">
        <v>0</v>
      </c>
      <c r="D97" s="461">
        <v>0</v>
      </c>
      <c r="E97" s="462">
        <v>0</v>
      </c>
      <c r="BJ97"/>
    </row>
    <row r="98" spans="1:62" x14ac:dyDescent="0.2">
      <c r="A98" s="51" t="s">
        <v>71</v>
      </c>
      <c r="B98" s="599">
        <v>0</v>
      </c>
      <c r="C98" s="461">
        <v>0</v>
      </c>
      <c r="D98" s="461">
        <v>0</v>
      </c>
      <c r="E98" s="462">
        <v>0</v>
      </c>
      <c r="BJ98"/>
    </row>
    <row r="99" spans="1:62" x14ac:dyDescent="0.2">
      <c r="A99" s="71" t="s">
        <v>119</v>
      </c>
      <c r="B99" s="599">
        <v>0</v>
      </c>
      <c r="C99" s="461">
        <v>0</v>
      </c>
      <c r="D99" s="461">
        <v>0</v>
      </c>
      <c r="E99" s="462">
        <v>0</v>
      </c>
      <c r="BJ99"/>
    </row>
    <row r="100" spans="1:62" x14ac:dyDescent="0.2">
      <c r="A100" s="71" t="s">
        <v>120</v>
      </c>
      <c r="B100" s="599">
        <v>0</v>
      </c>
      <c r="C100" s="461">
        <v>0</v>
      </c>
      <c r="D100" s="461">
        <v>0</v>
      </c>
      <c r="E100" s="462">
        <v>0</v>
      </c>
      <c r="BJ100"/>
    </row>
    <row r="101" spans="1:62" ht="13.5" thickBot="1" x14ac:dyDescent="0.25">
      <c r="A101" s="52" t="s">
        <v>113</v>
      </c>
      <c r="B101" s="600">
        <v>0</v>
      </c>
      <c r="C101" s="463">
        <v>0</v>
      </c>
      <c r="D101" s="463">
        <v>0</v>
      </c>
      <c r="E101" s="464">
        <v>0</v>
      </c>
      <c r="BJ101"/>
    </row>
    <row r="102" spans="1:62" x14ac:dyDescent="0.2">
      <c r="A102" s="265"/>
      <c r="BJ102"/>
    </row>
    <row r="103" spans="1:62" ht="36" customHeight="1" thickBot="1" x14ac:dyDescent="0.25">
      <c r="A103" s="452" t="s">
        <v>450</v>
      </c>
      <c r="BJ103"/>
    </row>
    <row r="104" spans="1:62" ht="39" thickBot="1" x14ac:dyDescent="0.25">
      <c r="B104" s="448" t="s">
        <v>457</v>
      </c>
      <c r="C104" s="450" t="s">
        <v>458</v>
      </c>
      <c r="D104" s="439"/>
      <c r="BJ104"/>
    </row>
    <row r="105" spans="1:62" x14ac:dyDescent="0.2">
      <c r="A105" s="50" t="s">
        <v>64</v>
      </c>
      <c r="B105" s="483">
        <v>0.8</v>
      </c>
      <c r="C105" s="436"/>
      <c r="BJ105"/>
    </row>
    <row r="106" spans="1:62" x14ac:dyDescent="0.2">
      <c r="A106" s="51" t="s">
        <v>65</v>
      </c>
      <c r="B106" s="484">
        <v>0.8</v>
      </c>
      <c r="C106" s="446"/>
      <c r="BJ106"/>
    </row>
    <row r="107" spans="1:62" x14ac:dyDescent="0.2">
      <c r="A107" s="51" t="s">
        <v>66</v>
      </c>
      <c r="B107" s="484">
        <v>0.8</v>
      </c>
      <c r="C107" s="446"/>
      <c r="BJ107"/>
    </row>
    <row r="108" spans="1:62" x14ac:dyDescent="0.2">
      <c r="A108" s="51" t="s">
        <v>112</v>
      </c>
      <c r="B108" s="484">
        <v>0.8</v>
      </c>
      <c r="C108" s="446"/>
      <c r="BJ108"/>
    </row>
    <row r="109" spans="1:62" x14ac:dyDescent="0.2">
      <c r="A109" s="51" t="s">
        <v>67</v>
      </c>
      <c r="B109" s="484">
        <v>0.8</v>
      </c>
      <c r="C109" s="446"/>
      <c r="BJ109"/>
    </row>
    <row r="110" spans="1:62" x14ac:dyDescent="0.2">
      <c r="A110" s="51" t="s">
        <v>68</v>
      </c>
      <c r="B110" s="484">
        <v>0.8</v>
      </c>
      <c r="C110" s="446"/>
      <c r="BJ110"/>
    </row>
    <row r="111" spans="1:62" x14ac:dyDescent="0.2">
      <c r="A111" s="51" t="s">
        <v>69</v>
      </c>
      <c r="B111" s="484">
        <v>0.8</v>
      </c>
      <c r="C111" s="446"/>
      <c r="BJ111"/>
    </row>
    <row r="112" spans="1:62" x14ac:dyDescent="0.2">
      <c r="A112" s="51" t="s">
        <v>70</v>
      </c>
      <c r="B112" s="484">
        <v>0.8</v>
      </c>
      <c r="C112" s="446"/>
      <c r="BJ112"/>
    </row>
    <row r="113" spans="1:62" x14ac:dyDescent="0.2">
      <c r="A113" s="51" t="s">
        <v>71</v>
      </c>
      <c r="B113" s="484">
        <v>0.8</v>
      </c>
      <c r="C113" s="446"/>
      <c r="BJ113"/>
    </row>
    <row r="114" spans="1:62" x14ac:dyDescent="0.2">
      <c r="A114" s="71" t="s">
        <v>119</v>
      </c>
      <c r="B114" s="484">
        <v>0.8</v>
      </c>
      <c r="C114" s="446"/>
      <c r="BJ114"/>
    </row>
    <row r="115" spans="1:62" x14ac:dyDescent="0.2">
      <c r="A115" s="71" t="s">
        <v>120</v>
      </c>
      <c r="B115" s="484">
        <v>0.8</v>
      </c>
      <c r="C115" s="446"/>
      <c r="BJ115"/>
    </row>
    <row r="116" spans="1:62" ht="13.5" thickBot="1" x14ac:dyDescent="0.25">
      <c r="A116" s="52" t="s">
        <v>113</v>
      </c>
      <c r="B116" s="485">
        <v>0.8</v>
      </c>
      <c r="C116" s="438"/>
      <c r="BJ116"/>
    </row>
    <row r="117" spans="1:62" x14ac:dyDescent="0.2">
      <c r="A117" s="265"/>
      <c r="BJ117"/>
    </row>
    <row r="118" spans="1:62" x14ac:dyDescent="0.2">
      <c r="A118" s="265"/>
      <c r="BJ118"/>
    </row>
    <row r="119" spans="1:62" x14ac:dyDescent="0.2">
      <c r="A119" s="265"/>
      <c r="BJ119"/>
    </row>
    <row r="120" spans="1:62" x14ac:dyDescent="0.2">
      <c r="A120" s="265"/>
      <c r="BJ120"/>
    </row>
    <row r="121" spans="1:62" x14ac:dyDescent="0.2">
      <c r="A121" s="265"/>
      <c r="BJ121"/>
    </row>
    <row r="122" spans="1:62" x14ac:dyDescent="0.2">
      <c r="A122" s="265"/>
      <c r="BJ122"/>
    </row>
    <row r="123" spans="1:62" x14ac:dyDescent="0.2">
      <c r="A123" s="265"/>
      <c r="BJ123"/>
    </row>
    <row r="124" spans="1:62" x14ac:dyDescent="0.2">
      <c r="A124" s="265"/>
      <c r="BJ124"/>
    </row>
    <row r="125" spans="1:62" x14ac:dyDescent="0.2">
      <c r="A125" s="265"/>
      <c r="BJ125"/>
    </row>
    <row r="126" spans="1:62" x14ac:dyDescent="0.2">
      <c r="A126" s="265"/>
      <c r="BJ126"/>
    </row>
    <row r="127" spans="1:62" x14ac:dyDescent="0.2">
      <c r="A127" s="265"/>
      <c r="BJ127"/>
    </row>
    <row r="128" spans="1:62" x14ac:dyDescent="0.2">
      <c r="A128" s="265"/>
      <c r="BJ128"/>
    </row>
    <row r="129" spans="1:62" x14ac:dyDescent="0.2">
      <c r="A129" s="265"/>
      <c r="BJ129"/>
    </row>
    <row r="130" spans="1:62" x14ac:dyDescent="0.2">
      <c r="A130" s="265"/>
      <c r="BJ130"/>
    </row>
    <row r="131" spans="1:62" x14ac:dyDescent="0.2">
      <c r="A131" s="265"/>
      <c r="BJ131"/>
    </row>
    <row r="132" spans="1:62" x14ac:dyDescent="0.2">
      <c r="A132" s="265"/>
      <c r="BJ132"/>
    </row>
    <row r="133" spans="1:62" x14ac:dyDescent="0.2">
      <c r="A133" s="265"/>
      <c r="BJ133"/>
    </row>
    <row r="134" spans="1:62" x14ac:dyDescent="0.2">
      <c r="A134" s="265"/>
      <c r="BJ134"/>
    </row>
    <row r="135" spans="1:62" x14ac:dyDescent="0.2">
      <c r="A135" s="265"/>
      <c r="BJ135"/>
    </row>
    <row r="136" spans="1:62" x14ac:dyDescent="0.2">
      <c r="A136" s="265"/>
      <c r="BJ136"/>
    </row>
    <row r="137" spans="1:62" x14ac:dyDescent="0.2">
      <c r="A137" s="265"/>
      <c r="BJ137"/>
    </row>
    <row r="138" spans="1:62" x14ac:dyDescent="0.2">
      <c r="A138" s="265"/>
      <c r="BJ138"/>
    </row>
    <row r="139" spans="1:62" x14ac:dyDescent="0.2">
      <c r="A139" s="265"/>
      <c r="BJ139"/>
    </row>
    <row r="140" spans="1:62" x14ac:dyDescent="0.2">
      <c r="A140" s="265"/>
      <c r="BJ140"/>
    </row>
    <row r="141" spans="1:62" x14ac:dyDescent="0.2">
      <c r="A141" s="265"/>
      <c r="BJ141"/>
    </row>
    <row r="142" spans="1:62" x14ac:dyDescent="0.2">
      <c r="A142" s="265"/>
      <c r="BJ142"/>
    </row>
    <row r="143" spans="1:62" x14ac:dyDescent="0.2">
      <c r="A143" s="265"/>
      <c r="BJ143"/>
    </row>
    <row r="144" spans="1:62" x14ac:dyDescent="0.2">
      <c r="A144" s="265"/>
      <c r="BJ144"/>
    </row>
    <row r="145" spans="1:62" x14ac:dyDescent="0.2">
      <c r="A145" s="265"/>
      <c r="BJ145"/>
    </row>
    <row r="146" spans="1:62" x14ac:dyDescent="0.2">
      <c r="A146" s="265"/>
      <c r="BJ146"/>
    </row>
    <row r="147" spans="1:62" x14ac:dyDescent="0.2">
      <c r="A147" s="265"/>
      <c r="BJ147"/>
    </row>
    <row r="148" spans="1:62" x14ac:dyDescent="0.2">
      <c r="A148" s="265"/>
      <c r="BJ148"/>
    </row>
    <row r="149" spans="1:62" x14ac:dyDescent="0.2">
      <c r="A149" s="265"/>
      <c r="BJ149"/>
    </row>
    <row r="150" spans="1:62" x14ac:dyDescent="0.2">
      <c r="A150" s="265"/>
      <c r="BJ150"/>
    </row>
    <row r="151" spans="1:62" x14ac:dyDescent="0.2">
      <c r="A151" s="265"/>
      <c r="BJ151"/>
    </row>
    <row r="152" spans="1:62" x14ac:dyDescent="0.2">
      <c r="A152" s="265"/>
      <c r="BJ152"/>
    </row>
    <row r="153" spans="1:62" x14ac:dyDescent="0.2">
      <c r="A153" s="265"/>
      <c r="BJ153"/>
    </row>
    <row r="154" spans="1:62" x14ac:dyDescent="0.2">
      <c r="A154" s="265"/>
      <c r="BJ154"/>
    </row>
    <row r="155" spans="1:62" x14ac:dyDescent="0.2">
      <c r="A155" s="265"/>
      <c r="BJ155"/>
    </row>
    <row r="156" spans="1:62" x14ac:dyDescent="0.2">
      <c r="A156" s="265"/>
      <c r="BJ156"/>
    </row>
    <row r="157" spans="1:62" x14ac:dyDescent="0.2">
      <c r="A157" s="265"/>
      <c r="BJ157"/>
    </row>
    <row r="158" spans="1:62" x14ac:dyDescent="0.2">
      <c r="A158" s="265"/>
      <c r="BJ158"/>
    </row>
    <row r="159" spans="1:62" x14ac:dyDescent="0.2">
      <c r="A159" s="265"/>
      <c r="BJ159"/>
    </row>
    <row r="160" spans="1:62" x14ac:dyDescent="0.2">
      <c r="A160" s="265"/>
      <c r="BJ160"/>
    </row>
    <row r="161" spans="1:62" x14ac:dyDescent="0.2">
      <c r="A161" s="265"/>
      <c r="BJ161"/>
    </row>
    <row r="162" spans="1:62" x14ac:dyDescent="0.2">
      <c r="A162" s="265"/>
      <c r="BJ162"/>
    </row>
    <row r="163" spans="1:62" x14ac:dyDescent="0.2">
      <c r="A163" s="265"/>
      <c r="BJ163"/>
    </row>
    <row r="164" spans="1:62" x14ac:dyDescent="0.2">
      <c r="A164" s="265"/>
      <c r="BJ164"/>
    </row>
    <row r="165" spans="1:62" x14ac:dyDescent="0.2">
      <c r="A165" s="265"/>
      <c r="BJ165"/>
    </row>
    <row r="166" spans="1:62" x14ac:dyDescent="0.2">
      <c r="A166" s="265"/>
      <c r="BJ166"/>
    </row>
    <row r="167" spans="1:62" x14ac:dyDescent="0.2">
      <c r="A167" s="265"/>
      <c r="BJ167"/>
    </row>
    <row r="168" spans="1:62" x14ac:dyDescent="0.2">
      <c r="A168" s="265"/>
      <c r="BJ168"/>
    </row>
    <row r="169" spans="1:62" x14ac:dyDescent="0.2">
      <c r="A169" s="265"/>
      <c r="BJ169"/>
    </row>
    <row r="170" spans="1:62" x14ac:dyDescent="0.2">
      <c r="A170" s="265"/>
      <c r="BJ170"/>
    </row>
    <row r="171" spans="1:62" x14ac:dyDescent="0.2">
      <c r="A171" s="265"/>
      <c r="BJ171"/>
    </row>
    <row r="172" spans="1:62" x14ac:dyDescent="0.2">
      <c r="A172" s="265"/>
      <c r="BJ172"/>
    </row>
    <row r="173" spans="1:62" x14ac:dyDescent="0.2">
      <c r="A173" s="265"/>
      <c r="BJ173"/>
    </row>
    <row r="174" spans="1:62" x14ac:dyDescent="0.2">
      <c r="A174" s="265"/>
      <c r="BJ174"/>
    </row>
    <row r="175" spans="1:62" x14ac:dyDescent="0.2">
      <c r="A175" s="265"/>
      <c r="BJ175"/>
    </row>
    <row r="176" spans="1:62" x14ac:dyDescent="0.2">
      <c r="A176" s="265"/>
      <c r="BJ176"/>
    </row>
    <row r="177" spans="1:62" x14ac:dyDescent="0.2">
      <c r="A177" s="265"/>
      <c r="BJ177"/>
    </row>
    <row r="178" spans="1:62" x14ac:dyDescent="0.2">
      <c r="A178" s="265"/>
      <c r="BJ178"/>
    </row>
    <row r="179" spans="1:62" x14ac:dyDescent="0.2">
      <c r="A179" s="265"/>
      <c r="BJ179"/>
    </row>
    <row r="180" spans="1:62" x14ac:dyDescent="0.2">
      <c r="A180" s="265"/>
      <c r="BJ180"/>
    </row>
    <row r="181" spans="1:62" x14ac:dyDescent="0.2">
      <c r="A181" s="265"/>
      <c r="BJ181"/>
    </row>
    <row r="182" spans="1:62" x14ac:dyDescent="0.2">
      <c r="A182" s="265"/>
      <c r="BJ18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Example</vt:lpstr>
      <vt:lpstr>Control Page</vt:lpstr>
      <vt:lpstr>Balance Sheet</vt:lpstr>
      <vt:lpstr>Cash Flow</vt:lpstr>
      <vt:lpstr>Many to Many Revenue</vt:lpstr>
      <vt:lpstr>Private Label Revenue</vt:lpstr>
      <vt:lpstr>Outsourcing and Acquisition Ass</vt:lpstr>
      <vt:lpstr>Many to Many Ass.</vt:lpstr>
      <vt:lpstr>Private Label Ass</vt:lpstr>
      <vt:lpstr> Volume Assumptions</vt:lpstr>
      <vt:lpstr>Expenses</vt:lpstr>
      <vt:lpstr>EOL mgt. report</vt:lpstr>
      <vt:lpstr>EOL STAT</vt:lpstr>
      <vt:lpstr>Total Market Size</vt:lpstr>
      <vt:lpstr>Oil</vt:lpstr>
      <vt:lpstr>Gas</vt:lpstr>
      <vt:lpstr>LNG</vt:lpstr>
      <vt:lpstr>Power</vt:lpstr>
      <vt:lpstr>Coal</vt:lpstr>
      <vt:lpstr>Logistics</vt:lpstr>
      <vt:lpstr>Grains</vt:lpstr>
      <vt:lpstr>Metals</vt:lpstr>
      <vt:lpstr>Forest Products</vt:lpstr>
      <vt:lpstr>Liquids</vt:lpstr>
      <vt:lpstr>Pet Chems and Plastics</vt:lpstr>
      <vt:lpstr>EC</vt:lpstr>
      <vt:lpstr> Construction </vt:lpstr>
      <vt:lpstr>Spreadsheet Construction</vt:lpstr>
      <vt:lpstr>VAS CF</vt:lpstr>
      <vt:lpstr>Total CF</vt:lpstr>
      <vt:lpstr>' Construction '!Print_Area</vt:lpstr>
      <vt:lpstr>Example!Print_Area</vt:lpstr>
      <vt:lpstr>'Spreadsheet Construction'!Print_Area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International Energy Outlook 2000 - Table A9-A16</dc:title>
  <dc:creator>meichma</dc:creator>
  <cp:lastModifiedBy>Felienne</cp:lastModifiedBy>
  <cp:lastPrinted>2000-12-20T17:04:09Z</cp:lastPrinted>
  <dcterms:created xsi:type="dcterms:W3CDTF">2000-11-13T13:02:43Z</dcterms:created>
  <dcterms:modified xsi:type="dcterms:W3CDTF">2014-09-03T19:03:07Z</dcterms:modified>
</cp:coreProperties>
</file>